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Users/mylesfleming/Desktop/OTFL/OTFL Results/2026/Master Files/"/>
    </mc:Choice>
  </mc:AlternateContent>
  <xr:revisionPtr revIDLastSave="0" documentId="13_ncr:1_{CC37675D-EE52-1D41-B7A6-0267A2968170}" xr6:coauthVersionLast="47" xr6:coauthVersionMax="47" xr10:uidLastSave="{00000000-0000-0000-0000-000000000000}"/>
  <bookViews>
    <workbookView xWindow="0" yWindow="660" windowWidth="29400" windowHeight="17160" tabRatio="665" activeTab="3" xr2:uid="{00000000-000D-0000-FFFF-FFFF00000000}"/>
  </bookViews>
  <sheets>
    <sheet name="Read Me First" sheetId="26" r:id="rId1"/>
    <sheet name="Declarations" sheetId="27" r:id="rId2"/>
    <sheet name="BlockAllocations" sheetId="33" r:id="rId3"/>
    <sheet name="Timetable" sheetId="43" r:id="rId4"/>
    <sheet name="FieldCards" sheetId="29" r:id="rId5"/>
    <sheet name="75m" sheetId="13" r:id="rId6"/>
    <sheet name="600m" sheetId="20" r:id="rId7"/>
    <sheet name="LongJump" sheetId="22" r:id="rId8"/>
    <sheet name="Vortex" sheetId="21" r:id="rId9"/>
    <sheet name="Relay" sheetId="36" r:id="rId10"/>
    <sheet name="QKResults" sheetId="42" r:id="rId11"/>
    <sheet name="Data" sheetId="40" r:id="rId12"/>
    <sheet name="ScoringTable" sheetId="28" r:id="rId13"/>
    <sheet name="QKResults - funetics" sheetId="44" r:id="rId14"/>
  </sheets>
  <definedNames>
    <definedName name="_xlnm.Print_Area" localSheetId="6">'600m'!$A$1:$K$293</definedName>
    <definedName name="_xlnm.Print_Area" localSheetId="5">'75m'!$A$1:$K$293</definedName>
    <definedName name="_xlnm.Print_Area" localSheetId="11">Data!#REF!</definedName>
    <definedName name="_xlnm.Print_Area" localSheetId="1">Declarations!$A$1:$F$293</definedName>
    <definedName name="_xlnm.Print_Area" localSheetId="4">FieldCards!$A$1:$H$800</definedName>
    <definedName name="_xlnm.Print_Area" localSheetId="7">LongJump!$A$1:$K$293</definedName>
    <definedName name="_xlnm.Print_Area" localSheetId="10">QKResults!$A$1:$V$428</definedName>
    <definedName name="_xlnm.Print_Area" localSheetId="13">'QKResults - funetics'!$A$1:$V$428</definedName>
    <definedName name="_xlnm.Print_Area" localSheetId="9">Relay!$A$1:$F$50</definedName>
    <definedName name="_xlnm.Print_Area" localSheetId="3">Timetable!$A$1:$M$23</definedName>
    <definedName name="_xlnm.Print_Area" localSheetId="8">Vortex!$A$1:$K$293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43" l="1"/>
  <c r="A55" i="40"/>
  <c r="B55" i="40" s="1"/>
  <c r="G55" i="40" s="1"/>
  <c r="A56" i="40"/>
  <c r="B56" i="40" s="1"/>
  <c r="A57" i="40"/>
  <c r="B57" i="40" s="1"/>
  <c r="J57" i="40" s="1"/>
  <c r="D57" i="40"/>
  <c r="A58" i="40"/>
  <c r="B58" i="40" s="1"/>
  <c r="E58" i="40"/>
  <c r="A59" i="40"/>
  <c r="B59" i="40" s="1"/>
  <c r="C59" i="40"/>
  <c r="A60" i="40"/>
  <c r="E60" i="40" s="1"/>
  <c r="C60" i="40"/>
  <c r="A61" i="40"/>
  <c r="E61" i="40" s="1"/>
  <c r="A62" i="40"/>
  <c r="D62" i="40" s="1"/>
  <c r="A63" i="40"/>
  <c r="B63" i="40" s="1"/>
  <c r="M63" i="40" s="1"/>
  <c r="A64" i="40"/>
  <c r="B64" i="40" s="1"/>
  <c r="H64" i="40" s="1"/>
  <c r="C64" i="40"/>
  <c r="A65" i="40"/>
  <c r="D65" i="40" s="1"/>
  <c r="E65" i="40"/>
  <c r="A66" i="40"/>
  <c r="D66" i="40" s="1"/>
  <c r="E66" i="40"/>
  <c r="A67" i="40"/>
  <c r="D67" i="40"/>
  <c r="A68" i="40"/>
  <c r="B68" i="40" s="1"/>
  <c r="M68" i="40" s="1"/>
  <c r="D68" i="40"/>
  <c r="A69" i="40"/>
  <c r="E69" i="40"/>
  <c r="A70" i="40"/>
  <c r="A71" i="40"/>
  <c r="B71" i="40" s="1"/>
  <c r="A72" i="40"/>
  <c r="A73" i="40"/>
  <c r="C73" i="40" s="1"/>
  <c r="A74" i="40"/>
  <c r="E74" i="40"/>
  <c r="A75" i="40"/>
  <c r="E75" i="40" s="1"/>
  <c r="C75" i="40"/>
  <c r="A76" i="40"/>
  <c r="B76" i="40"/>
  <c r="N76" i="40" s="1"/>
  <c r="C76" i="40"/>
  <c r="D76" i="40"/>
  <c r="E76" i="40"/>
  <c r="A77" i="40"/>
  <c r="E77" i="40" s="1"/>
  <c r="A78" i="40"/>
  <c r="B78" i="40"/>
  <c r="K78" i="40" s="1"/>
  <c r="C78" i="40"/>
  <c r="D78" i="40"/>
  <c r="E78" i="40"/>
  <c r="A79" i="40"/>
  <c r="A80" i="40"/>
  <c r="A81" i="40"/>
  <c r="C81" i="40"/>
  <c r="D81" i="40"/>
  <c r="A82" i="40"/>
  <c r="A83" i="40"/>
  <c r="A84" i="40"/>
  <c r="D84" i="40" s="1"/>
  <c r="B84" i="40"/>
  <c r="I84" i="40" s="1"/>
  <c r="A85" i="40"/>
  <c r="B85" i="40"/>
  <c r="F85" i="40" s="1"/>
  <c r="A86" i="40"/>
  <c r="B86" i="40"/>
  <c r="A87" i="40"/>
  <c r="A88" i="40"/>
  <c r="B88" i="40" s="1"/>
  <c r="J88" i="40" s="1"/>
  <c r="A89" i="40"/>
  <c r="D89" i="40"/>
  <c r="A90" i="40"/>
  <c r="B90" i="40" s="1"/>
  <c r="N90" i="40" s="1"/>
  <c r="D90" i="40"/>
  <c r="A91" i="40"/>
  <c r="C91" i="40" s="1"/>
  <c r="B91" i="40"/>
  <c r="N91" i="40" s="1"/>
  <c r="D91" i="40"/>
  <c r="E91" i="40"/>
  <c r="A92" i="40"/>
  <c r="D92" i="40" s="1"/>
  <c r="B92" i="40"/>
  <c r="O92" i="40" s="1"/>
  <c r="C92" i="40"/>
  <c r="A93" i="40"/>
  <c r="B93" i="40"/>
  <c r="F93" i="40" s="1"/>
  <c r="C93" i="40"/>
  <c r="D93" i="40"/>
  <c r="E93" i="40"/>
  <c r="A94" i="40"/>
  <c r="D94" i="40" s="1"/>
  <c r="B94" i="40"/>
  <c r="H94" i="40" s="1"/>
  <c r="A95" i="40"/>
  <c r="B95" i="40"/>
  <c r="E95" i="40"/>
  <c r="A96" i="40"/>
  <c r="B96" i="40" s="1"/>
  <c r="C96" i="40"/>
  <c r="D96" i="40"/>
  <c r="A97" i="40"/>
  <c r="A98" i="40"/>
  <c r="B98" i="40"/>
  <c r="G98" i="40" s="1"/>
  <c r="D98" i="40"/>
  <c r="A99" i="40"/>
  <c r="D99" i="40" s="1"/>
  <c r="A100" i="40"/>
  <c r="A101" i="40"/>
  <c r="C101" i="40" s="1"/>
  <c r="A102" i="40"/>
  <c r="B102" i="40" s="1"/>
  <c r="H102" i="40" s="1"/>
  <c r="A103" i="40"/>
  <c r="E103" i="40" s="1"/>
  <c r="C103" i="40"/>
  <c r="A104" i="40"/>
  <c r="B104" i="40"/>
  <c r="L104" i="40" s="1"/>
  <c r="C104" i="40"/>
  <c r="D104" i="40"/>
  <c r="E104" i="40"/>
  <c r="A105" i="40"/>
  <c r="E105" i="40" s="1"/>
  <c r="A106" i="40"/>
  <c r="B106" i="40"/>
  <c r="N106" i="40" s="1"/>
  <c r="C106" i="40"/>
  <c r="D106" i="40"/>
  <c r="E106" i="40"/>
  <c r="A107" i="40"/>
  <c r="C107" i="40" s="1"/>
  <c r="A108" i="40"/>
  <c r="C108" i="40"/>
  <c r="D108" i="40"/>
  <c r="A109" i="40"/>
  <c r="A110" i="40"/>
  <c r="E110" i="40" s="1"/>
  <c r="C110" i="40"/>
  <c r="A111" i="40"/>
  <c r="A112" i="40"/>
  <c r="B112" i="40"/>
  <c r="G112" i="40" s="1"/>
  <c r="A113" i="40"/>
  <c r="E113" i="40" s="1"/>
  <c r="C113" i="40"/>
  <c r="A114" i="40"/>
  <c r="B114" i="40"/>
  <c r="M114" i="40" s="1"/>
  <c r="C114" i="40"/>
  <c r="A115" i="40"/>
  <c r="B115" i="40" s="1"/>
  <c r="A116" i="40"/>
  <c r="B116" i="40" s="1"/>
  <c r="J116" i="40" s="1"/>
  <c r="C116" i="40"/>
  <c r="A117" i="40"/>
  <c r="B117" i="40" s="1"/>
  <c r="A118" i="40"/>
  <c r="A119" i="40"/>
  <c r="B119" i="40" s="1"/>
  <c r="A120" i="40"/>
  <c r="B120" i="40" s="1"/>
  <c r="O120" i="40" s="1"/>
  <c r="C120" i="40"/>
  <c r="D120" i="40"/>
  <c r="E120" i="40"/>
  <c r="A121" i="40"/>
  <c r="B121" i="40" s="1"/>
  <c r="A122" i="40"/>
  <c r="D122" i="40" s="1"/>
  <c r="B122" i="40"/>
  <c r="M122" i="40" s="1"/>
  <c r="A123" i="40"/>
  <c r="A124" i="40"/>
  <c r="E124" i="40" s="1"/>
  <c r="A125" i="40"/>
  <c r="B125" i="40"/>
  <c r="O125" i="40" s="1"/>
  <c r="C125" i="40"/>
  <c r="D125" i="40"/>
  <c r="E125" i="40"/>
  <c r="A126" i="40"/>
  <c r="A127" i="40"/>
  <c r="A128" i="40"/>
  <c r="C128" i="40" s="1"/>
  <c r="A129" i="40"/>
  <c r="A130" i="40"/>
  <c r="B130" i="40" s="1"/>
  <c r="F130" i="40" s="1"/>
  <c r="D130" i="40"/>
  <c r="A131" i="40"/>
  <c r="B131" i="40" s="1"/>
  <c r="N131" i="40" s="1"/>
  <c r="D131" i="40"/>
  <c r="E131" i="40"/>
  <c r="A132" i="40"/>
  <c r="A133" i="40"/>
  <c r="E133" i="40" s="1"/>
  <c r="A134" i="40"/>
  <c r="B134" i="40" s="1"/>
  <c r="H134" i="40" s="1"/>
  <c r="D134" i="40"/>
  <c r="A135" i="40"/>
  <c r="A136" i="40"/>
  <c r="B136" i="40"/>
  <c r="C136" i="40"/>
  <c r="D136" i="40"/>
  <c r="E136" i="40"/>
  <c r="A137" i="40"/>
  <c r="E137" i="40"/>
  <c r="A138" i="40"/>
  <c r="E138" i="40" s="1"/>
  <c r="A139" i="40"/>
  <c r="B139" i="40" s="1"/>
  <c r="N139" i="40" s="1"/>
  <c r="C139" i="40"/>
  <c r="D139" i="40"/>
  <c r="E139" i="40"/>
  <c r="A140" i="40"/>
  <c r="A141" i="40"/>
  <c r="B141" i="40" s="1"/>
  <c r="I141" i="40" s="1"/>
  <c r="E141" i="40"/>
  <c r="A142" i="40"/>
  <c r="B142" i="40" s="1"/>
  <c r="D142" i="40"/>
  <c r="E142" i="40"/>
  <c r="A143" i="40"/>
  <c r="C143" i="40"/>
  <c r="A144" i="40"/>
  <c r="E144" i="40" s="1"/>
  <c r="C144" i="40"/>
  <c r="A145" i="40"/>
  <c r="A146" i="40"/>
  <c r="E146" i="40" s="1"/>
  <c r="A147" i="40"/>
  <c r="E147" i="40"/>
  <c r="A148" i="40"/>
  <c r="A149" i="40"/>
  <c r="A150" i="40"/>
  <c r="D150" i="40" s="1"/>
  <c r="A151" i="40"/>
  <c r="B151" i="40"/>
  <c r="J151" i="40" s="1"/>
  <c r="C151" i="40"/>
  <c r="A152" i="40"/>
  <c r="D152" i="40" s="1"/>
  <c r="B152" i="40"/>
  <c r="M152" i="40" s="1"/>
  <c r="A153" i="40"/>
  <c r="B153" i="40" s="1"/>
  <c r="H153" i="40" s="1"/>
  <c r="A154" i="40"/>
  <c r="A155" i="40"/>
  <c r="A156" i="40"/>
  <c r="B156" i="40" s="1"/>
  <c r="H156" i="40" s="1"/>
  <c r="A157" i="40"/>
  <c r="A158" i="40"/>
  <c r="D158" i="40" s="1"/>
  <c r="A159" i="40"/>
  <c r="A160" i="40"/>
  <c r="B160" i="40"/>
  <c r="K160" i="40" s="1"/>
  <c r="C160" i="40"/>
  <c r="D160" i="40"/>
  <c r="E160" i="40"/>
  <c r="A161" i="40"/>
  <c r="B161" i="40"/>
  <c r="N161" i="40" s="1"/>
  <c r="A162" i="40"/>
  <c r="A163" i="40"/>
  <c r="B163" i="40" s="1"/>
  <c r="J163" i="40" s="1"/>
  <c r="D163" i="40"/>
  <c r="E163" i="40"/>
  <c r="A164" i="40"/>
  <c r="D164" i="40" s="1"/>
  <c r="A165" i="40"/>
  <c r="A166" i="40"/>
  <c r="E166" i="40"/>
  <c r="A167" i="40"/>
  <c r="B167" i="40"/>
  <c r="L167" i="40" s="1"/>
  <c r="C167" i="40"/>
  <c r="D167" i="40"/>
  <c r="E167" i="40"/>
  <c r="A168" i="40"/>
  <c r="B168" i="40"/>
  <c r="H168" i="40" s="1"/>
  <c r="C168" i="40"/>
  <c r="D168" i="40"/>
  <c r="E168" i="40"/>
  <c r="A169" i="40"/>
  <c r="E169" i="40" s="1"/>
  <c r="A170" i="40"/>
  <c r="A171" i="40"/>
  <c r="B171" i="40" s="1"/>
  <c r="M171" i="40" s="1"/>
  <c r="C171" i="40"/>
  <c r="A172" i="40"/>
  <c r="B172" i="40" s="1"/>
  <c r="F172" i="40" s="1"/>
  <c r="A173" i="40"/>
  <c r="A174" i="40"/>
  <c r="C174" i="40" s="1"/>
  <c r="B174" i="40"/>
  <c r="F174" i="40" s="1"/>
  <c r="D174" i="40"/>
  <c r="E174" i="40"/>
  <c r="A175" i="40"/>
  <c r="C175" i="40" s="1"/>
  <c r="B175" i="40"/>
  <c r="L175" i="40" s="1"/>
  <c r="A176" i="40"/>
  <c r="B176" i="40"/>
  <c r="I176" i="40" s="1"/>
  <c r="C176" i="40"/>
  <c r="D176" i="40"/>
  <c r="E176" i="40"/>
  <c r="A177" i="40"/>
  <c r="B177" i="40" s="1"/>
  <c r="A178" i="40"/>
  <c r="A179" i="40"/>
  <c r="B179" i="40" s="1"/>
  <c r="M179" i="40" s="1"/>
  <c r="D179" i="40"/>
  <c r="E179" i="40"/>
  <c r="A180" i="40"/>
  <c r="C180" i="40" s="1"/>
  <c r="A181" i="40"/>
  <c r="A182" i="40"/>
  <c r="B182" i="40" s="1"/>
  <c r="M182" i="40" s="1"/>
  <c r="D182" i="40"/>
  <c r="E182" i="40"/>
  <c r="A183" i="40"/>
  <c r="B183" i="40" s="1"/>
  <c r="P183" i="40" s="1"/>
  <c r="C183" i="40"/>
  <c r="E183" i="40"/>
  <c r="A184" i="40"/>
  <c r="A185" i="40"/>
  <c r="C185" i="40"/>
  <c r="A186" i="40"/>
  <c r="D186" i="40" s="1"/>
  <c r="A187" i="40"/>
  <c r="E187" i="40" s="1"/>
  <c r="A188" i="40"/>
  <c r="B188" i="40"/>
  <c r="A189" i="40"/>
  <c r="A190" i="40"/>
  <c r="B190" i="40"/>
  <c r="I190" i="40" s="1"/>
  <c r="A191" i="40"/>
  <c r="C191" i="40" s="1"/>
  <c r="A192" i="40"/>
  <c r="A193" i="40"/>
  <c r="B193" i="40"/>
  <c r="L193" i="40" s="1"/>
  <c r="C193" i="40"/>
  <c r="D193" i="40"/>
  <c r="E193" i="40"/>
  <c r="A194" i="40"/>
  <c r="C194" i="40" s="1"/>
  <c r="B194" i="40"/>
  <c r="J194" i="40" s="1"/>
  <c r="D194" i="40"/>
  <c r="E194" i="40"/>
  <c r="A195" i="40"/>
  <c r="B195" i="40" s="1"/>
  <c r="H195" i="40" s="1"/>
  <c r="A196" i="40"/>
  <c r="B196" i="40"/>
  <c r="I196" i="40" s="1"/>
  <c r="A197" i="40"/>
  <c r="D197" i="40" s="1"/>
  <c r="C197" i="40"/>
  <c r="A198" i="40"/>
  <c r="B198" i="40" s="1"/>
  <c r="A199" i="40"/>
  <c r="C199" i="40"/>
  <c r="A200" i="40"/>
  <c r="E200" i="40" s="1"/>
  <c r="B200" i="40"/>
  <c r="O200" i="40" s="1"/>
  <c r="C200" i="40"/>
  <c r="D200" i="40"/>
  <c r="A201" i="40"/>
  <c r="C201" i="40" s="1"/>
  <c r="B201" i="40"/>
  <c r="I201" i="40" s="1"/>
  <c r="A202" i="40"/>
  <c r="C202" i="40" s="1"/>
  <c r="A203" i="40"/>
  <c r="B203" i="40"/>
  <c r="G203" i="40" s="1"/>
  <c r="C203" i="40"/>
  <c r="D203" i="40"/>
  <c r="E203" i="40"/>
  <c r="A204" i="40"/>
  <c r="A205" i="40"/>
  <c r="D205" i="40" s="1"/>
  <c r="A206" i="40"/>
  <c r="B206" i="40"/>
  <c r="F206" i="40" s="1"/>
  <c r="C206" i="40"/>
  <c r="A207" i="40"/>
  <c r="C207" i="40"/>
  <c r="D207" i="40"/>
  <c r="A208" i="40"/>
  <c r="A209" i="40"/>
  <c r="B209" i="40" s="1"/>
  <c r="F209" i="40" s="1"/>
  <c r="A210" i="40"/>
  <c r="C210" i="40" s="1"/>
  <c r="A211" i="40"/>
  <c r="A212" i="40"/>
  <c r="B212" i="40"/>
  <c r="G212" i="40" s="1"/>
  <c r="A213" i="40"/>
  <c r="D213" i="40" s="1"/>
  <c r="C213" i="40"/>
  <c r="E213" i="40"/>
  <c r="A214" i="40"/>
  <c r="B214" i="40" s="1"/>
  <c r="H214" i="40" s="1"/>
  <c r="A215" i="40"/>
  <c r="C215" i="40" s="1"/>
  <c r="A216" i="40"/>
  <c r="E216" i="40" s="1"/>
  <c r="B216" i="40"/>
  <c r="C216" i="40"/>
  <c r="D216" i="40"/>
  <c r="A217" i="40"/>
  <c r="C217" i="40" s="1"/>
  <c r="B217" i="40"/>
  <c r="A218" i="40"/>
  <c r="C218" i="40" s="1"/>
  <c r="E218" i="40"/>
  <c r="A219" i="40"/>
  <c r="B219" i="40"/>
  <c r="H219" i="40" s="1"/>
  <c r="C219" i="40"/>
  <c r="D219" i="40"/>
  <c r="E219" i="40"/>
  <c r="A220" i="40"/>
  <c r="B220" i="40"/>
  <c r="L220" i="40" s="1"/>
  <c r="C220" i="40"/>
  <c r="D220" i="40"/>
  <c r="E220" i="40"/>
  <c r="A221" i="40"/>
  <c r="D221" i="40" s="1"/>
  <c r="E221" i="40"/>
  <c r="A222" i="40"/>
  <c r="A223" i="40"/>
  <c r="C223" i="40" s="1"/>
  <c r="A224" i="40"/>
  <c r="D224" i="40"/>
  <c r="A225" i="40"/>
  <c r="E225" i="40" s="1"/>
  <c r="B225" i="40"/>
  <c r="G225" i="40" s="1"/>
  <c r="C225" i="40"/>
  <c r="D225" i="40"/>
  <c r="A226" i="40"/>
  <c r="B226" i="40" s="1"/>
  <c r="G226" i="40" s="1"/>
  <c r="A227" i="40"/>
  <c r="B227" i="40"/>
  <c r="N227" i="40" s="1"/>
  <c r="E227" i="40"/>
  <c r="A228" i="40"/>
  <c r="B228" i="40" s="1"/>
  <c r="H228" i="40" s="1"/>
  <c r="A229" i="40"/>
  <c r="B229" i="40"/>
  <c r="I229" i="40" s="1"/>
  <c r="C229" i="40"/>
  <c r="D229" i="40"/>
  <c r="E229" i="40"/>
  <c r="A230" i="40"/>
  <c r="A231" i="40"/>
  <c r="E231" i="40" s="1"/>
  <c r="B231" i="40"/>
  <c r="K231" i="40" s="1"/>
  <c r="C231" i="40"/>
  <c r="D231" i="40"/>
  <c r="A232" i="40"/>
  <c r="E232" i="40" s="1"/>
  <c r="A233" i="40"/>
  <c r="E233" i="40" s="1"/>
  <c r="B233" i="40"/>
  <c r="K233" i="40" s="1"/>
  <c r="C233" i="40"/>
  <c r="D233" i="40"/>
  <c r="A234" i="40"/>
  <c r="B234" i="40" s="1"/>
  <c r="A235" i="40"/>
  <c r="E235" i="40" s="1"/>
  <c r="B235" i="40"/>
  <c r="A236" i="40"/>
  <c r="E236" i="40" s="1"/>
  <c r="C236" i="40"/>
  <c r="A237" i="40"/>
  <c r="E237" i="40" s="1"/>
  <c r="A238" i="40"/>
  <c r="A239" i="40"/>
  <c r="B239" i="40" s="1"/>
  <c r="A240" i="40"/>
  <c r="A241" i="40"/>
  <c r="B241" i="40" s="1"/>
  <c r="A242" i="40"/>
  <c r="B242" i="40"/>
  <c r="J242" i="40" s="1"/>
  <c r="C242" i="40"/>
  <c r="D242" i="40"/>
  <c r="E242" i="40"/>
  <c r="A243" i="40"/>
  <c r="A244" i="40"/>
  <c r="B244" i="40"/>
  <c r="K244" i="40" s="1"/>
  <c r="A245" i="40"/>
  <c r="B245" i="40"/>
  <c r="G245" i="40" s="1"/>
  <c r="C245" i="40"/>
  <c r="D245" i="40"/>
  <c r="E245" i="40"/>
  <c r="A246" i="40"/>
  <c r="B246" i="40"/>
  <c r="L246" i="40" s="1"/>
  <c r="C246" i="40"/>
  <c r="A247" i="40"/>
  <c r="E247" i="40" s="1"/>
  <c r="A248" i="40"/>
  <c r="A249" i="40"/>
  <c r="E249" i="40" s="1"/>
  <c r="A250" i="40"/>
  <c r="A251" i="40"/>
  <c r="B251" i="40"/>
  <c r="A252" i="40"/>
  <c r="B252" i="40" s="1"/>
  <c r="P252" i="40" s="1"/>
  <c r="A253" i="40"/>
  <c r="E253" i="40"/>
  <c r="A254" i="40"/>
  <c r="B254" i="40" s="1"/>
  <c r="H254" i="40" s="1"/>
  <c r="A255" i="40"/>
  <c r="C255" i="40" s="1"/>
  <c r="A256" i="40"/>
  <c r="B256" i="40" s="1"/>
  <c r="I256" i="40" s="1"/>
  <c r="C256" i="40"/>
  <c r="D256" i="40"/>
  <c r="E256" i="40"/>
  <c r="A257" i="40"/>
  <c r="B257" i="40" s="1"/>
  <c r="A258" i="40"/>
  <c r="D258" i="40" s="1"/>
  <c r="A259" i="40"/>
  <c r="C259" i="40" s="1"/>
  <c r="B259" i="40"/>
  <c r="J259" i="40" s="1"/>
  <c r="D259" i="40"/>
  <c r="E259" i="40"/>
  <c r="A260" i="40"/>
  <c r="B260" i="40"/>
  <c r="J260" i="40" s="1"/>
  <c r="C260" i="40"/>
  <c r="A261" i="40"/>
  <c r="B261" i="40"/>
  <c r="H261" i="40" s="1"/>
  <c r="C261" i="40"/>
  <c r="D261" i="40"/>
  <c r="E261" i="40"/>
  <c r="A262" i="40"/>
  <c r="C262" i="40"/>
  <c r="A263" i="40"/>
  <c r="E263" i="40" s="1"/>
  <c r="A264" i="40"/>
  <c r="E264" i="40"/>
  <c r="A265" i="40"/>
  <c r="E265" i="40" s="1"/>
  <c r="B265" i="40"/>
  <c r="G265" i="40" s="1"/>
  <c r="C265" i="40"/>
  <c r="D265" i="40"/>
  <c r="A266" i="40"/>
  <c r="B266" i="40" s="1"/>
  <c r="C266" i="40"/>
  <c r="D266" i="40"/>
  <c r="E266" i="40"/>
  <c r="A267" i="40"/>
  <c r="A268" i="40"/>
  <c r="C268" i="40" s="1"/>
  <c r="A269" i="40"/>
  <c r="B269" i="40"/>
  <c r="N269" i="40" s="1"/>
  <c r="C269" i="40"/>
  <c r="D269" i="40"/>
  <c r="E269" i="40"/>
  <c r="A270" i="40"/>
  <c r="B270" i="40" s="1"/>
  <c r="O270" i="40" s="1"/>
  <c r="A271" i="40"/>
  <c r="B271" i="40" s="1"/>
  <c r="N271" i="40" s="1"/>
  <c r="C271" i="40"/>
  <c r="D271" i="40"/>
  <c r="E271" i="40"/>
  <c r="A272" i="40"/>
  <c r="B272" i="40" s="1"/>
  <c r="A273" i="40"/>
  <c r="B273" i="40"/>
  <c r="L273" i="40" s="1"/>
  <c r="C273" i="40"/>
  <c r="A274" i="40"/>
  <c r="D274" i="40"/>
  <c r="E274" i="40"/>
  <c r="A275" i="40"/>
  <c r="C275" i="40" s="1"/>
  <c r="A276" i="40"/>
  <c r="E276" i="40" s="1"/>
  <c r="B276" i="40"/>
  <c r="M276" i="40" s="1"/>
  <c r="A277" i="40"/>
  <c r="E277" i="40" s="1"/>
  <c r="A278" i="40"/>
  <c r="D278" i="40" s="1"/>
  <c r="C278" i="40"/>
  <c r="A279" i="40"/>
  <c r="A280" i="40"/>
  <c r="E280" i="40"/>
  <c r="A281" i="40"/>
  <c r="B281" i="40" s="1"/>
  <c r="G281" i="40" s="1"/>
  <c r="C281" i="40"/>
  <c r="A282" i="40"/>
  <c r="E282" i="40" s="1"/>
  <c r="B282" i="40"/>
  <c r="J282" i="40" s="1"/>
  <c r="C282" i="40"/>
  <c r="A283" i="40"/>
  <c r="B283" i="40"/>
  <c r="F283" i="40" s="1"/>
  <c r="A284" i="40"/>
  <c r="C284" i="40" s="1"/>
  <c r="A285" i="40"/>
  <c r="B285" i="40"/>
  <c r="M285" i="40" s="1"/>
  <c r="C285" i="40"/>
  <c r="D285" i="40"/>
  <c r="E285" i="40"/>
  <c r="A286" i="40"/>
  <c r="B286" i="40" s="1"/>
  <c r="A287" i="40"/>
  <c r="B287" i="40" s="1"/>
  <c r="N287" i="40" s="1"/>
  <c r="C287" i="40"/>
  <c r="D287" i="40"/>
  <c r="E287" i="40"/>
  <c r="A288" i="40"/>
  <c r="B288" i="40" s="1"/>
  <c r="F288" i="40" s="1"/>
  <c r="A289" i="40"/>
  <c r="B289" i="40" s="1"/>
  <c r="C289" i="40"/>
  <c r="A290" i="40"/>
  <c r="D290" i="40" s="1"/>
  <c r="A291" i="40"/>
  <c r="C291" i="40" s="1"/>
  <c r="B291" i="40"/>
  <c r="P291" i="40" s="1"/>
  <c r="D291" i="40"/>
  <c r="A292" i="40"/>
  <c r="A293" i="40"/>
  <c r="B293" i="40" s="1"/>
  <c r="M293" i="40" s="1"/>
  <c r="C293" i="40"/>
  <c r="D293" i="40"/>
  <c r="E293" i="40"/>
  <c r="A294" i="40"/>
  <c r="D294" i="40" s="1"/>
  <c r="B294" i="40"/>
  <c r="H294" i="40" s="1"/>
  <c r="C294" i="40"/>
  <c r="E294" i="40"/>
  <c r="A295" i="40"/>
  <c r="E295" i="40" s="1"/>
  <c r="B295" i="40"/>
  <c r="I295" i="40" s="1"/>
  <c r="C295" i="40"/>
  <c r="D295" i="40"/>
  <c r="A296" i="40"/>
  <c r="C296" i="40"/>
  <c r="E296" i="40"/>
  <c r="A297" i="40"/>
  <c r="E297" i="40" s="1"/>
  <c r="C297" i="40"/>
  <c r="D297" i="40"/>
  <c r="A298" i="40"/>
  <c r="B298" i="40"/>
  <c r="O298" i="40" s="1"/>
  <c r="C298" i="40"/>
  <c r="D298" i="40"/>
  <c r="E298" i="40"/>
  <c r="A299" i="40"/>
  <c r="B299" i="40"/>
  <c r="O299" i="40" s="1"/>
  <c r="D299" i="40"/>
  <c r="A300" i="40"/>
  <c r="B300" i="40" s="1"/>
  <c r="O300" i="40" s="1"/>
  <c r="C300" i="40"/>
  <c r="D300" i="40"/>
  <c r="E300" i="40"/>
  <c r="A301" i="40"/>
  <c r="E301" i="40" s="1"/>
  <c r="C301" i="40"/>
  <c r="D301" i="40"/>
  <c r="A302" i="40"/>
  <c r="B302" i="40"/>
  <c r="F302" i="40" s="1"/>
  <c r="C302" i="40"/>
  <c r="A303" i="40"/>
  <c r="B303" i="40" s="1"/>
  <c r="N303" i="40" s="1"/>
  <c r="A304" i="40"/>
  <c r="A305" i="40"/>
  <c r="E305" i="40" s="1"/>
  <c r="B305" i="40"/>
  <c r="C305" i="40"/>
  <c r="A306" i="40"/>
  <c r="E306" i="40" s="1"/>
  <c r="B306" i="40"/>
  <c r="L306" i="40" s="1"/>
  <c r="C306" i="40"/>
  <c r="A307" i="40"/>
  <c r="C307" i="40" s="1"/>
  <c r="E307" i="40"/>
  <c r="A308" i="40"/>
  <c r="B308" i="40"/>
  <c r="J308" i="40" s="1"/>
  <c r="C308" i="40"/>
  <c r="D308" i="40"/>
  <c r="E308" i="40"/>
  <c r="A309" i="40"/>
  <c r="E309" i="40" s="1"/>
  <c r="A310" i="40"/>
  <c r="D310" i="40" s="1"/>
  <c r="E310" i="40"/>
  <c r="A311" i="40"/>
  <c r="B311" i="40" s="1"/>
  <c r="P311" i="40" s="1"/>
  <c r="A312" i="40"/>
  <c r="B312" i="40" s="1"/>
  <c r="J312" i="40" s="1"/>
  <c r="C312" i="40"/>
  <c r="D312" i="40"/>
  <c r="A313" i="40"/>
  <c r="E313" i="40" s="1"/>
  <c r="A314" i="40"/>
  <c r="A315" i="40"/>
  <c r="C315" i="40" s="1"/>
  <c r="B315" i="40"/>
  <c r="N315" i="40" s="1"/>
  <c r="D315" i="40"/>
  <c r="A316" i="40"/>
  <c r="A317" i="40"/>
  <c r="B317" i="40"/>
  <c r="F317" i="40" s="1"/>
  <c r="C317" i="40"/>
  <c r="D317" i="40"/>
  <c r="E317" i="40"/>
  <c r="A318" i="40"/>
  <c r="B318" i="40" s="1"/>
  <c r="L318" i="40" s="1"/>
  <c r="A319" i="40"/>
  <c r="C319" i="40" s="1"/>
  <c r="A320" i="40"/>
  <c r="E320" i="40" s="1"/>
  <c r="C320" i="40"/>
  <c r="D320" i="40"/>
  <c r="A321" i="40"/>
  <c r="A322" i="40"/>
  <c r="D322" i="40" s="1"/>
  <c r="A323" i="40"/>
  <c r="A324" i="40"/>
  <c r="B324" i="40" s="1"/>
  <c r="D324" i="40"/>
  <c r="E324" i="40"/>
  <c r="A325" i="40"/>
  <c r="E325" i="40" s="1"/>
  <c r="A326" i="40"/>
  <c r="B326" i="40"/>
  <c r="N326" i="40" s="1"/>
  <c r="C326" i="40"/>
  <c r="D326" i="40"/>
  <c r="E326" i="40"/>
  <c r="A327" i="40"/>
  <c r="C327" i="40" s="1"/>
  <c r="A328" i="40"/>
  <c r="B328" i="40"/>
  <c r="L328" i="40" s="1"/>
  <c r="A329" i="40"/>
  <c r="B329" i="40" s="1"/>
  <c r="D329" i="40"/>
  <c r="E329" i="40"/>
  <c r="A330" i="40"/>
  <c r="D330" i="40" s="1"/>
  <c r="B330" i="40"/>
  <c r="L330" i="40" s="1"/>
  <c r="A331" i="40"/>
  <c r="B331" i="40"/>
  <c r="G331" i="40" s="1"/>
  <c r="C331" i="40"/>
  <c r="D331" i="40"/>
  <c r="E331" i="40"/>
  <c r="A332" i="40"/>
  <c r="B332" i="40" s="1"/>
  <c r="D332" i="40"/>
  <c r="E332" i="40"/>
  <c r="A333" i="40"/>
  <c r="E333" i="40" s="1"/>
  <c r="B333" i="40"/>
  <c r="M333" i="40" s="1"/>
  <c r="C333" i="40"/>
  <c r="A334" i="40"/>
  <c r="B334" i="40"/>
  <c r="H334" i="40" s="1"/>
  <c r="C334" i="40"/>
  <c r="D334" i="40"/>
  <c r="E334" i="40"/>
  <c r="A335" i="40"/>
  <c r="C335" i="40" s="1"/>
  <c r="A336" i="40"/>
  <c r="E336" i="40" s="1"/>
  <c r="B336" i="40"/>
  <c r="F336" i="40" s="1"/>
  <c r="C336" i="40"/>
  <c r="D336" i="40"/>
  <c r="A337" i="40"/>
  <c r="C337" i="40"/>
  <c r="D337" i="40"/>
  <c r="A338" i="40"/>
  <c r="D338" i="40" s="1"/>
  <c r="B338" i="40"/>
  <c r="L338" i="40" s="1"/>
  <c r="A339" i="40"/>
  <c r="B339" i="40" s="1"/>
  <c r="C339" i="40"/>
  <c r="D339" i="40"/>
  <c r="E339" i="40"/>
  <c r="A340" i="40"/>
  <c r="B340" i="40" s="1"/>
  <c r="D340" i="40"/>
  <c r="E340" i="40"/>
  <c r="A341" i="40"/>
  <c r="E341" i="40" s="1"/>
  <c r="C341" i="40"/>
  <c r="B337" i="40" l="1"/>
  <c r="E337" i="40"/>
  <c r="C325" i="40"/>
  <c r="D323" i="40"/>
  <c r="E323" i="40"/>
  <c r="E288" i="40"/>
  <c r="E328" i="40"/>
  <c r="C328" i="40"/>
  <c r="D328" i="40"/>
  <c r="B325" i="40"/>
  <c r="B322" i="40"/>
  <c r="L322" i="40" s="1"/>
  <c r="E315" i="40"/>
  <c r="E291" i="40"/>
  <c r="D288" i="40"/>
  <c r="D252" i="40"/>
  <c r="B249" i="40"/>
  <c r="M249" i="40" s="1"/>
  <c r="C226" i="40"/>
  <c r="B224" i="40"/>
  <c r="M224" i="40" s="1"/>
  <c r="E224" i="40"/>
  <c r="E212" i="40"/>
  <c r="D212" i="40"/>
  <c r="D196" i="40"/>
  <c r="E196" i="40"/>
  <c r="C196" i="40"/>
  <c r="C184" i="40"/>
  <c r="B184" i="40"/>
  <c r="P184" i="40" s="1"/>
  <c r="D180" i="40"/>
  <c r="D318" i="40"/>
  <c r="C318" i="40"/>
  <c r="E318" i="40"/>
  <c r="C288" i="40"/>
  <c r="E279" i="40"/>
  <c r="D279" i="40"/>
  <c r="B279" i="40"/>
  <c r="K279" i="40" s="1"/>
  <c r="C279" i="40"/>
  <c r="E275" i="40"/>
  <c r="C252" i="40"/>
  <c r="C237" i="40"/>
  <c r="D237" i="40"/>
  <c r="B237" i="40"/>
  <c r="P237" i="40" s="1"/>
  <c r="E234" i="40"/>
  <c r="D234" i="40"/>
  <c r="B215" i="40"/>
  <c r="J215" i="40" s="1"/>
  <c r="E215" i="40"/>
  <c r="D215" i="40"/>
  <c r="D177" i="40"/>
  <c r="E177" i="40"/>
  <c r="C170" i="40"/>
  <c r="D170" i="40"/>
  <c r="E170" i="40"/>
  <c r="B170" i="40"/>
  <c r="L170" i="40" s="1"/>
  <c r="E164" i="40"/>
  <c r="B164" i="40"/>
  <c r="O164" i="40" s="1"/>
  <c r="C164" i="40"/>
  <c r="B155" i="40"/>
  <c r="K155" i="40" s="1"/>
  <c r="D155" i="40"/>
  <c r="E155" i="40"/>
  <c r="C155" i="40"/>
  <c r="B321" i="40"/>
  <c r="C321" i="40"/>
  <c r="D321" i="40"/>
  <c r="E321" i="40"/>
  <c r="B255" i="40"/>
  <c r="L255" i="40" s="1"/>
  <c r="E255" i="40"/>
  <c r="D255" i="40"/>
  <c r="C228" i="40"/>
  <c r="E226" i="40"/>
  <c r="D226" i="40"/>
  <c r="B154" i="40"/>
  <c r="I154" i="40" s="1"/>
  <c r="C154" i="40"/>
  <c r="B278" i="40"/>
  <c r="G278" i="40" s="1"/>
  <c r="C257" i="40"/>
  <c r="B236" i="40"/>
  <c r="C222" i="40"/>
  <c r="D222" i="40"/>
  <c r="E222" i="40"/>
  <c r="B222" i="40"/>
  <c r="L222" i="40" s="1"/>
  <c r="E206" i="40"/>
  <c r="D206" i="40"/>
  <c r="B199" i="40"/>
  <c r="J199" i="40" s="1"/>
  <c r="E199" i="40"/>
  <c r="D199" i="40"/>
  <c r="D188" i="40"/>
  <c r="E188" i="40"/>
  <c r="C188" i="40"/>
  <c r="B304" i="40"/>
  <c r="K304" i="40" s="1"/>
  <c r="D304" i="40"/>
  <c r="C304" i="40"/>
  <c r="C230" i="40"/>
  <c r="B230" i="40"/>
  <c r="J230" i="40" s="1"/>
  <c r="E228" i="40"/>
  <c r="D228" i="40"/>
  <c r="D209" i="40"/>
  <c r="E209" i="40"/>
  <c r="C209" i="40"/>
  <c r="B314" i="40"/>
  <c r="F314" i="40" s="1"/>
  <c r="E314" i="40"/>
  <c r="C314" i="40"/>
  <c r="D314" i="40"/>
  <c r="B341" i="40"/>
  <c r="P341" i="40" s="1"/>
  <c r="C329" i="40"/>
  <c r="C323" i="40"/>
  <c r="B320" i="40"/>
  <c r="K320" i="40" s="1"/>
  <c r="D303" i="40"/>
  <c r="B301" i="40"/>
  <c r="H301" i="40" s="1"/>
  <c r="B297" i="40"/>
  <c r="D268" i="40"/>
  <c r="D262" i="40"/>
  <c r="E262" i="40"/>
  <c r="E260" i="40"/>
  <c r="D260" i="40"/>
  <c r="B250" i="40"/>
  <c r="I250" i="40" s="1"/>
  <c r="E250" i="40"/>
  <c r="C204" i="40"/>
  <c r="D204" i="40"/>
  <c r="E204" i="40"/>
  <c r="B204" i="40"/>
  <c r="H204" i="40" s="1"/>
  <c r="B173" i="40"/>
  <c r="O173" i="40" s="1"/>
  <c r="E173" i="40"/>
  <c r="C173" i="40"/>
  <c r="B147" i="40"/>
  <c r="F147" i="40" s="1"/>
  <c r="C147" i="40"/>
  <c r="D147" i="40"/>
  <c r="E311" i="40"/>
  <c r="C311" i="40"/>
  <c r="D311" i="40"/>
  <c r="B323" i="40"/>
  <c r="G323" i="40" s="1"/>
  <c r="D309" i="40"/>
  <c r="B309" i="40"/>
  <c r="I309" i="40" s="1"/>
  <c r="C309" i="40"/>
  <c r="C303" i="40"/>
  <c r="B284" i="40"/>
  <c r="G284" i="40" s="1"/>
  <c r="E284" i="40"/>
  <c r="D284" i="40"/>
  <c r="E281" i="40"/>
  <c r="D281" i="40"/>
  <c r="D277" i="40"/>
  <c r="B277" i="40"/>
  <c r="I277" i="40" s="1"/>
  <c r="C277" i="40"/>
  <c r="C253" i="40"/>
  <c r="B253" i="40"/>
  <c r="N253" i="40" s="1"/>
  <c r="D253" i="40"/>
  <c r="D249" i="40"/>
  <c r="D246" i="40"/>
  <c r="E246" i="40"/>
  <c r="D232" i="40"/>
  <c r="C212" i="40"/>
  <c r="B191" i="40"/>
  <c r="K191" i="40" s="1"/>
  <c r="E191" i="40"/>
  <c r="D191" i="40"/>
  <c r="D316" i="40"/>
  <c r="B316" i="40"/>
  <c r="K316" i="40" s="1"/>
  <c r="E292" i="40"/>
  <c r="D292" i="40"/>
  <c r="B292" i="40"/>
  <c r="H292" i="40" s="1"/>
  <c r="C292" i="40"/>
  <c r="B268" i="40"/>
  <c r="P268" i="40" s="1"/>
  <c r="E268" i="40"/>
  <c r="E252" i="40"/>
  <c r="C249" i="40"/>
  <c r="C234" i="40"/>
  <c r="C177" i="40"/>
  <c r="B157" i="40"/>
  <c r="J157" i="40" s="1"/>
  <c r="C157" i="40"/>
  <c r="C152" i="40"/>
  <c r="D144" i="40"/>
  <c r="E130" i="40"/>
  <c r="B128" i="40"/>
  <c r="I128" i="40" s="1"/>
  <c r="C122" i="40"/>
  <c r="E119" i="40"/>
  <c r="D116" i="40"/>
  <c r="D113" i="40"/>
  <c r="D110" i="40"/>
  <c r="B105" i="40"/>
  <c r="I105" i="40" s="1"/>
  <c r="D103" i="40"/>
  <c r="B101" i="40"/>
  <c r="H101" i="40" s="1"/>
  <c r="E96" i="40"/>
  <c r="C94" i="40"/>
  <c r="E92" i="40"/>
  <c r="E90" i="40"/>
  <c r="C84" i="40"/>
  <c r="B77" i="40"/>
  <c r="P77" i="40" s="1"/>
  <c r="D75" i="40"/>
  <c r="B73" i="40"/>
  <c r="J73" i="40" s="1"/>
  <c r="E68" i="40"/>
  <c r="C63" i="40"/>
  <c r="D60" i="40"/>
  <c r="E57" i="40"/>
  <c r="D124" i="40"/>
  <c r="D119" i="40"/>
  <c r="B144" i="40"/>
  <c r="F144" i="40" s="1"/>
  <c r="C130" i="40"/>
  <c r="C124" i="40"/>
  <c r="C119" i="40"/>
  <c r="B113" i="40"/>
  <c r="M113" i="40" s="1"/>
  <c r="B110" i="40"/>
  <c r="N110" i="40" s="1"/>
  <c r="B103" i="40"/>
  <c r="M103" i="40" s="1"/>
  <c r="C90" i="40"/>
  <c r="B75" i="40"/>
  <c r="K75" i="40" s="1"/>
  <c r="C68" i="40"/>
  <c r="E62" i="40"/>
  <c r="B60" i="40"/>
  <c r="H60" i="40" s="1"/>
  <c r="C57" i="40"/>
  <c r="B124" i="40"/>
  <c r="G124" i="40" s="1"/>
  <c r="E71" i="40"/>
  <c r="E128" i="40"/>
  <c r="E101" i="40"/>
  <c r="E152" i="40"/>
  <c r="D128" i="40"/>
  <c r="E122" i="40"/>
  <c r="D101" i="40"/>
  <c r="E84" i="40"/>
  <c r="E73" i="40"/>
  <c r="E63" i="40"/>
  <c r="E116" i="40"/>
  <c r="E94" i="40"/>
  <c r="D73" i="40"/>
  <c r="D63" i="40"/>
  <c r="B166" i="40"/>
  <c r="I166" i="40" s="1"/>
  <c r="E134" i="40"/>
  <c r="I157" i="40"/>
  <c r="E102" i="40"/>
  <c r="G134" i="40"/>
  <c r="M170" i="40"/>
  <c r="F170" i="40"/>
  <c r="O256" i="40"/>
  <c r="P246" i="40"/>
  <c r="H91" i="40"/>
  <c r="K84" i="40"/>
  <c r="P163" i="40"/>
  <c r="O163" i="40"/>
  <c r="M84" i="40"/>
  <c r="L63" i="40"/>
  <c r="K170" i="40"/>
  <c r="M277" i="40"/>
  <c r="L84" i="40"/>
  <c r="P116" i="40"/>
  <c r="F270" i="40"/>
  <c r="N84" i="40"/>
  <c r="N63" i="40"/>
  <c r="K63" i="40"/>
  <c r="H63" i="40"/>
  <c r="G252" i="40"/>
  <c r="O246" i="40"/>
  <c r="M246" i="40"/>
  <c r="O176" i="40"/>
  <c r="D71" i="40"/>
  <c r="G63" i="40"/>
  <c r="J92" i="40"/>
  <c r="C71" i="40"/>
  <c r="F63" i="40"/>
  <c r="H92" i="40"/>
  <c r="M303" i="40"/>
  <c r="M301" i="40"/>
  <c r="M300" i="40"/>
  <c r="G294" i="40"/>
  <c r="P259" i="40"/>
  <c r="N104" i="40"/>
  <c r="J91" i="40"/>
  <c r="K90" i="40"/>
  <c r="O84" i="40"/>
  <c r="O259" i="40"/>
  <c r="K277" i="40"/>
  <c r="N246" i="40"/>
  <c r="P245" i="40"/>
  <c r="J277" i="40"/>
  <c r="M245" i="40"/>
  <c r="F299" i="40"/>
  <c r="N295" i="40"/>
  <c r="P294" i="40"/>
  <c r="P293" i="40"/>
  <c r="H277" i="40"/>
  <c r="K246" i="40"/>
  <c r="L245" i="40"/>
  <c r="L229" i="40"/>
  <c r="P215" i="40"/>
  <c r="N200" i="40"/>
  <c r="N176" i="40"/>
  <c r="I174" i="40"/>
  <c r="H84" i="40"/>
  <c r="E55" i="40"/>
  <c r="P300" i="40"/>
  <c r="M295" i="40"/>
  <c r="O294" i="40"/>
  <c r="G277" i="40"/>
  <c r="F246" i="40"/>
  <c r="K245" i="40"/>
  <c r="F229" i="40"/>
  <c r="K219" i="40"/>
  <c r="O215" i="40"/>
  <c r="L200" i="40"/>
  <c r="O193" i="40"/>
  <c r="O90" i="40"/>
  <c r="G84" i="40"/>
  <c r="P63" i="40"/>
  <c r="D55" i="40"/>
  <c r="O317" i="40"/>
  <c r="N301" i="40"/>
  <c r="H295" i="40"/>
  <c r="N294" i="40"/>
  <c r="N215" i="40"/>
  <c r="K200" i="40"/>
  <c r="M91" i="40"/>
  <c r="M90" i="40"/>
  <c r="P84" i="40"/>
  <c r="F84" i="40"/>
  <c r="P317" i="40"/>
  <c r="K184" i="40"/>
  <c r="N206" i="40"/>
  <c r="P271" i="40"/>
  <c r="M206" i="40"/>
  <c r="H317" i="40"/>
  <c r="N282" i="40"/>
  <c r="L271" i="40"/>
  <c r="P265" i="40"/>
  <c r="K229" i="40"/>
  <c r="N222" i="40"/>
  <c r="P219" i="40"/>
  <c r="O147" i="40"/>
  <c r="M139" i="40"/>
  <c r="P134" i="40"/>
  <c r="J104" i="40"/>
  <c r="O63" i="40"/>
  <c r="N60" i="40"/>
  <c r="L317" i="40"/>
  <c r="G317" i="40"/>
  <c r="O302" i="40"/>
  <c r="I271" i="40"/>
  <c r="N265" i="40"/>
  <c r="I252" i="40"/>
  <c r="J229" i="40"/>
  <c r="K222" i="40"/>
  <c r="O219" i="40"/>
  <c r="N147" i="40"/>
  <c r="L139" i="40"/>
  <c r="O134" i="40"/>
  <c r="H104" i="40"/>
  <c r="O103" i="40"/>
  <c r="J84" i="40"/>
  <c r="P76" i="40"/>
  <c r="L75" i="40"/>
  <c r="K317" i="40"/>
  <c r="H271" i="40"/>
  <c r="F265" i="40"/>
  <c r="H252" i="40"/>
  <c r="H229" i="40"/>
  <c r="F222" i="40"/>
  <c r="J220" i="40"/>
  <c r="L219" i="40"/>
  <c r="K139" i="40"/>
  <c r="N134" i="40"/>
  <c r="G104" i="40"/>
  <c r="P308" i="40"/>
  <c r="M147" i="40"/>
  <c r="L68" i="40"/>
  <c r="P64" i="40"/>
  <c r="L285" i="40"/>
  <c r="J168" i="40"/>
  <c r="M160" i="40"/>
  <c r="O116" i="40"/>
  <c r="L336" i="40"/>
  <c r="M334" i="40"/>
  <c r="K323" i="40"/>
  <c r="L308" i="40"/>
  <c r="F294" i="40"/>
  <c r="K293" i="40"/>
  <c r="P287" i="40"/>
  <c r="H285" i="40"/>
  <c r="N281" i="40"/>
  <c r="M260" i="40"/>
  <c r="K254" i="40"/>
  <c r="O229" i="40"/>
  <c r="N226" i="40"/>
  <c r="K215" i="40"/>
  <c r="K214" i="40"/>
  <c r="M212" i="40"/>
  <c r="K209" i="40"/>
  <c r="M203" i="40"/>
  <c r="L201" i="40"/>
  <c r="M196" i="40"/>
  <c r="M193" i="40"/>
  <c r="L190" i="40"/>
  <c r="J184" i="40"/>
  <c r="J176" i="40"/>
  <c r="G168" i="40"/>
  <c r="J164" i="40"/>
  <c r="N163" i="40"/>
  <c r="G160" i="40"/>
  <c r="K147" i="40"/>
  <c r="K141" i="40"/>
  <c r="F134" i="40"/>
  <c r="N116" i="40"/>
  <c r="G93" i="40"/>
  <c r="G92" i="40"/>
  <c r="G68" i="40"/>
  <c r="J64" i="40"/>
  <c r="O55" i="40"/>
  <c r="O93" i="40"/>
  <c r="O308" i="40"/>
  <c r="N293" i="40"/>
  <c r="N334" i="40"/>
  <c r="M215" i="40"/>
  <c r="J68" i="40"/>
  <c r="O64" i="40"/>
  <c r="K336" i="40"/>
  <c r="L334" i="40"/>
  <c r="K333" i="40"/>
  <c r="K326" i="40"/>
  <c r="G308" i="40"/>
  <c r="G293" i="40"/>
  <c r="K281" i="40"/>
  <c r="J254" i="40"/>
  <c r="O237" i="40"/>
  <c r="N229" i="40"/>
  <c r="M226" i="40"/>
  <c r="P222" i="40"/>
  <c r="I215" i="40"/>
  <c r="H203" i="40"/>
  <c r="G196" i="40"/>
  <c r="K193" i="40"/>
  <c r="K190" i="40"/>
  <c r="I184" i="40"/>
  <c r="H176" i="40"/>
  <c r="H164" i="40"/>
  <c r="G147" i="40"/>
  <c r="N130" i="40"/>
  <c r="K116" i="40"/>
  <c r="N114" i="40"/>
  <c r="P106" i="40"/>
  <c r="F68" i="40"/>
  <c r="I64" i="40"/>
  <c r="K57" i="40"/>
  <c r="L168" i="40"/>
  <c r="N68" i="40"/>
  <c r="K168" i="40"/>
  <c r="N93" i="40"/>
  <c r="M308" i="40"/>
  <c r="N212" i="40"/>
  <c r="N193" i="40"/>
  <c r="L147" i="40"/>
  <c r="M93" i="40"/>
  <c r="K334" i="40"/>
  <c r="F326" i="40"/>
  <c r="F293" i="40"/>
  <c r="H281" i="40"/>
  <c r="H279" i="40"/>
  <c r="N277" i="40"/>
  <c r="M271" i="40"/>
  <c r="H270" i="40"/>
  <c r="O261" i="40"/>
  <c r="G254" i="40"/>
  <c r="G249" i="40"/>
  <c r="M229" i="40"/>
  <c r="L226" i="40"/>
  <c r="H215" i="40"/>
  <c r="F196" i="40"/>
  <c r="I193" i="40"/>
  <c r="H191" i="40"/>
  <c r="J190" i="40"/>
  <c r="N179" i="40"/>
  <c r="F176" i="40"/>
  <c r="O174" i="40"/>
  <c r="P170" i="40"/>
  <c r="L130" i="40"/>
  <c r="G116" i="40"/>
  <c r="G64" i="40"/>
  <c r="M176" i="40"/>
  <c r="O226" i="40"/>
  <c r="K176" i="40"/>
  <c r="F334" i="40"/>
  <c r="G270" i="40"/>
  <c r="G227" i="40"/>
  <c r="F215" i="40"/>
  <c r="G193" i="40"/>
  <c r="L174" i="40"/>
  <c r="N170" i="40"/>
  <c r="H130" i="40"/>
  <c r="F116" i="40"/>
  <c r="M104" i="40"/>
  <c r="G102" i="40"/>
  <c r="J85" i="40"/>
  <c r="F64" i="40"/>
  <c r="G297" i="40"/>
  <c r="N297" i="40"/>
  <c r="O297" i="40"/>
  <c r="O278" i="40"/>
  <c r="G339" i="40"/>
  <c r="K339" i="40"/>
  <c r="L339" i="40"/>
  <c r="L305" i="40"/>
  <c r="N305" i="40"/>
  <c r="M299" i="40"/>
  <c r="P299" i="40"/>
  <c r="P224" i="40"/>
  <c r="J261" i="40"/>
  <c r="P225" i="40"/>
  <c r="L212" i="40"/>
  <c r="N209" i="40"/>
  <c r="O209" i="40"/>
  <c r="G209" i="40"/>
  <c r="I209" i="40"/>
  <c r="L206" i="40"/>
  <c r="K201" i="40"/>
  <c r="J179" i="40"/>
  <c r="O179" i="40"/>
  <c r="F179" i="40"/>
  <c r="P179" i="40"/>
  <c r="G179" i="40"/>
  <c r="H179" i="40"/>
  <c r="I179" i="40"/>
  <c r="K179" i="40"/>
  <c r="H172" i="40"/>
  <c r="I172" i="40"/>
  <c r="J172" i="40"/>
  <c r="K172" i="40"/>
  <c r="I156" i="40"/>
  <c r="J156" i="40"/>
  <c r="K156" i="40"/>
  <c r="N113" i="40"/>
  <c r="H311" i="40"/>
  <c r="M311" i="40"/>
  <c r="N311" i="40"/>
  <c r="M331" i="40"/>
  <c r="F328" i="40"/>
  <c r="K328" i="40"/>
  <c r="L311" i="40"/>
  <c r="F311" i="40"/>
  <c r="L309" i="40"/>
  <c r="J292" i="40"/>
  <c r="I292" i="40"/>
  <c r="K261" i="40"/>
  <c r="I228" i="40"/>
  <c r="M228" i="40"/>
  <c r="P228" i="40"/>
  <c r="H105" i="40"/>
  <c r="N105" i="40"/>
  <c r="P105" i="40"/>
  <c r="M312" i="40"/>
  <c r="F297" i="40"/>
  <c r="M339" i="40"/>
  <c r="L320" i="40"/>
  <c r="K315" i="40"/>
  <c r="M315" i="40"/>
  <c r="L312" i="40"/>
  <c r="L281" i="40"/>
  <c r="F281" i="40"/>
  <c r="H251" i="40"/>
  <c r="G251" i="40"/>
  <c r="O227" i="40"/>
  <c r="O225" i="40"/>
  <c r="I214" i="40"/>
  <c r="J214" i="40"/>
  <c r="M209" i="40"/>
  <c r="J201" i="40"/>
  <c r="L142" i="40"/>
  <c r="M142" i="40"/>
  <c r="N142" i="40"/>
  <c r="O142" i="40"/>
  <c r="M325" i="40"/>
  <c r="K325" i="40"/>
  <c r="J298" i="40"/>
  <c r="M298" i="40"/>
  <c r="N298" i="40"/>
  <c r="L331" i="40"/>
  <c r="N255" i="40"/>
  <c r="P255" i="40"/>
  <c r="K331" i="40"/>
  <c r="P297" i="40"/>
  <c r="G220" i="40"/>
  <c r="H220" i="40"/>
  <c r="I110" i="40"/>
  <c r="J96" i="40"/>
  <c r="M96" i="40"/>
  <c r="N96" i="40"/>
  <c r="F96" i="40"/>
  <c r="O96" i="40"/>
  <c r="G96" i="40"/>
  <c r="P96" i="40"/>
  <c r="H96" i="40"/>
  <c r="I96" i="40"/>
  <c r="H326" i="40"/>
  <c r="L326" i="40"/>
  <c r="M326" i="40"/>
  <c r="I317" i="40"/>
  <c r="J317" i="40"/>
  <c r="M317" i="40"/>
  <c r="N317" i="40"/>
  <c r="O293" i="40"/>
  <c r="H293" i="40"/>
  <c r="J293" i="40"/>
  <c r="N285" i="40"/>
  <c r="J285" i="40"/>
  <c r="K285" i="40"/>
  <c r="F256" i="40"/>
  <c r="M256" i="40"/>
  <c r="N256" i="40"/>
  <c r="I245" i="40"/>
  <c r="N245" i="40"/>
  <c r="F245" i="40"/>
  <c r="O245" i="40"/>
  <c r="H245" i="40"/>
  <c r="J245" i="40"/>
  <c r="L228" i="40"/>
  <c r="K220" i="40"/>
  <c r="L209" i="40"/>
  <c r="J115" i="40"/>
  <c r="K115" i="40"/>
  <c r="L96" i="40"/>
  <c r="F58" i="40"/>
  <c r="M58" i="40"/>
  <c r="P58" i="40"/>
  <c r="N272" i="40"/>
  <c r="M272" i="40"/>
  <c r="M268" i="40"/>
  <c r="J237" i="40"/>
  <c r="H224" i="40"/>
  <c r="F224" i="40"/>
  <c r="G224" i="40"/>
  <c r="N224" i="40"/>
  <c r="O224" i="40"/>
  <c r="K136" i="40"/>
  <c r="L136" i="40"/>
  <c r="M136" i="40"/>
  <c r="N136" i="40"/>
  <c r="K96" i="40"/>
  <c r="J86" i="40"/>
  <c r="K86" i="40"/>
  <c r="L86" i="40"/>
  <c r="J76" i="40"/>
  <c r="G76" i="40"/>
  <c r="H76" i="40"/>
  <c r="M76" i="40"/>
  <c r="L76" i="40"/>
  <c r="L71" i="40"/>
  <c r="L291" i="40"/>
  <c r="O291" i="40"/>
  <c r="G283" i="40"/>
  <c r="G242" i="40"/>
  <c r="K242" i="40"/>
  <c r="L242" i="40"/>
  <c r="L204" i="40"/>
  <c r="K203" i="40"/>
  <c r="L203" i="40"/>
  <c r="O203" i="40"/>
  <c r="P203" i="40"/>
  <c r="H106" i="40"/>
  <c r="F106" i="40"/>
  <c r="L106" i="40"/>
  <c r="M106" i="40"/>
  <c r="I288" i="40"/>
  <c r="N288" i="40"/>
  <c r="O288" i="40"/>
  <c r="I261" i="40"/>
  <c r="M261" i="40"/>
  <c r="N261" i="40"/>
  <c r="F261" i="40"/>
  <c r="P261" i="40"/>
  <c r="G261" i="40"/>
  <c r="I244" i="40"/>
  <c r="J244" i="40"/>
  <c r="L244" i="40"/>
  <c r="P227" i="40"/>
  <c r="F227" i="40"/>
  <c r="I225" i="40"/>
  <c r="H225" i="40"/>
  <c r="L225" i="40"/>
  <c r="I212" i="40"/>
  <c r="O212" i="40"/>
  <c r="F212" i="40"/>
  <c r="P212" i="40"/>
  <c r="H212" i="40"/>
  <c r="K212" i="40"/>
  <c r="P206" i="40"/>
  <c r="H206" i="40"/>
  <c r="K206" i="40"/>
  <c r="I113" i="40"/>
  <c r="O113" i="40"/>
  <c r="P113" i="40"/>
  <c r="F113" i="40"/>
  <c r="G113" i="40"/>
  <c r="L113" i="40"/>
  <c r="K113" i="40"/>
  <c r="P196" i="40"/>
  <c r="N318" i="40"/>
  <c r="P277" i="40"/>
  <c r="F277" i="40"/>
  <c r="F271" i="40"/>
  <c r="I260" i="40"/>
  <c r="I254" i="40"/>
  <c r="F226" i="40"/>
  <c r="L215" i="40"/>
  <c r="F200" i="40"/>
  <c r="O196" i="40"/>
  <c r="F193" i="40"/>
  <c r="H184" i="40"/>
  <c r="L176" i="40"/>
  <c r="N171" i="40"/>
  <c r="H170" i="40"/>
  <c r="N168" i="40"/>
  <c r="F164" i="40"/>
  <c r="M163" i="40"/>
  <c r="M116" i="40"/>
  <c r="O98" i="40"/>
  <c r="F91" i="40"/>
  <c r="F90" i="40"/>
  <c r="G85" i="40"/>
  <c r="L60" i="40"/>
  <c r="M60" i="40"/>
  <c r="M318" i="40"/>
  <c r="O277" i="40"/>
  <c r="H260" i="40"/>
  <c r="M219" i="40"/>
  <c r="N196" i="40"/>
  <c r="F184" i="40"/>
  <c r="K163" i="40"/>
  <c r="M130" i="40"/>
  <c r="L116" i="40"/>
  <c r="P104" i="40"/>
  <c r="P102" i="40"/>
  <c r="N78" i="40"/>
  <c r="O68" i="40"/>
  <c r="K60" i="40"/>
  <c r="F55" i="40"/>
  <c r="H163" i="40"/>
  <c r="J102" i="40"/>
  <c r="M94" i="40"/>
  <c r="L78" i="40"/>
  <c r="J60" i="40"/>
  <c r="O252" i="40"/>
  <c r="G163" i="40"/>
  <c r="I116" i="40"/>
  <c r="I102" i="40"/>
  <c r="K94" i="40"/>
  <c r="P92" i="40"/>
  <c r="F60" i="40"/>
  <c r="K196" i="40"/>
  <c r="O265" i="40"/>
  <c r="M252" i="40"/>
  <c r="G246" i="40"/>
  <c r="P229" i="40"/>
  <c r="G229" i="40"/>
  <c r="G219" i="40"/>
  <c r="G215" i="40"/>
  <c r="H196" i="40"/>
  <c r="P176" i="40"/>
  <c r="G176" i="40"/>
  <c r="F163" i="40"/>
  <c r="J160" i="40"/>
  <c r="H116" i="40"/>
  <c r="L93" i="40"/>
  <c r="L92" i="40"/>
  <c r="O91" i="40"/>
  <c r="K68" i="40"/>
  <c r="L286" i="40"/>
  <c r="N286" i="40"/>
  <c r="M286" i="40"/>
  <c r="F286" i="40"/>
  <c r="J286" i="40"/>
  <c r="K286" i="40"/>
  <c r="G286" i="40"/>
  <c r="I286" i="40"/>
  <c r="O286" i="40"/>
  <c r="H286" i="40"/>
  <c r="P286" i="40"/>
  <c r="M241" i="40"/>
  <c r="F241" i="40"/>
  <c r="N241" i="40"/>
  <c r="P241" i="40"/>
  <c r="G241" i="40"/>
  <c r="H241" i="40"/>
  <c r="O241" i="40"/>
  <c r="I241" i="40"/>
  <c r="J241" i="40"/>
  <c r="K241" i="40"/>
  <c r="L241" i="40"/>
  <c r="M289" i="40"/>
  <c r="F289" i="40"/>
  <c r="O289" i="40"/>
  <c r="N289" i="40"/>
  <c r="L289" i="40"/>
  <c r="I289" i="40"/>
  <c r="P289" i="40"/>
  <c r="G289" i="40"/>
  <c r="J289" i="40"/>
  <c r="H289" i="40"/>
  <c r="K289" i="40"/>
  <c r="J324" i="40"/>
  <c r="L324" i="40"/>
  <c r="K324" i="40"/>
  <c r="N324" i="40"/>
  <c r="G324" i="40"/>
  <c r="M324" i="40"/>
  <c r="H324" i="40"/>
  <c r="P324" i="40"/>
  <c r="I324" i="40"/>
  <c r="F324" i="40"/>
  <c r="O324" i="40"/>
  <c r="H266" i="40"/>
  <c r="P266" i="40"/>
  <c r="G266" i="40"/>
  <c r="F266" i="40"/>
  <c r="O266" i="40"/>
  <c r="L266" i="40"/>
  <c r="M266" i="40"/>
  <c r="N266" i="40"/>
  <c r="I266" i="40"/>
  <c r="J266" i="40"/>
  <c r="K266" i="40"/>
  <c r="M257" i="40"/>
  <c r="F257" i="40"/>
  <c r="O257" i="40"/>
  <c r="N257" i="40"/>
  <c r="L257" i="40"/>
  <c r="P257" i="40"/>
  <c r="G257" i="40"/>
  <c r="H257" i="40"/>
  <c r="I257" i="40"/>
  <c r="J257" i="40"/>
  <c r="K257" i="40"/>
  <c r="I321" i="40"/>
  <c r="L321" i="40"/>
  <c r="J321" i="40"/>
  <c r="K321" i="40"/>
  <c r="M321" i="40"/>
  <c r="F321" i="40"/>
  <c r="N321" i="40"/>
  <c r="G321" i="40"/>
  <c r="O321" i="40"/>
  <c r="H321" i="40"/>
  <c r="P321" i="40"/>
  <c r="G239" i="40"/>
  <c r="O239" i="40"/>
  <c r="H239" i="40"/>
  <c r="P239" i="40"/>
  <c r="N239" i="40"/>
  <c r="F239" i="40"/>
  <c r="M239" i="40"/>
  <c r="I239" i="40"/>
  <c r="J239" i="40"/>
  <c r="K239" i="40"/>
  <c r="L239" i="40"/>
  <c r="J340" i="40"/>
  <c r="K340" i="40"/>
  <c r="M340" i="40"/>
  <c r="P340" i="40"/>
  <c r="O340" i="40"/>
  <c r="H340" i="40"/>
  <c r="I340" i="40"/>
  <c r="L340" i="40"/>
  <c r="F340" i="40"/>
  <c r="N340" i="40"/>
  <c r="G340" i="40"/>
  <c r="I314" i="40"/>
  <c r="I329" i="40"/>
  <c r="J329" i="40"/>
  <c r="L329" i="40"/>
  <c r="M329" i="40"/>
  <c r="G329" i="40"/>
  <c r="O329" i="40"/>
  <c r="F329" i="40"/>
  <c r="H329" i="40"/>
  <c r="P329" i="40"/>
  <c r="K329" i="40"/>
  <c r="N329" i="40"/>
  <c r="I337" i="40"/>
  <c r="L337" i="40"/>
  <c r="M337" i="40"/>
  <c r="F337" i="40"/>
  <c r="J337" i="40"/>
  <c r="K337" i="40"/>
  <c r="O337" i="40"/>
  <c r="H337" i="40"/>
  <c r="P337" i="40"/>
  <c r="N337" i="40"/>
  <c r="G337" i="40"/>
  <c r="J332" i="40"/>
  <c r="L332" i="40"/>
  <c r="F332" i="40"/>
  <c r="K332" i="40"/>
  <c r="M332" i="40"/>
  <c r="H332" i="40"/>
  <c r="G332" i="40"/>
  <c r="O332" i="40"/>
  <c r="P332" i="40"/>
  <c r="I332" i="40"/>
  <c r="N332" i="40"/>
  <c r="J325" i="40"/>
  <c r="I322" i="40"/>
  <c r="H306" i="40"/>
  <c r="P306" i="40"/>
  <c r="N278" i="40"/>
  <c r="P338" i="40"/>
  <c r="J328" i="40"/>
  <c r="I325" i="40"/>
  <c r="G303" i="40"/>
  <c r="O303" i="40"/>
  <c r="K303" i="40"/>
  <c r="K302" i="40"/>
  <c r="D302" i="40"/>
  <c r="E302" i="40"/>
  <c r="L301" i="40"/>
  <c r="N291" i="40"/>
  <c r="K283" i="40"/>
  <c r="N283" i="40"/>
  <c r="M283" i="40"/>
  <c r="M278" i="40"/>
  <c r="I269" i="40"/>
  <c r="G269" i="40"/>
  <c r="P269" i="40"/>
  <c r="F269" i="40"/>
  <c r="O269" i="40"/>
  <c r="L268" i="40"/>
  <c r="H333" i="40"/>
  <c r="O330" i="40"/>
  <c r="J323" i="40"/>
  <c r="O322" i="40"/>
  <c r="J315" i="40"/>
  <c r="H309" i="40"/>
  <c r="F300" i="40"/>
  <c r="N300" i="40"/>
  <c r="K300" i="40"/>
  <c r="C299" i="40"/>
  <c r="E299" i="40"/>
  <c r="L298" i="40"/>
  <c r="L297" i="40"/>
  <c r="L269" i="40"/>
  <c r="I268" i="40"/>
  <c r="O341" i="40"/>
  <c r="I339" i="40"/>
  <c r="I331" i="40"/>
  <c r="F330" i="40"/>
  <c r="P328" i="40"/>
  <c r="E327" i="40"/>
  <c r="J326" i="40"/>
  <c r="D341" i="40"/>
  <c r="N339" i="40"/>
  <c r="F339" i="40"/>
  <c r="K338" i="40"/>
  <c r="C338" i="40"/>
  <c r="M336" i="40"/>
  <c r="B335" i="40"/>
  <c r="O334" i="40"/>
  <c r="G334" i="40"/>
  <c r="L333" i="40"/>
  <c r="D333" i="40"/>
  <c r="N331" i="40"/>
  <c r="F331" i="40"/>
  <c r="K330" i="40"/>
  <c r="C330" i="40"/>
  <c r="M328" i="40"/>
  <c r="B327" i="40"/>
  <c r="O326" i="40"/>
  <c r="G326" i="40"/>
  <c r="L325" i="40"/>
  <c r="D325" i="40"/>
  <c r="K322" i="40"/>
  <c r="C322" i="40"/>
  <c r="M320" i="40"/>
  <c r="B319" i="40"/>
  <c r="O318" i="40"/>
  <c r="F318" i="40"/>
  <c r="C316" i="40"/>
  <c r="O315" i="40"/>
  <c r="F315" i="40"/>
  <c r="B313" i="40"/>
  <c r="N312" i="40"/>
  <c r="E312" i="40"/>
  <c r="M309" i="40"/>
  <c r="H308" i="40"/>
  <c r="M306" i="40"/>
  <c r="D306" i="40"/>
  <c r="P305" i="40"/>
  <c r="D305" i="40"/>
  <c r="O304" i="40"/>
  <c r="E304" i="40"/>
  <c r="P303" i="40"/>
  <c r="E303" i="40"/>
  <c r="P302" i="40"/>
  <c r="O301" i="40"/>
  <c r="G300" i="40"/>
  <c r="G299" i="40"/>
  <c r="F298" i="40"/>
  <c r="F291" i="40"/>
  <c r="H283" i="40"/>
  <c r="D282" i="40"/>
  <c r="M281" i="40"/>
  <c r="J281" i="40"/>
  <c r="I281" i="40"/>
  <c r="I279" i="40"/>
  <c r="P278" i="40"/>
  <c r="E278" i="40"/>
  <c r="C276" i="40"/>
  <c r="G273" i="40"/>
  <c r="C272" i="40"/>
  <c r="I270" i="40"/>
  <c r="C267" i="40"/>
  <c r="E267" i="40"/>
  <c r="D267" i="40"/>
  <c r="B263" i="40"/>
  <c r="F259" i="40"/>
  <c r="B247" i="40"/>
  <c r="H242" i="40"/>
  <c r="P242" i="40"/>
  <c r="I242" i="40"/>
  <c r="N242" i="40"/>
  <c r="O242" i="40"/>
  <c r="F242" i="40"/>
  <c r="M242" i="40"/>
  <c r="B240" i="40"/>
  <c r="C240" i="40"/>
  <c r="E240" i="40"/>
  <c r="D240" i="40"/>
  <c r="D238" i="40"/>
  <c r="E238" i="40"/>
  <c r="C238" i="40"/>
  <c r="B238" i="40"/>
  <c r="D236" i="40"/>
  <c r="D286" i="40"/>
  <c r="E286" i="40"/>
  <c r="C286" i="40"/>
  <c r="F276" i="40"/>
  <c r="N276" i="40"/>
  <c r="G276" i="40"/>
  <c r="P276" i="40"/>
  <c r="O276" i="40"/>
  <c r="J272" i="40"/>
  <c r="H272" i="40"/>
  <c r="G272" i="40"/>
  <c r="P272" i="40"/>
  <c r="C258" i="40"/>
  <c r="B258" i="40"/>
  <c r="E241" i="40"/>
  <c r="D241" i="40"/>
  <c r="C241" i="40"/>
  <c r="D239" i="40"/>
  <c r="E239" i="40"/>
  <c r="C239" i="40"/>
  <c r="K235" i="40"/>
  <c r="L235" i="40"/>
  <c r="G235" i="40"/>
  <c r="H235" i="40"/>
  <c r="I235" i="40"/>
  <c r="F235" i="40"/>
  <c r="P235" i="40"/>
  <c r="J322" i="40"/>
  <c r="P273" i="40"/>
  <c r="L272" i="40"/>
  <c r="F268" i="40"/>
  <c r="B264" i="40"/>
  <c r="D264" i="40"/>
  <c r="C264" i="40"/>
  <c r="G255" i="40"/>
  <c r="O255" i="40"/>
  <c r="K255" i="40"/>
  <c r="G253" i="40"/>
  <c r="P253" i="40"/>
  <c r="H253" i="40"/>
  <c r="F253" i="40"/>
  <c r="K251" i="40"/>
  <c r="N251" i="40"/>
  <c r="F251" i="40"/>
  <c r="O251" i="40"/>
  <c r="M251" i="40"/>
  <c r="F236" i="40"/>
  <c r="N236" i="40"/>
  <c r="G236" i="40"/>
  <c r="O236" i="40"/>
  <c r="H236" i="40"/>
  <c r="I236" i="40"/>
  <c r="J236" i="40"/>
  <c r="C235" i="40"/>
  <c r="D235" i="40"/>
  <c r="L230" i="40"/>
  <c r="M230" i="40"/>
  <c r="G230" i="40"/>
  <c r="H230" i="40"/>
  <c r="I230" i="40"/>
  <c r="F230" i="40"/>
  <c r="P230" i="40"/>
  <c r="M216" i="40"/>
  <c r="H216" i="40"/>
  <c r="I216" i="40"/>
  <c r="J216" i="40"/>
  <c r="G216" i="40"/>
  <c r="P216" i="40"/>
  <c r="L216" i="40"/>
  <c r="N216" i="40"/>
  <c r="O216" i="40"/>
  <c r="F216" i="40"/>
  <c r="K216" i="40"/>
  <c r="J330" i="40"/>
  <c r="M305" i="40"/>
  <c r="F305" i="40"/>
  <c r="O305" i="40"/>
  <c r="L276" i="40"/>
  <c r="N259" i="40"/>
  <c r="M255" i="40"/>
  <c r="C251" i="40"/>
  <c r="E251" i="40"/>
  <c r="D251" i="40"/>
  <c r="H234" i="40"/>
  <c r="P234" i="40"/>
  <c r="I234" i="40"/>
  <c r="F234" i="40"/>
  <c r="G234" i="40"/>
  <c r="J234" i="40"/>
  <c r="O234" i="40"/>
  <c r="M233" i="40"/>
  <c r="F233" i="40"/>
  <c r="N233" i="40"/>
  <c r="H233" i="40"/>
  <c r="I233" i="40"/>
  <c r="J233" i="40"/>
  <c r="G233" i="40"/>
  <c r="B232" i="40"/>
  <c r="C232" i="40"/>
  <c r="G231" i="40"/>
  <c r="O231" i="40"/>
  <c r="H231" i="40"/>
  <c r="P231" i="40"/>
  <c r="F231" i="40"/>
  <c r="I231" i="40"/>
  <c r="J231" i="40"/>
  <c r="D230" i="40"/>
  <c r="E230" i="40"/>
  <c r="J338" i="40"/>
  <c r="P283" i="40"/>
  <c r="G322" i="40"/>
  <c r="L300" i="40"/>
  <c r="M291" i="40"/>
  <c r="M265" i="40"/>
  <c r="J265" i="40"/>
  <c r="I265" i="40"/>
  <c r="M259" i="40"/>
  <c r="I255" i="40"/>
  <c r="L253" i="40"/>
  <c r="P251" i="40"/>
  <c r="P236" i="40"/>
  <c r="O235" i="40"/>
  <c r="N234" i="40"/>
  <c r="K309" i="40"/>
  <c r="K306" i="40"/>
  <c r="L302" i="40"/>
  <c r="N302" i="40"/>
  <c r="M282" i="40"/>
  <c r="M273" i="40"/>
  <c r="F273" i="40"/>
  <c r="O273" i="40"/>
  <c r="N273" i="40"/>
  <c r="P330" i="40"/>
  <c r="H330" i="40"/>
  <c r="K312" i="40"/>
  <c r="G287" i="40"/>
  <c r="O287" i="40"/>
  <c r="K287" i="40"/>
  <c r="J287" i="40"/>
  <c r="E273" i="40"/>
  <c r="D273" i="40"/>
  <c r="J339" i="40"/>
  <c r="G330" i="40"/>
  <c r="I328" i="40"/>
  <c r="I312" i="40"/>
  <c r="J305" i="40"/>
  <c r="M297" i="40"/>
  <c r="J297" i="40"/>
  <c r="C283" i="40"/>
  <c r="E283" i="40"/>
  <c r="D283" i="40"/>
  <c r="M279" i="40"/>
  <c r="N338" i="40"/>
  <c r="F338" i="40"/>
  <c r="H336" i="40"/>
  <c r="H328" i="40"/>
  <c r="E319" i="40"/>
  <c r="I318" i="40"/>
  <c r="G311" i="40"/>
  <c r="O311" i="40"/>
  <c r="G295" i="40"/>
  <c r="O295" i="40"/>
  <c r="F295" i="40"/>
  <c r="P295" i="40"/>
  <c r="F292" i="40"/>
  <c r="N292" i="40"/>
  <c r="G292" i="40"/>
  <c r="P292" i="40"/>
  <c r="O292" i="40"/>
  <c r="J288" i="40"/>
  <c r="H288" i="40"/>
  <c r="G288" i="40"/>
  <c r="P288" i="40"/>
  <c r="I287" i="40"/>
  <c r="L283" i="40"/>
  <c r="L279" i="40"/>
  <c r="J278" i="40"/>
  <c r="I276" i="40"/>
  <c r="C274" i="40"/>
  <c r="B274" i="40"/>
  <c r="J273" i="40"/>
  <c r="F272" i="40"/>
  <c r="D270" i="40"/>
  <c r="E270" i="40"/>
  <c r="C270" i="40"/>
  <c r="K269" i="40"/>
  <c r="L265" i="40"/>
  <c r="F260" i="40"/>
  <c r="N260" i="40"/>
  <c r="G260" i="40"/>
  <c r="P260" i="40"/>
  <c r="O260" i="40"/>
  <c r="L259" i="40"/>
  <c r="J256" i="40"/>
  <c r="H256" i="40"/>
  <c r="G256" i="40"/>
  <c r="P256" i="40"/>
  <c r="H255" i="40"/>
  <c r="L254" i="40"/>
  <c r="N254" i="40"/>
  <c r="F254" i="40"/>
  <c r="O254" i="40"/>
  <c r="M254" i="40"/>
  <c r="L251" i="40"/>
  <c r="D250" i="40"/>
  <c r="F244" i="40"/>
  <c r="N244" i="40"/>
  <c r="G244" i="40"/>
  <c r="O244" i="40"/>
  <c r="P244" i="40"/>
  <c r="H244" i="40"/>
  <c r="M244" i="40"/>
  <c r="C243" i="40"/>
  <c r="D243" i="40"/>
  <c r="E243" i="40"/>
  <c r="B243" i="40"/>
  <c r="M236" i="40"/>
  <c r="N235" i="40"/>
  <c r="M234" i="40"/>
  <c r="P233" i="40"/>
  <c r="N231" i="40"/>
  <c r="O230" i="40"/>
  <c r="B223" i="40"/>
  <c r="E223" i="40"/>
  <c r="D223" i="40"/>
  <c r="H217" i="40"/>
  <c r="P217" i="40"/>
  <c r="N217" i="40"/>
  <c r="F217" i="40"/>
  <c r="O217" i="40"/>
  <c r="G217" i="40"/>
  <c r="M217" i="40"/>
  <c r="J217" i="40"/>
  <c r="K217" i="40"/>
  <c r="L217" i="40"/>
  <c r="I217" i="40"/>
  <c r="C290" i="40"/>
  <c r="B290" i="40"/>
  <c r="I330" i="40"/>
  <c r="H282" i="40"/>
  <c r="P282" i="40"/>
  <c r="G282" i="40"/>
  <c r="F282" i="40"/>
  <c r="O282" i="40"/>
  <c r="P322" i="40"/>
  <c r="H322" i="40"/>
  <c r="J320" i="40"/>
  <c r="K318" i="40"/>
  <c r="J306" i="40"/>
  <c r="L303" i="40"/>
  <c r="K299" i="40"/>
  <c r="N299" i="40"/>
  <c r="K291" i="40"/>
  <c r="I291" i="40"/>
  <c r="H291" i="40"/>
  <c r="M287" i="40"/>
  <c r="K276" i="40"/>
  <c r="K272" i="40"/>
  <c r="I336" i="40"/>
  <c r="P333" i="40"/>
  <c r="J331" i="40"/>
  <c r="P325" i="40"/>
  <c r="H325" i="40"/>
  <c r="I306" i="40"/>
  <c r="J303" i="40"/>
  <c r="J302" i="40"/>
  <c r="K301" i="40"/>
  <c r="L299" i="40"/>
  <c r="L287" i="40"/>
  <c r="O283" i="40"/>
  <c r="K282" i="40"/>
  <c r="L270" i="40"/>
  <c r="N270" i="40"/>
  <c r="M270" i="40"/>
  <c r="O333" i="40"/>
  <c r="G333" i="40"/>
  <c r="N330" i="40"/>
  <c r="I323" i="40"/>
  <c r="F322" i="40"/>
  <c r="H312" i="40"/>
  <c r="P309" i="40"/>
  <c r="G309" i="40"/>
  <c r="K308" i="40"/>
  <c r="G306" i="40"/>
  <c r="I305" i="40"/>
  <c r="I304" i="40"/>
  <c r="I302" i="40"/>
  <c r="J301" i="40"/>
  <c r="J300" i="40"/>
  <c r="K298" i="40"/>
  <c r="K297" i="40"/>
  <c r="L294" i="40"/>
  <c r="I294" i="40"/>
  <c r="M292" i="40"/>
  <c r="M288" i="40"/>
  <c r="C340" i="40"/>
  <c r="P339" i="40"/>
  <c r="H339" i="40"/>
  <c r="M338" i="40"/>
  <c r="E338" i="40"/>
  <c r="O336" i="40"/>
  <c r="G336" i="40"/>
  <c r="D335" i="40"/>
  <c r="I334" i="40"/>
  <c r="N333" i="40"/>
  <c r="F333" i="40"/>
  <c r="C332" i="40"/>
  <c r="P331" i="40"/>
  <c r="H331" i="40"/>
  <c r="M330" i="40"/>
  <c r="E330" i="40"/>
  <c r="O328" i="40"/>
  <c r="G328" i="40"/>
  <c r="D327" i="40"/>
  <c r="I326" i="40"/>
  <c r="N325" i="40"/>
  <c r="F325" i="40"/>
  <c r="C324" i="40"/>
  <c r="M322" i="40"/>
  <c r="E322" i="40"/>
  <c r="O320" i="40"/>
  <c r="G320" i="40"/>
  <c r="D319" i="40"/>
  <c r="H318" i="40"/>
  <c r="E316" i="40"/>
  <c r="H315" i="40"/>
  <c r="D313" i="40"/>
  <c r="P312" i="40"/>
  <c r="G312" i="40"/>
  <c r="J311" i="40"/>
  <c r="C310" i="40"/>
  <c r="O309" i="40"/>
  <c r="F309" i="40"/>
  <c r="D307" i="40"/>
  <c r="O306" i="40"/>
  <c r="F306" i="40"/>
  <c r="H305" i="40"/>
  <c r="G304" i="40"/>
  <c r="H303" i="40"/>
  <c r="H302" i="40"/>
  <c r="I300" i="40"/>
  <c r="I299" i="40"/>
  <c r="I297" i="40"/>
  <c r="K295" i="40"/>
  <c r="K294" i="40"/>
  <c r="I293" i="40"/>
  <c r="L293" i="40"/>
  <c r="L292" i="40"/>
  <c r="J291" i="40"/>
  <c r="L288" i="40"/>
  <c r="H287" i="40"/>
  <c r="F284" i="40"/>
  <c r="N284" i="40"/>
  <c r="K284" i="40"/>
  <c r="J283" i="40"/>
  <c r="I282" i="40"/>
  <c r="P281" i="40"/>
  <c r="B280" i="40"/>
  <c r="D280" i="40"/>
  <c r="C280" i="40"/>
  <c r="H276" i="40"/>
  <c r="D275" i="40"/>
  <c r="I273" i="40"/>
  <c r="E272" i="40"/>
  <c r="K270" i="40"/>
  <c r="J269" i="40"/>
  <c r="G268" i="40"/>
  <c r="K265" i="40"/>
  <c r="D263" i="40"/>
  <c r="B262" i="40"/>
  <c r="L260" i="40"/>
  <c r="L256" i="40"/>
  <c r="F255" i="40"/>
  <c r="D254" i="40"/>
  <c r="E254" i="40"/>
  <c r="C254" i="40"/>
  <c r="J253" i="40"/>
  <c r="J251" i="40"/>
  <c r="C250" i="40"/>
  <c r="B248" i="40"/>
  <c r="D248" i="40"/>
  <c r="E248" i="40"/>
  <c r="C248" i="40"/>
  <c r="D247" i="40"/>
  <c r="D244" i="40"/>
  <c r="E244" i="40"/>
  <c r="C244" i="40"/>
  <c r="L236" i="40"/>
  <c r="M235" i="40"/>
  <c r="L234" i="40"/>
  <c r="O233" i="40"/>
  <c r="M231" i="40"/>
  <c r="N230" i="40"/>
  <c r="K227" i="40"/>
  <c r="L227" i="40"/>
  <c r="I227" i="40"/>
  <c r="J227" i="40"/>
  <c r="M227" i="40"/>
  <c r="H227" i="40"/>
  <c r="J341" i="40"/>
  <c r="I338" i="40"/>
  <c r="J333" i="40"/>
  <c r="M302" i="40"/>
  <c r="L278" i="40"/>
  <c r="I278" i="40"/>
  <c r="H278" i="40"/>
  <c r="I341" i="40"/>
  <c r="H338" i="40"/>
  <c r="J336" i="40"/>
  <c r="I333" i="40"/>
  <c r="L315" i="40"/>
  <c r="J309" i="40"/>
  <c r="K305" i="40"/>
  <c r="I301" i="40"/>
  <c r="G301" i="40"/>
  <c r="P301" i="40"/>
  <c r="L282" i="40"/>
  <c r="M269" i="40"/>
  <c r="K259" i="40"/>
  <c r="I259" i="40"/>
  <c r="H259" i="40"/>
  <c r="O338" i="40"/>
  <c r="G338" i="40"/>
  <c r="J318" i="40"/>
  <c r="H298" i="40"/>
  <c r="P298" i="40"/>
  <c r="G298" i="40"/>
  <c r="G279" i="40"/>
  <c r="O279" i="40"/>
  <c r="F279" i="40"/>
  <c r="P279" i="40"/>
  <c r="N279" i="40"/>
  <c r="K278" i="40"/>
  <c r="J276" i="40"/>
  <c r="K273" i="40"/>
  <c r="I272" i="40"/>
  <c r="P270" i="40"/>
  <c r="P336" i="40"/>
  <c r="E335" i="40"/>
  <c r="J334" i="40"/>
  <c r="O325" i="40"/>
  <c r="G325" i="40"/>
  <c r="N322" i="40"/>
  <c r="G316" i="40"/>
  <c r="I315" i="40"/>
  <c r="K311" i="40"/>
  <c r="F308" i="40"/>
  <c r="N308" i="40"/>
  <c r="I303" i="40"/>
  <c r="J299" i="40"/>
  <c r="B296" i="40"/>
  <c r="D296" i="40"/>
  <c r="L295" i="40"/>
  <c r="M294" i="40"/>
  <c r="O339" i="40"/>
  <c r="N336" i="40"/>
  <c r="P334" i="40"/>
  <c r="O331" i="40"/>
  <c r="N328" i="40"/>
  <c r="P326" i="40"/>
  <c r="N320" i="40"/>
  <c r="P318" i="40"/>
  <c r="G318" i="40"/>
  <c r="P315" i="40"/>
  <c r="G315" i="40"/>
  <c r="C313" i="40"/>
  <c r="O312" i="40"/>
  <c r="F312" i="40"/>
  <c r="I311" i="40"/>
  <c r="B310" i="40"/>
  <c r="N309" i="40"/>
  <c r="I308" i="40"/>
  <c r="B307" i="40"/>
  <c r="N306" i="40"/>
  <c r="G305" i="40"/>
  <c r="P304" i="40"/>
  <c r="F304" i="40"/>
  <c r="F303" i="40"/>
  <c r="G302" i="40"/>
  <c r="F301" i="40"/>
  <c r="H300" i="40"/>
  <c r="H299" i="40"/>
  <c r="I298" i="40"/>
  <c r="H297" i="40"/>
  <c r="J295" i="40"/>
  <c r="J294" i="40"/>
  <c r="K292" i="40"/>
  <c r="G291" i="40"/>
  <c r="E290" i="40"/>
  <c r="E289" i="40"/>
  <c r="D289" i="40"/>
  <c r="K288" i="40"/>
  <c r="F287" i="40"/>
  <c r="I285" i="40"/>
  <c r="G285" i="40"/>
  <c r="P285" i="40"/>
  <c r="F285" i="40"/>
  <c r="O285" i="40"/>
  <c r="I283" i="40"/>
  <c r="O281" i="40"/>
  <c r="J279" i="40"/>
  <c r="F278" i="40"/>
  <c r="D276" i="40"/>
  <c r="B275" i="40"/>
  <c r="H273" i="40"/>
  <c r="O272" i="40"/>
  <c r="D272" i="40"/>
  <c r="G271" i="40"/>
  <c r="O271" i="40"/>
  <c r="K271" i="40"/>
  <c r="J271" i="40"/>
  <c r="J270" i="40"/>
  <c r="H269" i="40"/>
  <c r="B267" i="40"/>
  <c r="H265" i="40"/>
  <c r="C263" i="40"/>
  <c r="K260" i="40"/>
  <c r="G259" i="40"/>
  <c r="E258" i="40"/>
  <c r="E257" i="40"/>
  <c r="D257" i="40"/>
  <c r="K256" i="40"/>
  <c r="P254" i="40"/>
  <c r="F252" i="40"/>
  <c r="N252" i="40"/>
  <c r="K252" i="40"/>
  <c r="L252" i="40"/>
  <c r="J252" i="40"/>
  <c r="I251" i="40"/>
  <c r="C247" i="40"/>
  <c r="K236" i="40"/>
  <c r="J235" i="40"/>
  <c r="K234" i="40"/>
  <c r="L233" i="40"/>
  <c r="L231" i="40"/>
  <c r="K230" i="40"/>
  <c r="G198" i="40"/>
  <c r="O198" i="40"/>
  <c r="M198" i="40"/>
  <c r="N198" i="40"/>
  <c r="F198" i="40"/>
  <c r="P198" i="40"/>
  <c r="L198" i="40"/>
  <c r="I198" i="40"/>
  <c r="J198" i="40"/>
  <c r="K198" i="40"/>
  <c r="H198" i="40"/>
  <c r="H246" i="40"/>
  <c r="I220" i="40"/>
  <c r="N220" i="40"/>
  <c r="F220" i="40"/>
  <c r="O220" i="40"/>
  <c r="M220" i="40"/>
  <c r="D211" i="40"/>
  <c r="E211" i="40"/>
  <c r="C211" i="40"/>
  <c r="D210" i="40"/>
  <c r="M200" i="40"/>
  <c r="H200" i="40"/>
  <c r="I200" i="40"/>
  <c r="J200" i="40"/>
  <c r="G200" i="40"/>
  <c r="P200" i="40"/>
  <c r="I195" i="40"/>
  <c r="L194" i="40"/>
  <c r="L177" i="40"/>
  <c r="H177" i="40"/>
  <c r="J177" i="40"/>
  <c r="G177" i="40"/>
  <c r="P177" i="40"/>
  <c r="I177" i="40"/>
  <c r="K177" i="40"/>
  <c r="M177" i="40"/>
  <c r="N177" i="40"/>
  <c r="F177" i="40"/>
  <c r="B210" i="40"/>
  <c r="E208" i="40"/>
  <c r="C208" i="40"/>
  <c r="D208" i="40"/>
  <c r="B208" i="40"/>
  <c r="E197" i="40"/>
  <c r="I188" i="40"/>
  <c r="H188" i="40"/>
  <c r="P188" i="40"/>
  <c r="N188" i="40"/>
  <c r="O188" i="40"/>
  <c r="F188" i="40"/>
  <c r="M188" i="40"/>
  <c r="C186" i="40"/>
  <c r="E186" i="40"/>
  <c r="B186" i="40"/>
  <c r="D198" i="40"/>
  <c r="E198" i="40"/>
  <c r="F195" i="40"/>
  <c r="N195" i="40"/>
  <c r="M195" i="40"/>
  <c r="O195" i="40"/>
  <c r="G195" i="40"/>
  <c r="P195" i="40"/>
  <c r="L195" i="40"/>
  <c r="L188" i="40"/>
  <c r="J183" i="40"/>
  <c r="L183" i="40"/>
  <c r="I183" i="40"/>
  <c r="H183" i="40"/>
  <c r="K183" i="40"/>
  <c r="M183" i="40"/>
  <c r="G183" i="40"/>
  <c r="G182" i="40"/>
  <c r="O182" i="40"/>
  <c r="I182" i="40"/>
  <c r="F182" i="40"/>
  <c r="N182" i="40"/>
  <c r="H182" i="40"/>
  <c r="J182" i="40"/>
  <c r="P175" i="40"/>
  <c r="E217" i="40"/>
  <c r="D217" i="40"/>
  <c r="B207" i="40"/>
  <c r="E207" i="40"/>
  <c r="B197" i="40"/>
  <c r="D195" i="40"/>
  <c r="E195" i="40"/>
  <c r="C195" i="40"/>
  <c r="E192" i="40"/>
  <c r="C192" i="40"/>
  <c r="D192" i="40"/>
  <c r="B192" i="40"/>
  <c r="K188" i="40"/>
  <c r="P182" i="40"/>
  <c r="K194" i="40"/>
  <c r="G194" i="40"/>
  <c r="P194" i="40"/>
  <c r="H194" i="40"/>
  <c r="I194" i="40"/>
  <c r="F194" i="40"/>
  <c r="O194" i="40"/>
  <c r="J188" i="40"/>
  <c r="F175" i="40"/>
  <c r="N175" i="40"/>
  <c r="O175" i="40"/>
  <c r="H175" i="40"/>
  <c r="M175" i="40"/>
  <c r="G175" i="40"/>
  <c r="I175" i="40"/>
  <c r="J175" i="40"/>
  <c r="K175" i="40"/>
  <c r="F228" i="40"/>
  <c r="N228" i="40"/>
  <c r="G228" i="40"/>
  <c r="O228" i="40"/>
  <c r="C227" i="40"/>
  <c r="D227" i="40"/>
  <c r="H226" i="40"/>
  <c r="P226" i="40"/>
  <c r="I226" i="40"/>
  <c r="M225" i="40"/>
  <c r="F225" i="40"/>
  <c r="N225" i="40"/>
  <c r="J224" i="40"/>
  <c r="K224" i="40"/>
  <c r="G214" i="40"/>
  <c r="O214" i="40"/>
  <c r="M214" i="40"/>
  <c r="N214" i="40"/>
  <c r="F214" i="40"/>
  <c r="P214" i="40"/>
  <c r="L214" i="40"/>
  <c r="I204" i="40"/>
  <c r="N204" i="40"/>
  <c r="F204" i="40"/>
  <c r="O204" i="40"/>
  <c r="G204" i="40"/>
  <c r="P204" i="40"/>
  <c r="M204" i="40"/>
  <c r="G188" i="40"/>
  <c r="O183" i="40"/>
  <c r="L182" i="40"/>
  <c r="O177" i="40"/>
  <c r="J246" i="40"/>
  <c r="K228" i="40"/>
  <c r="K226" i="40"/>
  <c r="K225" i="40"/>
  <c r="L224" i="40"/>
  <c r="G222" i="40"/>
  <c r="O222" i="40"/>
  <c r="I222" i="40"/>
  <c r="J222" i="40"/>
  <c r="H222" i="40"/>
  <c r="D214" i="40"/>
  <c r="E214" i="40"/>
  <c r="H201" i="40"/>
  <c r="P201" i="40"/>
  <c r="N201" i="40"/>
  <c r="F201" i="40"/>
  <c r="O201" i="40"/>
  <c r="G201" i="40"/>
  <c r="M201" i="40"/>
  <c r="K195" i="40"/>
  <c r="N194" i="40"/>
  <c r="J191" i="40"/>
  <c r="I191" i="40"/>
  <c r="N191" i="40"/>
  <c r="O191" i="40"/>
  <c r="F191" i="40"/>
  <c r="G190" i="40"/>
  <c r="O190" i="40"/>
  <c r="F190" i="40"/>
  <c r="N190" i="40"/>
  <c r="P190" i="40"/>
  <c r="H190" i="40"/>
  <c r="M190" i="40"/>
  <c r="D189" i="40"/>
  <c r="C189" i="40"/>
  <c r="E189" i="40"/>
  <c r="B189" i="40"/>
  <c r="N183" i="40"/>
  <c r="K182" i="40"/>
  <c r="L277" i="40"/>
  <c r="L261" i="40"/>
  <c r="I246" i="40"/>
  <c r="J228" i="40"/>
  <c r="J226" i="40"/>
  <c r="J225" i="40"/>
  <c r="I224" i="40"/>
  <c r="M222" i="40"/>
  <c r="P220" i="40"/>
  <c r="B213" i="40"/>
  <c r="B211" i="40"/>
  <c r="E210" i="40"/>
  <c r="K204" i="40"/>
  <c r="E201" i="40"/>
  <c r="D201" i="40"/>
  <c r="J195" i="40"/>
  <c r="M194" i="40"/>
  <c r="L191" i="40"/>
  <c r="D190" i="40"/>
  <c r="E190" i="40"/>
  <c r="C190" i="40"/>
  <c r="B185" i="40"/>
  <c r="E185" i="40"/>
  <c r="D185" i="40"/>
  <c r="F183" i="40"/>
  <c r="D181" i="40"/>
  <c r="C181" i="40"/>
  <c r="E178" i="40"/>
  <c r="D178" i="40"/>
  <c r="D171" i="40"/>
  <c r="J166" i="40"/>
  <c r="J154" i="40"/>
  <c r="B158" i="40"/>
  <c r="C158" i="40"/>
  <c r="E158" i="40"/>
  <c r="K153" i="40"/>
  <c r="L153" i="40"/>
  <c r="O153" i="40"/>
  <c r="F153" i="40"/>
  <c r="P153" i="40"/>
  <c r="G153" i="40"/>
  <c r="N153" i="40"/>
  <c r="H152" i="40"/>
  <c r="P152" i="40"/>
  <c r="I152" i="40"/>
  <c r="N152" i="40"/>
  <c r="O152" i="40"/>
  <c r="F152" i="40"/>
  <c r="G152" i="40"/>
  <c r="J152" i="40"/>
  <c r="E175" i="40"/>
  <c r="D175" i="40"/>
  <c r="H173" i="40"/>
  <c r="P173" i="40"/>
  <c r="K173" i="40"/>
  <c r="M173" i="40"/>
  <c r="J173" i="40"/>
  <c r="J171" i="40"/>
  <c r="G171" i="40"/>
  <c r="P171" i="40"/>
  <c r="I171" i="40"/>
  <c r="F171" i="40"/>
  <c r="O171" i="40"/>
  <c r="F167" i="40"/>
  <c r="N167" i="40"/>
  <c r="J167" i="40"/>
  <c r="O167" i="40"/>
  <c r="P167" i="40"/>
  <c r="G167" i="40"/>
  <c r="M167" i="40"/>
  <c r="D148" i="40"/>
  <c r="E148" i="40"/>
  <c r="C148" i="40"/>
  <c r="B148" i="40"/>
  <c r="M121" i="40"/>
  <c r="L121" i="40"/>
  <c r="H121" i="40"/>
  <c r="I121" i="40"/>
  <c r="J121" i="40"/>
  <c r="G121" i="40"/>
  <c r="K121" i="40"/>
  <c r="N121" i="40"/>
  <c r="O121" i="40"/>
  <c r="F121" i="40"/>
  <c r="P121" i="40"/>
  <c r="N173" i="40"/>
  <c r="K166" i="40"/>
  <c r="M166" i="40"/>
  <c r="F166" i="40"/>
  <c r="P166" i="40"/>
  <c r="G166" i="40"/>
  <c r="H166" i="40"/>
  <c r="O166" i="40"/>
  <c r="D165" i="40"/>
  <c r="C165" i="40"/>
  <c r="E165" i="40"/>
  <c r="B165" i="40"/>
  <c r="F154" i="40"/>
  <c r="N154" i="40"/>
  <c r="G154" i="40"/>
  <c r="O154" i="40"/>
  <c r="P154" i="40"/>
  <c r="H154" i="40"/>
  <c r="L154" i="40"/>
  <c r="M154" i="40"/>
  <c r="K154" i="40"/>
  <c r="L173" i="40"/>
  <c r="L171" i="40"/>
  <c r="K167" i="40"/>
  <c r="K161" i="40"/>
  <c r="L161" i="40"/>
  <c r="O161" i="40"/>
  <c r="F161" i="40"/>
  <c r="P161" i="40"/>
  <c r="G161" i="40"/>
  <c r="I161" i="40"/>
  <c r="J161" i="40"/>
  <c r="M161" i="40"/>
  <c r="H161" i="40"/>
  <c r="E159" i="40"/>
  <c r="D159" i="40"/>
  <c r="C159" i="40"/>
  <c r="B159" i="40"/>
  <c r="L152" i="40"/>
  <c r="F219" i="40"/>
  <c r="N219" i="40"/>
  <c r="G206" i="40"/>
  <c r="O206" i="40"/>
  <c r="E205" i="40"/>
  <c r="F203" i="40"/>
  <c r="N203" i="40"/>
  <c r="E202" i="40"/>
  <c r="L196" i="40"/>
  <c r="D187" i="40"/>
  <c r="E180" i="40"/>
  <c r="B180" i="40"/>
  <c r="K174" i="40"/>
  <c r="H174" i="40"/>
  <c r="J174" i="40"/>
  <c r="G174" i="40"/>
  <c r="P174" i="40"/>
  <c r="I173" i="40"/>
  <c r="M172" i="40"/>
  <c r="N172" i="40"/>
  <c r="G172" i="40"/>
  <c r="P172" i="40"/>
  <c r="L172" i="40"/>
  <c r="K171" i="40"/>
  <c r="I167" i="40"/>
  <c r="C161" i="40"/>
  <c r="D161" i="40"/>
  <c r="E161" i="40"/>
  <c r="L156" i="40"/>
  <c r="M156" i="40"/>
  <c r="O156" i="40"/>
  <c r="F156" i="40"/>
  <c r="P156" i="40"/>
  <c r="G156" i="40"/>
  <c r="N156" i="40"/>
  <c r="I155" i="40"/>
  <c r="J155" i="40"/>
  <c r="N155" i="40"/>
  <c r="O155" i="40"/>
  <c r="F155" i="40"/>
  <c r="P155" i="40"/>
  <c r="G155" i="40"/>
  <c r="H155" i="40"/>
  <c r="M153" i="40"/>
  <c r="K152" i="40"/>
  <c r="C224" i="40"/>
  <c r="C221" i="40"/>
  <c r="J219" i="40"/>
  <c r="D218" i="40"/>
  <c r="H209" i="40"/>
  <c r="P209" i="40"/>
  <c r="J206" i="40"/>
  <c r="C205" i="40"/>
  <c r="J203" i="40"/>
  <c r="D202" i="40"/>
  <c r="H193" i="40"/>
  <c r="P193" i="40"/>
  <c r="C187" i="40"/>
  <c r="M184" i="40"/>
  <c r="G184" i="40"/>
  <c r="O184" i="40"/>
  <c r="L184" i="40"/>
  <c r="E181" i="40"/>
  <c r="C178" i="40"/>
  <c r="N174" i="40"/>
  <c r="G173" i="40"/>
  <c r="E172" i="40"/>
  <c r="D172" i="40"/>
  <c r="C172" i="40"/>
  <c r="H171" i="40"/>
  <c r="H167" i="40"/>
  <c r="N166" i="40"/>
  <c r="J153" i="40"/>
  <c r="M151" i="40"/>
  <c r="F151" i="40"/>
  <c r="N151" i="40"/>
  <c r="P151" i="40"/>
  <c r="G151" i="40"/>
  <c r="H151" i="40"/>
  <c r="L151" i="40"/>
  <c r="O151" i="40"/>
  <c r="I151" i="40"/>
  <c r="K151" i="40"/>
  <c r="B221" i="40"/>
  <c r="I219" i="40"/>
  <c r="B218" i="40"/>
  <c r="J212" i="40"/>
  <c r="J209" i="40"/>
  <c r="I206" i="40"/>
  <c r="B205" i="40"/>
  <c r="I203" i="40"/>
  <c r="B202" i="40"/>
  <c r="J196" i="40"/>
  <c r="J193" i="40"/>
  <c r="B187" i="40"/>
  <c r="N184" i="40"/>
  <c r="E184" i="40"/>
  <c r="D184" i="40"/>
  <c r="B181" i="40"/>
  <c r="B178" i="40"/>
  <c r="M174" i="40"/>
  <c r="F173" i="40"/>
  <c r="O172" i="40"/>
  <c r="E171" i="40"/>
  <c r="L166" i="40"/>
  <c r="G157" i="40"/>
  <c r="O157" i="40"/>
  <c r="H157" i="40"/>
  <c r="P157" i="40"/>
  <c r="N157" i="40"/>
  <c r="F157" i="40"/>
  <c r="L157" i="40"/>
  <c r="M157" i="40"/>
  <c r="K157" i="40"/>
  <c r="M155" i="40"/>
  <c r="I153" i="40"/>
  <c r="D149" i="40"/>
  <c r="E149" i="40"/>
  <c r="C149" i="40"/>
  <c r="B149" i="40"/>
  <c r="I170" i="40"/>
  <c r="D169" i="40"/>
  <c r="C169" i="40"/>
  <c r="I168" i="40"/>
  <c r="F168" i="40"/>
  <c r="O168" i="40"/>
  <c r="K164" i="40"/>
  <c r="C162" i="40"/>
  <c r="D162" i="40"/>
  <c r="E162" i="40"/>
  <c r="B146" i="40"/>
  <c r="E143" i="40"/>
  <c r="D143" i="40"/>
  <c r="J142" i="40"/>
  <c r="K142" i="40"/>
  <c r="I142" i="40"/>
  <c r="P142" i="40"/>
  <c r="F142" i="40"/>
  <c r="G142" i="40"/>
  <c r="G141" i="40"/>
  <c r="O141" i="40"/>
  <c r="H141" i="40"/>
  <c r="P141" i="40"/>
  <c r="F141" i="40"/>
  <c r="N141" i="40"/>
  <c r="M141" i="40"/>
  <c r="L141" i="40"/>
  <c r="D140" i="40"/>
  <c r="E140" i="40"/>
  <c r="C140" i="40"/>
  <c r="I139" i="40"/>
  <c r="J139" i="40"/>
  <c r="H139" i="40"/>
  <c r="P139" i="40"/>
  <c r="F139" i="40"/>
  <c r="G139" i="40"/>
  <c r="O139" i="40"/>
  <c r="B133" i="40"/>
  <c r="D126" i="40"/>
  <c r="C126" i="40"/>
  <c r="E126" i="40"/>
  <c r="E121" i="40"/>
  <c r="D121" i="40"/>
  <c r="C127" i="40"/>
  <c r="D127" i="40"/>
  <c r="E127" i="40"/>
  <c r="B127" i="40"/>
  <c r="G119" i="40"/>
  <c r="O119" i="40"/>
  <c r="F119" i="40"/>
  <c r="N119" i="40"/>
  <c r="I119" i="40"/>
  <c r="J119" i="40"/>
  <c r="K119" i="40"/>
  <c r="H119" i="40"/>
  <c r="L119" i="40"/>
  <c r="M119" i="40"/>
  <c r="P119" i="40"/>
  <c r="H122" i="40"/>
  <c r="P122" i="40"/>
  <c r="G122" i="40"/>
  <c r="O122" i="40"/>
  <c r="I122" i="40"/>
  <c r="J122" i="40"/>
  <c r="F122" i="40"/>
  <c r="K122" i="40"/>
  <c r="L122" i="40"/>
  <c r="D183" i="40"/>
  <c r="D173" i="40"/>
  <c r="P168" i="40"/>
  <c r="D157" i="40"/>
  <c r="E157" i="40"/>
  <c r="D154" i="40"/>
  <c r="E154" i="40"/>
  <c r="E151" i="40"/>
  <c r="D151" i="40"/>
  <c r="H142" i="40"/>
  <c r="J141" i="40"/>
  <c r="C131" i="40"/>
  <c r="D118" i="40"/>
  <c r="B118" i="40"/>
  <c r="E118" i="40"/>
  <c r="G170" i="40"/>
  <c r="O170" i="40"/>
  <c r="M164" i="40"/>
  <c r="G164" i="40"/>
  <c r="P164" i="40"/>
  <c r="I164" i="40"/>
  <c r="H160" i="40"/>
  <c r="P160" i="40"/>
  <c r="I160" i="40"/>
  <c r="N160" i="40"/>
  <c r="O160" i="40"/>
  <c r="F160" i="40"/>
  <c r="D156" i="40"/>
  <c r="E156" i="40"/>
  <c r="C156" i="40"/>
  <c r="C153" i="40"/>
  <c r="D153" i="40"/>
  <c r="E153" i="40"/>
  <c r="B150" i="40"/>
  <c r="E150" i="40"/>
  <c r="D146" i="40"/>
  <c r="D133" i="40"/>
  <c r="J131" i="40"/>
  <c r="G131" i="40"/>
  <c r="P131" i="40"/>
  <c r="H131" i="40"/>
  <c r="F131" i="40"/>
  <c r="O131" i="40"/>
  <c r="K131" i="40"/>
  <c r="L131" i="40"/>
  <c r="M131" i="40"/>
  <c r="I131" i="40"/>
  <c r="D129" i="40"/>
  <c r="C129" i="40"/>
  <c r="E129" i="40"/>
  <c r="B129" i="40"/>
  <c r="I125" i="40"/>
  <c r="H125" i="40"/>
  <c r="P125" i="40"/>
  <c r="G125" i="40"/>
  <c r="J125" i="40"/>
  <c r="F125" i="40"/>
  <c r="L125" i="40"/>
  <c r="M125" i="40"/>
  <c r="N125" i="40"/>
  <c r="K125" i="40"/>
  <c r="J120" i="40"/>
  <c r="I120" i="40"/>
  <c r="G120" i="40"/>
  <c r="H120" i="40"/>
  <c r="K120" i="40"/>
  <c r="F120" i="40"/>
  <c r="P120" i="40"/>
  <c r="L120" i="40"/>
  <c r="M120" i="40"/>
  <c r="N120" i="40"/>
  <c r="M117" i="40"/>
  <c r="H117" i="40"/>
  <c r="G117" i="40"/>
  <c r="P117" i="40"/>
  <c r="F117" i="40"/>
  <c r="I117" i="40"/>
  <c r="J117" i="40"/>
  <c r="L117" i="40"/>
  <c r="N117" i="40"/>
  <c r="O117" i="40"/>
  <c r="K117" i="40"/>
  <c r="L179" i="40"/>
  <c r="C179" i="40"/>
  <c r="J170" i="40"/>
  <c r="B169" i="40"/>
  <c r="M168" i="40"/>
  <c r="L164" i="40"/>
  <c r="B162" i="40"/>
  <c r="L160" i="40"/>
  <c r="C146" i="40"/>
  <c r="C145" i="40"/>
  <c r="D145" i="40"/>
  <c r="B145" i="40"/>
  <c r="E145" i="40"/>
  <c r="B143" i="40"/>
  <c r="B140" i="40"/>
  <c r="C137" i="40"/>
  <c r="D137" i="40"/>
  <c r="B137" i="40"/>
  <c r="H136" i="40"/>
  <c r="P136" i="40"/>
  <c r="I136" i="40"/>
  <c r="G136" i="40"/>
  <c r="O136" i="40"/>
  <c r="F136" i="40"/>
  <c r="J136" i="40"/>
  <c r="C133" i="40"/>
  <c r="B126" i="40"/>
  <c r="N122" i="40"/>
  <c r="C121" i="40"/>
  <c r="E135" i="40"/>
  <c r="D135" i="40"/>
  <c r="D132" i="40"/>
  <c r="E132" i="40"/>
  <c r="C132" i="40"/>
  <c r="G130" i="40"/>
  <c r="O130" i="40"/>
  <c r="J130" i="40"/>
  <c r="K130" i="40"/>
  <c r="I130" i="40"/>
  <c r="C123" i="40"/>
  <c r="B123" i="40"/>
  <c r="G115" i="40"/>
  <c r="O115" i="40"/>
  <c r="M115" i="40"/>
  <c r="N115" i="40"/>
  <c r="L115" i="40"/>
  <c r="F115" i="40"/>
  <c r="P115" i="40"/>
  <c r="C117" i="40"/>
  <c r="I112" i="40"/>
  <c r="H112" i="40"/>
  <c r="C111" i="40"/>
  <c r="D111" i="40"/>
  <c r="E111" i="40"/>
  <c r="B111" i="40"/>
  <c r="L101" i="40"/>
  <c r="E117" i="40"/>
  <c r="D117" i="40"/>
  <c r="F112" i="40"/>
  <c r="N112" i="40"/>
  <c r="M112" i="40"/>
  <c r="O112" i="40"/>
  <c r="L112" i="40"/>
  <c r="K112" i="40"/>
  <c r="P112" i="40"/>
  <c r="J112" i="40"/>
  <c r="B107" i="40"/>
  <c r="E107" i="40"/>
  <c r="D107" i="40"/>
  <c r="D166" i="40"/>
  <c r="L163" i="40"/>
  <c r="C163" i="40"/>
  <c r="D141" i="40"/>
  <c r="D138" i="40"/>
  <c r="J134" i="40"/>
  <c r="K134" i="40"/>
  <c r="I134" i="40"/>
  <c r="I147" i="40"/>
  <c r="J147" i="40"/>
  <c r="H147" i="40"/>
  <c r="P147" i="40"/>
  <c r="H144" i="40"/>
  <c r="P144" i="40"/>
  <c r="I144" i="40"/>
  <c r="G144" i="40"/>
  <c r="O144" i="40"/>
  <c r="C141" i="40"/>
  <c r="C138" i="40"/>
  <c r="C135" i="40"/>
  <c r="M134" i="40"/>
  <c r="F124" i="40"/>
  <c r="N124" i="40"/>
  <c r="M124" i="40"/>
  <c r="I124" i="40"/>
  <c r="J124" i="40"/>
  <c r="H124" i="40"/>
  <c r="E123" i="40"/>
  <c r="I115" i="40"/>
  <c r="L114" i="40"/>
  <c r="G114" i="40"/>
  <c r="P114" i="40"/>
  <c r="H114" i="40"/>
  <c r="F114" i="40"/>
  <c r="O114" i="40"/>
  <c r="I114" i="40"/>
  <c r="J114" i="40"/>
  <c r="K114" i="40"/>
  <c r="E109" i="40"/>
  <c r="C109" i="40"/>
  <c r="D109" i="40"/>
  <c r="B109" i="40"/>
  <c r="G95" i="40"/>
  <c r="O95" i="40"/>
  <c r="M95" i="40"/>
  <c r="I95" i="40"/>
  <c r="J95" i="40"/>
  <c r="F95" i="40"/>
  <c r="K95" i="40"/>
  <c r="L95" i="40"/>
  <c r="N95" i="40"/>
  <c r="H95" i="40"/>
  <c r="P95" i="40"/>
  <c r="I163" i="40"/>
  <c r="B138" i="40"/>
  <c r="B135" i="40"/>
  <c r="L134" i="40"/>
  <c r="B132" i="40"/>
  <c r="P130" i="40"/>
  <c r="P124" i="40"/>
  <c r="D123" i="40"/>
  <c r="H115" i="40"/>
  <c r="D114" i="40"/>
  <c r="E114" i="40"/>
  <c r="D95" i="40"/>
  <c r="C95" i="40"/>
  <c r="E100" i="40"/>
  <c r="B100" i="40"/>
  <c r="D100" i="40"/>
  <c r="M88" i="40"/>
  <c r="I88" i="40"/>
  <c r="O88" i="40"/>
  <c r="N88" i="40"/>
  <c r="F88" i="40"/>
  <c r="G88" i="40"/>
  <c r="H88" i="40"/>
  <c r="P88" i="40"/>
  <c r="L88" i="40"/>
  <c r="K88" i="40"/>
  <c r="D112" i="40"/>
  <c r="E112" i="40"/>
  <c r="C112" i="40"/>
  <c r="D70" i="40"/>
  <c r="E70" i="40"/>
  <c r="B70" i="40"/>
  <c r="C142" i="40"/>
  <c r="B108" i="40"/>
  <c r="E108" i="40"/>
  <c r="H98" i="40"/>
  <c r="P98" i="40"/>
  <c r="N98" i="40"/>
  <c r="F98" i="40"/>
  <c r="M98" i="40"/>
  <c r="J98" i="40"/>
  <c r="K98" i="40"/>
  <c r="L98" i="40"/>
  <c r="I98" i="40"/>
  <c r="B87" i="40"/>
  <c r="C87" i="40"/>
  <c r="E87" i="40"/>
  <c r="D87" i="40"/>
  <c r="D115" i="40"/>
  <c r="E115" i="40"/>
  <c r="C115" i="40"/>
  <c r="C100" i="40"/>
  <c r="E98" i="40"/>
  <c r="C98" i="40"/>
  <c r="E80" i="40"/>
  <c r="D80" i="40"/>
  <c r="B80" i="40"/>
  <c r="C80" i="40"/>
  <c r="H113" i="40"/>
  <c r="E97" i="40"/>
  <c r="C97" i="40"/>
  <c r="E83" i="40"/>
  <c r="D83" i="40"/>
  <c r="B79" i="40"/>
  <c r="E79" i="40"/>
  <c r="G78" i="40"/>
  <c r="O78" i="40"/>
  <c r="J78" i="40"/>
  <c r="I78" i="40"/>
  <c r="H78" i="40"/>
  <c r="P78" i="40"/>
  <c r="M78" i="40"/>
  <c r="L77" i="40"/>
  <c r="M77" i="40"/>
  <c r="J77" i="40"/>
  <c r="I77" i="40"/>
  <c r="K77" i="40"/>
  <c r="N77" i="40"/>
  <c r="O77" i="40"/>
  <c r="G77" i="40"/>
  <c r="D72" i="40"/>
  <c r="E72" i="40"/>
  <c r="B72" i="40"/>
  <c r="C72" i="40"/>
  <c r="B81" i="40"/>
  <c r="E81" i="40"/>
  <c r="F78" i="40"/>
  <c r="G106" i="40"/>
  <c r="O106" i="40"/>
  <c r="J106" i="40"/>
  <c r="L105" i="40"/>
  <c r="M105" i="40"/>
  <c r="K102" i="40"/>
  <c r="F102" i="40"/>
  <c r="O102" i="40"/>
  <c r="M102" i="40"/>
  <c r="L94" i="40"/>
  <c r="G94" i="40"/>
  <c r="P94" i="40"/>
  <c r="I94" i="40"/>
  <c r="J94" i="40"/>
  <c r="F94" i="40"/>
  <c r="E89" i="40"/>
  <c r="C89" i="40"/>
  <c r="B89" i="40"/>
  <c r="C82" i="40"/>
  <c r="B82" i="40"/>
  <c r="D82" i="40"/>
  <c r="E82" i="40"/>
  <c r="H77" i="40"/>
  <c r="H110" i="40"/>
  <c r="P110" i="40"/>
  <c r="K106" i="40"/>
  <c r="K105" i="40"/>
  <c r="D105" i="40"/>
  <c r="C105" i="40"/>
  <c r="I104" i="40"/>
  <c r="F104" i="40"/>
  <c r="O104" i="40"/>
  <c r="N102" i="40"/>
  <c r="D102" i="40"/>
  <c r="D97" i="40"/>
  <c r="O94" i="40"/>
  <c r="C83" i="40"/>
  <c r="D79" i="40"/>
  <c r="F77" i="40"/>
  <c r="J113" i="40"/>
  <c r="J110" i="40"/>
  <c r="I106" i="40"/>
  <c r="J105" i="40"/>
  <c r="K104" i="40"/>
  <c r="F103" i="40"/>
  <c r="N103" i="40"/>
  <c r="J103" i="40"/>
  <c r="L102" i="40"/>
  <c r="B99" i="40"/>
  <c r="E99" i="40"/>
  <c r="C99" i="40"/>
  <c r="B97" i="40"/>
  <c r="N94" i="40"/>
  <c r="G86" i="40"/>
  <c r="O86" i="40"/>
  <c r="N86" i="40"/>
  <c r="P86" i="40"/>
  <c r="M86" i="40"/>
  <c r="F86" i="40"/>
  <c r="H86" i="40"/>
  <c r="I86" i="40"/>
  <c r="L85" i="40"/>
  <c r="H85" i="40"/>
  <c r="O85" i="40"/>
  <c r="N85" i="40"/>
  <c r="K85" i="40"/>
  <c r="M85" i="40"/>
  <c r="P85" i="40"/>
  <c r="I85" i="40"/>
  <c r="B83" i="40"/>
  <c r="C79" i="40"/>
  <c r="P93" i="40"/>
  <c r="I92" i="40"/>
  <c r="I91" i="40"/>
  <c r="G90" i="40"/>
  <c r="E88" i="40"/>
  <c r="D88" i="40"/>
  <c r="C88" i="40"/>
  <c r="E86" i="40"/>
  <c r="D86" i="40"/>
  <c r="I71" i="40"/>
  <c r="J71" i="40"/>
  <c r="P71" i="40"/>
  <c r="F71" i="40"/>
  <c r="G71" i="40"/>
  <c r="O71" i="40"/>
  <c r="L56" i="40"/>
  <c r="M56" i="40"/>
  <c r="F56" i="40"/>
  <c r="N56" i="40"/>
  <c r="K56" i="40"/>
  <c r="J56" i="40"/>
  <c r="O56" i="40"/>
  <c r="P56" i="40"/>
  <c r="G56" i="40"/>
  <c r="H56" i="40"/>
  <c r="I56" i="40"/>
  <c r="B65" i="40"/>
  <c r="C65" i="40"/>
  <c r="M59" i="40"/>
  <c r="F59" i="40"/>
  <c r="N59" i="40"/>
  <c r="G59" i="40"/>
  <c r="O59" i="40"/>
  <c r="L59" i="40"/>
  <c r="I59" i="40"/>
  <c r="J59" i="40"/>
  <c r="H59" i="40"/>
  <c r="K59" i="40"/>
  <c r="P59" i="40"/>
  <c r="I93" i="40"/>
  <c r="J93" i="40"/>
  <c r="D85" i="40"/>
  <c r="E85" i="40"/>
  <c r="C85" i="40"/>
  <c r="D77" i="40"/>
  <c r="C77" i="40"/>
  <c r="E67" i="40"/>
  <c r="B67" i="40"/>
  <c r="C67" i="40"/>
  <c r="K93" i="40"/>
  <c r="F92" i="40"/>
  <c r="N92" i="40"/>
  <c r="M92" i="40"/>
  <c r="K91" i="40"/>
  <c r="G91" i="40"/>
  <c r="P91" i="40"/>
  <c r="H90" i="40"/>
  <c r="P90" i="40"/>
  <c r="J90" i="40"/>
  <c r="I90" i="40"/>
  <c r="H93" i="40"/>
  <c r="K92" i="40"/>
  <c r="L91" i="40"/>
  <c r="L90" i="40"/>
  <c r="M73" i="40"/>
  <c r="I76" i="40"/>
  <c r="F76" i="40"/>
  <c r="O76" i="40"/>
  <c r="C69" i="40"/>
  <c r="D69" i="40"/>
  <c r="B69" i="40"/>
  <c r="C61" i="40"/>
  <c r="D61" i="40"/>
  <c r="B61" i="40"/>
  <c r="K76" i="40"/>
  <c r="F75" i="40"/>
  <c r="N75" i="40"/>
  <c r="J75" i="40"/>
  <c r="B74" i="40"/>
  <c r="C74" i="40"/>
  <c r="D74" i="40"/>
  <c r="L64" i="40"/>
  <c r="M64" i="40"/>
  <c r="K64" i="40"/>
  <c r="N64" i="40"/>
  <c r="B62" i="40"/>
  <c r="C62" i="40"/>
  <c r="H58" i="40"/>
  <c r="G57" i="40"/>
  <c r="O57" i="40"/>
  <c r="H57" i="40"/>
  <c r="P57" i="40"/>
  <c r="I57" i="40"/>
  <c r="F57" i="40"/>
  <c r="N57" i="40"/>
  <c r="G58" i="40"/>
  <c r="M57" i="40"/>
  <c r="L55" i="40"/>
  <c r="H68" i="40"/>
  <c r="P68" i="40"/>
  <c r="I68" i="40"/>
  <c r="B66" i="40"/>
  <c r="C66" i="40"/>
  <c r="D64" i="40"/>
  <c r="E64" i="40"/>
  <c r="I63" i="40"/>
  <c r="J63" i="40"/>
  <c r="E59" i="40"/>
  <c r="D59" i="40"/>
  <c r="L57" i="40"/>
  <c r="D56" i="40"/>
  <c r="E56" i="40"/>
  <c r="C56" i="40"/>
  <c r="J58" i="40"/>
  <c r="K58" i="40"/>
  <c r="L58" i="40"/>
  <c r="I58" i="40"/>
  <c r="O58" i="40"/>
  <c r="N58" i="40"/>
  <c r="I55" i="40"/>
  <c r="J55" i="40"/>
  <c r="P55" i="40"/>
  <c r="O60" i="40"/>
  <c r="G60" i="40"/>
  <c r="D58" i="40"/>
  <c r="C55" i="40"/>
  <c r="I60" i="40"/>
  <c r="C58" i="40"/>
  <c r="P60" i="40"/>
  <c r="J284" i="40" l="1"/>
  <c r="H268" i="40"/>
  <c r="P320" i="40"/>
  <c r="J304" i="40"/>
  <c r="M253" i="40"/>
  <c r="Q253" i="40" s="1"/>
  <c r="O253" i="40"/>
  <c r="N268" i="40"/>
  <c r="H103" i="40"/>
  <c r="O268" i="40"/>
  <c r="I284" i="40"/>
  <c r="M304" i="40"/>
  <c r="O323" i="40"/>
  <c r="H323" i="40"/>
  <c r="H341" i="40"/>
  <c r="G341" i="40"/>
  <c r="I253" i="40"/>
  <c r="J204" i="40"/>
  <c r="F320" i="40"/>
  <c r="M191" i="40"/>
  <c r="P323" i="40"/>
  <c r="F341" i="40"/>
  <c r="K253" i="40"/>
  <c r="J255" i="40"/>
  <c r="Q255" i="40" s="1"/>
  <c r="J268" i="40"/>
  <c r="Q268" i="40" s="1"/>
  <c r="F323" i="40"/>
  <c r="N304" i="40"/>
  <c r="L155" i="40"/>
  <c r="Q203" i="40"/>
  <c r="R203" i="40" s="1"/>
  <c r="P191" i="40"/>
  <c r="Q191" i="40" s="1"/>
  <c r="T191" i="40" s="1"/>
  <c r="N341" i="40"/>
  <c r="L304" i="40"/>
  <c r="H320" i="40"/>
  <c r="H304" i="40"/>
  <c r="K268" i="40"/>
  <c r="N323" i="40"/>
  <c r="I320" i="40"/>
  <c r="K341" i="40"/>
  <c r="L144" i="40"/>
  <c r="N164" i="40"/>
  <c r="N316" i="40"/>
  <c r="G314" i="40"/>
  <c r="M250" i="40"/>
  <c r="F128" i="40"/>
  <c r="G128" i="40"/>
  <c r="M199" i="40"/>
  <c r="I73" i="40"/>
  <c r="J128" i="40"/>
  <c r="H237" i="40"/>
  <c r="H249" i="40"/>
  <c r="K101" i="40"/>
  <c r="P316" i="40"/>
  <c r="H73" i="40"/>
  <c r="J101" i="40"/>
  <c r="K314" i="40"/>
  <c r="K250" i="40"/>
  <c r="P128" i="40"/>
  <c r="I103" i="40"/>
  <c r="P75" i="40"/>
  <c r="I237" i="40"/>
  <c r="L128" i="40"/>
  <c r="M323" i="40"/>
  <c r="Q323" i="40" s="1"/>
  <c r="R323" i="40" s="1"/>
  <c r="M316" i="40"/>
  <c r="I316" i="40"/>
  <c r="J314" i="40"/>
  <c r="J250" i="40"/>
  <c r="K199" i="40"/>
  <c r="P249" i="40"/>
  <c r="Q249" i="40" s="1"/>
  <c r="U249" i="40" s="1"/>
  <c r="F237" i="40"/>
  <c r="O316" i="40"/>
  <c r="P314" i="40"/>
  <c r="N250" i="40"/>
  <c r="N128" i="40"/>
  <c r="K237" i="40"/>
  <c r="N237" i="40"/>
  <c r="L73" i="40"/>
  <c r="G73" i="40"/>
  <c r="I101" i="40"/>
  <c r="H314" i="40"/>
  <c r="G250" i="40"/>
  <c r="Q250" i="40" s="1"/>
  <c r="L103" i="40"/>
  <c r="L323" i="40"/>
  <c r="F199" i="40"/>
  <c r="P73" i="40"/>
  <c r="O101" i="40"/>
  <c r="K73" i="40"/>
  <c r="N101" i="40"/>
  <c r="M101" i="40"/>
  <c r="P101" i="40"/>
  <c r="J249" i="40"/>
  <c r="I249" i="40"/>
  <c r="H316" i="40"/>
  <c r="H250" i="40"/>
  <c r="F249" i="40"/>
  <c r="L284" i="40"/>
  <c r="M237" i="40"/>
  <c r="K249" i="40"/>
  <c r="N144" i="40"/>
  <c r="O73" i="40"/>
  <c r="F101" i="40"/>
  <c r="J316" i="40"/>
  <c r="G101" i="40"/>
  <c r="M314" i="40"/>
  <c r="L249" i="40"/>
  <c r="O75" i="40"/>
  <c r="K103" i="40"/>
  <c r="L237" i="40"/>
  <c r="O249" i="40"/>
  <c r="G237" i="40"/>
  <c r="H199" i="40"/>
  <c r="N249" i="40"/>
  <c r="F316" i="40"/>
  <c r="L314" i="40"/>
  <c r="L250" i="40"/>
  <c r="P250" i="40"/>
  <c r="O128" i="40"/>
  <c r="L124" i="40"/>
  <c r="K128" i="40"/>
  <c r="O105" i="40"/>
  <c r="P199" i="40"/>
  <c r="Q199" i="40" s="1"/>
  <c r="R199" i="40" s="1"/>
  <c r="N73" i="40"/>
  <c r="F73" i="40"/>
  <c r="L341" i="40"/>
  <c r="N314" i="40"/>
  <c r="O250" i="40"/>
  <c r="G103" i="40"/>
  <c r="M341" i="40"/>
  <c r="G105" i="40"/>
  <c r="Q105" i="40" s="1"/>
  <c r="S105" i="40" s="1"/>
  <c r="M128" i="40"/>
  <c r="G199" i="40"/>
  <c r="O314" i="40"/>
  <c r="F250" i="40"/>
  <c r="I199" i="40"/>
  <c r="O124" i="40"/>
  <c r="N199" i="40"/>
  <c r="M284" i="40"/>
  <c r="Q284" i="40" s="1"/>
  <c r="U284" i="40" s="1"/>
  <c r="G110" i="40"/>
  <c r="P284" i="40"/>
  <c r="F105" i="40"/>
  <c r="L199" i="40"/>
  <c r="L316" i="40"/>
  <c r="K124" i="40"/>
  <c r="H128" i="40"/>
  <c r="K110" i="40"/>
  <c r="H284" i="40"/>
  <c r="O284" i="40"/>
  <c r="G191" i="40"/>
  <c r="O199" i="40"/>
  <c r="H75" i="40"/>
  <c r="J144" i="40"/>
  <c r="K144" i="40"/>
  <c r="G75" i="40"/>
  <c r="I75" i="40"/>
  <c r="F110" i="40"/>
  <c r="P103" i="40"/>
  <c r="L110" i="40"/>
  <c r="M110" i="40"/>
  <c r="O110" i="40"/>
  <c r="M144" i="40"/>
  <c r="M75" i="40"/>
  <c r="Q84" i="40"/>
  <c r="R84" i="40" s="1"/>
  <c r="Q245" i="40"/>
  <c r="Q64" i="40"/>
  <c r="T64" i="40" s="1"/>
  <c r="Q215" i="40"/>
  <c r="T215" i="40" s="1"/>
  <c r="Q246" i="40"/>
  <c r="T246" i="40" s="1"/>
  <c r="Q277" i="40"/>
  <c r="U277" i="40" s="1"/>
  <c r="Q63" i="40"/>
  <c r="R63" i="40" s="1"/>
  <c r="Q293" i="40"/>
  <c r="U293" i="40" s="1"/>
  <c r="Q308" i="40"/>
  <c r="R308" i="40" s="1"/>
  <c r="Q163" i="40"/>
  <c r="R163" i="40" s="1"/>
  <c r="Q116" i="40"/>
  <c r="S116" i="40" s="1"/>
  <c r="Q160" i="40"/>
  <c r="U160" i="40" s="1"/>
  <c r="Q229" i="40"/>
  <c r="T229" i="40" s="1"/>
  <c r="Q134" i="40"/>
  <c r="R134" i="40" s="1"/>
  <c r="Q184" i="40"/>
  <c r="U184" i="40" s="1"/>
  <c r="Q121" i="40"/>
  <c r="T121" i="40" s="1"/>
  <c r="Q90" i="40"/>
  <c r="S90" i="40" s="1"/>
  <c r="Q318" i="40"/>
  <c r="S318" i="40" s="1"/>
  <c r="Q104" i="40"/>
  <c r="R104" i="40" s="1"/>
  <c r="Q317" i="40"/>
  <c r="U317" i="40" s="1"/>
  <c r="Q261" i="40"/>
  <c r="S261" i="40" s="1"/>
  <c r="Q196" i="40"/>
  <c r="S196" i="40" s="1"/>
  <c r="Q193" i="40"/>
  <c r="R193" i="40" s="1"/>
  <c r="Q98" i="40"/>
  <c r="R98" i="40" s="1"/>
  <c r="Q120" i="40"/>
  <c r="T120" i="40" s="1"/>
  <c r="Q227" i="40"/>
  <c r="S227" i="40" s="1"/>
  <c r="Q76" i="40"/>
  <c r="U76" i="40" s="1"/>
  <c r="Q283" i="40"/>
  <c r="R283" i="40" s="1"/>
  <c r="Q92" i="40"/>
  <c r="T92" i="40" s="1"/>
  <c r="Q156" i="40"/>
  <c r="S156" i="40" s="1"/>
  <c r="Q338" i="40"/>
  <c r="S338" i="40" s="1"/>
  <c r="Q301" i="40"/>
  <c r="R301" i="40" s="1"/>
  <c r="Q242" i="40"/>
  <c r="U242" i="40" s="1"/>
  <c r="Q91" i="40"/>
  <c r="S91" i="40" s="1"/>
  <c r="Q93" i="40"/>
  <c r="S93" i="40" s="1"/>
  <c r="Q254" i="40"/>
  <c r="U254" i="40" s="1"/>
  <c r="Q113" i="40"/>
  <c r="R113" i="40" s="1"/>
  <c r="Q102" i="40"/>
  <c r="S102" i="40" s="1"/>
  <c r="Q85" i="40"/>
  <c r="U85" i="40" s="1"/>
  <c r="Q142" i="40"/>
  <c r="S142" i="40" s="1"/>
  <c r="Q68" i="40"/>
  <c r="U68" i="40" s="1"/>
  <c r="Q219" i="40"/>
  <c r="R219" i="40" s="1"/>
  <c r="Q226" i="40"/>
  <c r="T226" i="40" s="1"/>
  <c r="Q188" i="40"/>
  <c r="R188" i="40" s="1"/>
  <c r="Q224" i="40"/>
  <c r="U224" i="40" s="1"/>
  <c r="Q332" i="40"/>
  <c r="T332" i="40" s="1"/>
  <c r="Q329" i="40"/>
  <c r="S329" i="40" s="1"/>
  <c r="Q340" i="40"/>
  <c r="R340" i="40" s="1"/>
  <c r="Q176" i="40"/>
  <c r="T176" i="40" s="1"/>
  <c r="Q179" i="40"/>
  <c r="S179" i="40" s="1"/>
  <c r="Q285" i="40"/>
  <c r="T285" i="40" s="1"/>
  <c r="Q259" i="40"/>
  <c r="S259" i="40" s="1"/>
  <c r="Q212" i="40"/>
  <c r="S212" i="40" s="1"/>
  <c r="Q333" i="40"/>
  <c r="R333" i="40" s="1"/>
  <c r="Q59" i="40"/>
  <c r="R59" i="40" s="1"/>
  <c r="Q175" i="40"/>
  <c r="U175" i="40" s="1"/>
  <c r="Q312" i="40"/>
  <c r="U312" i="40" s="1"/>
  <c r="Q265" i="40"/>
  <c r="U265" i="40" s="1"/>
  <c r="Q173" i="40"/>
  <c r="S173" i="40" s="1"/>
  <c r="Q112" i="40"/>
  <c r="U112" i="40" s="1"/>
  <c r="Q117" i="40"/>
  <c r="T117" i="40" s="1"/>
  <c r="Q164" i="40"/>
  <c r="U164" i="40" s="1"/>
  <c r="Q225" i="40"/>
  <c r="U225" i="40" s="1"/>
  <c r="Q252" i="40"/>
  <c r="T252" i="40" s="1"/>
  <c r="Q270" i="40"/>
  <c r="U270" i="40" s="1"/>
  <c r="Q331" i="40"/>
  <c r="U331" i="40" s="1"/>
  <c r="Q339" i="40"/>
  <c r="U339" i="40" s="1"/>
  <c r="Q209" i="40"/>
  <c r="R209" i="40" s="1"/>
  <c r="Q306" i="40"/>
  <c r="R306" i="40" s="1"/>
  <c r="Q278" i="40"/>
  <c r="T278" i="40" s="1"/>
  <c r="Q200" i="40"/>
  <c r="U200" i="40" s="1"/>
  <c r="Q302" i="40"/>
  <c r="T302" i="40" s="1"/>
  <c r="Q325" i="40"/>
  <c r="T325" i="40" s="1"/>
  <c r="Q328" i="40"/>
  <c r="T328" i="40" s="1"/>
  <c r="Q297" i="40"/>
  <c r="U297" i="40" s="1"/>
  <c r="Q96" i="40"/>
  <c r="Q124" i="40"/>
  <c r="T124" i="40" s="1"/>
  <c r="Q170" i="40"/>
  <c r="S170" i="40" s="1"/>
  <c r="Q214" i="40"/>
  <c r="T214" i="40" s="1"/>
  <c r="Q294" i="40"/>
  <c r="T294" i="40" s="1"/>
  <c r="Q309" i="40"/>
  <c r="R309" i="40" s="1"/>
  <c r="Q311" i="40"/>
  <c r="R311" i="40" s="1"/>
  <c r="Q281" i="40"/>
  <c r="S281" i="40" s="1"/>
  <c r="Q136" i="40"/>
  <c r="T136" i="40" s="1"/>
  <c r="Q147" i="40"/>
  <c r="R147" i="40" s="1"/>
  <c r="Q168" i="40"/>
  <c r="U168" i="40" s="1"/>
  <c r="Q220" i="40"/>
  <c r="T220" i="40" s="1"/>
  <c r="Q271" i="40"/>
  <c r="T271" i="40" s="1"/>
  <c r="Q251" i="40"/>
  <c r="R251" i="40" s="1"/>
  <c r="Q337" i="40"/>
  <c r="T337" i="40" s="1"/>
  <c r="T203" i="40"/>
  <c r="U203" i="40"/>
  <c r="K82" i="40"/>
  <c r="H82" i="40"/>
  <c r="I82" i="40"/>
  <c r="G82" i="40"/>
  <c r="O82" i="40"/>
  <c r="P82" i="40"/>
  <c r="M82" i="40"/>
  <c r="F82" i="40"/>
  <c r="N82" i="40"/>
  <c r="L82" i="40"/>
  <c r="J82" i="40"/>
  <c r="Q56" i="40"/>
  <c r="F70" i="40"/>
  <c r="G70" i="40"/>
  <c r="O70" i="40"/>
  <c r="P70" i="40"/>
  <c r="I70" i="40"/>
  <c r="J70" i="40"/>
  <c r="L70" i="40"/>
  <c r="J99" i="40"/>
  <c r="N99" i="40"/>
  <c r="L99" i="40"/>
  <c r="O99" i="40"/>
  <c r="P99" i="40"/>
  <c r="F99" i="40"/>
  <c r="M99" i="40"/>
  <c r="G99" i="40"/>
  <c r="H99" i="40"/>
  <c r="I99" i="40"/>
  <c r="K99" i="40"/>
  <c r="Q94" i="40"/>
  <c r="F138" i="40"/>
  <c r="N138" i="40"/>
  <c r="G138" i="40"/>
  <c r="O138" i="40"/>
  <c r="M138" i="40"/>
  <c r="P138" i="40"/>
  <c r="L138" i="40"/>
  <c r="H138" i="40"/>
  <c r="I138" i="40"/>
  <c r="J138" i="40"/>
  <c r="K138" i="40"/>
  <c r="Q60" i="40"/>
  <c r="J66" i="40"/>
  <c r="K66" i="40"/>
  <c r="M66" i="40"/>
  <c r="N66" i="40"/>
  <c r="O66" i="40"/>
  <c r="P66" i="40"/>
  <c r="L66" i="40"/>
  <c r="H66" i="40"/>
  <c r="F66" i="40"/>
  <c r="G66" i="40"/>
  <c r="I66" i="40"/>
  <c r="M67" i="40"/>
  <c r="F67" i="40"/>
  <c r="N67" i="40"/>
  <c r="L67" i="40"/>
  <c r="O67" i="40"/>
  <c r="H67" i="40"/>
  <c r="I67" i="40"/>
  <c r="J67" i="40"/>
  <c r="G67" i="40"/>
  <c r="P67" i="40"/>
  <c r="K67" i="40"/>
  <c r="M97" i="40"/>
  <c r="H97" i="40"/>
  <c r="F97" i="40"/>
  <c r="P97" i="40"/>
  <c r="N97" i="40"/>
  <c r="G97" i="40"/>
  <c r="O97" i="40"/>
  <c r="J97" i="40"/>
  <c r="L97" i="40"/>
  <c r="I97" i="40"/>
  <c r="K97" i="40"/>
  <c r="H81" i="40"/>
  <c r="P81" i="40"/>
  <c r="K81" i="40"/>
  <c r="I81" i="40"/>
  <c r="G81" i="40"/>
  <c r="J81" i="40"/>
  <c r="L81" i="40"/>
  <c r="M81" i="40"/>
  <c r="O81" i="40"/>
  <c r="N81" i="40"/>
  <c r="F81" i="40"/>
  <c r="L132" i="40"/>
  <c r="M132" i="40"/>
  <c r="K132" i="40"/>
  <c r="P132" i="40"/>
  <c r="F132" i="40"/>
  <c r="G132" i="40"/>
  <c r="O132" i="40"/>
  <c r="H132" i="40"/>
  <c r="N132" i="40"/>
  <c r="I132" i="40"/>
  <c r="J132" i="40"/>
  <c r="G107" i="40"/>
  <c r="O107" i="40"/>
  <c r="I107" i="40"/>
  <c r="J107" i="40"/>
  <c r="H107" i="40"/>
  <c r="F107" i="40"/>
  <c r="K107" i="40"/>
  <c r="P107" i="40"/>
  <c r="L107" i="40"/>
  <c r="M107" i="40"/>
  <c r="N107" i="40"/>
  <c r="K123" i="40"/>
  <c r="J123" i="40"/>
  <c r="H123" i="40"/>
  <c r="I123" i="40"/>
  <c r="G123" i="40"/>
  <c r="F123" i="40"/>
  <c r="P123" i="40"/>
  <c r="L123" i="40"/>
  <c r="M123" i="40"/>
  <c r="N123" i="40"/>
  <c r="O123" i="40"/>
  <c r="L129" i="40"/>
  <c r="M129" i="40"/>
  <c r="N129" i="40"/>
  <c r="K129" i="40"/>
  <c r="I129" i="40"/>
  <c r="J129" i="40"/>
  <c r="O129" i="40"/>
  <c r="H129" i="40"/>
  <c r="F129" i="40"/>
  <c r="G129" i="40"/>
  <c r="P129" i="40"/>
  <c r="Q139" i="40"/>
  <c r="Q141" i="40"/>
  <c r="Q172" i="40"/>
  <c r="H165" i="40"/>
  <c r="P165" i="40"/>
  <c r="M165" i="40"/>
  <c r="F165" i="40"/>
  <c r="O165" i="40"/>
  <c r="G165" i="40"/>
  <c r="N165" i="40"/>
  <c r="L165" i="40"/>
  <c r="I165" i="40"/>
  <c r="J165" i="40"/>
  <c r="K165" i="40"/>
  <c r="Q171" i="40"/>
  <c r="F211" i="40"/>
  <c r="N211" i="40"/>
  <c r="M211" i="40"/>
  <c r="O211" i="40"/>
  <c r="G211" i="40"/>
  <c r="P211" i="40"/>
  <c r="L211" i="40"/>
  <c r="H211" i="40"/>
  <c r="I211" i="40"/>
  <c r="J211" i="40"/>
  <c r="K211" i="40"/>
  <c r="Q201" i="40"/>
  <c r="Q194" i="40"/>
  <c r="Q195" i="40"/>
  <c r="Q298" i="40"/>
  <c r="J280" i="40"/>
  <c r="M280" i="40"/>
  <c r="L280" i="40"/>
  <c r="N280" i="40"/>
  <c r="O280" i="40"/>
  <c r="F280" i="40"/>
  <c r="H280" i="40"/>
  <c r="P280" i="40"/>
  <c r="I280" i="40"/>
  <c r="K280" i="40"/>
  <c r="G280" i="40"/>
  <c r="Q217" i="40"/>
  <c r="J223" i="40"/>
  <c r="F223" i="40"/>
  <c r="O223" i="40"/>
  <c r="G223" i="40"/>
  <c r="P223" i="40"/>
  <c r="N223" i="40"/>
  <c r="H223" i="40"/>
  <c r="I223" i="40"/>
  <c r="K223" i="40"/>
  <c r="L223" i="40"/>
  <c r="M223" i="40"/>
  <c r="Q231" i="40"/>
  <c r="Q235" i="40"/>
  <c r="K327" i="40"/>
  <c r="N327" i="40"/>
  <c r="G327" i="40"/>
  <c r="L327" i="40"/>
  <c r="M327" i="40"/>
  <c r="F327" i="40"/>
  <c r="I327" i="40"/>
  <c r="H327" i="40"/>
  <c r="J327" i="40"/>
  <c r="O327" i="40"/>
  <c r="P327" i="40"/>
  <c r="Q334" i="40"/>
  <c r="Q239" i="40"/>
  <c r="Q324" i="40"/>
  <c r="Q289" i="40"/>
  <c r="Q286" i="40"/>
  <c r="M109" i="40"/>
  <c r="L109" i="40"/>
  <c r="N109" i="40"/>
  <c r="K109" i="40"/>
  <c r="H109" i="40"/>
  <c r="I109" i="40"/>
  <c r="J109" i="40"/>
  <c r="G109" i="40"/>
  <c r="F109" i="40"/>
  <c r="O109" i="40"/>
  <c r="P109" i="40"/>
  <c r="F146" i="40"/>
  <c r="N146" i="40"/>
  <c r="G146" i="40"/>
  <c r="O146" i="40"/>
  <c r="M146" i="40"/>
  <c r="I146" i="40"/>
  <c r="J146" i="40"/>
  <c r="K146" i="40"/>
  <c r="H146" i="40"/>
  <c r="L146" i="40"/>
  <c r="P146" i="40"/>
  <c r="G178" i="40"/>
  <c r="O178" i="40"/>
  <c r="N178" i="40"/>
  <c r="H178" i="40"/>
  <c r="M178" i="40"/>
  <c r="F178" i="40"/>
  <c r="I178" i="40"/>
  <c r="P178" i="40"/>
  <c r="L178" i="40"/>
  <c r="J178" i="40"/>
  <c r="K178" i="40"/>
  <c r="K202" i="40"/>
  <c r="L202" i="40"/>
  <c r="M202" i="40"/>
  <c r="N202" i="40"/>
  <c r="J202" i="40"/>
  <c r="O202" i="40"/>
  <c r="P202" i="40"/>
  <c r="F202" i="40"/>
  <c r="G202" i="40"/>
  <c r="H202" i="40"/>
  <c r="I202" i="40"/>
  <c r="L221" i="40"/>
  <c r="K221" i="40"/>
  <c r="M221" i="40"/>
  <c r="J221" i="40"/>
  <c r="G221" i="40"/>
  <c r="H221" i="40"/>
  <c r="I221" i="40"/>
  <c r="O221" i="40"/>
  <c r="F221" i="40"/>
  <c r="N221" i="40"/>
  <c r="P221" i="40"/>
  <c r="I180" i="40"/>
  <c r="K180" i="40"/>
  <c r="H180" i="40"/>
  <c r="P180" i="40"/>
  <c r="L180" i="40"/>
  <c r="M180" i="40"/>
  <c r="N180" i="40"/>
  <c r="J180" i="40"/>
  <c r="F180" i="40"/>
  <c r="G180" i="40"/>
  <c r="O180" i="40"/>
  <c r="L213" i="40"/>
  <c r="G213" i="40"/>
  <c r="P213" i="40"/>
  <c r="H213" i="40"/>
  <c r="I213" i="40"/>
  <c r="F213" i="40"/>
  <c r="O213" i="40"/>
  <c r="K213" i="40"/>
  <c r="N213" i="40"/>
  <c r="J213" i="40"/>
  <c r="M213" i="40"/>
  <c r="H290" i="40"/>
  <c r="P290" i="40"/>
  <c r="L290" i="40"/>
  <c r="K290" i="40"/>
  <c r="M290" i="40"/>
  <c r="F290" i="40"/>
  <c r="I290" i="40"/>
  <c r="J290" i="40"/>
  <c r="N290" i="40"/>
  <c r="G290" i="40"/>
  <c r="O290" i="40"/>
  <c r="Q295" i="40"/>
  <c r="H258" i="40"/>
  <c r="P258" i="40"/>
  <c r="L258" i="40"/>
  <c r="K258" i="40"/>
  <c r="F258" i="40"/>
  <c r="G258" i="40"/>
  <c r="I258" i="40"/>
  <c r="M258" i="40"/>
  <c r="N258" i="40"/>
  <c r="O258" i="40"/>
  <c r="J258" i="40"/>
  <c r="J240" i="40"/>
  <c r="K240" i="40"/>
  <c r="O240" i="40"/>
  <c r="F240" i="40"/>
  <c r="P240" i="40"/>
  <c r="G240" i="40"/>
  <c r="N240" i="40"/>
  <c r="H240" i="40"/>
  <c r="I240" i="40"/>
  <c r="L240" i="40"/>
  <c r="M240" i="40"/>
  <c r="G247" i="40"/>
  <c r="O247" i="40"/>
  <c r="F247" i="40"/>
  <c r="P247" i="40"/>
  <c r="H247" i="40"/>
  <c r="I247" i="40"/>
  <c r="N247" i="40"/>
  <c r="J247" i="40"/>
  <c r="K247" i="40"/>
  <c r="L247" i="40"/>
  <c r="M247" i="40"/>
  <c r="Q273" i="40"/>
  <c r="F62" i="40"/>
  <c r="N62" i="40"/>
  <c r="G62" i="40"/>
  <c r="O62" i="40"/>
  <c r="H62" i="40"/>
  <c r="I62" i="40"/>
  <c r="L62" i="40"/>
  <c r="M62" i="40"/>
  <c r="J62" i="40"/>
  <c r="K62" i="40"/>
  <c r="P62" i="40"/>
  <c r="L140" i="40"/>
  <c r="M140" i="40"/>
  <c r="K140" i="40"/>
  <c r="I140" i="40"/>
  <c r="J140" i="40"/>
  <c r="N140" i="40"/>
  <c r="H140" i="40"/>
  <c r="F140" i="40"/>
  <c r="G140" i="40"/>
  <c r="O140" i="40"/>
  <c r="P140" i="40"/>
  <c r="G162" i="40"/>
  <c r="O162" i="40"/>
  <c r="L162" i="40"/>
  <c r="M162" i="40"/>
  <c r="N162" i="40"/>
  <c r="F162" i="40"/>
  <c r="H162" i="40"/>
  <c r="I162" i="40"/>
  <c r="J162" i="40"/>
  <c r="K162" i="40"/>
  <c r="P162" i="40"/>
  <c r="J150" i="40"/>
  <c r="K150" i="40"/>
  <c r="O150" i="40"/>
  <c r="F150" i="40"/>
  <c r="P150" i="40"/>
  <c r="G150" i="40"/>
  <c r="L150" i="40"/>
  <c r="N150" i="40"/>
  <c r="H150" i="40"/>
  <c r="I150" i="40"/>
  <c r="M150" i="40"/>
  <c r="Q119" i="40"/>
  <c r="Q157" i="40"/>
  <c r="L181" i="40"/>
  <c r="F181" i="40"/>
  <c r="N181" i="40"/>
  <c r="K181" i="40"/>
  <c r="P181" i="40"/>
  <c r="G181" i="40"/>
  <c r="O181" i="40"/>
  <c r="I181" i="40"/>
  <c r="J181" i="40"/>
  <c r="M181" i="40"/>
  <c r="H181" i="40"/>
  <c r="Q206" i="40"/>
  <c r="Q152" i="40"/>
  <c r="Q153" i="40"/>
  <c r="J158" i="40"/>
  <c r="K158" i="40"/>
  <c r="O158" i="40"/>
  <c r="F158" i="40"/>
  <c r="P158" i="40"/>
  <c r="G158" i="40"/>
  <c r="I158" i="40"/>
  <c r="L158" i="40"/>
  <c r="M158" i="40"/>
  <c r="H158" i="40"/>
  <c r="N158" i="40"/>
  <c r="Q222" i="40"/>
  <c r="Q177" i="40"/>
  <c r="L310" i="40"/>
  <c r="K310" i="40"/>
  <c r="O310" i="40"/>
  <c r="P310" i="40"/>
  <c r="I310" i="40"/>
  <c r="M310" i="40"/>
  <c r="N310" i="40"/>
  <c r="F310" i="40"/>
  <c r="H310" i="40"/>
  <c r="J310" i="40"/>
  <c r="G310" i="40"/>
  <c r="J248" i="40"/>
  <c r="M248" i="40"/>
  <c r="N248" i="40"/>
  <c r="F248" i="40"/>
  <c r="O248" i="40"/>
  <c r="L248" i="40"/>
  <c r="G248" i="40"/>
  <c r="H248" i="40"/>
  <c r="I248" i="40"/>
  <c r="K248" i="40"/>
  <c r="P248" i="40"/>
  <c r="Q260" i="40"/>
  <c r="J232" i="40"/>
  <c r="K232" i="40"/>
  <c r="G232" i="40"/>
  <c r="H232" i="40"/>
  <c r="I232" i="40"/>
  <c r="F232" i="40"/>
  <c r="P232" i="40"/>
  <c r="M232" i="40"/>
  <c r="N232" i="40"/>
  <c r="O232" i="40"/>
  <c r="L232" i="40"/>
  <c r="Q276" i="40"/>
  <c r="L238" i="40"/>
  <c r="M238" i="40"/>
  <c r="O238" i="40"/>
  <c r="F238" i="40"/>
  <c r="P238" i="40"/>
  <c r="G238" i="40"/>
  <c r="N238" i="40"/>
  <c r="H238" i="40"/>
  <c r="I238" i="40"/>
  <c r="J238" i="40"/>
  <c r="K238" i="40"/>
  <c r="K335" i="40"/>
  <c r="M335" i="40"/>
  <c r="G335" i="40"/>
  <c r="P335" i="40"/>
  <c r="L335" i="40"/>
  <c r="F335" i="40"/>
  <c r="N335" i="40"/>
  <c r="H335" i="40"/>
  <c r="O335" i="40"/>
  <c r="I335" i="40"/>
  <c r="J335" i="40"/>
  <c r="M143" i="40"/>
  <c r="F143" i="40"/>
  <c r="N143" i="40"/>
  <c r="L143" i="40"/>
  <c r="I143" i="40"/>
  <c r="J143" i="40"/>
  <c r="K143" i="40"/>
  <c r="G143" i="40"/>
  <c r="P143" i="40"/>
  <c r="H143" i="40"/>
  <c r="O143" i="40"/>
  <c r="L205" i="40"/>
  <c r="K205" i="40"/>
  <c r="M205" i="40"/>
  <c r="N205" i="40"/>
  <c r="J205" i="40"/>
  <c r="G205" i="40"/>
  <c r="H205" i="40"/>
  <c r="I205" i="40"/>
  <c r="O205" i="40"/>
  <c r="P205" i="40"/>
  <c r="F205" i="40"/>
  <c r="Q155" i="40"/>
  <c r="L189" i="40"/>
  <c r="K189" i="40"/>
  <c r="O189" i="40"/>
  <c r="F189" i="40"/>
  <c r="P189" i="40"/>
  <c r="G189" i="40"/>
  <c r="N189" i="40"/>
  <c r="H189" i="40"/>
  <c r="I189" i="40"/>
  <c r="J189" i="40"/>
  <c r="M189" i="40"/>
  <c r="K210" i="40"/>
  <c r="G210" i="40"/>
  <c r="P210" i="40"/>
  <c r="H210" i="40"/>
  <c r="I210" i="40"/>
  <c r="F210" i="40"/>
  <c r="O210" i="40"/>
  <c r="J210" i="40"/>
  <c r="L210" i="40"/>
  <c r="M210" i="40"/>
  <c r="N210" i="40"/>
  <c r="U245" i="40"/>
  <c r="T245" i="40"/>
  <c r="R245" i="40"/>
  <c r="S245" i="40"/>
  <c r="Q292" i="40"/>
  <c r="Q322" i="40"/>
  <c r="Q233" i="40"/>
  <c r="Q216" i="40"/>
  <c r="J264" i="40"/>
  <c r="M264" i="40"/>
  <c r="L264" i="40"/>
  <c r="G264" i="40"/>
  <c r="H264" i="40"/>
  <c r="I264" i="40"/>
  <c r="K264" i="40"/>
  <c r="N264" i="40"/>
  <c r="O264" i="40"/>
  <c r="P264" i="40"/>
  <c r="F264" i="40"/>
  <c r="G263" i="40"/>
  <c r="O263" i="40"/>
  <c r="F263" i="40"/>
  <c r="P263" i="40"/>
  <c r="N263" i="40"/>
  <c r="H263" i="40"/>
  <c r="I263" i="40"/>
  <c r="J263" i="40"/>
  <c r="K263" i="40"/>
  <c r="L263" i="40"/>
  <c r="M263" i="40"/>
  <c r="S84" i="40"/>
  <c r="U84" i="40"/>
  <c r="Q131" i="40"/>
  <c r="G149" i="40"/>
  <c r="O149" i="40"/>
  <c r="H149" i="40"/>
  <c r="P149" i="40"/>
  <c r="N149" i="40"/>
  <c r="F149" i="40"/>
  <c r="I149" i="40"/>
  <c r="J149" i="40"/>
  <c r="M149" i="40"/>
  <c r="K149" i="40"/>
  <c r="L149" i="40"/>
  <c r="M192" i="40"/>
  <c r="L192" i="40"/>
  <c r="N192" i="40"/>
  <c r="F192" i="40"/>
  <c r="O192" i="40"/>
  <c r="K192" i="40"/>
  <c r="J192" i="40"/>
  <c r="P192" i="40"/>
  <c r="G192" i="40"/>
  <c r="H192" i="40"/>
  <c r="I192" i="40"/>
  <c r="L197" i="40"/>
  <c r="G197" i="40"/>
  <c r="P197" i="40"/>
  <c r="H197" i="40"/>
  <c r="I197" i="40"/>
  <c r="F197" i="40"/>
  <c r="O197" i="40"/>
  <c r="K197" i="40"/>
  <c r="M197" i="40"/>
  <c r="N197" i="40"/>
  <c r="J197" i="40"/>
  <c r="Q182" i="40"/>
  <c r="K186" i="40"/>
  <c r="M186" i="40"/>
  <c r="J186" i="40"/>
  <c r="I186" i="40"/>
  <c r="L186" i="40"/>
  <c r="N186" i="40"/>
  <c r="H186" i="40"/>
  <c r="F186" i="40"/>
  <c r="G186" i="40"/>
  <c r="O186" i="40"/>
  <c r="P186" i="40"/>
  <c r="Q198" i="40"/>
  <c r="L262" i="40"/>
  <c r="I262" i="40"/>
  <c r="H262" i="40"/>
  <c r="M262" i="40"/>
  <c r="P262" i="40"/>
  <c r="N262" i="40"/>
  <c r="O262" i="40"/>
  <c r="F262" i="40"/>
  <c r="G262" i="40"/>
  <c r="J262" i="40"/>
  <c r="K262" i="40"/>
  <c r="Q256" i="40"/>
  <c r="Q234" i="40"/>
  <c r="Q303" i="40"/>
  <c r="M135" i="40"/>
  <c r="F135" i="40"/>
  <c r="N135" i="40"/>
  <c r="L135" i="40"/>
  <c r="P135" i="40"/>
  <c r="G135" i="40"/>
  <c r="O135" i="40"/>
  <c r="H135" i="40"/>
  <c r="K135" i="40"/>
  <c r="I135" i="40"/>
  <c r="J135" i="40"/>
  <c r="J87" i="40"/>
  <c r="L87" i="40"/>
  <c r="O87" i="40"/>
  <c r="N87" i="40"/>
  <c r="K87" i="40"/>
  <c r="M87" i="40"/>
  <c r="P87" i="40"/>
  <c r="H87" i="40"/>
  <c r="I87" i="40"/>
  <c r="G87" i="40"/>
  <c r="F87" i="40"/>
  <c r="M89" i="40"/>
  <c r="L89" i="40"/>
  <c r="K89" i="40"/>
  <c r="I89" i="40"/>
  <c r="J89" i="40"/>
  <c r="N89" i="40"/>
  <c r="G89" i="40"/>
  <c r="P89" i="40"/>
  <c r="F89" i="40"/>
  <c r="H89" i="40"/>
  <c r="O89" i="40"/>
  <c r="Q114" i="40"/>
  <c r="Q115" i="40"/>
  <c r="Q122" i="40"/>
  <c r="Q73" i="40"/>
  <c r="Q106" i="40"/>
  <c r="M80" i="40"/>
  <c r="N80" i="40"/>
  <c r="I80" i="40"/>
  <c r="H80" i="40"/>
  <c r="P80" i="40"/>
  <c r="F80" i="40"/>
  <c r="L80" i="40"/>
  <c r="J80" i="40"/>
  <c r="K80" i="40"/>
  <c r="O80" i="40"/>
  <c r="G80" i="40"/>
  <c r="M100" i="40"/>
  <c r="K100" i="40"/>
  <c r="I100" i="40"/>
  <c r="F100" i="40"/>
  <c r="G100" i="40"/>
  <c r="H100" i="40"/>
  <c r="P100" i="40"/>
  <c r="J100" i="40"/>
  <c r="L100" i="40"/>
  <c r="N100" i="40"/>
  <c r="O100" i="40"/>
  <c r="K111" i="40"/>
  <c r="G111" i="40"/>
  <c r="P111" i="40"/>
  <c r="H111" i="40"/>
  <c r="F111" i="40"/>
  <c r="O111" i="40"/>
  <c r="I111" i="40"/>
  <c r="M111" i="40"/>
  <c r="N111" i="40"/>
  <c r="J111" i="40"/>
  <c r="L111" i="40"/>
  <c r="K145" i="40"/>
  <c r="L145" i="40"/>
  <c r="J145" i="40"/>
  <c r="P145" i="40"/>
  <c r="F145" i="40"/>
  <c r="G145" i="40"/>
  <c r="H145" i="40"/>
  <c r="I145" i="40"/>
  <c r="O145" i="40"/>
  <c r="M145" i="40"/>
  <c r="N145" i="40"/>
  <c r="L169" i="40"/>
  <c r="M169" i="40"/>
  <c r="N169" i="40"/>
  <c r="F169" i="40"/>
  <c r="O169" i="40"/>
  <c r="K169" i="40"/>
  <c r="G169" i="40"/>
  <c r="H169" i="40"/>
  <c r="I169" i="40"/>
  <c r="J169" i="40"/>
  <c r="P169" i="40"/>
  <c r="Q174" i="40"/>
  <c r="Q154" i="40"/>
  <c r="Q167" i="40"/>
  <c r="H185" i="40"/>
  <c r="P185" i="40"/>
  <c r="J185" i="40"/>
  <c r="G185" i="40"/>
  <c r="O185" i="40"/>
  <c r="F185" i="40"/>
  <c r="I185" i="40"/>
  <c r="K185" i="40"/>
  <c r="L185" i="40"/>
  <c r="M185" i="40"/>
  <c r="N185" i="40"/>
  <c r="Q190" i="40"/>
  <c r="Q228" i="40"/>
  <c r="Q183" i="40"/>
  <c r="K267" i="40"/>
  <c r="N267" i="40"/>
  <c r="M267" i="40"/>
  <c r="P267" i="40"/>
  <c r="F267" i="40"/>
  <c r="G267" i="40"/>
  <c r="J267" i="40"/>
  <c r="L267" i="40"/>
  <c r="O267" i="40"/>
  <c r="H267" i="40"/>
  <c r="I267" i="40"/>
  <c r="Q305" i="40"/>
  <c r="Q304" i="40"/>
  <c r="Q336" i="40"/>
  <c r="Q282" i="40"/>
  <c r="H274" i="40"/>
  <c r="P274" i="40"/>
  <c r="L274" i="40"/>
  <c r="K274" i="40"/>
  <c r="J274" i="40"/>
  <c r="O274" i="40"/>
  <c r="M274" i="40"/>
  <c r="N274" i="40"/>
  <c r="F274" i="40"/>
  <c r="G274" i="40"/>
  <c r="I274" i="40"/>
  <c r="Q341" i="40"/>
  <c r="Q230" i="40"/>
  <c r="Q272" i="40"/>
  <c r="Q257" i="40"/>
  <c r="K74" i="40"/>
  <c r="M74" i="40"/>
  <c r="N74" i="40"/>
  <c r="O74" i="40"/>
  <c r="L74" i="40"/>
  <c r="P74" i="40"/>
  <c r="I74" i="40"/>
  <c r="H74" i="40"/>
  <c r="J74" i="40"/>
  <c r="G74" i="40"/>
  <c r="F74" i="40"/>
  <c r="Q78" i="40"/>
  <c r="Q58" i="40"/>
  <c r="Q57" i="40"/>
  <c r="F83" i="40"/>
  <c r="N83" i="40"/>
  <c r="O83" i="40"/>
  <c r="I83" i="40"/>
  <c r="H83" i="40"/>
  <c r="J83" i="40"/>
  <c r="K83" i="40"/>
  <c r="L83" i="40"/>
  <c r="G83" i="40"/>
  <c r="M83" i="40"/>
  <c r="P83" i="40"/>
  <c r="Q86" i="40"/>
  <c r="Q77" i="40"/>
  <c r="J79" i="40"/>
  <c r="G79" i="40"/>
  <c r="P79" i="40"/>
  <c r="I79" i="40"/>
  <c r="H79" i="40"/>
  <c r="K79" i="40"/>
  <c r="L79" i="40"/>
  <c r="M79" i="40"/>
  <c r="F79" i="40"/>
  <c r="N79" i="40"/>
  <c r="O79" i="40"/>
  <c r="J108" i="40"/>
  <c r="F108" i="40"/>
  <c r="O108" i="40"/>
  <c r="G108" i="40"/>
  <c r="P108" i="40"/>
  <c r="N108" i="40"/>
  <c r="M108" i="40"/>
  <c r="L108" i="40"/>
  <c r="H108" i="40"/>
  <c r="I108" i="40"/>
  <c r="K108" i="40"/>
  <c r="Q88" i="40"/>
  <c r="Q130" i="40"/>
  <c r="L126" i="40"/>
  <c r="K126" i="40"/>
  <c r="H126" i="40"/>
  <c r="I126" i="40"/>
  <c r="G126" i="40"/>
  <c r="F126" i="40"/>
  <c r="J126" i="40"/>
  <c r="M126" i="40"/>
  <c r="N126" i="40"/>
  <c r="O126" i="40"/>
  <c r="P126" i="40"/>
  <c r="L118" i="40"/>
  <c r="K118" i="40"/>
  <c r="H118" i="40"/>
  <c r="I118" i="40"/>
  <c r="J118" i="40"/>
  <c r="G118" i="40"/>
  <c r="N118" i="40"/>
  <c r="O118" i="40"/>
  <c r="P118" i="40"/>
  <c r="F118" i="40"/>
  <c r="M118" i="40"/>
  <c r="G133" i="40"/>
  <c r="O133" i="40"/>
  <c r="H133" i="40"/>
  <c r="P133" i="40"/>
  <c r="F133" i="40"/>
  <c r="N133" i="40"/>
  <c r="I133" i="40"/>
  <c r="J133" i="40"/>
  <c r="K133" i="40"/>
  <c r="L133" i="40"/>
  <c r="M133" i="40"/>
  <c r="F187" i="40"/>
  <c r="N187" i="40"/>
  <c r="H187" i="40"/>
  <c r="P187" i="40"/>
  <c r="M187" i="40"/>
  <c r="O187" i="40"/>
  <c r="L187" i="40"/>
  <c r="I187" i="40"/>
  <c r="J187" i="40"/>
  <c r="K187" i="40"/>
  <c r="G187" i="40"/>
  <c r="M159" i="40"/>
  <c r="F159" i="40"/>
  <c r="N159" i="40"/>
  <c r="P159" i="40"/>
  <c r="G159" i="40"/>
  <c r="H159" i="40"/>
  <c r="I159" i="40"/>
  <c r="J159" i="40"/>
  <c r="K159" i="40"/>
  <c r="L159" i="40"/>
  <c r="O159" i="40"/>
  <c r="Q161" i="40"/>
  <c r="Q166" i="40"/>
  <c r="Q204" i="40"/>
  <c r="J207" i="40"/>
  <c r="F207" i="40"/>
  <c r="O207" i="40"/>
  <c r="G207" i="40"/>
  <c r="P207" i="40"/>
  <c r="H207" i="40"/>
  <c r="N207" i="40"/>
  <c r="K207" i="40"/>
  <c r="L207" i="40"/>
  <c r="M207" i="40"/>
  <c r="I207" i="40"/>
  <c r="Q288" i="40"/>
  <c r="Q287" i="40"/>
  <c r="Q236" i="40"/>
  <c r="Q299" i="40"/>
  <c r="M313" i="40"/>
  <c r="L313" i="40"/>
  <c r="O313" i="40"/>
  <c r="N313" i="40"/>
  <c r="F313" i="40"/>
  <c r="I313" i="40"/>
  <c r="P313" i="40"/>
  <c r="H313" i="40"/>
  <c r="J313" i="40"/>
  <c r="K313" i="40"/>
  <c r="G313" i="40"/>
  <c r="K319" i="40"/>
  <c r="L319" i="40"/>
  <c r="M319" i="40"/>
  <c r="G319" i="40"/>
  <c r="H319" i="40"/>
  <c r="N319" i="40"/>
  <c r="O319" i="40"/>
  <c r="P319" i="40"/>
  <c r="F319" i="40"/>
  <c r="J319" i="40"/>
  <c r="I319" i="40"/>
  <c r="Q326" i="40"/>
  <c r="K69" i="40"/>
  <c r="L69" i="40"/>
  <c r="N69" i="40"/>
  <c r="M69" i="40"/>
  <c r="O69" i="40"/>
  <c r="P69" i="40"/>
  <c r="J69" i="40"/>
  <c r="F69" i="40"/>
  <c r="G69" i="40"/>
  <c r="H69" i="40"/>
  <c r="I69" i="40"/>
  <c r="L72" i="40"/>
  <c r="M72" i="40"/>
  <c r="N72" i="40"/>
  <c r="H72" i="40"/>
  <c r="I72" i="40"/>
  <c r="J72" i="40"/>
  <c r="G72" i="40"/>
  <c r="F72" i="40"/>
  <c r="K72" i="40"/>
  <c r="O72" i="40"/>
  <c r="P72" i="40"/>
  <c r="Q125" i="40"/>
  <c r="G127" i="40"/>
  <c r="O127" i="40"/>
  <c r="F127" i="40"/>
  <c r="N127" i="40"/>
  <c r="I127" i="40"/>
  <c r="J127" i="40"/>
  <c r="H127" i="40"/>
  <c r="P127" i="40"/>
  <c r="K127" i="40"/>
  <c r="L127" i="40"/>
  <c r="M127" i="40"/>
  <c r="K61" i="40"/>
  <c r="L61" i="40"/>
  <c r="J61" i="40"/>
  <c r="F61" i="40"/>
  <c r="G61" i="40"/>
  <c r="M61" i="40"/>
  <c r="N61" i="40"/>
  <c r="H61" i="40"/>
  <c r="I61" i="40"/>
  <c r="O61" i="40"/>
  <c r="P61" i="40"/>
  <c r="G65" i="40"/>
  <c r="O65" i="40"/>
  <c r="H65" i="40"/>
  <c r="P65" i="40"/>
  <c r="L65" i="40"/>
  <c r="M65" i="40"/>
  <c r="I65" i="40"/>
  <c r="J65" i="40"/>
  <c r="K65" i="40"/>
  <c r="F65" i="40"/>
  <c r="N65" i="40"/>
  <c r="Q95" i="40"/>
  <c r="K137" i="40"/>
  <c r="L137" i="40"/>
  <c r="J137" i="40"/>
  <c r="I137" i="40"/>
  <c r="M137" i="40"/>
  <c r="N137" i="40"/>
  <c r="H137" i="40"/>
  <c r="F137" i="40"/>
  <c r="P137" i="40"/>
  <c r="G137" i="40"/>
  <c r="O137" i="40"/>
  <c r="K218" i="40"/>
  <c r="L218" i="40"/>
  <c r="M218" i="40"/>
  <c r="N218" i="40"/>
  <c r="J218" i="40"/>
  <c r="F218" i="40"/>
  <c r="G218" i="40"/>
  <c r="I218" i="40"/>
  <c r="H218" i="40"/>
  <c r="O218" i="40"/>
  <c r="P218" i="40"/>
  <c r="Q151" i="40"/>
  <c r="L148" i="40"/>
  <c r="M148" i="40"/>
  <c r="O148" i="40"/>
  <c r="F148" i="40"/>
  <c r="P148" i="40"/>
  <c r="G148" i="40"/>
  <c r="I148" i="40"/>
  <c r="J148" i="40"/>
  <c r="K148" i="40"/>
  <c r="H148" i="40"/>
  <c r="N148" i="40"/>
  <c r="M208" i="40"/>
  <c r="L208" i="40"/>
  <c r="N208" i="40"/>
  <c r="F208" i="40"/>
  <c r="O208" i="40"/>
  <c r="K208" i="40"/>
  <c r="H208" i="40"/>
  <c r="I208" i="40"/>
  <c r="J208" i="40"/>
  <c r="P208" i="40"/>
  <c r="G208" i="40"/>
  <c r="K275" i="40"/>
  <c r="I275" i="40"/>
  <c r="H275" i="40"/>
  <c r="N275" i="40"/>
  <c r="F275" i="40"/>
  <c r="O275" i="40"/>
  <c r="P275" i="40"/>
  <c r="J275" i="40"/>
  <c r="L275" i="40"/>
  <c r="M275" i="40"/>
  <c r="G275" i="40"/>
  <c r="Q291" i="40"/>
  <c r="K307" i="40"/>
  <c r="L307" i="40"/>
  <c r="G307" i="40"/>
  <c r="M307" i="40"/>
  <c r="N307" i="40"/>
  <c r="F307" i="40"/>
  <c r="O307" i="40"/>
  <c r="P307" i="40"/>
  <c r="I307" i="40"/>
  <c r="H307" i="40"/>
  <c r="J307" i="40"/>
  <c r="Q315" i="40"/>
  <c r="J296" i="40"/>
  <c r="M296" i="40"/>
  <c r="I296" i="40"/>
  <c r="K296" i="40"/>
  <c r="L296" i="40"/>
  <c r="G296" i="40"/>
  <c r="N296" i="40"/>
  <c r="F296" i="40"/>
  <c r="P296" i="40"/>
  <c r="H296" i="40"/>
  <c r="O296" i="40"/>
  <c r="Q279" i="40"/>
  <c r="Q320" i="40"/>
  <c r="K243" i="40"/>
  <c r="L243" i="40"/>
  <c r="O243" i="40"/>
  <c r="F243" i="40"/>
  <c r="P243" i="40"/>
  <c r="G243" i="40"/>
  <c r="N243" i="40"/>
  <c r="H243" i="40"/>
  <c r="I243" i="40"/>
  <c r="J243" i="40"/>
  <c r="M243" i="40"/>
  <c r="Q244" i="40"/>
  <c r="Q330" i="40"/>
  <c r="Q300" i="40"/>
  <c r="Q269" i="40"/>
  <c r="Q321" i="40"/>
  <c r="Q266" i="40"/>
  <c r="Q241" i="40"/>
  <c r="Q314" i="40" l="1"/>
  <c r="U314" i="40" s="1"/>
  <c r="Q237" i="40"/>
  <c r="T237" i="40" s="1"/>
  <c r="Q316" i="40"/>
  <c r="S203" i="40"/>
  <c r="Q128" i="40"/>
  <c r="R128" i="40" s="1"/>
  <c r="Q110" i="40"/>
  <c r="U110" i="40" s="1"/>
  <c r="T84" i="40"/>
  <c r="Q144" i="40"/>
  <c r="S144" i="40" s="1"/>
  <c r="U113" i="40"/>
  <c r="U308" i="40"/>
  <c r="T113" i="40"/>
  <c r="U246" i="40"/>
  <c r="Q101" i="40"/>
  <c r="Q103" i="40"/>
  <c r="R103" i="40" s="1"/>
  <c r="U103" i="40"/>
  <c r="T103" i="40"/>
  <c r="Q75" i="40"/>
  <c r="R75" i="40" s="1"/>
  <c r="S64" i="40"/>
  <c r="R64" i="40"/>
  <c r="S110" i="40"/>
  <c r="R110" i="40"/>
  <c r="U64" i="40"/>
  <c r="S246" i="40"/>
  <c r="R246" i="40"/>
  <c r="U215" i="40"/>
  <c r="S215" i="40"/>
  <c r="R277" i="40"/>
  <c r="S312" i="40"/>
  <c r="S277" i="40"/>
  <c r="R215" i="40"/>
  <c r="T277" i="40"/>
  <c r="S163" i="40"/>
  <c r="T75" i="40"/>
  <c r="U163" i="40"/>
  <c r="S63" i="40"/>
  <c r="U329" i="40"/>
  <c r="T63" i="40"/>
  <c r="U63" i="40"/>
  <c r="S120" i="40"/>
  <c r="R120" i="40"/>
  <c r="U219" i="40"/>
  <c r="U333" i="40"/>
  <c r="R312" i="40"/>
  <c r="S98" i="40"/>
  <c r="S293" i="40"/>
  <c r="R93" i="40"/>
  <c r="T193" i="40"/>
  <c r="T293" i="40"/>
  <c r="R293" i="40"/>
  <c r="T283" i="40"/>
  <c r="S160" i="40"/>
  <c r="R90" i="40"/>
  <c r="R160" i="40"/>
  <c r="T259" i="40"/>
  <c r="T308" i="40"/>
  <c r="U75" i="40"/>
  <c r="T160" i="40"/>
  <c r="U90" i="40"/>
  <c r="U259" i="40"/>
  <c r="S308" i="40"/>
  <c r="R329" i="40"/>
  <c r="S193" i="40"/>
  <c r="T90" i="40"/>
  <c r="T329" i="40"/>
  <c r="T116" i="40"/>
  <c r="U193" i="40"/>
  <c r="T163" i="40"/>
  <c r="R259" i="40"/>
  <c r="U283" i="40"/>
  <c r="R214" i="40"/>
  <c r="U116" i="40"/>
  <c r="R116" i="40"/>
  <c r="S283" i="40"/>
  <c r="S229" i="40"/>
  <c r="R229" i="40"/>
  <c r="R314" i="40"/>
  <c r="T170" i="40"/>
  <c r="R170" i="40"/>
  <c r="R265" i="40"/>
  <c r="U170" i="40"/>
  <c r="U121" i="40"/>
  <c r="S136" i="40"/>
  <c r="U59" i="40"/>
  <c r="S113" i="40"/>
  <c r="T110" i="40"/>
  <c r="U229" i="40"/>
  <c r="U156" i="40"/>
  <c r="T173" i="40"/>
  <c r="R328" i="40"/>
  <c r="T242" i="40"/>
  <c r="U105" i="40"/>
  <c r="R261" i="40"/>
  <c r="T105" i="40"/>
  <c r="T261" i="40"/>
  <c r="S184" i="40"/>
  <c r="R142" i="40"/>
  <c r="S76" i="40"/>
  <c r="R338" i="40"/>
  <c r="U261" i="40"/>
  <c r="R173" i="40"/>
  <c r="R184" i="40"/>
  <c r="S237" i="40"/>
  <c r="T227" i="40"/>
  <c r="R242" i="40"/>
  <c r="S328" i="40"/>
  <c r="U128" i="40"/>
  <c r="R76" i="40"/>
  <c r="U338" i="40"/>
  <c r="U173" i="40"/>
  <c r="U134" i="40"/>
  <c r="S242" i="40"/>
  <c r="T184" i="40"/>
  <c r="R226" i="40"/>
  <c r="T312" i="40"/>
  <c r="T76" i="40"/>
  <c r="S302" i="40"/>
  <c r="R168" i="40"/>
  <c r="T179" i="40"/>
  <c r="T156" i="40"/>
  <c r="S294" i="40"/>
  <c r="T134" i="40"/>
  <c r="U214" i="40"/>
  <c r="R237" i="40"/>
  <c r="R271" i="40"/>
  <c r="S332" i="40"/>
  <c r="S134" i="40"/>
  <c r="R285" i="40"/>
  <c r="U271" i="40"/>
  <c r="R332" i="40"/>
  <c r="R249" i="40"/>
  <c r="T128" i="40"/>
  <c r="R102" i="40"/>
  <c r="S271" i="40"/>
  <c r="T249" i="40"/>
  <c r="R325" i="40"/>
  <c r="T200" i="40"/>
  <c r="S121" i="40"/>
  <c r="R270" i="40"/>
  <c r="S128" i="40"/>
  <c r="U102" i="40"/>
  <c r="R196" i="40"/>
  <c r="U325" i="40"/>
  <c r="S200" i="40"/>
  <c r="R121" i="40"/>
  <c r="U237" i="40"/>
  <c r="S191" i="40"/>
  <c r="T102" i="40"/>
  <c r="U196" i="40"/>
  <c r="R156" i="40"/>
  <c r="U302" i="40"/>
  <c r="R200" i="40"/>
  <c r="R191" i="40"/>
  <c r="S317" i="40"/>
  <c r="U340" i="40"/>
  <c r="U98" i="40"/>
  <c r="T144" i="40"/>
  <c r="S340" i="40"/>
  <c r="U318" i="40"/>
  <c r="R212" i="40"/>
  <c r="T318" i="40"/>
  <c r="S337" i="40"/>
  <c r="S117" i="40"/>
  <c r="R318" i="40"/>
  <c r="U337" i="40"/>
  <c r="S124" i="40"/>
  <c r="S254" i="40"/>
  <c r="R136" i="40"/>
  <c r="R337" i="40"/>
  <c r="R254" i="40"/>
  <c r="U93" i="40"/>
  <c r="U136" i="40"/>
  <c r="R331" i="40"/>
  <c r="S224" i="40"/>
  <c r="S92" i="40"/>
  <c r="T59" i="40"/>
  <c r="T331" i="40"/>
  <c r="R224" i="40"/>
  <c r="U176" i="40"/>
  <c r="S104" i="40"/>
  <c r="R176" i="40"/>
  <c r="T199" i="40"/>
  <c r="T104" i="40"/>
  <c r="T333" i="40"/>
  <c r="S176" i="40"/>
  <c r="T284" i="40"/>
  <c r="U104" i="40"/>
  <c r="U120" i="40"/>
  <c r="S333" i="40"/>
  <c r="T270" i="40"/>
  <c r="T147" i="40"/>
  <c r="R227" i="40"/>
  <c r="R252" i="40"/>
  <c r="R302" i="40"/>
  <c r="T219" i="40"/>
  <c r="T93" i="40"/>
  <c r="R317" i="40"/>
  <c r="S219" i="40"/>
  <c r="T98" i="40"/>
  <c r="T317" i="40"/>
  <c r="S168" i="40"/>
  <c r="T265" i="40"/>
  <c r="R92" i="40"/>
  <c r="T297" i="40"/>
  <c r="U251" i="40"/>
  <c r="Q319" i="40"/>
  <c r="S319" i="40" s="1"/>
  <c r="U91" i="40"/>
  <c r="R297" i="40"/>
  <c r="T251" i="40"/>
  <c r="R91" i="40"/>
  <c r="S68" i="40"/>
  <c r="S297" i="40"/>
  <c r="S251" i="40"/>
  <c r="T91" i="40"/>
  <c r="R68" i="40"/>
  <c r="U309" i="40"/>
  <c r="T196" i="40"/>
  <c r="U294" i="40"/>
  <c r="S249" i="40"/>
  <c r="U142" i="40"/>
  <c r="S147" i="40"/>
  <c r="T68" i="40"/>
  <c r="U227" i="40"/>
  <c r="U209" i="40"/>
  <c r="S252" i="40"/>
  <c r="T309" i="40"/>
  <c r="U332" i="40"/>
  <c r="U328" i="40"/>
  <c r="R294" i="40"/>
  <c r="T142" i="40"/>
  <c r="T112" i="40"/>
  <c r="U191" i="40"/>
  <c r="T224" i="40"/>
  <c r="R105" i="40"/>
  <c r="S309" i="40"/>
  <c r="R339" i="40"/>
  <c r="S199" i="40"/>
  <c r="T281" i="40"/>
  <c r="T339" i="40"/>
  <c r="T254" i="40"/>
  <c r="T85" i="40"/>
  <c r="U92" i="40"/>
  <c r="R179" i="40"/>
  <c r="U124" i="40"/>
  <c r="R85" i="40"/>
  <c r="U179" i="40"/>
  <c r="Q208" i="40"/>
  <c r="U208" i="40" s="1"/>
  <c r="T338" i="40"/>
  <c r="R175" i="40"/>
  <c r="U301" i="40"/>
  <c r="S175" i="40"/>
  <c r="T340" i="40"/>
  <c r="R281" i="40"/>
  <c r="S323" i="40"/>
  <c r="U311" i="40"/>
  <c r="R117" i="40"/>
  <c r="T301" i="40"/>
  <c r="T175" i="40"/>
  <c r="T311" i="40"/>
  <c r="S188" i="40"/>
  <c r="U212" i="40"/>
  <c r="U306" i="40"/>
  <c r="S164" i="40"/>
  <c r="U281" i="40"/>
  <c r="S225" i="40"/>
  <c r="S278" i="40"/>
  <c r="S226" i="40"/>
  <c r="T209" i="40"/>
  <c r="T323" i="40"/>
  <c r="S220" i="40"/>
  <c r="S85" i="40"/>
  <c r="S301" i="40"/>
  <c r="T188" i="40"/>
  <c r="S306" i="40"/>
  <c r="T164" i="40"/>
  <c r="U278" i="40"/>
  <c r="S59" i="40"/>
  <c r="U117" i="40"/>
  <c r="S311" i="40"/>
  <c r="U188" i="40"/>
  <c r="T212" i="40"/>
  <c r="T306" i="40"/>
  <c r="R164" i="40"/>
  <c r="U285" i="40"/>
  <c r="R124" i="40"/>
  <c r="T225" i="40"/>
  <c r="R278" i="40"/>
  <c r="U226" i="40"/>
  <c r="S209" i="40"/>
  <c r="R284" i="40"/>
  <c r="S285" i="40"/>
  <c r="R225" i="40"/>
  <c r="U323" i="40"/>
  <c r="Q97" i="40"/>
  <c r="U97" i="40" s="1"/>
  <c r="R112" i="40"/>
  <c r="S284" i="40"/>
  <c r="U199" i="40"/>
  <c r="Q80" i="40"/>
  <c r="R80" i="40" s="1"/>
  <c r="Q67" i="40"/>
  <c r="U67" i="40" s="1"/>
  <c r="S314" i="40"/>
  <c r="S325" i="40"/>
  <c r="S214" i="40"/>
  <c r="T168" i="40"/>
  <c r="S339" i="40"/>
  <c r="S270" i="40"/>
  <c r="U220" i="40"/>
  <c r="R220" i="40"/>
  <c r="Q126" i="40"/>
  <c r="R126" i="40" s="1"/>
  <c r="Q290" i="40"/>
  <c r="U290" i="40" s="1"/>
  <c r="U147" i="40"/>
  <c r="S112" i="40"/>
  <c r="S331" i="40"/>
  <c r="U252" i="40"/>
  <c r="S265" i="40"/>
  <c r="Q169" i="40"/>
  <c r="U169" i="40" s="1"/>
  <c r="Q72" i="40"/>
  <c r="T72" i="40" s="1"/>
  <c r="Q274" i="40"/>
  <c r="S274" i="40" s="1"/>
  <c r="Q262" i="40"/>
  <c r="U262" i="40" s="1"/>
  <c r="Q186" i="40"/>
  <c r="S186" i="40" s="1"/>
  <c r="Q143" i="40"/>
  <c r="U143" i="40" s="1"/>
  <c r="Q248" i="40"/>
  <c r="T248" i="40" s="1"/>
  <c r="Q150" i="40"/>
  <c r="U150" i="40" s="1"/>
  <c r="T314" i="40"/>
  <c r="Q240" i="40"/>
  <c r="R240" i="40" s="1"/>
  <c r="Q202" i="40"/>
  <c r="T202" i="40" s="1"/>
  <c r="Q132" i="40"/>
  <c r="T132" i="40" s="1"/>
  <c r="Q66" i="40"/>
  <c r="T66" i="40" s="1"/>
  <c r="S96" i="40"/>
  <c r="U96" i="40"/>
  <c r="T96" i="40"/>
  <c r="R96" i="40"/>
  <c r="Q74" i="40"/>
  <c r="R74" i="40" s="1"/>
  <c r="Q158" i="40"/>
  <c r="T158" i="40" s="1"/>
  <c r="Q221" i="40"/>
  <c r="S221" i="40" s="1"/>
  <c r="Q280" i="40"/>
  <c r="S280" i="40" s="1"/>
  <c r="T287" i="40"/>
  <c r="S287" i="40"/>
  <c r="R287" i="40"/>
  <c r="U287" i="40"/>
  <c r="Q148" i="40"/>
  <c r="R288" i="40"/>
  <c r="T288" i="40"/>
  <c r="S288" i="40"/>
  <c r="U288" i="40"/>
  <c r="R266" i="40"/>
  <c r="T266" i="40"/>
  <c r="U266" i="40"/>
  <c r="S266" i="40"/>
  <c r="R183" i="40"/>
  <c r="T183" i="40"/>
  <c r="U183" i="40"/>
  <c r="S183" i="40"/>
  <c r="Q111" i="40"/>
  <c r="Q100" i="40"/>
  <c r="S106" i="40"/>
  <c r="T106" i="40"/>
  <c r="U106" i="40"/>
  <c r="R106" i="40"/>
  <c r="T330" i="40"/>
  <c r="U330" i="40"/>
  <c r="R330" i="40"/>
  <c r="S330" i="40"/>
  <c r="Q275" i="40"/>
  <c r="S95" i="40"/>
  <c r="T95" i="40"/>
  <c r="R95" i="40"/>
  <c r="U95" i="40"/>
  <c r="S299" i="40"/>
  <c r="R299" i="40"/>
  <c r="T299" i="40"/>
  <c r="U299" i="40"/>
  <c r="R316" i="40"/>
  <c r="T316" i="40"/>
  <c r="S316" i="40"/>
  <c r="U316" i="40"/>
  <c r="Q207" i="40"/>
  <c r="T230" i="40"/>
  <c r="U230" i="40"/>
  <c r="R230" i="40"/>
  <c r="S230" i="40"/>
  <c r="U305" i="40"/>
  <c r="R305" i="40"/>
  <c r="T305" i="40"/>
  <c r="S305" i="40"/>
  <c r="T114" i="40"/>
  <c r="U114" i="40"/>
  <c r="R114" i="40"/>
  <c r="S114" i="40"/>
  <c r="Q135" i="40"/>
  <c r="R256" i="40"/>
  <c r="S256" i="40"/>
  <c r="T256" i="40"/>
  <c r="U256" i="40"/>
  <c r="U198" i="40"/>
  <c r="R198" i="40"/>
  <c r="S198" i="40"/>
  <c r="T198" i="40"/>
  <c r="R157" i="40"/>
  <c r="S157" i="40"/>
  <c r="T157" i="40"/>
  <c r="U157" i="40"/>
  <c r="T295" i="40"/>
  <c r="U295" i="40"/>
  <c r="R295" i="40"/>
  <c r="S295" i="40"/>
  <c r="Q180" i="40"/>
  <c r="Q165" i="40"/>
  <c r="T56" i="40"/>
  <c r="U56" i="40"/>
  <c r="S56" i="40"/>
  <c r="R56" i="40"/>
  <c r="U326" i="40"/>
  <c r="T326" i="40"/>
  <c r="R326" i="40"/>
  <c r="S326" i="40"/>
  <c r="R236" i="40"/>
  <c r="S236" i="40"/>
  <c r="T236" i="40"/>
  <c r="U236" i="40"/>
  <c r="R101" i="40"/>
  <c r="U101" i="40"/>
  <c r="T101" i="40"/>
  <c r="S101" i="40"/>
  <c r="U341" i="40"/>
  <c r="T341" i="40"/>
  <c r="R341" i="40"/>
  <c r="S341" i="40"/>
  <c r="Q149" i="40"/>
  <c r="S292" i="40"/>
  <c r="T292" i="40"/>
  <c r="U292" i="40"/>
  <c r="R292" i="40"/>
  <c r="T177" i="40"/>
  <c r="S177" i="40"/>
  <c r="R177" i="40"/>
  <c r="U177" i="40"/>
  <c r="S119" i="40"/>
  <c r="T119" i="40"/>
  <c r="U119" i="40"/>
  <c r="R119" i="40"/>
  <c r="Q213" i="40"/>
  <c r="T286" i="40"/>
  <c r="R286" i="40"/>
  <c r="S286" i="40"/>
  <c r="U286" i="40"/>
  <c r="S235" i="40"/>
  <c r="T235" i="40"/>
  <c r="R235" i="40"/>
  <c r="U235" i="40"/>
  <c r="T94" i="40"/>
  <c r="S94" i="40"/>
  <c r="U94" i="40"/>
  <c r="R94" i="40"/>
  <c r="Q187" i="40"/>
  <c r="Q83" i="40"/>
  <c r="S78" i="40"/>
  <c r="T78" i="40"/>
  <c r="R78" i="40"/>
  <c r="U78" i="40"/>
  <c r="S167" i="40"/>
  <c r="R167" i="40"/>
  <c r="T167" i="40"/>
  <c r="U167" i="40"/>
  <c r="Q192" i="40"/>
  <c r="R131" i="40"/>
  <c r="U131" i="40"/>
  <c r="S131" i="40"/>
  <c r="T131" i="40"/>
  <c r="Q263" i="40"/>
  <c r="U216" i="40"/>
  <c r="R216" i="40"/>
  <c r="S216" i="40"/>
  <c r="T216" i="40"/>
  <c r="R260" i="40"/>
  <c r="S260" i="40"/>
  <c r="T260" i="40"/>
  <c r="U260" i="40"/>
  <c r="R222" i="40"/>
  <c r="S222" i="40"/>
  <c r="U222" i="40"/>
  <c r="T222" i="40"/>
  <c r="S153" i="40"/>
  <c r="T153" i="40"/>
  <c r="R153" i="40"/>
  <c r="U153" i="40"/>
  <c r="Q181" i="40"/>
  <c r="U273" i="40"/>
  <c r="S273" i="40"/>
  <c r="T273" i="40"/>
  <c r="R273" i="40"/>
  <c r="U289" i="40"/>
  <c r="T289" i="40"/>
  <c r="R289" i="40"/>
  <c r="S289" i="40"/>
  <c r="T255" i="40"/>
  <c r="S255" i="40"/>
  <c r="R255" i="40"/>
  <c r="U255" i="40"/>
  <c r="S201" i="40"/>
  <c r="T201" i="40"/>
  <c r="U201" i="40"/>
  <c r="R201" i="40"/>
  <c r="R171" i="40"/>
  <c r="S171" i="40"/>
  <c r="U171" i="40"/>
  <c r="T171" i="40"/>
  <c r="R154" i="40"/>
  <c r="S154" i="40"/>
  <c r="T154" i="40"/>
  <c r="U154" i="40"/>
  <c r="U233" i="40"/>
  <c r="R233" i="40"/>
  <c r="S233" i="40"/>
  <c r="T233" i="40"/>
  <c r="R152" i="40"/>
  <c r="U152" i="40"/>
  <c r="T152" i="40"/>
  <c r="S152" i="40"/>
  <c r="Q162" i="40"/>
  <c r="R324" i="40"/>
  <c r="T324" i="40"/>
  <c r="S324" i="40"/>
  <c r="U324" i="40"/>
  <c r="R231" i="40"/>
  <c r="S231" i="40"/>
  <c r="T231" i="40"/>
  <c r="U231" i="40"/>
  <c r="S217" i="40"/>
  <c r="R217" i="40"/>
  <c r="T217" i="40"/>
  <c r="U217" i="40"/>
  <c r="R141" i="40"/>
  <c r="T141" i="40"/>
  <c r="U141" i="40"/>
  <c r="S141" i="40"/>
  <c r="S182" i="40"/>
  <c r="T182" i="40"/>
  <c r="U182" i="40"/>
  <c r="R182" i="40"/>
  <c r="T322" i="40"/>
  <c r="U322" i="40"/>
  <c r="R322" i="40"/>
  <c r="S322" i="40"/>
  <c r="R155" i="40"/>
  <c r="U155" i="40"/>
  <c r="T155" i="40"/>
  <c r="S155" i="40"/>
  <c r="R206" i="40"/>
  <c r="S206" i="40"/>
  <c r="T206" i="40"/>
  <c r="U206" i="40"/>
  <c r="R239" i="40"/>
  <c r="S239" i="40"/>
  <c r="T239" i="40"/>
  <c r="U239" i="40"/>
  <c r="U195" i="40"/>
  <c r="R195" i="40"/>
  <c r="S195" i="40"/>
  <c r="T195" i="40"/>
  <c r="R139" i="40"/>
  <c r="S139" i="40"/>
  <c r="T139" i="40"/>
  <c r="U139" i="40"/>
  <c r="Q82" i="40"/>
  <c r="U151" i="40"/>
  <c r="R151" i="40"/>
  <c r="S151" i="40"/>
  <c r="T151" i="40"/>
  <c r="Q69" i="40"/>
  <c r="R204" i="40"/>
  <c r="S204" i="40"/>
  <c r="T204" i="40"/>
  <c r="U204" i="40"/>
  <c r="R321" i="40"/>
  <c r="S321" i="40"/>
  <c r="U321" i="40"/>
  <c r="T321" i="40"/>
  <c r="R320" i="40"/>
  <c r="S320" i="40"/>
  <c r="T320" i="40"/>
  <c r="U320" i="40"/>
  <c r="Q296" i="40"/>
  <c r="Q127" i="40"/>
  <c r="Q313" i="40"/>
  <c r="S166" i="40"/>
  <c r="R166" i="40"/>
  <c r="T166" i="40"/>
  <c r="U166" i="40"/>
  <c r="Q159" i="40"/>
  <c r="Q118" i="40"/>
  <c r="S282" i="40"/>
  <c r="T282" i="40"/>
  <c r="U282" i="40"/>
  <c r="R282" i="40"/>
  <c r="T228" i="40"/>
  <c r="U228" i="40"/>
  <c r="S228" i="40"/>
  <c r="R228" i="40"/>
  <c r="Q145" i="40"/>
  <c r="U73" i="40"/>
  <c r="T73" i="40"/>
  <c r="R73" i="40"/>
  <c r="S73" i="40"/>
  <c r="Q89" i="40"/>
  <c r="Q87" i="40"/>
  <c r="R276" i="40"/>
  <c r="U276" i="40"/>
  <c r="S276" i="40"/>
  <c r="T276" i="40"/>
  <c r="Q247" i="40"/>
  <c r="Q109" i="40"/>
  <c r="R334" i="40"/>
  <c r="T334" i="40"/>
  <c r="S334" i="40"/>
  <c r="U334" i="40"/>
  <c r="S194" i="40"/>
  <c r="R194" i="40"/>
  <c r="T194" i="40"/>
  <c r="U194" i="40"/>
  <c r="Q211" i="40"/>
  <c r="Q107" i="40"/>
  <c r="T60" i="40"/>
  <c r="U60" i="40"/>
  <c r="S60" i="40"/>
  <c r="R60" i="40"/>
  <c r="Q99" i="40"/>
  <c r="R244" i="40"/>
  <c r="T244" i="40"/>
  <c r="U244" i="40"/>
  <c r="S244" i="40"/>
  <c r="U241" i="40"/>
  <c r="R241" i="40"/>
  <c r="S241" i="40"/>
  <c r="T241" i="40"/>
  <c r="S315" i="40"/>
  <c r="R315" i="40"/>
  <c r="U315" i="40"/>
  <c r="T315" i="40"/>
  <c r="T57" i="40"/>
  <c r="U57" i="40"/>
  <c r="R57" i="40"/>
  <c r="S57" i="40"/>
  <c r="Q307" i="40"/>
  <c r="R58" i="40"/>
  <c r="S58" i="40"/>
  <c r="T58" i="40"/>
  <c r="U58" i="40"/>
  <c r="S174" i="40"/>
  <c r="T174" i="40"/>
  <c r="R174" i="40"/>
  <c r="U174" i="40"/>
  <c r="T269" i="40"/>
  <c r="U269" i="40"/>
  <c r="R269" i="40"/>
  <c r="S269" i="40"/>
  <c r="T268" i="40"/>
  <c r="S268" i="40"/>
  <c r="R268" i="40"/>
  <c r="U268" i="40"/>
  <c r="Q218" i="40"/>
  <c r="Q137" i="40"/>
  <c r="Q61" i="40"/>
  <c r="S125" i="40"/>
  <c r="T125" i="40"/>
  <c r="R125" i="40"/>
  <c r="U125" i="40"/>
  <c r="T161" i="40"/>
  <c r="R161" i="40"/>
  <c r="S161" i="40"/>
  <c r="U161" i="40"/>
  <c r="S130" i="40"/>
  <c r="T130" i="40"/>
  <c r="R130" i="40"/>
  <c r="U130" i="40"/>
  <c r="T77" i="40"/>
  <c r="U77" i="40"/>
  <c r="S77" i="40"/>
  <c r="R77" i="40"/>
  <c r="U257" i="40"/>
  <c r="S257" i="40"/>
  <c r="R257" i="40"/>
  <c r="T257" i="40"/>
  <c r="T336" i="40"/>
  <c r="R336" i="40"/>
  <c r="S336" i="40"/>
  <c r="U336" i="40"/>
  <c r="Q267" i="40"/>
  <c r="R190" i="40"/>
  <c r="U190" i="40"/>
  <c r="S190" i="40"/>
  <c r="T190" i="40"/>
  <c r="Q185" i="40"/>
  <c r="S122" i="40"/>
  <c r="T122" i="40"/>
  <c r="R122" i="40"/>
  <c r="U122" i="40"/>
  <c r="T303" i="40"/>
  <c r="R303" i="40"/>
  <c r="U303" i="40"/>
  <c r="S303" i="40"/>
  <c r="Q197" i="40"/>
  <c r="Q264" i="40"/>
  <c r="Q189" i="40"/>
  <c r="Q205" i="40"/>
  <c r="R253" i="40"/>
  <c r="U253" i="40"/>
  <c r="S253" i="40"/>
  <c r="T253" i="40"/>
  <c r="Q310" i="40"/>
  <c r="Q140" i="40"/>
  <c r="Q258" i="40"/>
  <c r="Q178" i="40"/>
  <c r="Q327" i="40"/>
  <c r="U172" i="40"/>
  <c r="R172" i="40"/>
  <c r="S172" i="40"/>
  <c r="T172" i="40"/>
  <c r="Q129" i="40"/>
  <c r="Q123" i="40"/>
  <c r="Q138" i="40"/>
  <c r="Q79" i="40"/>
  <c r="T300" i="40"/>
  <c r="R300" i="40"/>
  <c r="U300" i="40"/>
  <c r="S300" i="40"/>
  <c r="Q243" i="40"/>
  <c r="U279" i="40"/>
  <c r="R279" i="40"/>
  <c r="S279" i="40"/>
  <c r="T279" i="40"/>
  <c r="S291" i="40"/>
  <c r="R291" i="40"/>
  <c r="U291" i="40"/>
  <c r="T291" i="40"/>
  <c r="Q65" i="40"/>
  <c r="Q133" i="40"/>
  <c r="R88" i="40"/>
  <c r="S88" i="40"/>
  <c r="T88" i="40"/>
  <c r="U88" i="40"/>
  <c r="Q108" i="40"/>
  <c r="S86" i="40"/>
  <c r="T86" i="40"/>
  <c r="U86" i="40"/>
  <c r="R86" i="40"/>
  <c r="R272" i="40"/>
  <c r="S272" i="40"/>
  <c r="T272" i="40"/>
  <c r="U272" i="40"/>
  <c r="R304" i="40"/>
  <c r="T304" i="40"/>
  <c r="S304" i="40"/>
  <c r="U304" i="40"/>
  <c r="U115" i="40"/>
  <c r="R115" i="40"/>
  <c r="S115" i="40"/>
  <c r="T115" i="40"/>
  <c r="R234" i="40"/>
  <c r="S234" i="40"/>
  <c r="T234" i="40"/>
  <c r="U234" i="40"/>
  <c r="R250" i="40"/>
  <c r="S250" i="40"/>
  <c r="T250" i="40"/>
  <c r="U250" i="40"/>
  <c r="Q210" i="40"/>
  <c r="Q335" i="40"/>
  <c r="Q238" i="40"/>
  <c r="Q232" i="40"/>
  <c r="Q62" i="40"/>
  <c r="Q146" i="40"/>
  <c r="Q223" i="40"/>
  <c r="S298" i="40"/>
  <c r="T298" i="40"/>
  <c r="U298" i="40"/>
  <c r="R298" i="40"/>
  <c r="Q81" i="40"/>
  <c r="S103" i="40" l="1"/>
  <c r="U144" i="40"/>
  <c r="R144" i="40"/>
  <c r="S75" i="40"/>
  <c r="S158" i="40"/>
  <c r="S208" i="40"/>
  <c r="R208" i="40"/>
  <c r="T208" i="40"/>
  <c r="S150" i="40"/>
  <c r="S290" i="40"/>
  <c r="R72" i="40"/>
  <c r="S72" i="40"/>
  <c r="T150" i="40"/>
  <c r="U72" i="40"/>
  <c r="S74" i="40"/>
  <c r="U240" i="40"/>
  <c r="R319" i="40"/>
  <c r="T240" i="40"/>
  <c r="S240" i="40"/>
  <c r="T80" i="40"/>
  <c r="U74" i="40"/>
  <c r="R290" i="40"/>
  <c r="U319" i="40"/>
  <c r="T74" i="40"/>
  <c r="T169" i="40"/>
  <c r="T319" i="40"/>
  <c r="R262" i="40"/>
  <c r="U126" i="40"/>
  <c r="U66" i="40"/>
  <c r="U280" i="40"/>
  <c r="S66" i="40"/>
  <c r="R280" i="40"/>
  <c r="S132" i="40"/>
  <c r="S262" i="40"/>
  <c r="T97" i="40"/>
  <c r="S97" i="40"/>
  <c r="S126" i="40"/>
  <c r="T126" i="40"/>
  <c r="R158" i="40"/>
  <c r="U132" i="40"/>
  <c r="R97" i="40"/>
  <c r="U221" i="40"/>
  <c r="U202" i="40"/>
  <c r="R274" i="40"/>
  <c r="T280" i="40"/>
  <c r="T221" i="40"/>
  <c r="S202" i="40"/>
  <c r="T186" i="40"/>
  <c r="T274" i="40"/>
  <c r="R150" i="40"/>
  <c r="R67" i="40"/>
  <c r="S80" i="40"/>
  <c r="S67" i="40"/>
  <c r="U80" i="40"/>
  <c r="R66" i="40"/>
  <c r="R186" i="40"/>
  <c r="T67" i="40"/>
  <c r="R169" i="40"/>
  <c r="U186" i="40"/>
  <c r="S169" i="40"/>
  <c r="R143" i="40"/>
  <c r="U248" i="40"/>
  <c r="S248" i="40"/>
  <c r="R132" i="40"/>
  <c r="R248" i="40"/>
  <c r="T262" i="40"/>
  <c r="U274" i="40"/>
  <c r="S143" i="40"/>
  <c r="T143" i="40"/>
  <c r="T290" i="40"/>
  <c r="R221" i="40"/>
  <c r="U158" i="40"/>
  <c r="R202" i="40"/>
  <c r="R62" i="40"/>
  <c r="S62" i="40"/>
  <c r="U62" i="40"/>
  <c r="T62" i="40"/>
  <c r="T129" i="40"/>
  <c r="U129" i="40"/>
  <c r="R129" i="40"/>
  <c r="S129" i="40"/>
  <c r="T140" i="40"/>
  <c r="U140" i="40"/>
  <c r="S140" i="40"/>
  <c r="R140" i="40"/>
  <c r="R264" i="40"/>
  <c r="U264" i="40"/>
  <c r="S264" i="40"/>
  <c r="T264" i="40"/>
  <c r="S61" i="40"/>
  <c r="T61" i="40"/>
  <c r="R61" i="40"/>
  <c r="U61" i="40"/>
  <c r="U109" i="40"/>
  <c r="T109" i="40"/>
  <c r="S109" i="40"/>
  <c r="R109" i="40"/>
  <c r="S83" i="40"/>
  <c r="R83" i="40"/>
  <c r="T83" i="40"/>
  <c r="U83" i="40"/>
  <c r="R165" i="40"/>
  <c r="S165" i="40"/>
  <c r="T165" i="40"/>
  <c r="U165" i="40"/>
  <c r="T81" i="40"/>
  <c r="S81" i="40"/>
  <c r="R81" i="40"/>
  <c r="U81" i="40"/>
  <c r="R232" i="40"/>
  <c r="S232" i="40"/>
  <c r="T232" i="40"/>
  <c r="U232" i="40"/>
  <c r="R79" i="40"/>
  <c r="T79" i="40"/>
  <c r="S79" i="40"/>
  <c r="U79" i="40"/>
  <c r="T310" i="40"/>
  <c r="U310" i="40"/>
  <c r="S310" i="40"/>
  <c r="R310" i="40"/>
  <c r="T197" i="40"/>
  <c r="R197" i="40"/>
  <c r="S197" i="40"/>
  <c r="U197" i="40"/>
  <c r="S137" i="40"/>
  <c r="T137" i="40"/>
  <c r="R137" i="40"/>
  <c r="U137" i="40"/>
  <c r="R99" i="40"/>
  <c r="U99" i="40"/>
  <c r="S99" i="40"/>
  <c r="T99" i="40"/>
  <c r="R247" i="40"/>
  <c r="U247" i="40"/>
  <c r="S247" i="40"/>
  <c r="T247" i="40"/>
  <c r="T181" i="40"/>
  <c r="S181" i="40"/>
  <c r="R181" i="40"/>
  <c r="U181" i="40"/>
  <c r="U187" i="40"/>
  <c r="R187" i="40"/>
  <c r="S187" i="40"/>
  <c r="T187" i="40"/>
  <c r="S180" i="40"/>
  <c r="R180" i="40"/>
  <c r="T180" i="40"/>
  <c r="U180" i="40"/>
  <c r="T238" i="40"/>
  <c r="U238" i="40"/>
  <c r="R238" i="40"/>
  <c r="S238" i="40"/>
  <c r="T133" i="40"/>
  <c r="U133" i="40"/>
  <c r="S133" i="40"/>
  <c r="R133" i="40"/>
  <c r="R185" i="40"/>
  <c r="S185" i="40"/>
  <c r="T185" i="40"/>
  <c r="U185" i="40"/>
  <c r="S218" i="40"/>
  <c r="U218" i="40"/>
  <c r="T218" i="40"/>
  <c r="R218" i="40"/>
  <c r="R263" i="40"/>
  <c r="S263" i="40"/>
  <c r="T263" i="40"/>
  <c r="U263" i="40"/>
  <c r="U135" i="40"/>
  <c r="T135" i="40"/>
  <c r="R135" i="40"/>
  <c r="S135" i="40"/>
  <c r="S335" i="40"/>
  <c r="U335" i="40"/>
  <c r="T335" i="40"/>
  <c r="R335" i="40"/>
  <c r="U65" i="40"/>
  <c r="T65" i="40"/>
  <c r="R65" i="40"/>
  <c r="S65" i="40"/>
  <c r="S307" i="40"/>
  <c r="U307" i="40"/>
  <c r="R307" i="40"/>
  <c r="T307" i="40"/>
  <c r="U313" i="40"/>
  <c r="R313" i="40"/>
  <c r="S313" i="40"/>
  <c r="T313" i="40"/>
  <c r="S82" i="40"/>
  <c r="T82" i="40"/>
  <c r="R82" i="40"/>
  <c r="U82" i="40"/>
  <c r="R149" i="40"/>
  <c r="U149" i="40"/>
  <c r="T149" i="40"/>
  <c r="S149" i="40"/>
  <c r="T148" i="40"/>
  <c r="U148" i="40"/>
  <c r="S148" i="40"/>
  <c r="R148" i="40"/>
  <c r="S210" i="40"/>
  <c r="R210" i="40"/>
  <c r="T210" i="40"/>
  <c r="U210" i="40"/>
  <c r="S243" i="40"/>
  <c r="T243" i="40"/>
  <c r="U243" i="40"/>
  <c r="R243" i="40"/>
  <c r="S145" i="40"/>
  <c r="T145" i="40"/>
  <c r="R145" i="40"/>
  <c r="U145" i="40"/>
  <c r="S127" i="40"/>
  <c r="T127" i="40"/>
  <c r="R127" i="40"/>
  <c r="U127" i="40"/>
  <c r="U162" i="40"/>
  <c r="R162" i="40"/>
  <c r="S162" i="40"/>
  <c r="T162" i="40"/>
  <c r="S275" i="40"/>
  <c r="R275" i="40"/>
  <c r="T275" i="40"/>
  <c r="U275" i="40"/>
  <c r="R108" i="40"/>
  <c r="S108" i="40"/>
  <c r="U108" i="40"/>
  <c r="T108" i="40"/>
  <c r="S327" i="40"/>
  <c r="T327" i="40"/>
  <c r="U327" i="40"/>
  <c r="R327" i="40"/>
  <c r="T118" i="40"/>
  <c r="S118" i="40"/>
  <c r="R118" i="40"/>
  <c r="U118" i="40"/>
  <c r="R296" i="40"/>
  <c r="T296" i="40"/>
  <c r="U296" i="40"/>
  <c r="S296" i="40"/>
  <c r="U100" i="40"/>
  <c r="T100" i="40"/>
  <c r="R100" i="40"/>
  <c r="S100" i="40"/>
  <c r="T223" i="40"/>
  <c r="U223" i="40"/>
  <c r="S223" i="40"/>
  <c r="R223" i="40"/>
  <c r="U138" i="40"/>
  <c r="R138" i="40"/>
  <c r="S138" i="40"/>
  <c r="T138" i="40"/>
  <c r="R178" i="40"/>
  <c r="S178" i="40"/>
  <c r="T178" i="40"/>
  <c r="U178" i="40"/>
  <c r="T205" i="40"/>
  <c r="U205" i="40"/>
  <c r="S205" i="40"/>
  <c r="R205" i="40"/>
  <c r="R107" i="40"/>
  <c r="S107" i="40"/>
  <c r="U107" i="40"/>
  <c r="T107" i="40"/>
  <c r="R87" i="40"/>
  <c r="U87" i="40"/>
  <c r="S87" i="40"/>
  <c r="T87" i="40"/>
  <c r="U159" i="40"/>
  <c r="R159" i="40"/>
  <c r="T159" i="40"/>
  <c r="S159" i="40"/>
  <c r="S69" i="40"/>
  <c r="T69" i="40"/>
  <c r="U69" i="40"/>
  <c r="R69" i="40"/>
  <c r="T213" i="40"/>
  <c r="R213" i="40"/>
  <c r="U213" i="40"/>
  <c r="S213" i="40"/>
  <c r="S111" i="40"/>
  <c r="T111" i="40"/>
  <c r="U111" i="40"/>
  <c r="R111" i="40"/>
  <c r="U146" i="40"/>
  <c r="T146" i="40"/>
  <c r="R146" i="40"/>
  <c r="S146" i="40"/>
  <c r="S123" i="40"/>
  <c r="R123" i="40"/>
  <c r="T123" i="40"/>
  <c r="U123" i="40"/>
  <c r="U258" i="40"/>
  <c r="T258" i="40"/>
  <c r="R258" i="40"/>
  <c r="S258" i="40"/>
  <c r="T189" i="40"/>
  <c r="S189" i="40"/>
  <c r="R189" i="40"/>
  <c r="U189" i="40"/>
  <c r="S267" i="40"/>
  <c r="R267" i="40"/>
  <c r="T267" i="40"/>
  <c r="U267" i="40"/>
  <c r="U211" i="40"/>
  <c r="T211" i="40"/>
  <c r="R211" i="40"/>
  <c r="S211" i="40"/>
  <c r="U89" i="40"/>
  <c r="T89" i="40"/>
  <c r="R89" i="40"/>
  <c r="S89" i="40"/>
  <c r="U192" i="40"/>
  <c r="T192" i="40"/>
  <c r="R192" i="40"/>
  <c r="S192" i="40"/>
  <c r="R207" i="40"/>
  <c r="S207" i="40"/>
  <c r="T207" i="40"/>
  <c r="U207" i="40"/>
  <c r="K434" i="44" l="1"/>
  <c r="K435" i="44"/>
  <c r="K436" i="44"/>
  <c r="K437" i="44"/>
  <c r="K438" i="44"/>
  <c r="K439" i="44"/>
  <c r="H434" i="44"/>
  <c r="H435" i="44"/>
  <c r="H436" i="44"/>
  <c r="H437" i="44"/>
  <c r="H438" i="44"/>
  <c r="H439" i="44"/>
  <c r="D434" i="44"/>
  <c r="D435" i="44"/>
  <c r="D436" i="44"/>
  <c r="D437" i="44"/>
  <c r="D438" i="44"/>
  <c r="D439" i="44"/>
  <c r="N423" i="44"/>
  <c r="N424" i="44"/>
  <c r="N425" i="44"/>
  <c r="N426" i="44"/>
  <c r="N427" i="44"/>
  <c r="N428" i="44"/>
  <c r="K423" i="44"/>
  <c r="K424" i="44"/>
  <c r="K425" i="44"/>
  <c r="K426" i="44"/>
  <c r="K427" i="44"/>
  <c r="K428" i="44"/>
  <c r="H423" i="44"/>
  <c r="H424" i="44"/>
  <c r="H425" i="44"/>
  <c r="H426" i="44"/>
  <c r="H427" i="44"/>
  <c r="H428" i="44"/>
  <c r="D423" i="44"/>
  <c r="D424" i="44"/>
  <c r="D425" i="44"/>
  <c r="D426" i="44"/>
  <c r="D427" i="44"/>
  <c r="D428" i="44"/>
  <c r="T410" i="44"/>
  <c r="T411" i="44"/>
  <c r="T412" i="44"/>
  <c r="T413" i="44"/>
  <c r="T414" i="44"/>
  <c r="T415" i="44"/>
  <c r="R410" i="44"/>
  <c r="R411" i="44"/>
  <c r="R412" i="44"/>
  <c r="R413" i="44"/>
  <c r="R414" i="44"/>
  <c r="R415" i="44"/>
  <c r="P410" i="44"/>
  <c r="P411" i="44"/>
  <c r="P412" i="44"/>
  <c r="P413" i="44"/>
  <c r="P414" i="44"/>
  <c r="P415" i="44"/>
  <c r="K410" i="44"/>
  <c r="K411" i="44"/>
  <c r="K412" i="44"/>
  <c r="K413" i="44"/>
  <c r="K414" i="44"/>
  <c r="K415" i="44"/>
  <c r="G409" i="44"/>
  <c r="G410" i="44"/>
  <c r="G411" i="44"/>
  <c r="G412" i="44"/>
  <c r="G413" i="44"/>
  <c r="G414" i="44"/>
  <c r="G415" i="44"/>
  <c r="E409" i="44"/>
  <c r="E410" i="44"/>
  <c r="E411" i="44"/>
  <c r="E412" i="44"/>
  <c r="E413" i="44"/>
  <c r="E414" i="44"/>
  <c r="E415" i="44"/>
  <c r="D409" i="44"/>
  <c r="D410" i="44"/>
  <c r="D411" i="44"/>
  <c r="D412" i="44"/>
  <c r="D413" i="44"/>
  <c r="D414" i="44"/>
  <c r="D415" i="44"/>
  <c r="B409" i="44"/>
  <c r="B410" i="44"/>
  <c r="B411" i="44"/>
  <c r="B412" i="44"/>
  <c r="B413" i="44"/>
  <c r="B414" i="44"/>
  <c r="B415" i="44"/>
  <c r="T399" i="44"/>
  <c r="T400" i="44"/>
  <c r="T401" i="44"/>
  <c r="T402" i="44"/>
  <c r="T403" i="44"/>
  <c r="T404" i="44"/>
  <c r="T405" i="44"/>
  <c r="R399" i="44"/>
  <c r="R400" i="44"/>
  <c r="R401" i="44"/>
  <c r="R402" i="44"/>
  <c r="R403" i="44"/>
  <c r="R404" i="44"/>
  <c r="R405" i="44"/>
  <c r="P399" i="44"/>
  <c r="P400" i="44"/>
  <c r="P401" i="44"/>
  <c r="P402" i="44"/>
  <c r="P403" i="44"/>
  <c r="P404" i="44"/>
  <c r="P405" i="44"/>
  <c r="K399" i="44"/>
  <c r="K400" i="44"/>
  <c r="K401" i="44"/>
  <c r="K402" i="44"/>
  <c r="K403" i="44"/>
  <c r="K404" i="44"/>
  <c r="K405" i="44"/>
  <c r="B399" i="44"/>
  <c r="B400" i="44"/>
  <c r="B401" i="44"/>
  <c r="B402" i="44"/>
  <c r="B403" i="44"/>
  <c r="B404" i="44"/>
  <c r="B405" i="44"/>
  <c r="G399" i="44"/>
  <c r="G400" i="44"/>
  <c r="G401" i="44"/>
  <c r="G402" i="44"/>
  <c r="G403" i="44"/>
  <c r="G404" i="44"/>
  <c r="G405" i="44"/>
  <c r="E399" i="44"/>
  <c r="E400" i="44"/>
  <c r="E401" i="44"/>
  <c r="E402" i="44"/>
  <c r="E403" i="44"/>
  <c r="E404" i="44"/>
  <c r="E405" i="44"/>
  <c r="D399" i="44"/>
  <c r="D400" i="44"/>
  <c r="D401" i="44"/>
  <c r="D402" i="44"/>
  <c r="D403" i="44"/>
  <c r="D404" i="44"/>
  <c r="D405" i="44"/>
  <c r="K2" i="44"/>
  <c r="A2" i="44"/>
  <c r="A1" i="44"/>
  <c r="A379" i="40"/>
  <c r="B379" i="40" s="1"/>
  <c r="L379" i="40" s="1"/>
  <c r="A380" i="40"/>
  <c r="B380" i="40" s="1"/>
  <c r="O380" i="40" s="1"/>
  <c r="A381" i="40"/>
  <c r="B381" i="40" s="1"/>
  <c r="J381" i="40" s="1"/>
  <c r="A382" i="40"/>
  <c r="B382" i="40" s="1"/>
  <c r="F382" i="40" s="1"/>
  <c r="A383" i="40"/>
  <c r="A384" i="40"/>
  <c r="B384" i="40" s="1"/>
  <c r="A385" i="40"/>
  <c r="A386" i="40"/>
  <c r="B386" i="40" s="1"/>
  <c r="L386" i="40" s="1"/>
  <c r="A387" i="40"/>
  <c r="A388" i="40"/>
  <c r="B388" i="40" s="1"/>
  <c r="G388" i="40" s="1"/>
  <c r="A389" i="40"/>
  <c r="A390" i="40"/>
  <c r="D390" i="40" s="1"/>
  <c r="A391" i="40"/>
  <c r="B391" i="40" s="1"/>
  <c r="A392" i="40"/>
  <c r="A393" i="40"/>
  <c r="A394" i="40"/>
  <c r="B394" i="40" s="1"/>
  <c r="A395" i="40"/>
  <c r="D395" i="40" s="1"/>
  <c r="A396" i="40"/>
  <c r="B396" i="40" s="1"/>
  <c r="A397" i="40"/>
  <c r="A398" i="40"/>
  <c r="D398" i="40" s="1"/>
  <c r="A399" i="40"/>
  <c r="A400" i="40"/>
  <c r="B400" i="40" s="1"/>
  <c r="A401" i="40"/>
  <c r="A402" i="40"/>
  <c r="B402" i="40" s="1"/>
  <c r="I402" i="40" s="1"/>
  <c r="A403" i="40"/>
  <c r="B403" i="40" s="1"/>
  <c r="L403" i="40" s="1"/>
  <c r="A404" i="40"/>
  <c r="E404" i="40" s="1"/>
  <c r="A405" i="40"/>
  <c r="A406" i="40"/>
  <c r="D406" i="40" s="1"/>
  <c r="A407" i="40"/>
  <c r="E407" i="40" s="1"/>
  <c r="A408" i="40"/>
  <c r="D408" i="40" s="1"/>
  <c r="A409" i="40"/>
  <c r="B409" i="40" s="1"/>
  <c r="A410" i="40"/>
  <c r="E410" i="40" s="1"/>
  <c r="A411" i="40"/>
  <c r="D411" i="40" s="1"/>
  <c r="A412" i="40"/>
  <c r="A413" i="40"/>
  <c r="D413" i="40" s="1"/>
  <c r="A414" i="40"/>
  <c r="D414" i="40" s="1"/>
  <c r="A415" i="40"/>
  <c r="D415" i="40" s="1"/>
  <c r="A416" i="40"/>
  <c r="A417" i="40"/>
  <c r="E417" i="40" s="1"/>
  <c r="A418" i="40"/>
  <c r="E418" i="40" s="1"/>
  <c r="A419" i="40"/>
  <c r="D419" i="40" s="1"/>
  <c r="A420" i="40"/>
  <c r="E420" i="40" s="1"/>
  <c r="A421" i="40"/>
  <c r="A422" i="40"/>
  <c r="E422" i="40" s="1"/>
  <c r="A423" i="40"/>
  <c r="B423" i="40" s="1"/>
  <c r="A424" i="40"/>
  <c r="E424" i="40" s="1"/>
  <c r="A425" i="40"/>
  <c r="B425" i="40" s="1"/>
  <c r="N425" i="40" s="1"/>
  <c r="A426" i="40"/>
  <c r="D426" i="40" s="1"/>
  <c r="A427" i="40"/>
  <c r="A428" i="40"/>
  <c r="A429" i="40"/>
  <c r="A430" i="40"/>
  <c r="A431" i="40"/>
  <c r="A432" i="40"/>
  <c r="E432" i="40" s="1"/>
  <c r="A433" i="40"/>
  <c r="D433" i="40" s="1"/>
  <c r="A434" i="40"/>
  <c r="E434" i="40" s="1"/>
  <c r="A435" i="40"/>
  <c r="D435" i="40" s="1"/>
  <c r="A436" i="40"/>
  <c r="B436" i="40" s="1"/>
  <c r="I436" i="40" s="1"/>
  <c r="A437" i="40"/>
  <c r="A438" i="40"/>
  <c r="E438" i="40" s="1"/>
  <c r="A439" i="40"/>
  <c r="A440" i="40"/>
  <c r="B440" i="40" s="1"/>
  <c r="A441" i="40"/>
  <c r="A442" i="40"/>
  <c r="A443" i="40"/>
  <c r="B443" i="40" s="1"/>
  <c r="I443" i="40" s="1"/>
  <c r="A444" i="40"/>
  <c r="B444" i="40" s="1"/>
  <c r="F444" i="40" s="1"/>
  <c r="A445" i="40"/>
  <c r="B445" i="40" s="1"/>
  <c r="H445" i="40" s="1"/>
  <c r="A446" i="40"/>
  <c r="B446" i="40" s="1"/>
  <c r="I446" i="40" s="1"/>
  <c r="A447" i="40"/>
  <c r="B447" i="40" s="1"/>
  <c r="K447" i="40" s="1"/>
  <c r="A448" i="40"/>
  <c r="A449" i="40"/>
  <c r="D449" i="40" s="1"/>
  <c r="A450" i="40"/>
  <c r="E450" i="40" s="1"/>
  <c r="A451" i="40"/>
  <c r="B451" i="40" s="1"/>
  <c r="J451" i="40" s="1"/>
  <c r="A452" i="40"/>
  <c r="E452" i="40" s="1"/>
  <c r="A453" i="40"/>
  <c r="E453" i="40" s="1"/>
  <c r="A454" i="40"/>
  <c r="E454" i="40" s="1"/>
  <c r="A455" i="40"/>
  <c r="A456" i="40"/>
  <c r="E456" i="40" s="1"/>
  <c r="A457" i="40"/>
  <c r="E457" i="40" s="1"/>
  <c r="A458" i="40"/>
  <c r="A459" i="40"/>
  <c r="B459" i="40" s="1"/>
  <c r="O459" i="40" s="1"/>
  <c r="A460" i="40"/>
  <c r="B460" i="40" s="1"/>
  <c r="A461" i="40"/>
  <c r="E461" i="40" s="1"/>
  <c r="A462" i="40"/>
  <c r="A463" i="40"/>
  <c r="B463" i="40" s="1"/>
  <c r="I463" i="40" s="1"/>
  <c r="A464" i="40"/>
  <c r="B464" i="40" s="1"/>
  <c r="K464" i="40" s="1"/>
  <c r="A465" i="40"/>
  <c r="D465" i="40" s="1"/>
  <c r="A466" i="40"/>
  <c r="A467" i="40"/>
  <c r="B467" i="40" s="1"/>
  <c r="K467" i="40" s="1"/>
  <c r="A468" i="40"/>
  <c r="D468" i="40" s="1"/>
  <c r="A469" i="40"/>
  <c r="D469" i="40" s="1"/>
  <c r="A470" i="40"/>
  <c r="D470" i="40" s="1"/>
  <c r="A471" i="40"/>
  <c r="D471" i="40" s="1"/>
  <c r="A472" i="40"/>
  <c r="A473" i="40"/>
  <c r="D473" i="40" s="1"/>
  <c r="A474" i="40"/>
  <c r="A475" i="40"/>
  <c r="D475" i="40" s="1"/>
  <c r="A476" i="40"/>
  <c r="E476" i="40" s="1"/>
  <c r="A477" i="40"/>
  <c r="B477" i="40" s="1"/>
  <c r="G477" i="40" s="1"/>
  <c r="A478" i="40"/>
  <c r="A479" i="40"/>
  <c r="A480" i="40"/>
  <c r="A481" i="40"/>
  <c r="E481" i="40" s="1"/>
  <c r="A482" i="40"/>
  <c r="E482" i="40" s="1"/>
  <c r="A483" i="40"/>
  <c r="A484" i="40"/>
  <c r="E484" i="40" s="1"/>
  <c r="A485" i="40"/>
  <c r="A486" i="40"/>
  <c r="A487" i="40"/>
  <c r="D487" i="40" s="1"/>
  <c r="A488" i="40"/>
  <c r="A489" i="40"/>
  <c r="A490" i="40"/>
  <c r="B490" i="40" s="1"/>
  <c r="N490" i="40" s="1"/>
  <c r="A491" i="40"/>
  <c r="E491" i="40" s="1"/>
  <c r="A492" i="40"/>
  <c r="D492" i="40" s="1"/>
  <c r="A493" i="40"/>
  <c r="E493" i="40" s="1"/>
  <c r="A494" i="40"/>
  <c r="E494" i="40" s="1"/>
  <c r="A495" i="40"/>
  <c r="B495" i="40" s="1"/>
  <c r="M495" i="40" s="1"/>
  <c r="A496" i="40"/>
  <c r="E496" i="40" s="1"/>
  <c r="A497" i="40"/>
  <c r="B497" i="40" s="1"/>
  <c r="A498" i="40"/>
  <c r="A499" i="40"/>
  <c r="A500" i="40"/>
  <c r="A501" i="40"/>
  <c r="B501" i="40" s="1"/>
  <c r="K501" i="40" s="1"/>
  <c r="A502" i="40"/>
  <c r="D502" i="40" s="1"/>
  <c r="A503" i="40"/>
  <c r="E503" i="40" s="1"/>
  <c r="A504" i="40"/>
  <c r="B504" i="40" s="1"/>
  <c r="J504" i="40" s="1"/>
  <c r="A505" i="40"/>
  <c r="B505" i="40" s="1"/>
  <c r="J505" i="40" s="1"/>
  <c r="A506" i="40"/>
  <c r="E506" i="40" s="1"/>
  <c r="A507" i="40"/>
  <c r="A508" i="40"/>
  <c r="A509" i="40"/>
  <c r="A510" i="40"/>
  <c r="A511" i="40"/>
  <c r="B511" i="40" s="1"/>
  <c r="O511" i="40" s="1"/>
  <c r="A512" i="40"/>
  <c r="B512" i="40" s="1"/>
  <c r="A513" i="40"/>
  <c r="A514" i="40"/>
  <c r="A515" i="40"/>
  <c r="A516" i="40"/>
  <c r="B516" i="40" s="1"/>
  <c r="I516" i="40" s="1"/>
  <c r="A517" i="40"/>
  <c r="B517" i="40" s="1"/>
  <c r="K517" i="40" s="1"/>
  <c r="A518" i="40"/>
  <c r="B518" i="40" s="1"/>
  <c r="H518" i="40" s="1"/>
  <c r="A519" i="40"/>
  <c r="B519" i="40" s="1"/>
  <c r="O519" i="40" s="1"/>
  <c r="A520" i="40"/>
  <c r="D520" i="40" s="1"/>
  <c r="A521" i="40"/>
  <c r="B521" i="40" s="1"/>
  <c r="H521" i="40" s="1"/>
  <c r="A522" i="40"/>
  <c r="A523" i="40"/>
  <c r="B523" i="40" s="1"/>
  <c r="F523" i="40" s="1"/>
  <c r="A524" i="40"/>
  <c r="B524" i="40" s="1"/>
  <c r="A525" i="40"/>
  <c r="D525" i="40" s="1"/>
  <c r="A526" i="40"/>
  <c r="E526" i="40" s="1"/>
  <c r="A527" i="40"/>
  <c r="B527" i="40" s="1"/>
  <c r="M527" i="40" s="1"/>
  <c r="A528" i="40"/>
  <c r="B528" i="40" s="1"/>
  <c r="G528" i="40" s="1"/>
  <c r="A529" i="40"/>
  <c r="D529" i="40" s="1"/>
  <c r="A530" i="40"/>
  <c r="D530" i="40" s="1"/>
  <c r="A531" i="40"/>
  <c r="E531" i="40" s="1"/>
  <c r="B531" i="40"/>
  <c r="F531" i="40" s="1"/>
  <c r="A532" i="40"/>
  <c r="E532" i="40" s="1"/>
  <c r="A533" i="40"/>
  <c r="A534" i="40"/>
  <c r="B534" i="40" s="1"/>
  <c r="A535" i="40"/>
  <c r="A536" i="40"/>
  <c r="B536" i="40" s="1"/>
  <c r="A537" i="40"/>
  <c r="B537" i="40" s="1"/>
  <c r="A538" i="40"/>
  <c r="D538" i="40" s="1"/>
  <c r="A539" i="40"/>
  <c r="B539" i="40" s="1"/>
  <c r="A540" i="40"/>
  <c r="B540" i="40" s="1"/>
  <c r="A541" i="40"/>
  <c r="B541" i="40" s="1"/>
  <c r="K541" i="40" s="1"/>
  <c r="A542" i="40"/>
  <c r="A543" i="40"/>
  <c r="E543" i="40" s="1"/>
  <c r="A544" i="40"/>
  <c r="E544" i="40" s="1"/>
  <c r="A545" i="40"/>
  <c r="D545" i="40" s="1"/>
  <c r="A546" i="40"/>
  <c r="D546" i="40" s="1"/>
  <c r="A547" i="40"/>
  <c r="E547" i="40" s="1"/>
  <c r="A548" i="40"/>
  <c r="E548" i="40" s="1"/>
  <c r="A549" i="40"/>
  <c r="E549" i="40" s="1"/>
  <c r="A550" i="40"/>
  <c r="E550" i="40" s="1"/>
  <c r="A551" i="40"/>
  <c r="B551" i="40" s="1"/>
  <c r="A552" i="40"/>
  <c r="B552" i="40" s="1"/>
  <c r="O552" i="40" s="1"/>
  <c r="A553" i="40"/>
  <c r="E553" i="40" s="1"/>
  <c r="D553" i="40"/>
  <c r="A554" i="40"/>
  <c r="B554" i="40" s="1"/>
  <c r="A555" i="40"/>
  <c r="B555" i="40" s="1"/>
  <c r="P555" i="40" s="1"/>
  <c r="A556" i="40"/>
  <c r="A557" i="40"/>
  <c r="E557" i="40" s="1"/>
  <c r="A558" i="40"/>
  <c r="A559" i="40"/>
  <c r="D559" i="40" s="1"/>
  <c r="A560" i="40"/>
  <c r="D560" i="40" s="1"/>
  <c r="E560" i="40"/>
  <c r="A561" i="40"/>
  <c r="D561" i="40" s="1"/>
  <c r="A562" i="40"/>
  <c r="E562" i="40" s="1"/>
  <c r="A563" i="40"/>
  <c r="B563" i="40" s="1"/>
  <c r="A564" i="40"/>
  <c r="E564" i="40" s="1"/>
  <c r="A565" i="40"/>
  <c r="D565" i="40" s="1"/>
  <c r="A566" i="40"/>
  <c r="B566" i="40" s="1"/>
  <c r="F566" i="40" s="1"/>
  <c r="A567" i="40"/>
  <c r="B567" i="40" s="1"/>
  <c r="O567" i="40" s="1"/>
  <c r="A568" i="40"/>
  <c r="B568" i="40" s="1"/>
  <c r="A569" i="40"/>
  <c r="D569" i="40" s="1"/>
  <c r="A570" i="40"/>
  <c r="B570" i="40" s="1"/>
  <c r="N570" i="40" s="1"/>
  <c r="A571" i="40"/>
  <c r="B571" i="40" s="1"/>
  <c r="J571" i="40" s="1"/>
  <c r="A572" i="40"/>
  <c r="E572" i="40" s="1"/>
  <c r="A573" i="40"/>
  <c r="D573" i="40" s="1"/>
  <c r="A574" i="40"/>
  <c r="B574" i="40" s="1"/>
  <c r="A575" i="40"/>
  <c r="A576" i="40"/>
  <c r="E576" i="40" s="1"/>
  <c r="A577" i="40"/>
  <c r="D577" i="40" s="1"/>
  <c r="A578" i="40"/>
  <c r="A579" i="40"/>
  <c r="B579" i="40" s="1"/>
  <c r="J579" i="40" s="1"/>
  <c r="A580" i="40"/>
  <c r="D580" i="40" s="1"/>
  <c r="A581" i="40"/>
  <c r="D581" i="40" s="1"/>
  <c r="A582" i="40"/>
  <c r="B582" i="40" s="1"/>
  <c r="K582" i="40" s="1"/>
  <c r="A583" i="40"/>
  <c r="B583" i="40" s="1"/>
  <c r="O583" i="40" s="1"/>
  <c r="A584" i="40"/>
  <c r="B584" i="40" s="1"/>
  <c r="A585" i="40"/>
  <c r="E585" i="40" s="1"/>
  <c r="A586" i="40"/>
  <c r="D586" i="40" s="1"/>
  <c r="A587" i="40"/>
  <c r="B587" i="40" s="1"/>
  <c r="A588" i="40"/>
  <c r="A589" i="40"/>
  <c r="B589" i="40" s="1"/>
  <c r="A590" i="40"/>
  <c r="D590" i="40" s="1"/>
  <c r="A591" i="40"/>
  <c r="E591" i="40" s="1"/>
  <c r="A592" i="40"/>
  <c r="E592" i="40" s="1"/>
  <c r="A593" i="40"/>
  <c r="B593" i="40" s="1"/>
  <c r="A594" i="40"/>
  <c r="A595" i="40"/>
  <c r="E595" i="40" s="1"/>
  <c r="A596" i="40"/>
  <c r="B596" i="40" s="1"/>
  <c r="I596" i="40" s="1"/>
  <c r="A597" i="40"/>
  <c r="A598" i="40"/>
  <c r="B598" i="40" s="1"/>
  <c r="A599" i="40"/>
  <c r="B599" i="40" s="1"/>
  <c r="H599" i="40" s="1"/>
  <c r="A600" i="40"/>
  <c r="A601" i="40"/>
  <c r="E601" i="40" s="1"/>
  <c r="A602" i="40"/>
  <c r="A603" i="40"/>
  <c r="B603" i="40" s="1"/>
  <c r="F603" i="40" s="1"/>
  <c r="A604" i="40"/>
  <c r="E604" i="40" s="1"/>
  <c r="A605" i="40"/>
  <c r="B605" i="40" s="1"/>
  <c r="A606" i="40"/>
  <c r="D606" i="40" s="1"/>
  <c r="A607" i="40"/>
  <c r="D607" i="40"/>
  <c r="A608" i="40"/>
  <c r="E608" i="40" s="1"/>
  <c r="A609" i="40"/>
  <c r="B609" i="40" s="1"/>
  <c r="K609" i="40" s="1"/>
  <c r="A610" i="40"/>
  <c r="A611" i="40"/>
  <c r="E611" i="40" s="1"/>
  <c r="A612" i="40"/>
  <c r="B612" i="40" s="1"/>
  <c r="L612" i="40" s="1"/>
  <c r="A613" i="40"/>
  <c r="B613" i="40" s="1"/>
  <c r="I613" i="40" s="1"/>
  <c r="A614" i="40"/>
  <c r="E614" i="40" s="1"/>
  <c r="A615" i="40"/>
  <c r="B615" i="40" s="1"/>
  <c r="A616" i="40"/>
  <c r="E616" i="40" s="1"/>
  <c r="A617" i="40"/>
  <c r="D617" i="40" s="1"/>
  <c r="A618" i="40"/>
  <c r="A619" i="40"/>
  <c r="D619" i="40" s="1"/>
  <c r="A620" i="40"/>
  <c r="D620" i="40" s="1"/>
  <c r="A621" i="40"/>
  <c r="A622" i="40"/>
  <c r="B622" i="40" s="1"/>
  <c r="K622" i="40" s="1"/>
  <c r="A623" i="40"/>
  <c r="E623" i="40" s="1"/>
  <c r="A624" i="40"/>
  <c r="A625" i="40"/>
  <c r="E625" i="40" s="1"/>
  <c r="A626" i="40"/>
  <c r="A627" i="40"/>
  <c r="E627" i="40" s="1"/>
  <c r="A628" i="40"/>
  <c r="B628" i="40" s="1"/>
  <c r="I628" i="40" s="1"/>
  <c r="A629" i="40"/>
  <c r="B629" i="40" s="1"/>
  <c r="H629" i="40" s="1"/>
  <c r="A630" i="40"/>
  <c r="B630" i="40" s="1"/>
  <c r="G630" i="40" s="1"/>
  <c r="A631" i="40"/>
  <c r="B631" i="40" s="1"/>
  <c r="H631" i="40" s="1"/>
  <c r="A632" i="40"/>
  <c r="B632" i="40" s="1"/>
  <c r="A633" i="40"/>
  <c r="B633" i="40" s="1"/>
  <c r="H633" i="40" s="1"/>
  <c r="A634" i="40"/>
  <c r="A635" i="40"/>
  <c r="E635" i="40" s="1"/>
  <c r="A636" i="40"/>
  <c r="B636" i="40" s="1"/>
  <c r="O636" i="40" s="1"/>
  <c r="A637" i="40"/>
  <c r="B637" i="40" s="1"/>
  <c r="A638" i="40"/>
  <c r="B638" i="40" s="1"/>
  <c r="A639" i="40"/>
  <c r="B639" i="40" s="1"/>
  <c r="P639" i="40" s="1"/>
  <c r="A640" i="40"/>
  <c r="B640" i="40" s="1"/>
  <c r="I640" i="40" s="1"/>
  <c r="A641" i="40"/>
  <c r="E641" i="40" s="1"/>
  <c r="A642" i="40"/>
  <c r="A643" i="40"/>
  <c r="E643" i="40" s="1"/>
  <c r="A644" i="40"/>
  <c r="B644" i="40" s="1"/>
  <c r="N644" i="40" s="1"/>
  <c r="A645" i="40"/>
  <c r="B645" i="40" s="1"/>
  <c r="A646" i="40"/>
  <c r="B646" i="40" s="1"/>
  <c r="K646" i="40" s="1"/>
  <c r="A647" i="40"/>
  <c r="B647" i="40" s="1"/>
  <c r="F647" i="40" s="1"/>
  <c r="A648" i="40"/>
  <c r="B648" i="40" s="1"/>
  <c r="A649" i="40"/>
  <c r="B649" i="40" s="1"/>
  <c r="J649" i="40" s="1"/>
  <c r="A650" i="40"/>
  <c r="A651" i="40"/>
  <c r="E651" i="40" s="1"/>
  <c r="A652" i="40"/>
  <c r="B652" i="40" s="1"/>
  <c r="M652" i="40" s="1"/>
  <c r="A653" i="40"/>
  <c r="B653" i="40" s="1"/>
  <c r="H653" i="40" s="1"/>
  <c r="A654" i="40"/>
  <c r="D654" i="40" s="1"/>
  <c r="B654" i="40"/>
  <c r="A655" i="40"/>
  <c r="B655" i="40" s="1"/>
  <c r="N655" i="40" s="1"/>
  <c r="A656" i="40"/>
  <c r="B656" i="40" s="1"/>
  <c r="A657" i="40"/>
  <c r="B657" i="40" s="1"/>
  <c r="K657" i="40" s="1"/>
  <c r="A658" i="40"/>
  <c r="A659" i="40"/>
  <c r="E659" i="40" s="1"/>
  <c r="A660" i="40"/>
  <c r="B660" i="40" s="1"/>
  <c r="K660" i="40" s="1"/>
  <c r="A661" i="40"/>
  <c r="B661" i="40" s="1"/>
  <c r="J661" i="40" s="1"/>
  <c r="A662" i="40"/>
  <c r="E662" i="40" s="1"/>
  <c r="A663" i="40"/>
  <c r="B663" i="40" s="1"/>
  <c r="N663" i="40" s="1"/>
  <c r="A664" i="40"/>
  <c r="B664" i="40" s="1"/>
  <c r="K664" i="40" s="1"/>
  <c r="A665" i="40"/>
  <c r="D665" i="40" s="1"/>
  <c r="B665" i="40"/>
  <c r="N665" i="40" s="1"/>
  <c r="A378" i="40"/>
  <c r="E378" i="40" s="1"/>
  <c r="J6" i="22"/>
  <c r="J6" i="13"/>
  <c r="K436" i="42"/>
  <c r="K437" i="42"/>
  <c r="K438" i="42"/>
  <c r="K439" i="42"/>
  <c r="H436" i="42"/>
  <c r="H437" i="42"/>
  <c r="H438" i="42"/>
  <c r="H439" i="42"/>
  <c r="D436" i="42"/>
  <c r="D437" i="42"/>
  <c r="D438" i="42"/>
  <c r="D439" i="42"/>
  <c r="A2" i="42"/>
  <c r="K2" i="42"/>
  <c r="E2" i="29"/>
  <c r="E642" i="29" s="1"/>
  <c r="L23" i="43"/>
  <c r="L22" i="43"/>
  <c r="L20" i="43"/>
  <c r="L19" i="43"/>
  <c r="B4" i="27"/>
  <c r="D550" i="40" l="1"/>
  <c r="B502" i="40"/>
  <c r="D384" i="40"/>
  <c r="E722" i="29"/>
  <c r="E602" i="29"/>
  <c r="E402" i="29"/>
  <c r="E82" i="29"/>
  <c r="E362" i="29"/>
  <c r="E762" i="29"/>
  <c r="E162" i="29"/>
  <c r="E282" i="29"/>
  <c r="E442" i="29"/>
  <c r="E42" i="29"/>
  <c r="E482" i="29"/>
  <c r="E122" i="29"/>
  <c r="E682" i="29"/>
  <c r="D625" i="40"/>
  <c r="D652" i="40"/>
  <c r="E649" i="40"/>
  <c r="E425" i="40"/>
  <c r="E652" i="40"/>
  <c r="D503" i="40"/>
  <c r="B494" i="40"/>
  <c r="K494" i="40" s="1"/>
  <c r="B641" i="40"/>
  <c r="J641" i="40" s="1"/>
  <c r="D638" i="40"/>
  <c r="D635" i="40"/>
  <c r="D579" i="40"/>
  <c r="D576" i="40"/>
  <c r="B470" i="40"/>
  <c r="N470" i="40" s="1"/>
  <c r="E459" i="40"/>
  <c r="E426" i="40"/>
  <c r="D663" i="40"/>
  <c r="B617" i="40"/>
  <c r="H617" i="40" s="1"/>
  <c r="E579" i="40"/>
  <c r="B549" i="40"/>
  <c r="P549" i="40" s="1"/>
  <c r="D476" i="40"/>
  <c r="D459" i="40"/>
  <c r="B456" i="40"/>
  <c r="I456" i="40" s="1"/>
  <c r="B426" i="40"/>
  <c r="J426" i="40" s="1"/>
  <c r="B424" i="40"/>
  <c r="H424" i="40" s="1"/>
  <c r="D422" i="40"/>
  <c r="E411" i="40"/>
  <c r="B404" i="40"/>
  <c r="I404" i="40" s="1"/>
  <c r="B625" i="40"/>
  <c r="M625" i="40" s="1"/>
  <c r="B611" i="40"/>
  <c r="F611" i="40" s="1"/>
  <c r="E589" i="40"/>
  <c r="E582" i="40"/>
  <c r="E570" i="40"/>
  <c r="D543" i="40"/>
  <c r="B468" i="40"/>
  <c r="K468" i="40" s="1"/>
  <c r="D454" i="40"/>
  <c r="B452" i="40"/>
  <c r="P452" i="40" s="1"/>
  <c r="E449" i="40"/>
  <c r="E469" i="40"/>
  <c r="D418" i="40"/>
  <c r="D662" i="40"/>
  <c r="E663" i="40"/>
  <c r="B662" i="40"/>
  <c r="M662" i="40" s="1"/>
  <c r="D659" i="40"/>
  <c r="D641" i="40"/>
  <c r="E617" i="40"/>
  <c r="E615" i="40"/>
  <c r="E612" i="40"/>
  <c r="B520" i="40"/>
  <c r="F520" i="40" s="1"/>
  <c r="D497" i="40"/>
  <c r="B492" i="40"/>
  <c r="L492" i="40" s="1"/>
  <c r="E470" i="40"/>
  <c r="B469" i="40"/>
  <c r="O469" i="40" s="1"/>
  <c r="D453" i="40"/>
  <c r="B420" i="40"/>
  <c r="I420" i="40" s="1"/>
  <c r="B418" i="40"/>
  <c r="M418" i="40" s="1"/>
  <c r="B415" i="40"/>
  <c r="I415" i="40" s="1"/>
  <c r="B406" i="40"/>
  <c r="N406" i="40" s="1"/>
  <c r="D595" i="40"/>
  <c r="E593" i="40"/>
  <c r="E502" i="40"/>
  <c r="D434" i="40"/>
  <c r="E415" i="40"/>
  <c r="E408" i="40"/>
  <c r="D655" i="40"/>
  <c r="D651" i="40"/>
  <c r="B616" i="40"/>
  <c r="K616" i="40" s="1"/>
  <c r="D614" i="40"/>
  <c r="B595" i="40"/>
  <c r="F595" i="40" s="1"/>
  <c r="D593" i="40"/>
  <c r="B590" i="40"/>
  <c r="P590" i="40" s="1"/>
  <c r="E561" i="40"/>
  <c r="E555" i="40"/>
  <c r="B547" i="40"/>
  <c r="H547" i="40" s="1"/>
  <c r="B530" i="40"/>
  <c r="H530" i="40" s="1"/>
  <c r="E520" i="40"/>
  <c r="D506" i="40"/>
  <c r="E497" i="40"/>
  <c r="B471" i="40"/>
  <c r="P471" i="40" s="1"/>
  <c r="E468" i="40"/>
  <c r="B434" i="40"/>
  <c r="N434" i="40" s="1"/>
  <c r="D417" i="40"/>
  <c r="B408" i="40"/>
  <c r="O408" i="40" s="1"/>
  <c r="B651" i="40"/>
  <c r="G651" i="40" s="1"/>
  <c r="D649" i="40"/>
  <c r="E644" i="40"/>
  <c r="B643" i="40"/>
  <c r="L643" i="40" s="1"/>
  <c r="E639" i="40"/>
  <c r="E628" i="40"/>
  <c r="B627" i="40"/>
  <c r="F627" i="40" s="1"/>
  <c r="B614" i="40"/>
  <c r="M614" i="40" s="1"/>
  <c r="D612" i="40"/>
  <c r="E598" i="40"/>
  <c r="D584" i="40"/>
  <c r="D574" i="40"/>
  <c r="D572" i="40"/>
  <c r="E568" i="40"/>
  <c r="E567" i="40"/>
  <c r="E566" i="40"/>
  <c r="E563" i="40"/>
  <c r="B560" i="40"/>
  <c r="H560" i="40" s="1"/>
  <c r="D557" i="40"/>
  <c r="B553" i="40"/>
  <c r="N553" i="40" s="1"/>
  <c r="B550" i="40"/>
  <c r="N550" i="40" s="1"/>
  <c r="E539" i="40"/>
  <c r="E527" i="40"/>
  <c r="B526" i="40"/>
  <c r="N526" i="40" s="1"/>
  <c r="E516" i="40"/>
  <c r="B506" i="40"/>
  <c r="P506" i="40" s="1"/>
  <c r="E487" i="40"/>
  <c r="D477" i="40"/>
  <c r="B476" i="40"/>
  <c r="P476" i="40" s="1"/>
  <c r="E460" i="40"/>
  <c r="B454" i="40"/>
  <c r="J454" i="40" s="1"/>
  <c r="B453" i="40"/>
  <c r="G453" i="40" s="1"/>
  <c r="B417" i="40"/>
  <c r="L417" i="40" s="1"/>
  <c r="E381" i="40"/>
  <c r="D644" i="40"/>
  <c r="D628" i="40"/>
  <c r="E569" i="40"/>
  <c r="D568" i="40"/>
  <c r="D567" i="40"/>
  <c r="D566" i="40"/>
  <c r="D564" i="40"/>
  <c r="D563" i="40"/>
  <c r="E540" i="40"/>
  <c r="D527" i="40"/>
  <c r="E519" i="40"/>
  <c r="E517" i="40"/>
  <c r="D516" i="40"/>
  <c r="D491" i="40"/>
  <c r="D461" i="40"/>
  <c r="D460" i="40"/>
  <c r="E435" i="40"/>
  <c r="E419" i="40"/>
  <c r="E403" i="40"/>
  <c r="D381" i="40"/>
  <c r="D601" i="40"/>
  <c r="E599" i="40"/>
  <c r="D598" i="40"/>
  <c r="E596" i="40"/>
  <c r="E638" i="40"/>
  <c r="D611" i="40"/>
  <c r="D609" i="40"/>
  <c r="B601" i="40"/>
  <c r="L601" i="40" s="1"/>
  <c r="D599" i="40"/>
  <c r="D596" i="40"/>
  <c r="B569" i="40"/>
  <c r="F569" i="40" s="1"/>
  <c r="B564" i="40"/>
  <c r="K564" i="40" s="1"/>
  <c r="E552" i="40"/>
  <c r="D549" i="40"/>
  <c r="D547" i="40"/>
  <c r="E545" i="40"/>
  <c r="D540" i="40"/>
  <c r="E528" i="40"/>
  <c r="D519" i="40"/>
  <c r="D517" i="40"/>
  <c r="D494" i="40"/>
  <c r="B491" i="40"/>
  <c r="M491" i="40" s="1"/>
  <c r="D482" i="40"/>
  <c r="E471" i="40"/>
  <c r="B461" i="40"/>
  <c r="F461" i="40" s="1"/>
  <c r="D456" i="40"/>
  <c r="D445" i="40"/>
  <c r="B435" i="40"/>
  <c r="H435" i="40" s="1"/>
  <c r="D424" i="40"/>
  <c r="B419" i="40"/>
  <c r="P419" i="40" s="1"/>
  <c r="D404" i="40"/>
  <c r="D403" i="40"/>
  <c r="E384" i="40"/>
  <c r="E382" i="40"/>
  <c r="B556" i="40"/>
  <c r="N556" i="40" s="1"/>
  <c r="D556" i="40"/>
  <c r="B514" i="40"/>
  <c r="L514" i="40" s="1"/>
  <c r="D514" i="40"/>
  <c r="E498" i="40"/>
  <c r="B498" i="40"/>
  <c r="P498" i="40" s="1"/>
  <c r="D498" i="40"/>
  <c r="D486" i="40"/>
  <c r="E486" i="40"/>
  <c r="B483" i="40"/>
  <c r="M483" i="40" s="1"/>
  <c r="D483" i="40"/>
  <c r="E483" i="40"/>
  <c r="B472" i="40"/>
  <c r="N472" i="40" s="1"/>
  <c r="D472" i="40"/>
  <c r="B387" i="40"/>
  <c r="P387" i="40" s="1"/>
  <c r="E387" i="40"/>
  <c r="E657" i="40"/>
  <c r="E646" i="40"/>
  <c r="E636" i="40"/>
  <c r="E630" i="40"/>
  <c r="B623" i="40"/>
  <c r="O623" i="40" s="1"/>
  <c r="D623" i="40"/>
  <c r="B607" i="40"/>
  <c r="F607" i="40" s="1"/>
  <c r="E607" i="40"/>
  <c r="B591" i="40"/>
  <c r="G591" i="40" s="1"/>
  <c r="D591" i="40"/>
  <c r="D504" i="40"/>
  <c r="E504" i="40"/>
  <c r="B480" i="40"/>
  <c r="P480" i="40" s="1"/>
  <c r="D480" i="40"/>
  <c r="D446" i="40"/>
  <c r="E446" i="40"/>
  <c r="B438" i="40"/>
  <c r="I438" i="40" s="1"/>
  <c r="D438" i="40"/>
  <c r="B432" i="40"/>
  <c r="P432" i="40" s="1"/>
  <c r="D432" i="40"/>
  <c r="D400" i="40"/>
  <c r="E400" i="40"/>
  <c r="E665" i="40"/>
  <c r="D660" i="40"/>
  <c r="B659" i="40"/>
  <c r="J659" i="40" s="1"/>
  <c r="D657" i="40"/>
  <c r="E654" i="40"/>
  <c r="E647" i="40"/>
  <c r="D646" i="40"/>
  <c r="D639" i="40"/>
  <c r="D636" i="40"/>
  <c r="B635" i="40"/>
  <c r="K635" i="40" s="1"/>
  <c r="D633" i="40"/>
  <c r="E631" i="40"/>
  <c r="D630" i="40"/>
  <c r="E622" i="40"/>
  <c r="E620" i="40"/>
  <c r="E619" i="40"/>
  <c r="B619" i="40"/>
  <c r="F619" i="40" s="1"/>
  <c r="D615" i="40"/>
  <c r="B608" i="40"/>
  <c r="M608" i="40" s="1"/>
  <c r="E606" i="40"/>
  <c r="D604" i="40"/>
  <c r="E603" i="40"/>
  <c r="D603" i="40"/>
  <c r="B592" i="40"/>
  <c r="J592" i="40" s="1"/>
  <c r="D589" i="40"/>
  <c r="E586" i="40"/>
  <c r="D585" i="40"/>
  <c r="B585" i="40"/>
  <c r="G585" i="40" s="1"/>
  <c r="E583" i="40"/>
  <c r="D582" i="40"/>
  <c r="E580" i="40"/>
  <c r="B580" i="40"/>
  <c r="K580" i="40" s="1"/>
  <c r="B576" i="40"/>
  <c r="I576" i="40" s="1"/>
  <c r="D570" i="40"/>
  <c r="B561" i="40"/>
  <c r="F561" i="40" s="1"/>
  <c r="B545" i="40"/>
  <c r="I545" i="40" s="1"/>
  <c r="E538" i="40"/>
  <c r="D532" i="40"/>
  <c r="E529" i="40"/>
  <c r="D523" i="40"/>
  <c r="E523" i="40"/>
  <c r="D500" i="40"/>
  <c r="E500" i="40"/>
  <c r="E490" i="40"/>
  <c r="D490" i="40"/>
  <c r="D484" i="40"/>
  <c r="D440" i="40"/>
  <c r="E440" i="40"/>
  <c r="D423" i="40"/>
  <c r="E423" i="40"/>
  <c r="E588" i="40"/>
  <c r="D588" i="40"/>
  <c r="D522" i="40"/>
  <c r="E522" i="40"/>
  <c r="D478" i="40"/>
  <c r="E478" i="40"/>
  <c r="B462" i="40"/>
  <c r="H462" i="40" s="1"/>
  <c r="D462" i="40"/>
  <c r="B392" i="40"/>
  <c r="J392" i="40" s="1"/>
  <c r="D392" i="40"/>
  <c r="E660" i="40"/>
  <c r="E633" i="40"/>
  <c r="B573" i="40"/>
  <c r="I573" i="40" s="1"/>
  <c r="E573" i="40"/>
  <c r="E655" i="40"/>
  <c r="D647" i="40"/>
  <c r="D643" i="40"/>
  <c r="D631" i="40"/>
  <c r="D627" i="40"/>
  <c r="D622" i="40"/>
  <c r="B620" i="40"/>
  <c r="I620" i="40" s="1"/>
  <c r="E609" i="40"/>
  <c r="B606" i="40"/>
  <c r="G606" i="40" s="1"/>
  <c r="B604" i="40"/>
  <c r="K604" i="40" s="1"/>
  <c r="E600" i="40"/>
  <c r="B600" i="40"/>
  <c r="J600" i="40" s="1"/>
  <c r="B586" i="40"/>
  <c r="N586" i="40" s="1"/>
  <c r="E584" i="40"/>
  <c r="D583" i="40"/>
  <c r="B577" i="40"/>
  <c r="L577" i="40" s="1"/>
  <c r="E556" i="40"/>
  <c r="E546" i="40"/>
  <c r="B538" i="40"/>
  <c r="I538" i="40" s="1"/>
  <c r="B532" i="40"/>
  <c r="G532" i="40" s="1"/>
  <c r="E530" i="40"/>
  <c r="B529" i="40"/>
  <c r="M529" i="40" s="1"/>
  <c r="D526" i="40"/>
  <c r="B525" i="40"/>
  <c r="N525" i="40" s="1"/>
  <c r="E525" i="40"/>
  <c r="B522" i="40"/>
  <c r="H522" i="40" s="1"/>
  <c r="E514" i="40"/>
  <c r="D512" i="40"/>
  <c r="E512" i="40"/>
  <c r="B486" i="40"/>
  <c r="K486" i="40" s="1"/>
  <c r="D481" i="40"/>
  <c r="B478" i="40"/>
  <c r="I478" i="40" s="1"/>
  <c r="E472" i="40"/>
  <c r="E462" i="40"/>
  <c r="E458" i="40"/>
  <c r="B458" i="40"/>
  <c r="G458" i="40" s="1"/>
  <c r="E442" i="40"/>
  <c r="B442" i="40"/>
  <c r="P442" i="40" s="1"/>
  <c r="D439" i="40"/>
  <c r="B439" i="40"/>
  <c r="M439" i="40" s="1"/>
  <c r="E439" i="40"/>
  <c r="E430" i="40"/>
  <c r="B430" i="40"/>
  <c r="O430" i="40" s="1"/>
  <c r="D430" i="40"/>
  <c r="B395" i="40"/>
  <c r="K395" i="40" s="1"/>
  <c r="E395" i="40"/>
  <c r="E392" i="40"/>
  <c r="D387" i="40"/>
  <c r="L657" i="40"/>
  <c r="F657" i="40"/>
  <c r="G392" i="40"/>
  <c r="P445" i="40"/>
  <c r="G636" i="40"/>
  <c r="J467" i="40"/>
  <c r="M445" i="40"/>
  <c r="I394" i="40"/>
  <c r="E379" i="40"/>
  <c r="D379" i="40"/>
  <c r="I464" i="40"/>
  <c r="J664" i="40"/>
  <c r="P552" i="40"/>
  <c r="P655" i="40"/>
  <c r="J653" i="40"/>
  <c r="G599" i="40"/>
  <c r="I467" i="40"/>
  <c r="N596" i="40"/>
  <c r="K630" i="40"/>
  <c r="F628" i="40"/>
  <c r="N609" i="40"/>
  <c r="L596" i="40"/>
  <c r="J447" i="40"/>
  <c r="M596" i="40"/>
  <c r="I661" i="40"/>
  <c r="G596" i="40"/>
  <c r="O566" i="40"/>
  <c r="K516" i="40"/>
  <c r="F490" i="40"/>
  <c r="L630" i="40"/>
  <c r="N628" i="40"/>
  <c r="M665" i="40"/>
  <c r="F639" i="40"/>
  <c r="J596" i="40"/>
  <c r="J541" i="40"/>
  <c r="G527" i="40"/>
  <c r="M517" i="40"/>
  <c r="L446" i="40"/>
  <c r="O403" i="40"/>
  <c r="L517" i="40"/>
  <c r="O490" i="40"/>
  <c r="N519" i="40"/>
  <c r="L633" i="40"/>
  <c r="I664" i="40"/>
  <c r="K633" i="40"/>
  <c r="O631" i="40"/>
  <c r="M567" i="40"/>
  <c r="L467" i="40"/>
  <c r="M386" i="40"/>
  <c r="N633" i="40"/>
  <c r="J633" i="40"/>
  <c r="N631" i="40"/>
  <c r="O382" i="40"/>
  <c r="L649" i="40"/>
  <c r="N459" i="40"/>
  <c r="O639" i="40"/>
  <c r="F633" i="40"/>
  <c r="F649" i="40"/>
  <c r="G639" i="40"/>
  <c r="J613" i="40"/>
  <c r="K596" i="40"/>
  <c r="M570" i="40"/>
  <c r="L527" i="40"/>
  <c r="G467" i="40"/>
  <c r="G459" i="40"/>
  <c r="L445" i="40"/>
  <c r="P403" i="40"/>
  <c r="K384" i="40"/>
  <c r="O628" i="40"/>
  <c r="L582" i="40"/>
  <c r="M579" i="40"/>
  <c r="J446" i="40"/>
  <c r="N443" i="40"/>
  <c r="H582" i="40"/>
  <c r="L579" i="40"/>
  <c r="J477" i="40"/>
  <c r="H446" i="40"/>
  <c r="M443" i="40"/>
  <c r="N388" i="40"/>
  <c r="L381" i="40"/>
  <c r="G582" i="40"/>
  <c r="K579" i="40"/>
  <c r="I477" i="40"/>
  <c r="G446" i="40"/>
  <c r="K381" i="40"/>
  <c r="O379" i="40"/>
  <c r="M636" i="40"/>
  <c r="K628" i="40"/>
  <c r="M609" i="40"/>
  <c r="P599" i="40"/>
  <c r="F582" i="40"/>
  <c r="G579" i="40"/>
  <c r="H477" i="40"/>
  <c r="J463" i="40"/>
  <c r="M459" i="40"/>
  <c r="K451" i="40"/>
  <c r="F446" i="40"/>
  <c r="I445" i="40"/>
  <c r="N384" i="40"/>
  <c r="H661" i="40"/>
  <c r="K636" i="40"/>
  <c r="J628" i="40"/>
  <c r="L609" i="40"/>
  <c r="L603" i="40"/>
  <c r="O599" i="40"/>
  <c r="L459" i="40"/>
  <c r="P446" i="40"/>
  <c r="J425" i="40"/>
  <c r="M384" i="40"/>
  <c r="M628" i="40"/>
  <c r="M649" i="40"/>
  <c r="J636" i="40"/>
  <c r="G628" i="40"/>
  <c r="P582" i="40"/>
  <c r="K571" i="40"/>
  <c r="P566" i="40"/>
  <c r="N527" i="40"/>
  <c r="J459" i="40"/>
  <c r="O446" i="40"/>
  <c r="H425" i="40"/>
  <c r="L384" i="40"/>
  <c r="P382" i="40"/>
  <c r="O582" i="40"/>
  <c r="O579" i="40"/>
  <c r="P647" i="40"/>
  <c r="F636" i="40"/>
  <c r="N582" i="40"/>
  <c r="N579" i="40"/>
  <c r="I527" i="40"/>
  <c r="F459" i="40"/>
  <c r="K446" i="40"/>
  <c r="J384" i="40"/>
  <c r="G646" i="40"/>
  <c r="L646" i="40"/>
  <c r="M646" i="40"/>
  <c r="I660" i="40"/>
  <c r="O660" i="40"/>
  <c r="F660" i="40"/>
  <c r="G660" i="40"/>
  <c r="I652" i="40"/>
  <c r="K652" i="40"/>
  <c r="F652" i="40"/>
  <c r="G652" i="40"/>
  <c r="J652" i="40"/>
  <c r="I644" i="40"/>
  <c r="F644" i="40"/>
  <c r="J644" i="40"/>
  <c r="K644" i="40"/>
  <c r="L644" i="40"/>
  <c r="M644" i="40"/>
  <c r="J587" i="40"/>
  <c r="K587" i="40"/>
  <c r="J497" i="40"/>
  <c r="H497" i="40"/>
  <c r="I497" i="40"/>
  <c r="K497" i="40"/>
  <c r="G497" i="40"/>
  <c r="P497" i="40"/>
  <c r="F497" i="40"/>
  <c r="L497" i="40"/>
  <c r="M497" i="40"/>
  <c r="N497" i="40"/>
  <c r="O497" i="40"/>
  <c r="N660" i="40"/>
  <c r="H645" i="40"/>
  <c r="I645" i="40"/>
  <c r="J645" i="40"/>
  <c r="P645" i="40"/>
  <c r="M660" i="40"/>
  <c r="O652" i="40"/>
  <c r="I612" i="40"/>
  <c r="O612" i="40"/>
  <c r="F612" i="40"/>
  <c r="G612" i="40"/>
  <c r="N612" i="40"/>
  <c r="J612" i="40"/>
  <c r="K612" i="40"/>
  <c r="M612" i="40"/>
  <c r="L660" i="40"/>
  <c r="N652" i="40"/>
  <c r="O644" i="40"/>
  <c r="H551" i="40"/>
  <c r="F551" i="40"/>
  <c r="J660" i="40"/>
  <c r="I656" i="40"/>
  <c r="K656" i="40"/>
  <c r="J656" i="40"/>
  <c r="G654" i="40"/>
  <c r="M654" i="40"/>
  <c r="K654" i="40"/>
  <c r="L654" i="40"/>
  <c r="L652" i="40"/>
  <c r="G644" i="40"/>
  <c r="G638" i="40"/>
  <c r="L638" i="40"/>
  <c r="K638" i="40"/>
  <c r="M638" i="40"/>
  <c r="H615" i="40"/>
  <c r="O615" i="40"/>
  <c r="P615" i="40"/>
  <c r="G615" i="40"/>
  <c r="I568" i="40"/>
  <c r="J568" i="40"/>
  <c r="K568" i="40"/>
  <c r="H665" i="40"/>
  <c r="F665" i="40"/>
  <c r="K665" i="40"/>
  <c r="L665" i="40"/>
  <c r="J540" i="40"/>
  <c r="H540" i="40"/>
  <c r="I540" i="40"/>
  <c r="K540" i="40"/>
  <c r="G540" i="40"/>
  <c r="P540" i="40"/>
  <c r="F540" i="40"/>
  <c r="L540" i="40"/>
  <c r="M540" i="40"/>
  <c r="N540" i="40"/>
  <c r="O540" i="40"/>
  <c r="I584" i="40"/>
  <c r="J584" i="40"/>
  <c r="K584" i="40"/>
  <c r="K574" i="40"/>
  <c r="L574" i="40"/>
  <c r="J400" i="40"/>
  <c r="K400" i="40"/>
  <c r="L400" i="40"/>
  <c r="G400" i="40"/>
  <c r="H539" i="40"/>
  <c r="I539" i="40"/>
  <c r="N539" i="40"/>
  <c r="F539" i="40"/>
  <c r="M460" i="40"/>
  <c r="G460" i="40"/>
  <c r="P460" i="40"/>
  <c r="F460" i="40"/>
  <c r="F409" i="40"/>
  <c r="O409" i="40"/>
  <c r="P409" i="40"/>
  <c r="H409" i="40"/>
  <c r="I388" i="40"/>
  <c r="J388" i="40"/>
  <c r="K388" i="40"/>
  <c r="H388" i="40"/>
  <c r="M523" i="40"/>
  <c r="K523" i="40"/>
  <c r="O523" i="40"/>
  <c r="J523" i="40"/>
  <c r="M463" i="40"/>
  <c r="N463" i="40"/>
  <c r="K463" i="40"/>
  <c r="F423" i="40"/>
  <c r="G423" i="40"/>
  <c r="K423" i="40"/>
  <c r="N423" i="40"/>
  <c r="P516" i="40"/>
  <c r="F516" i="40"/>
  <c r="H516" i="40"/>
  <c r="N516" i="40"/>
  <c r="M490" i="40"/>
  <c r="H490" i="40"/>
  <c r="I490" i="40"/>
  <c r="K490" i="40"/>
  <c r="G490" i="40"/>
  <c r="H657" i="40"/>
  <c r="M657" i="40"/>
  <c r="G598" i="40"/>
  <c r="L598" i="40"/>
  <c r="M598" i="40"/>
  <c r="K598" i="40"/>
  <c r="K566" i="40"/>
  <c r="H566" i="40"/>
  <c r="L566" i="40"/>
  <c r="N566" i="40"/>
  <c r="G566" i="40"/>
  <c r="J464" i="40"/>
  <c r="P653" i="40"/>
  <c r="I653" i="40"/>
  <c r="H649" i="40"/>
  <c r="K649" i="40"/>
  <c r="I636" i="40"/>
  <c r="N636" i="40"/>
  <c r="F631" i="40"/>
  <c r="G631" i="40"/>
  <c r="H609" i="40"/>
  <c r="F609" i="40"/>
  <c r="J609" i="40"/>
  <c r="L583" i="40"/>
  <c r="M583" i="40"/>
  <c r="F570" i="40"/>
  <c r="K570" i="40"/>
  <c r="L570" i="40"/>
  <c r="G567" i="40"/>
  <c r="K567" i="40"/>
  <c r="L567" i="40"/>
  <c r="F563" i="40"/>
  <c r="M563" i="40"/>
  <c r="N563" i="40"/>
  <c r="P563" i="40"/>
  <c r="L563" i="40"/>
  <c r="H552" i="40"/>
  <c r="I552" i="40"/>
  <c r="L552" i="40"/>
  <c r="G552" i="40"/>
  <c r="M516" i="40"/>
  <c r="N502" i="40"/>
  <c r="L502" i="40"/>
  <c r="J502" i="40"/>
  <c r="M400" i="40"/>
  <c r="N657" i="40"/>
  <c r="N649" i="40"/>
  <c r="L636" i="40"/>
  <c r="M633" i="40"/>
  <c r="M630" i="40"/>
  <c r="G622" i="40"/>
  <c r="L622" i="40"/>
  <c r="M622" i="40"/>
  <c r="L516" i="40"/>
  <c r="M512" i="40"/>
  <c r="N512" i="40"/>
  <c r="P490" i="40"/>
  <c r="K440" i="40"/>
  <c r="L440" i="40"/>
  <c r="M440" i="40"/>
  <c r="K394" i="40"/>
  <c r="K603" i="40"/>
  <c r="F596" i="40"/>
  <c r="F579" i="40"/>
  <c r="I541" i="40"/>
  <c r="F528" i="40"/>
  <c r="I518" i="40"/>
  <c r="M501" i="40"/>
  <c r="N446" i="40"/>
  <c r="L443" i="40"/>
  <c r="G425" i="40"/>
  <c r="F384" i="40"/>
  <c r="F379" i="40"/>
  <c r="L628" i="40"/>
  <c r="O596" i="40"/>
  <c r="M582" i="40"/>
  <c r="P579" i="40"/>
  <c r="L501" i="40"/>
  <c r="M446" i="40"/>
  <c r="J443" i="40"/>
  <c r="E522" i="29"/>
  <c r="E202" i="29"/>
  <c r="E242" i="29"/>
  <c r="E562" i="29"/>
  <c r="E322" i="29"/>
  <c r="L605" i="40"/>
  <c r="P605" i="40"/>
  <c r="M605" i="40"/>
  <c r="F605" i="40"/>
  <c r="N605" i="40"/>
  <c r="G605" i="40"/>
  <c r="O605" i="40"/>
  <c r="K605" i="40"/>
  <c r="H605" i="40"/>
  <c r="J605" i="40"/>
  <c r="I605" i="40"/>
  <c r="L637" i="40"/>
  <c r="M637" i="40"/>
  <c r="F637" i="40"/>
  <c r="N637" i="40"/>
  <c r="G637" i="40"/>
  <c r="O637" i="40"/>
  <c r="K637" i="40"/>
  <c r="H637" i="40"/>
  <c r="I637" i="40"/>
  <c r="J637" i="40"/>
  <c r="P637" i="40"/>
  <c r="M632" i="40"/>
  <c r="H632" i="40"/>
  <c r="P632" i="40"/>
  <c r="F632" i="40"/>
  <c r="N632" i="40"/>
  <c r="G632" i="40"/>
  <c r="O632" i="40"/>
  <c r="L632" i="40"/>
  <c r="I632" i="40"/>
  <c r="J632" i="40"/>
  <c r="K632" i="40"/>
  <c r="E648" i="40"/>
  <c r="D648" i="40"/>
  <c r="D626" i="40"/>
  <c r="E626" i="40"/>
  <c r="B626" i="40"/>
  <c r="M640" i="40"/>
  <c r="F640" i="40"/>
  <c r="N640" i="40"/>
  <c r="G640" i="40"/>
  <c r="O640" i="40"/>
  <c r="H640" i="40"/>
  <c r="L640" i="40"/>
  <c r="P640" i="40"/>
  <c r="G663" i="40"/>
  <c r="D661" i="40"/>
  <c r="E661" i="40"/>
  <c r="P663" i="40"/>
  <c r="E656" i="40"/>
  <c r="D656" i="40"/>
  <c r="J640" i="40"/>
  <c r="H639" i="40"/>
  <c r="D634" i="40"/>
  <c r="E634" i="40"/>
  <c r="B634" i="40"/>
  <c r="J631" i="40"/>
  <c r="M631" i="40"/>
  <c r="K631" i="40"/>
  <c r="L631" i="40"/>
  <c r="I631" i="40"/>
  <c r="I629" i="40"/>
  <c r="E624" i="40"/>
  <c r="D624" i="40"/>
  <c r="D621" i="40"/>
  <c r="E621" i="40"/>
  <c r="F537" i="40"/>
  <c r="N537" i="40"/>
  <c r="O537" i="40"/>
  <c r="G537" i="40"/>
  <c r="H537" i="40"/>
  <c r="I537" i="40"/>
  <c r="P537" i="40"/>
  <c r="J537" i="40"/>
  <c r="K537" i="40"/>
  <c r="L537" i="40"/>
  <c r="M537" i="40"/>
  <c r="M648" i="40"/>
  <c r="H648" i="40"/>
  <c r="P648" i="40"/>
  <c r="F648" i="40"/>
  <c r="N648" i="40"/>
  <c r="G648" i="40"/>
  <c r="O648" i="40"/>
  <c r="L648" i="40"/>
  <c r="D637" i="40"/>
  <c r="E637" i="40"/>
  <c r="H593" i="40"/>
  <c r="P593" i="40"/>
  <c r="I593" i="40"/>
  <c r="K593" i="40"/>
  <c r="J593" i="40"/>
  <c r="L593" i="40"/>
  <c r="F593" i="40"/>
  <c r="N593" i="40"/>
  <c r="G593" i="40"/>
  <c r="O593" i="40"/>
  <c r="K536" i="40"/>
  <c r="H536" i="40"/>
  <c r="F536" i="40"/>
  <c r="P536" i="40"/>
  <c r="G536" i="40"/>
  <c r="I536" i="40"/>
  <c r="O536" i="40"/>
  <c r="J536" i="40"/>
  <c r="L536" i="40"/>
  <c r="M536" i="40"/>
  <c r="N536" i="40"/>
  <c r="L629" i="40"/>
  <c r="M629" i="40"/>
  <c r="G629" i="40"/>
  <c r="O629" i="40"/>
  <c r="F629" i="40"/>
  <c r="N629" i="40"/>
  <c r="K629" i="40"/>
  <c r="D618" i="40"/>
  <c r="E618" i="40"/>
  <c r="B618" i="40"/>
  <c r="D605" i="40"/>
  <c r="E605" i="40"/>
  <c r="L554" i="40"/>
  <c r="N554" i="40"/>
  <c r="G554" i="40"/>
  <c r="P554" i="40"/>
  <c r="M554" i="40"/>
  <c r="O554" i="40"/>
  <c r="F554" i="40"/>
  <c r="H554" i="40"/>
  <c r="I554" i="40"/>
  <c r="J554" i="40"/>
  <c r="K554" i="40"/>
  <c r="G524" i="40"/>
  <c r="O524" i="40"/>
  <c r="N524" i="40"/>
  <c r="F524" i="40"/>
  <c r="P524" i="40"/>
  <c r="M524" i="40"/>
  <c r="I524" i="40"/>
  <c r="J524" i="40"/>
  <c r="K524" i="40"/>
  <c r="H524" i="40"/>
  <c r="L524" i="40"/>
  <c r="D658" i="40"/>
  <c r="E658" i="40"/>
  <c r="B658" i="40"/>
  <c r="D629" i="40"/>
  <c r="E629" i="40"/>
  <c r="M534" i="40"/>
  <c r="N534" i="40"/>
  <c r="G534" i="40"/>
  <c r="H534" i="40"/>
  <c r="I534" i="40"/>
  <c r="F534" i="40"/>
  <c r="P534" i="40"/>
  <c r="J534" i="40"/>
  <c r="K534" i="40"/>
  <c r="L534" i="40"/>
  <c r="O534" i="40"/>
  <c r="J663" i="40"/>
  <c r="K663" i="40"/>
  <c r="M663" i="40"/>
  <c r="I663" i="40"/>
  <c r="L663" i="40"/>
  <c r="J655" i="40"/>
  <c r="L655" i="40"/>
  <c r="M655" i="40"/>
  <c r="K655" i="40"/>
  <c r="I655" i="40"/>
  <c r="J647" i="40"/>
  <c r="M647" i="40"/>
  <c r="K647" i="40"/>
  <c r="L647" i="40"/>
  <c r="I647" i="40"/>
  <c r="E640" i="40"/>
  <c r="D640" i="40"/>
  <c r="L613" i="40"/>
  <c r="M613" i="40"/>
  <c r="O613" i="40"/>
  <c r="F613" i="40"/>
  <c r="N613" i="40"/>
  <c r="G613" i="40"/>
  <c r="H613" i="40"/>
  <c r="P613" i="40"/>
  <c r="K613" i="40"/>
  <c r="D602" i="40"/>
  <c r="E602" i="40"/>
  <c r="B602" i="40"/>
  <c r="D597" i="40"/>
  <c r="E597" i="40"/>
  <c r="B597" i="40"/>
  <c r="L653" i="40"/>
  <c r="M653" i="40"/>
  <c r="F653" i="40"/>
  <c r="N653" i="40"/>
  <c r="G653" i="40"/>
  <c r="O653" i="40"/>
  <c r="K653" i="40"/>
  <c r="D650" i="40"/>
  <c r="E650" i="40"/>
  <c r="B650" i="40"/>
  <c r="O647" i="40"/>
  <c r="F663" i="40"/>
  <c r="G655" i="40"/>
  <c r="D653" i="40"/>
  <c r="E653" i="40"/>
  <c r="K648" i="40"/>
  <c r="N647" i="40"/>
  <c r="J615" i="40"/>
  <c r="K615" i="40"/>
  <c r="N615" i="40"/>
  <c r="L615" i="40"/>
  <c r="F615" i="40"/>
  <c r="I615" i="40"/>
  <c r="M615" i="40"/>
  <c r="D613" i="40"/>
  <c r="E613" i="40"/>
  <c r="M593" i="40"/>
  <c r="H589" i="40"/>
  <c r="P589" i="40"/>
  <c r="I589" i="40"/>
  <c r="L589" i="40"/>
  <c r="J589" i="40"/>
  <c r="K589" i="40"/>
  <c r="M589" i="40"/>
  <c r="N589" i="40"/>
  <c r="F589" i="40"/>
  <c r="O589" i="40"/>
  <c r="G589" i="40"/>
  <c r="O663" i="40"/>
  <c r="O655" i="40"/>
  <c r="L661" i="40"/>
  <c r="M661" i="40"/>
  <c r="G661" i="40"/>
  <c r="O661" i="40"/>
  <c r="F661" i="40"/>
  <c r="N661" i="40"/>
  <c r="K661" i="40"/>
  <c r="M664" i="40"/>
  <c r="H664" i="40"/>
  <c r="F664" i="40"/>
  <c r="N664" i="40"/>
  <c r="P664" i="40"/>
  <c r="L664" i="40"/>
  <c r="G664" i="40"/>
  <c r="O664" i="40"/>
  <c r="F655" i="40"/>
  <c r="J648" i="40"/>
  <c r="H647" i="40"/>
  <c r="L645" i="40"/>
  <c r="M645" i="40"/>
  <c r="G645" i="40"/>
  <c r="F645" i="40"/>
  <c r="N645" i="40"/>
  <c r="O645" i="40"/>
  <c r="K645" i="40"/>
  <c r="D642" i="40"/>
  <c r="E642" i="40"/>
  <c r="B642" i="40"/>
  <c r="J639" i="40"/>
  <c r="K639" i="40"/>
  <c r="L639" i="40"/>
  <c r="M639" i="40"/>
  <c r="I639" i="40"/>
  <c r="E632" i="40"/>
  <c r="D632" i="40"/>
  <c r="P629" i="40"/>
  <c r="H663" i="40"/>
  <c r="H655" i="40"/>
  <c r="E664" i="40"/>
  <c r="D664" i="40"/>
  <c r="P661" i="40"/>
  <c r="M656" i="40"/>
  <c r="H656" i="40"/>
  <c r="P656" i="40"/>
  <c r="F656" i="40"/>
  <c r="N656" i="40"/>
  <c r="O656" i="40"/>
  <c r="L656" i="40"/>
  <c r="G656" i="40"/>
  <c r="I648" i="40"/>
  <c r="G647" i="40"/>
  <c r="D645" i="40"/>
  <c r="E645" i="40"/>
  <c r="K640" i="40"/>
  <c r="N639" i="40"/>
  <c r="P631" i="40"/>
  <c r="J629" i="40"/>
  <c r="B624" i="40"/>
  <c r="B621" i="40"/>
  <c r="D610" i="40"/>
  <c r="E610" i="40"/>
  <c r="B610" i="40"/>
  <c r="J599" i="40"/>
  <c r="M599" i="40"/>
  <c r="K599" i="40"/>
  <c r="L599" i="40"/>
  <c r="F599" i="40"/>
  <c r="I599" i="40"/>
  <c r="N599" i="40"/>
  <c r="J630" i="40"/>
  <c r="J598" i="40"/>
  <c r="H587" i="40"/>
  <c r="F583" i="40"/>
  <c r="N583" i="40"/>
  <c r="J665" i="40"/>
  <c r="O665" i="40"/>
  <c r="G665" i="40"/>
  <c r="P660" i="40"/>
  <c r="H660" i="40"/>
  <c r="O657" i="40"/>
  <c r="G657" i="40"/>
  <c r="N654" i="40"/>
  <c r="F654" i="40"/>
  <c r="P652" i="40"/>
  <c r="H652" i="40"/>
  <c r="O649" i="40"/>
  <c r="G649" i="40"/>
  <c r="N646" i="40"/>
  <c r="F646" i="40"/>
  <c r="P644" i="40"/>
  <c r="H644" i="40"/>
  <c r="N638" i="40"/>
  <c r="F638" i="40"/>
  <c r="P636" i="40"/>
  <c r="H636" i="40"/>
  <c r="O633" i="40"/>
  <c r="G633" i="40"/>
  <c r="N630" i="40"/>
  <c r="F630" i="40"/>
  <c r="P628" i="40"/>
  <c r="H628" i="40"/>
  <c r="N622" i="40"/>
  <c r="F622" i="40"/>
  <c r="D616" i="40"/>
  <c r="P612" i="40"/>
  <c r="H612" i="40"/>
  <c r="O609" i="40"/>
  <c r="G609" i="40"/>
  <c r="D608" i="40"/>
  <c r="M603" i="40"/>
  <c r="D600" i="40"/>
  <c r="N598" i="40"/>
  <c r="F598" i="40"/>
  <c r="P596" i="40"/>
  <c r="H596" i="40"/>
  <c r="B594" i="40"/>
  <c r="D592" i="40"/>
  <c r="E590" i="40"/>
  <c r="M587" i="40"/>
  <c r="D587" i="40"/>
  <c r="L584" i="40"/>
  <c r="P583" i="40"/>
  <c r="G583" i="40"/>
  <c r="I582" i="40"/>
  <c r="H579" i="40"/>
  <c r="B578" i="40"/>
  <c r="E577" i="40"/>
  <c r="B575" i="40"/>
  <c r="N574" i="40"/>
  <c r="E574" i="40"/>
  <c r="M571" i="40"/>
  <c r="D571" i="40"/>
  <c r="P570" i="40"/>
  <c r="L568" i="40"/>
  <c r="P567" i="40"/>
  <c r="I566" i="40"/>
  <c r="E559" i="40"/>
  <c r="E558" i="40"/>
  <c r="B544" i="40"/>
  <c r="E510" i="40"/>
  <c r="D510" i="40"/>
  <c r="E508" i="40"/>
  <c r="D508" i="40"/>
  <c r="L587" i="40"/>
  <c r="B581" i="40"/>
  <c r="M574" i="40"/>
  <c r="L571" i="40"/>
  <c r="B565" i="40"/>
  <c r="E537" i="40"/>
  <c r="D537" i="40"/>
  <c r="E536" i="40"/>
  <c r="B535" i="40"/>
  <c r="E535" i="40"/>
  <c r="E534" i="40"/>
  <c r="D534" i="40"/>
  <c r="B533" i="40"/>
  <c r="E533" i="40"/>
  <c r="D513" i="40"/>
  <c r="E513" i="40"/>
  <c r="B513" i="40"/>
  <c r="D499" i="40"/>
  <c r="E499" i="40"/>
  <c r="B499" i="40"/>
  <c r="B559" i="40"/>
  <c r="G555" i="40"/>
  <c r="O555" i="40"/>
  <c r="K555" i="40"/>
  <c r="M555" i="40"/>
  <c r="J555" i="40"/>
  <c r="K551" i="40"/>
  <c r="N551" i="40"/>
  <c r="G551" i="40"/>
  <c r="P551" i="40"/>
  <c r="M551" i="40"/>
  <c r="L531" i="40"/>
  <c r="M531" i="40"/>
  <c r="H531" i="40"/>
  <c r="I531" i="40"/>
  <c r="J531" i="40"/>
  <c r="G531" i="40"/>
  <c r="I587" i="40"/>
  <c r="H584" i="40"/>
  <c r="J574" i="40"/>
  <c r="I571" i="40"/>
  <c r="H568" i="40"/>
  <c r="N555" i="40"/>
  <c r="E551" i="40"/>
  <c r="D551" i="40"/>
  <c r="D542" i="40"/>
  <c r="E542" i="40"/>
  <c r="B542" i="40"/>
  <c r="D531" i="40"/>
  <c r="F530" i="40"/>
  <c r="K528" i="40"/>
  <c r="M528" i="40"/>
  <c r="J528" i="40"/>
  <c r="L528" i="40"/>
  <c r="N528" i="40"/>
  <c r="I528" i="40"/>
  <c r="M518" i="40"/>
  <c r="N518" i="40"/>
  <c r="F518" i="40"/>
  <c r="O518" i="40"/>
  <c r="G518" i="40"/>
  <c r="P518" i="40"/>
  <c r="L518" i="40"/>
  <c r="K518" i="40"/>
  <c r="J518" i="40"/>
  <c r="D507" i="40"/>
  <c r="B507" i="40"/>
  <c r="E507" i="40"/>
  <c r="K504" i="40"/>
  <c r="I504" i="40"/>
  <c r="F504" i="40"/>
  <c r="P504" i="40"/>
  <c r="G504" i="40"/>
  <c r="H504" i="40"/>
  <c r="O504" i="40"/>
  <c r="M504" i="40"/>
  <c r="N504" i="40"/>
  <c r="L504" i="40"/>
  <c r="L495" i="40"/>
  <c r="F495" i="40"/>
  <c r="O495" i="40"/>
  <c r="G495" i="40"/>
  <c r="P495" i="40"/>
  <c r="N495" i="40"/>
  <c r="I495" i="40"/>
  <c r="J495" i="40"/>
  <c r="K495" i="40"/>
  <c r="H495" i="40"/>
  <c r="J638" i="40"/>
  <c r="I574" i="40"/>
  <c r="H571" i="40"/>
  <c r="G570" i="40"/>
  <c r="O570" i="40"/>
  <c r="P568" i="40"/>
  <c r="G568" i="40"/>
  <c r="F567" i="40"/>
  <c r="N567" i="40"/>
  <c r="G563" i="40"/>
  <c r="O563" i="40"/>
  <c r="I563" i="40"/>
  <c r="D562" i="40"/>
  <c r="B562" i="40"/>
  <c r="L555" i="40"/>
  <c r="O551" i="40"/>
  <c r="M541" i="40"/>
  <c r="F541" i="40"/>
  <c r="O541" i="40"/>
  <c r="G541" i="40"/>
  <c r="P541" i="40"/>
  <c r="H541" i="40"/>
  <c r="N541" i="40"/>
  <c r="P531" i="40"/>
  <c r="P530" i="40"/>
  <c r="F521" i="40"/>
  <c r="N521" i="40"/>
  <c r="O521" i="40"/>
  <c r="G521" i="40"/>
  <c r="P521" i="40"/>
  <c r="M521" i="40"/>
  <c r="J521" i="40"/>
  <c r="K521" i="40"/>
  <c r="L521" i="40"/>
  <c r="I521" i="40"/>
  <c r="E518" i="40"/>
  <c r="D518" i="40"/>
  <c r="H511" i="40"/>
  <c r="P511" i="40"/>
  <c r="F511" i="40"/>
  <c r="N511" i="40"/>
  <c r="G511" i="40"/>
  <c r="I511" i="40"/>
  <c r="J511" i="40"/>
  <c r="K511" i="40"/>
  <c r="L511" i="40"/>
  <c r="M511" i="40"/>
  <c r="B509" i="40"/>
  <c r="E509" i="40"/>
  <c r="D509" i="40"/>
  <c r="J603" i="40"/>
  <c r="J654" i="40"/>
  <c r="I654" i="40"/>
  <c r="I646" i="40"/>
  <c r="I638" i="40"/>
  <c r="I630" i="40"/>
  <c r="I622" i="40"/>
  <c r="P603" i="40"/>
  <c r="H603" i="40"/>
  <c r="I598" i="40"/>
  <c r="E594" i="40"/>
  <c r="P587" i="40"/>
  <c r="G587" i="40"/>
  <c r="O584" i="40"/>
  <c r="F584" i="40"/>
  <c r="J583" i="40"/>
  <c r="E578" i="40"/>
  <c r="E575" i="40"/>
  <c r="H574" i="40"/>
  <c r="P571" i="40"/>
  <c r="G571" i="40"/>
  <c r="J570" i="40"/>
  <c r="O568" i="40"/>
  <c r="F568" i="40"/>
  <c r="J567" i="40"/>
  <c r="M566" i="40"/>
  <c r="K563" i="40"/>
  <c r="B557" i="40"/>
  <c r="I555" i="40"/>
  <c r="L551" i="40"/>
  <c r="E541" i="40"/>
  <c r="D541" i="40"/>
  <c r="O531" i="40"/>
  <c r="P528" i="40"/>
  <c r="E521" i="40"/>
  <c r="D521" i="40"/>
  <c r="E511" i="40"/>
  <c r="D511" i="40"/>
  <c r="P584" i="40"/>
  <c r="K583" i="40"/>
  <c r="J657" i="40"/>
  <c r="I665" i="40"/>
  <c r="I657" i="40"/>
  <c r="P654" i="40"/>
  <c r="H654" i="40"/>
  <c r="I649" i="40"/>
  <c r="P646" i="40"/>
  <c r="H646" i="40"/>
  <c r="P638" i="40"/>
  <c r="H638" i="40"/>
  <c r="I633" i="40"/>
  <c r="P630" i="40"/>
  <c r="H630" i="40"/>
  <c r="P622" i="40"/>
  <c r="H622" i="40"/>
  <c r="I609" i="40"/>
  <c r="O603" i="40"/>
  <c r="G603" i="40"/>
  <c r="P598" i="40"/>
  <c r="H598" i="40"/>
  <c r="D594" i="40"/>
  <c r="O587" i="40"/>
  <c r="F587" i="40"/>
  <c r="N584" i="40"/>
  <c r="I583" i="40"/>
  <c r="E581" i="40"/>
  <c r="D578" i="40"/>
  <c r="D575" i="40"/>
  <c r="P574" i="40"/>
  <c r="G574" i="40"/>
  <c r="O571" i="40"/>
  <c r="F571" i="40"/>
  <c r="I570" i="40"/>
  <c r="N568" i="40"/>
  <c r="I567" i="40"/>
  <c r="E565" i="40"/>
  <c r="J563" i="40"/>
  <c r="D558" i="40"/>
  <c r="H555" i="40"/>
  <c r="D554" i="40"/>
  <c r="E554" i="40"/>
  <c r="J551" i="40"/>
  <c r="D544" i="40"/>
  <c r="G539" i="40"/>
  <c r="O539" i="40"/>
  <c r="K539" i="40"/>
  <c r="L539" i="40"/>
  <c r="M539" i="40"/>
  <c r="J539" i="40"/>
  <c r="N531" i="40"/>
  <c r="O528" i="40"/>
  <c r="E524" i="40"/>
  <c r="D524" i="40"/>
  <c r="H519" i="40"/>
  <c r="P519" i="40"/>
  <c r="K519" i="40"/>
  <c r="L519" i="40"/>
  <c r="M519" i="40"/>
  <c r="J519" i="40"/>
  <c r="F519" i="40"/>
  <c r="G519" i="40"/>
  <c r="I519" i="40"/>
  <c r="F505" i="40"/>
  <c r="N505" i="40"/>
  <c r="L505" i="40"/>
  <c r="G505" i="40"/>
  <c r="H505" i="40"/>
  <c r="I505" i="40"/>
  <c r="P505" i="40"/>
  <c r="M505" i="40"/>
  <c r="O505" i="40"/>
  <c r="K505" i="40"/>
  <c r="J646" i="40"/>
  <c r="J622" i="40"/>
  <c r="I603" i="40"/>
  <c r="G584" i="40"/>
  <c r="P665" i="40"/>
  <c r="P657" i="40"/>
  <c r="O654" i="40"/>
  <c r="P649" i="40"/>
  <c r="O646" i="40"/>
  <c r="O638" i="40"/>
  <c r="P633" i="40"/>
  <c r="O630" i="40"/>
  <c r="O622" i="40"/>
  <c r="P609" i="40"/>
  <c r="N603" i="40"/>
  <c r="O598" i="40"/>
  <c r="B588" i="40"/>
  <c r="N587" i="40"/>
  <c r="E587" i="40"/>
  <c r="M584" i="40"/>
  <c r="H583" i="40"/>
  <c r="J582" i="40"/>
  <c r="I579" i="40"/>
  <c r="O574" i="40"/>
  <c r="F574" i="40"/>
  <c r="B572" i="40"/>
  <c r="N571" i="40"/>
  <c r="E571" i="40"/>
  <c r="H570" i="40"/>
  <c r="M568" i="40"/>
  <c r="H567" i="40"/>
  <c r="J566" i="40"/>
  <c r="H563" i="40"/>
  <c r="B558" i="40"/>
  <c r="F555" i="40"/>
  <c r="F552" i="40"/>
  <c r="N552" i="40"/>
  <c r="K552" i="40"/>
  <c r="M552" i="40"/>
  <c r="J552" i="40"/>
  <c r="I551" i="40"/>
  <c r="B548" i="40"/>
  <c r="D548" i="40"/>
  <c r="L541" i="40"/>
  <c r="P539" i="40"/>
  <c r="D536" i="40"/>
  <c r="D535" i="40"/>
  <c r="D533" i="40"/>
  <c r="K531" i="40"/>
  <c r="H528" i="40"/>
  <c r="K512" i="40"/>
  <c r="I512" i="40"/>
  <c r="F512" i="40"/>
  <c r="P512" i="40"/>
  <c r="G512" i="40"/>
  <c r="H512" i="40"/>
  <c r="O512" i="40"/>
  <c r="J512" i="40"/>
  <c r="L512" i="40"/>
  <c r="B510" i="40"/>
  <c r="B508" i="40"/>
  <c r="D505" i="40"/>
  <c r="E505" i="40"/>
  <c r="D488" i="40"/>
  <c r="E488" i="40"/>
  <c r="B488" i="40"/>
  <c r="J527" i="40"/>
  <c r="O501" i="40"/>
  <c r="F501" i="40"/>
  <c r="N501" i="40"/>
  <c r="H501" i="40"/>
  <c r="I501" i="40"/>
  <c r="G501" i="40"/>
  <c r="P501" i="40"/>
  <c r="J501" i="40"/>
  <c r="D495" i="40"/>
  <c r="E495" i="40"/>
  <c r="D555" i="40"/>
  <c r="D552" i="40"/>
  <c r="B546" i="40"/>
  <c r="B543" i="40"/>
  <c r="D539" i="40"/>
  <c r="D515" i="40"/>
  <c r="E515" i="40"/>
  <c r="B515" i="40"/>
  <c r="B503" i="40"/>
  <c r="D501" i="40"/>
  <c r="E501" i="40"/>
  <c r="D528" i="40"/>
  <c r="H527" i="40"/>
  <c r="P527" i="40"/>
  <c r="F527" i="40"/>
  <c r="O527" i="40"/>
  <c r="L523" i="40"/>
  <c r="H523" i="40"/>
  <c r="I523" i="40"/>
  <c r="G523" i="40"/>
  <c r="P523" i="40"/>
  <c r="J517" i="40"/>
  <c r="G517" i="40"/>
  <c r="P517" i="40"/>
  <c r="H517" i="40"/>
  <c r="I517" i="40"/>
  <c r="F517" i="40"/>
  <c r="O517" i="40"/>
  <c r="M502" i="40"/>
  <c r="K502" i="40"/>
  <c r="G502" i="40"/>
  <c r="H502" i="40"/>
  <c r="I502" i="40"/>
  <c r="F502" i="40"/>
  <c r="P502" i="40"/>
  <c r="D485" i="40"/>
  <c r="E485" i="40"/>
  <c r="B485" i="40"/>
  <c r="K527" i="40"/>
  <c r="N523" i="40"/>
  <c r="N517" i="40"/>
  <c r="O502" i="40"/>
  <c r="D493" i="40"/>
  <c r="B493" i="40"/>
  <c r="B448" i="40"/>
  <c r="E448" i="40"/>
  <c r="D448" i="40"/>
  <c r="B465" i="40"/>
  <c r="E465" i="40"/>
  <c r="K444" i="40"/>
  <c r="N444" i="40"/>
  <c r="H444" i="40"/>
  <c r="M444" i="40"/>
  <c r="J444" i="40"/>
  <c r="L444" i="40"/>
  <c r="O444" i="40"/>
  <c r="P444" i="40"/>
  <c r="G444" i="40"/>
  <c r="I444" i="40"/>
  <c r="B489" i="40"/>
  <c r="E489" i="40"/>
  <c r="D489" i="40"/>
  <c r="G516" i="40"/>
  <c r="O516" i="40"/>
  <c r="B481" i="40"/>
  <c r="E480" i="40"/>
  <c r="D479" i="40"/>
  <c r="E479" i="40"/>
  <c r="B479" i="40"/>
  <c r="E466" i="40"/>
  <c r="D466" i="40"/>
  <c r="B466" i="40"/>
  <c r="J516" i="40"/>
  <c r="D496" i="40"/>
  <c r="B496" i="40"/>
  <c r="E492" i="40"/>
  <c r="F477" i="40"/>
  <c r="N477" i="40"/>
  <c r="L477" i="40"/>
  <c r="O477" i="40"/>
  <c r="M477" i="40"/>
  <c r="P477" i="40"/>
  <c r="K477" i="40"/>
  <c r="B475" i="40"/>
  <c r="E475" i="40"/>
  <c r="H451" i="40"/>
  <c r="P451" i="40"/>
  <c r="L451" i="40"/>
  <c r="F451" i="40"/>
  <c r="O451" i="40"/>
  <c r="G451" i="40"/>
  <c r="I451" i="40"/>
  <c r="N451" i="40"/>
  <c r="M451" i="40"/>
  <c r="J490" i="40"/>
  <c r="E474" i="40"/>
  <c r="B474" i="40"/>
  <c r="D474" i="40"/>
  <c r="B457" i="40"/>
  <c r="D457" i="40"/>
  <c r="G464" i="40"/>
  <c r="O464" i="40"/>
  <c r="N464" i="40"/>
  <c r="P464" i="40"/>
  <c r="F464" i="40"/>
  <c r="H464" i="40"/>
  <c r="H456" i="40"/>
  <c r="E451" i="40"/>
  <c r="D451" i="40"/>
  <c r="E464" i="40"/>
  <c r="D464" i="40"/>
  <c r="K460" i="40"/>
  <c r="H460" i="40"/>
  <c r="I460" i="40"/>
  <c r="J460" i="40"/>
  <c r="L460" i="40"/>
  <c r="L447" i="40"/>
  <c r="N447" i="40"/>
  <c r="H447" i="40"/>
  <c r="P447" i="40"/>
  <c r="F447" i="40"/>
  <c r="G447" i="40"/>
  <c r="I447" i="40"/>
  <c r="M447" i="40"/>
  <c r="O447" i="40"/>
  <c r="B500" i="40"/>
  <c r="L490" i="40"/>
  <c r="B487" i="40"/>
  <c r="B484" i="40"/>
  <c r="B482" i="40"/>
  <c r="B473" i="40"/>
  <c r="E473" i="40"/>
  <c r="H467" i="40"/>
  <c r="P467" i="40"/>
  <c r="M467" i="40"/>
  <c r="N467" i="40"/>
  <c r="F467" i="40"/>
  <c r="O467" i="40"/>
  <c r="M464" i="40"/>
  <c r="L463" i="40"/>
  <c r="H463" i="40"/>
  <c r="O463" i="40"/>
  <c r="F463" i="40"/>
  <c r="P463" i="40"/>
  <c r="G463" i="40"/>
  <c r="O460" i="40"/>
  <c r="D452" i="40"/>
  <c r="E477" i="40"/>
  <c r="D467" i="40"/>
  <c r="E467" i="40"/>
  <c r="L464" i="40"/>
  <c r="D463" i="40"/>
  <c r="E463" i="40"/>
  <c r="N460" i="40"/>
  <c r="D455" i="40"/>
  <c r="F445" i="40"/>
  <c r="N445" i="40"/>
  <c r="K445" i="40"/>
  <c r="O445" i="40"/>
  <c r="J445" i="40"/>
  <c r="H443" i="40"/>
  <c r="P443" i="40"/>
  <c r="G443" i="40"/>
  <c r="K443" i="40"/>
  <c r="F443" i="40"/>
  <c r="O443" i="40"/>
  <c r="K436" i="40"/>
  <c r="D447" i="40"/>
  <c r="E447" i="40"/>
  <c r="G440" i="40"/>
  <c r="O440" i="40"/>
  <c r="F440" i="40"/>
  <c r="P440" i="40"/>
  <c r="H440" i="40"/>
  <c r="J440" i="40"/>
  <c r="N440" i="40"/>
  <c r="L396" i="40"/>
  <c r="M396" i="40"/>
  <c r="F396" i="40"/>
  <c r="P396" i="40"/>
  <c r="O396" i="40"/>
  <c r="I396" i="40"/>
  <c r="G396" i="40"/>
  <c r="H396" i="40"/>
  <c r="J396" i="40"/>
  <c r="K396" i="40"/>
  <c r="N396" i="40"/>
  <c r="B427" i="40"/>
  <c r="D427" i="40"/>
  <c r="E427" i="40"/>
  <c r="B437" i="40"/>
  <c r="E437" i="40"/>
  <c r="D437" i="40"/>
  <c r="G436" i="40"/>
  <c r="O436" i="40"/>
  <c r="H436" i="40"/>
  <c r="P436" i="40"/>
  <c r="F436" i="40"/>
  <c r="J436" i="40"/>
  <c r="N436" i="40"/>
  <c r="E444" i="40"/>
  <c r="D444" i="40"/>
  <c r="E436" i="40"/>
  <c r="D436" i="40"/>
  <c r="B429" i="40"/>
  <c r="D429" i="40"/>
  <c r="E429" i="40"/>
  <c r="M468" i="40"/>
  <c r="H459" i="40"/>
  <c r="P459" i="40"/>
  <c r="K459" i="40"/>
  <c r="D450" i="40"/>
  <c r="B449" i="40"/>
  <c r="G445" i="40"/>
  <c r="E443" i="40"/>
  <c r="I440" i="40"/>
  <c r="B416" i="40"/>
  <c r="E416" i="40"/>
  <c r="D416" i="40"/>
  <c r="E455" i="40"/>
  <c r="D443" i="40"/>
  <c r="B441" i="40"/>
  <c r="D441" i="40"/>
  <c r="E441" i="40"/>
  <c r="M436" i="40"/>
  <c r="I459" i="40"/>
  <c r="B455" i="40"/>
  <c r="B450" i="40"/>
  <c r="L436" i="40"/>
  <c r="E428" i="40"/>
  <c r="D428" i="40"/>
  <c r="B428" i="40"/>
  <c r="B431" i="40"/>
  <c r="D431" i="40"/>
  <c r="B421" i="40"/>
  <c r="D421" i="40"/>
  <c r="M391" i="40"/>
  <c r="F391" i="40"/>
  <c r="N391" i="40"/>
  <c r="G391" i="40"/>
  <c r="P391" i="40"/>
  <c r="J391" i="40"/>
  <c r="K391" i="40"/>
  <c r="L391" i="40"/>
  <c r="O391" i="40"/>
  <c r="H391" i="40"/>
  <c r="I391" i="40"/>
  <c r="D458" i="40"/>
  <c r="E445" i="40"/>
  <c r="D442" i="40"/>
  <c r="L425" i="40"/>
  <c r="M425" i="40"/>
  <c r="O425" i="40"/>
  <c r="F425" i="40"/>
  <c r="P425" i="40"/>
  <c r="I425" i="40"/>
  <c r="K425" i="40"/>
  <c r="E431" i="40"/>
  <c r="E421" i="40"/>
  <c r="M420" i="40"/>
  <c r="P420" i="40"/>
  <c r="E412" i="40"/>
  <c r="B412" i="40"/>
  <c r="D412" i="40"/>
  <c r="B433" i="40"/>
  <c r="E433" i="40"/>
  <c r="H423" i="40"/>
  <c r="P423" i="40"/>
  <c r="M423" i="40"/>
  <c r="I423" i="40"/>
  <c r="O423" i="40"/>
  <c r="J423" i="40"/>
  <c r="L423" i="40"/>
  <c r="D425" i="40"/>
  <c r="D420" i="40"/>
  <c r="E414" i="40"/>
  <c r="B414" i="40"/>
  <c r="B410" i="40"/>
  <c r="D410" i="40"/>
  <c r="B405" i="40"/>
  <c r="F402" i="40"/>
  <c r="N402" i="40"/>
  <c r="G402" i="40"/>
  <c r="O402" i="40"/>
  <c r="P402" i="40"/>
  <c r="H402" i="40"/>
  <c r="M402" i="40"/>
  <c r="D401" i="40"/>
  <c r="E401" i="40"/>
  <c r="B401" i="40"/>
  <c r="E391" i="40"/>
  <c r="D391" i="40"/>
  <c r="L409" i="40"/>
  <c r="N409" i="40"/>
  <c r="G409" i="40"/>
  <c r="I409" i="40"/>
  <c r="M409" i="40"/>
  <c r="B407" i="40"/>
  <c r="D407" i="40"/>
  <c r="J403" i="40"/>
  <c r="N403" i="40"/>
  <c r="M403" i="40"/>
  <c r="H403" i="40"/>
  <c r="F403" i="40"/>
  <c r="K403" i="40"/>
  <c r="E402" i="40"/>
  <c r="D402" i="40"/>
  <c r="F386" i="40"/>
  <c r="N386" i="40"/>
  <c r="G386" i="40"/>
  <c r="O386" i="40"/>
  <c r="P386" i="40"/>
  <c r="H386" i="40"/>
  <c r="I386" i="40"/>
  <c r="J386" i="40"/>
  <c r="K386" i="40"/>
  <c r="E389" i="40"/>
  <c r="D389" i="40"/>
  <c r="B389" i="40"/>
  <c r="B422" i="40"/>
  <c r="B411" i="40"/>
  <c r="K409" i="40"/>
  <c r="I403" i="40"/>
  <c r="L402" i="40"/>
  <c r="B413" i="40"/>
  <c r="E413" i="40"/>
  <c r="J409" i="40"/>
  <c r="E405" i="40"/>
  <c r="G403" i="40"/>
  <c r="K402" i="40"/>
  <c r="B398" i="40"/>
  <c r="E398" i="40"/>
  <c r="D405" i="40"/>
  <c r="J402" i="40"/>
  <c r="D396" i="40"/>
  <c r="E396" i="40"/>
  <c r="D393" i="40"/>
  <c r="E393" i="40"/>
  <c r="B393" i="40"/>
  <c r="D409" i="40"/>
  <c r="E409" i="40"/>
  <c r="H400" i="40"/>
  <c r="P400" i="40"/>
  <c r="I400" i="40"/>
  <c r="O400" i="40"/>
  <c r="N400" i="40"/>
  <c r="F400" i="40"/>
  <c r="E397" i="40"/>
  <c r="D397" i="40"/>
  <c r="B397" i="40"/>
  <c r="F394" i="40"/>
  <c r="O394" i="40"/>
  <c r="P394" i="40"/>
  <c r="L394" i="40"/>
  <c r="E406" i="40"/>
  <c r="E399" i="40"/>
  <c r="D399" i="40"/>
  <c r="B399" i="40"/>
  <c r="E383" i="40"/>
  <c r="D383" i="40"/>
  <c r="B383" i="40"/>
  <c r="E386" i="40"/>
  <c r="D386" i="40"/>
  <c r="D385" i="40"/>
  <c r="B385" i="40"/>
  <c r="E385" i="40"/>
  <c r="L380" i="40"/>
  <c r="M380" i="40"/>
  <c r="F380" i="40"/>
  <c r="N380" i="40"/>
  <c r="K380" i="40"/>
  <c r="J380" i="40"/>
  <c r="I380" i="40"/>
  <c r="P380" i="40"/>
  <c r="D380" i="40"/>
  <c r="E380" i="40"/>
  <c r="E394" i="40"/>
  <c r="D394" i="40"/>
  <c r="L388" i="40"/>
  <c r="M388" i="40"/>
  <c r="F388" i="40"/>
  <c r="P388" i="40"/>
  <c r="O388" i="40"/>
  <c r="J382" i="40"/>
  <c r="K382" i="40"/>
  <c r="L382" i="40"/>
  <c r="I382" i="40"/>
  <c r="N382" i="40"/>
  <c r="M382" i="40"/>
  <c r="B390" i="40"/>
  <c r="E390" i="40"/>
  <c r="D388" i="40"/>
  <c r="E388" i="40"/>
  <c r="O381" i="40"/>
  <c r="P381" i="40"/>
  <c r="I381" i="40"/>
  <c r="F381" i="40"/>
  <c r="N381" i="40"/>
  <c r="M381" i="40"/>
  <c r="I379" i="40"/>
  <c r="P379" i="40"/>
  <c r="O384" i="40"/>
  <c r="D382" i="40"/>
  <c r="I384" i="40"/>
  <c r="P384" i="40"/>
  <c r="B378" i="40"/>
  <c r="G17" i="36" a="1"/>
  <c r="G17" i="36" s="1"/>
  <c r="G18" i="36" a="1"/>
  <c r="G18" i="36" s="1"/>
  <c r="G19" i="36" a="1"/>
  <c r="G19" i="36" s="1"/>
  <c r="G20" i="36" a="1"/>
  <c r="G20" i="36" s="1"/>
  <c r="G21" i="36" a="1"/>
  <c r="G21" i="36" s="1"/>
  <c r="G22" i="36" a="1"/>
  <c r="G22" i="36" s="1"/>
  <c r="G23" i="36" a="1"/>
  <c r="G23" i="36" s="1"/>
  <c r="G24" i="36" a="1"/>
  <c r="G24" i="36" s="1"/>
  <c r="G16" i="36" a="1"/>
  <c r="G16" i="36" s="1"/>
  <c r="G7" i="36" a="1"/>
  <c r="G7" i="36" s="1"/>
  <c r="G8" i="36" a="1"/>
  <c r="G8" i="36" s="1"/>
  <c r="G9" i="36" a="1"/>
  <c r="G9" i="36" s="1"/>
  <c r="G10" i="36" a="1"/>
  <c r="G10" i="36" s="1"/>
  <c r="G11" i="36" a="1"/>
  <c r="G11" i="36" s="1"/>
  <c r="G12" i="36" a="1"/>
  <c r="G12" i="36" s="1"/>
  <c r="G13" i="36" a="1"/>
  <c r="G13" i="36" s="1"/>
  <c r="G14" i="36" a="1"/>
  <c r="G14" i="36" s="1"/>
  <c r="G6" i="36" a="1"/>
  <c r="G6" i="36" s="1"/>
  <c r="E293" i="21"/>
  <c r="K293" i="21" s="1" a="1"/>
  <c r="K293" i="21" s="1"/>
  <c r="E292" i="21"/>
  <c r="K292" i="21" s="1" a="1"/>
  <c r="K292" i="21" s="1"/>
  <c r="E291" i="21"/>
  <c r="K291" i="21" s="1" a="1"/>
  <c r="K291" i="21" s="1"/>
  <c r="E290" i="21"/>
  <c r="K290" i="21" s="1" a="1"/>
  <c r="K290" i="21" s="1"/>
  <c r="E289" i="21"/>
  <c r="K289" i="21" s="1" a="1"/>
  <c r="K289" i="21" s="1"/>
  <c r="E288" i="21"/>
  <c r="K288" i="21" s="1" a="1"/>
  <c r="K288" i="21" s="1"/>
  <c r="E287" i="21"/>
  <c r="K287" i="21" s="1" a="1"/>
  <c r="K287" i="21" s="1"/>
  <c r="E286" i="21"/>
  <c r="K286" i="21" s="1" a="1"/>
  <c r="K286" i="21" s="1"/>
  <c r="E285" i="21"/>
  <c r="K285" i="21" s="1" a="1"/>
  <c r="K285" i="21" s="1"/>
  <c r="E284" i="21"/>
  <c r="K284" i="21" s="1" a="1"/>
  <c r="K284" i="21" s="1"/>
  <c r="E283" i="21"/>
  <c r="K283" i="21" s="1" a="1"/>
  <c r="K283" i="21" s="1"/>
  <c r="E282" i="21"/>
  <c r="K282" i="21" s="1" a="1"/>
  <c r="K282" i="21" s="1"/>
  <c r="E281" i="21"/>
  <c r="K281" i="21" s="1" a="1"/>
  <c r="K281" i="21" s="1"/>
  <c r="E280" i="21"/>
  <c r="K280" i="21" s="1" a="1"/>
  <c r="K280" i="21" s="1"/>
  <c r="E279" i="21"/>
  <c r="K279" i="21" s="1" a="1"/>
  <c r="K279" i="21" s="1"/>
  <c r="E278" i="21"/>
  <c r="K278" i="21" s="1" a="1"/>
  <c r="K278" i="21" s="1"/>
  <c r="E277" i="21"/>
  <c r="K277" i="21" s="1" a="1"/>
  <c r="K277" i="21" s="1"/>
  <c r="E276" i="21"/>
  <c r="K276" i="21" s="1" a="1"/>
  <c r="K276" i="21" s="1"/>
  <c r="E275" i="21"/>
  <c r="K275" i="21" s="1" a="1"/>
  <c r="K275" i="21" s="1"/>
  <c r="E274" i="21"/>
  <c r="K274" i="21" s="1" a="1"/>
  <c r="K274" i="21" s="1"/>
  <c r="E273" i="21"/>
  <c r="K273" i="21" s="1" a="1"/>
  <c r="K273" i="21" s="1"/>
  <c r="E272" i="21"/>
  <c r="K272" i="21" s="1" a="1"/>
  <c r="K272" i="21" s="1"/>
  <c r="E271" i="21"/>
  <c r="K271" i="21" s="1" a="1"/>
  <c r="K271" i="21" s="1"/>
  <c r="E270" i="21"/>
  <c r="K270" i="21" s="1" a="1"/>
  <c r="K270" i="21" s="1"/>
  <c r="E269" i="21"/>
  <c r="K269" i="21" s="1" a="1"/>
  <c r="K269" i="21" s="1"/>
  <c r="E268" i="21"/>
  <c r="K268" i="21" s="1" a="1"/>
  <c r="K268" i="21" s="1"/>
  <c r="E267" i="21"/>
  <c r="K267" i="21" s="1" a="1"/>
  <c r="K267" i="21" s="1"/>
  <c r="E266" i="21"/>
  <c r="K266" i="21" s="1" a="1"/>
  <c r="K266" i="21" s="1"/>
  <c r="E265" i="21"/>
  <c r="K265" i="21" s="1" a="1"/>
  <c r="K265" i="21" s="1"/>
  <c r="E264" i="21"/>
  <c r="K264" i="21" s="1" a="1"/>
  <c r="K264" i="21" s="1"/>
  <c r="E263" i="21"/>
  <c r="K263" i="21" s="1" a="1"/>
  <c r="K263" i="21" s="1"/>
  <c r="E262" i="21"/>
  <c r="K262" i="21" s="1" a="1"/>
  <c r="K262" i="21" s="1"/>
  <c r="E261" i="21"/>
  <c r="K261" i="21" s="1" a="1"/>
  <c r="K261" i="21" s="1"/>
  <c r="E260" i="21"/>
  <c r="K260" i="21" s="1" a="1"/>
  <c r="K260" i="21" s="1"/>
  <c r="E259" i="21"/>
  <c r="K259" i="21" s="1" a="1"/>
  <c r="K259" i="21" s="1"/>
  <c r="E258" i="21"/>
  <c r="K258" i="21" s="1" a="1"/>
  <c r="K258" i="21" s="1"/>
  <c r="E257" i="21"/>
  <c r="K257" i="21" s="1" a="1"/>
  <c r="K257" i="21" s="1"/>
  <c r="E256" i="21"/>
  <c r="K256" i="21" s="1" a="1"/>
  <c r="K256" i="21" s="1"/>
  <c r="E255" i="21"/>
  <c r="K255" i="21" s="1" a="1"/>
  <c r="K255" i="21" s="1"/>
  <c r="E254" i="21"/>
  <c r="K254" i="21" s="1" a="1"/>
  <c r="K254" i="21" s="1"/>
  <c r="E253" i="21"/>
  <c r="K253" i="21" s="1" a="1"/>
  <c r="K253" i="21" s="1"/>
  <c r="E252" i="21"/>
  <c r="K252" i="21" s="1" a="1"/>
  <c r="K252" i="21" s="1"/>
  <c r="E251" i="21"/>
  <c r="K251" i="21" s="1" a="1"/>
  <c r="K251" i="21" s="1"/>
  <c r="E250" i="21"/>
  <c r="K250" i="21" s="1" a="1"/>
  <c r="K250" i="21" s="1"/>
  <c r="E249" i="21"/>
  <c r="K249" i="21" s="1" a="1"/>
  <c r="K249" i="21" s="1"/>
  <c r="E248" i="21"/>
  <c r="K248" i="21" s="1" a="1"/>
  <c r="K248" i="21" s="1"/>
  <c r="E247" i="21"/>
  <c r="K247" i="21" s="1" a="1"/>
  <c r="K247" i="21" s="1"/>
  <c r="E246" i="21"/>
  <c r="K246" i="21" s="1" a="1"/>
  <c r="K246" i="21" s="1"/>
  <c r="E245" i="21"/>
  <c r="K245" i="21" s="1" a="1"/>
  <c r="K245" i="21" s="1"/>
  <c r="E244" i="21"/>
  <c r="K244" i="21" s="1" a="1"/>
  <c r="K244" i="21" s="1"/>
  <c r="E243" i="21"/>
  <c r="K243" i="21" s="1" a="1"/>
  <c r="K243" i="21" s="1"/>
  <c r="E242" i="21"/>
  <c r="K242" i="21" s="1" a="1"/>
  <c r="K242" i="21" s="1"/>
  <c r="E241" i="21"/>
  <c r="K241" i="21" s="1" a="1"/>
  <c r="K241" i="21" s="1"/>
  <c r="E240" i="21"/>
  <c r="K240" i="21" s="1" a="1"/>
  <c r="K240" i="21" s="1"/>
  <c r="E239" i="21"/>
  <c r="K239" i="21" s="1" a="1"/>
  <c r="K239" i="21" s="1"/>
  <c r="E238" i="21"/>
  <c r="K238" i="21" s="1" a="1"/>
  <c r="K238" i="21" s="1"/>
  <c r="E237" i="21"/>
  <c r="K237" i="21" s="1" a="1"/>
  <c r="K237" i="21" s="1"/>
  <c r="E236" i="21"/>
  <c r="K236" i="21" s="1" a="1"/>
  <c r="K236" i="21" s="1"/>
  <c r="E235" i="21"/>
  <c r="K235" i="21" s="1" a="1"/>
  <c r="K235" i="21" s="1"/>
  <c r="E234" i="21"/>
  <c r="K234" i="21" s="1" a="1"/>
  <c r="K234" i="21" s="1"/>
  <c r="E233" i="21"/>
  <c r="K233" i="21" s="1" a="1"/>
  <c r="K233" i="21" s="1"/>
  <c r="E232" i="21"/>
  <c r="K232" i="21" s="1" a="1"/>
  <c r="K232" i="21" s="1"/>
  <c r="E231" i="21"/>
  <c r="K231" i="21" s="1" a="1"/>
  <c r="K231" i="21" s="1"/>
  <c r="E230" i="21"/>
  <c r="K230" i="21" s="1" a="1"/>
  <c r="K230" i="21" s="1"/>
  <c r="E229" i="21"/>
  <c r="K229" i="21" s="1" a="1"/>
  <c r="K229" i="21" s="1"/>
  <c r="E228" i="21"/>
  <c r="K228" i="21" s="1" a="1"/>
  <c r="K228" i="21" s="1"/>
  <c r="E227" i="21"/>
  <c r="K227" i="21" s="1" a="1"/>
  <c r="K227" i="21" s="1"/>
  <c r="E226" i="21"/>
  <c r="K226" i="21" s="1" a="1"/>
  <c r="K226" i="21" s="1"/>
  <c r="E225" i="21"/>
  <c r="K225" i="21" s="1" a="1"/>
  <c r="K225" i="21" s="1"/>
  <c r="E224" i="21"/>
  <c r="K224" i="21" s="1" a="1"/>
  <c r="K224" i="21" s="1"/>
  <c r="E223" i="21"/>
  <c r="K223" i="21" s="1" a="1"/>
  <c r="K223" i="21" s="1"/>
  <c r="E222" i="21"/>
  <c r="K222" i="21" s="1" a="1"/>
  <c r="K222" i="21" s="1"/>
  <c r="E221" i="21"/>
  <c r="K221" i="21" s="1" a="1"/>
  <c r="K221" i="21" s="1"/>
  <c r="E220" i="21"/>
  <c r="K220" i="21" s="1" a="1"/>
  <c r="K220" i="21" s="1"/>
  <c r="E219" i="21"/>
  <c r="K219" i="21" s="1" a="1"/>
  <c r="K219" i="21" s="1"/>
  <c r="E218" i="21"/>
  <c r="K218" i="21" s="1" a="1"/>
  <c r="K218" i="21" s="1"/>
  <c r="E217" i="21"/>
  <c r="K217" i="21" s="1" a="1"/>
  <c r="K217" i="21" s="1"/>
  <c r="E216" i="21"/>
  <c r="K216" i="21" s="1" a="1"/>
  <c r="K216" i="21" s="1"/>
  <c r="E215" i="21"/>
  <c r="K215" i="21" s="1" a="1"/>
  <c r="K215" i="21" s="1"/>
  <c r="E214" i="21"/>
  <c r="K214" i="21" s="1" a="1"/>
  <c r="K214" i="21" s="1"/>
  <c r="E213" i="21"/>
  <c r="K213" i="21" s="1" a="1"/>
  <c r="K213" i="21" s="1"/>
  <c r="E212" i="21"/>
  <c r="K212" i="21" s="1" a="1"/>
  <c r="K212" i="21" s="1"/>
  <c r="E211" i="21"/>
  <c r="K211" i="21" s="1" a="1"/>
  <c r="K211" i="21" s="1"/>
  <c r="E210" i="21"/>
  <c r="K210" i="21" s="1" a="1"/>
  <c r="K210" i="21" s="1"/>
  <c r="E209" i="21"/>
  <c r="K209" i="21" s="1" a="1"/>
  <c r="K209" i="21" s="1"/>
  <c r="E208" i="21"/>
  <c r="K208" i="21" s="1" a="1"/>
  <c r="K208" i="21" s="1"/>
  <c r="E207" i="21"/>
  <c r="K207" i="21" s="1" a="1"/>
  <c r="K207" i="21" s="1"/>
  <c r="E206" i="21"/>
  <c r="K206" i="21" s="1" a="1"/>
  <c r="K206" i="21" s="1"/>
  <c r="E205" i="21"/>
  <c r="K205" i="21" s="1" a="1"/>
  <c r="K205" i="21" s="1"/>
  <c r="E204" i="21"/>
  <c r="K204" i="21" s="1" a="1"/>
  <c r="K204" i="21" s="1"/>
  <c r="E203" i="21"/>
  <c r="K203" i="21" s="1" a="1"/>
  <c r="K203" i="21" s="1"/>
  <c r="E202" i="21"/>
  <c r="K202" i="21" s="1" a="1"/>
  <c r="K202" i="21" s="1"/>
  <c r="E201" i="21"/>
  <c r="K201" i="21" s="1" a="1"/>
  <c r="K201" i="21" s="1"/>
  <c r="E200" i="21"/>
  <c r="K200" i="21" s="1" a="1"/>
  <c r="K200" i="21" s="1"/>
  <c r="E199" i="21"/>
  <c r="K199" i="21" s="1" a="1"/>
  <c r="K199" i="21" s="1"/>
  <c r="E198" i="21"/>
  <c r="K198" i="21" s="1" a="1"/>
  <c r="K198" i="21" s="1"/>
  <c r="E197" i="21"/>
  <c r="K197" i="21" s="1" a="1"/>
  <c r="K197" i="21" s="1"/>
  <c r="E196" i="21"/>
  <c r="K196" i="21" s="1" a="1"/>
  <c r="K196" i="21" s="1"/>
  <c r="E195" i="21"/>
  <c r="K195" i="21" s="1" a="1"/>
  <c r="K195" i="21" s="1"/>
  <c r="E194" i="21"/>
  <c r="K194" i="21" s="1" a="1"/>
  <c r="K194" i="21" s="1"/>
  <c r="E193" i="21"/>
  <c r="K193" i="21" s="1" a="1"/>
  <c r="K193" i="21" s="1"/>
  <c r="E192" i="21"/>
  <c r="K192" i="21" s="1" a="1"/>
  <c r="K192" i="21" s="1"/>
  <c r="E191" i="21"/>
  <c r="K191" i="21" s="1" a="1"/>
  <c r="K191" i="21" s="1"/>
  <c r="E190" i="21"/>
  <c r="K190" i="21" s="1" a="1"/>
  <c r="K190" i="21" s="1"/>
  <c r="E189" i="21"/>
  <c r="K189" i="21" s="1" a="1"/>
  <c r="K189" i="21" s="1"/>
  <c r="E188" i="21"/>
  <c r="K188" i="21" s="1" a="1"/>
  <c r="K188" i="21" s="1"/>
  <c r="E187" i="21"/>
  <c r="K187" i="21" s="1" a="1"/>
  <c r="K187" i="21" s="1"/>
  <c r="E186" i="21"/>
  <c r="K186" i="21" s="1" a="1"/>
  <c r="K186" i="21" s="1"/>
  <c r="E185" i="21"/>
  <c r="K185" i="21" s="1" a="1"/>
  <c r="K185" i="21" s="1"/>
  <c r="E184" i="21"/>
  <c r="K184" i="21" s="1" a="1"/>
  <c r="K184" i="21" s="1"/>
  <c r="E183" i="21"/>
  <c r="K183" i="21" s="1" a="1"/>
  <c r="K183" i="21" s="1"/>
  <c r="E182" i="21"/>
  <c r="K182" i="21" s="1" a="1"/>
  <c r="K182" i="21" s="1"/>
  <c r="E181" i="21"/>
  <c r="K181" i="21" s="1" a="1"/>
  <c r="K181" i="21" s="1"/>
  <c r="E180" i="21"/>
  <c r="K180" i="21" s="1" a="1"/>
  <c r="K180" i="21" s="1"/>
  <c r="E179" i="21"/>
  <c r="K179" i="21" s="1" a="1"/>
  <c r="K179" i="21" s="1"/>
  <c r="E178" i="21"/>
  <c r="K178" i="21" s="1" a="1"/>
  <c r="K178" i="21" s="1"/>
  <c r="E177" i="21"/>
  <c r="K177" i="21" s="1" a="1"/>
  <c r="K177" i="21" s="1"/>
  <c r="E176" i="21"/>
  <c r="K176" i="21" s="1" a="1"/>
  <c r="K176" i="21" s="1"/>
  <c r="E175" i="21"/>
  <c r="K175" i="21" s="1" a="1"/>
  <c r="K175" i="21" s="1"/>
  <c r="E174" i="21"/>
  <c r="K174" i="21" s="1" a="1"/>
  <c r="K174" i="21" s="1"/>
  <c r="E173" i="21"/>
  <c r="K173" i="21" s="1" a="1"/>
  <c r="K173" i="21" s="1"/>
  <c r="E172" i="21"/>
  <c r="K172" i="21" s="1" a="1"/>
  <c r="K172" i="21" s="1"/>
  <c r="E171" i="21"/>
  <c r="K171" i="21" s="1" a="1"/>
  <c r="K171" i="21" s="1"/>
  <c r="E170" i="21"/>
  <c r="K170" i="21" s="1" a="1"/>
  <c r="K170" i="21" s="1"/>
  <c r="E169" i="21"/>
  <c r="K169" i="21" s="1" a="1"/>
  <c r="K169" i="21" s="1"/>
  <c r="E168" i="21"/>
  <c r="K168" i="21" s="1" a="1"/>
  <c r="K168" i="21" s="1"/>
  <c r="E167" i="21"/>
  <c r="K167" i="21" s="1" a="1"/>
  <c r="K167" i="21" s="1"/>
  <c r="E166" i="21"/>
  <c r="K166" i="21" s="1" a="1"/>
  <c r="K166" i="21" s="1"/>
  <c r="E165" i="21"/>
  <c r="K165" i="21" s="1" a="1"/>
  <c r="K165" i="21" s="1"/>
  <c r="E164" i="21"/>
  <c r="K164" i="21" s="1" a="1"/>
  <c r="K164" i="21" s="1"/>
  <c r="E163" i="21"/>
  <c r="K163" i="21" s="1" a="1"/>
  <c r="K163" i="21" s="1"/>
  <c r="E162" i="21"/>
  <c r="K162" i="21" s="1" a="1"/>
  <c r="K162" i="21" s="1"/>
  <c r="E161" i="21"/>
  <c r="K161" i="21" s="1" a="1"/>
  <c r="K161" i="21" s="1"/>
  <c r="E160" i="21"/>
  <c r="K160" i="21" s="1" a="1"/>
  <c r="K160" i="21" s="1"/>
  <c r="E159" i="21"/>
  <c r="K159" i="21" s="1" a="1"/>
  <c r="K159" i="21" s="1"/>
  <c r="E158" i="21"/>
  <c r="K158" i="21" s="1" a="1"/>
  <c r="K158" i="21" s="1"/>
  <c r="E157" i="21"/>
  <c r="K157" i="21" s="1" a="1"/>
  <c r="K157" i="21" s="1"/>
  <c r="E156" i="21"/>
  <c r="K156" i="21" s="1" a="1"/>
  <c r="K156" i="21" s="1"/>
  <c r="E155" i="21"/>
  <c r="K155" i="21" s="1" a="1"/>
  <c r="K155" i="21" s="1"/>
  <c r="E154" i="21"/>
  <c r="K154" i="21" s="1" a="1"/>
  <c r="K154" i="21" s="1"/>
  <c r="E153" i="21"/>
  <c r="K153" i="21" s="1" a="1"/>
  <c r="K153" i="21" s="1"/>
  <c r="E152" i="21"/>
  <c r="K152" i="21" s="1" a="1"/>
  <c r="K152" i="21" s="1"/>
  <c r="E151" i="21"/>
  <c r="K151" i="21" s="1" a="1"/>
  <c r="K151" i="21" s="1"/>
  <c r="E150" i="21"/>
  <c r="K150" i="21" s="1" a="1"/>
  <c r="K150" i="21" s="1"/>
  <c r="E149" i="21"/>
  <c r="K149" i="21" s="1" a="1"/>
  <c r="K149" i="21" s="1"/>
  <c r="E148" i="21"/>
  <c r="K148" i="21" s="1" a="1"/>
  <c r="K148" i="21" s="1"/>
  <c r="E147" i="21"/>
  <c r="K147" i="21" s="1" a="1"/>
  <c r="K147" i="21" s="1"/>
  <c r="E146" i="21"/>
  <c r="K146" i="21" s="1" a="1"/>
  <c r="K146" i="21" s="1"/>
  <c r="E145" i="21"/>
  <c r="K145" i="21" s="1" a="1"/>
  <c r="K145" i="21" s="1"/>
  <c r="E144" i="21"/>
  <c r="K144" i="21" s="1" a="1"/>
  <c r="K144" i="21" s="1"/>
  <c r="E143" i="21"/>
  <c r="K143" i="21" s="1" a="1"/>
  <c r="K143" i="21" s="1"/>
  <c r="E142" i="21"/>
  <c r="K142" i="21" s="1" a="1"/>
  <c r="K142" i="21" s="1"/>
  <c r="E141" i="21"/>
  <c r="K141" i="21" s="1" a="1"/>
  <c r="K141" i="21" s="1"/>
  <c r="E140" i="21"/>
  <c r="K140" i="21" s="1" a="1"/>
  <c r="K140" i="21" s="1"/>
  <c r="E139" i="21"/>
  <c r="K139" i="21" s="1" a="1"/>
  <c r="K139" i="21" s="1"/>
  <c r="E138" i="21"/>
  <c r="K138" i="21" s="1" a="1"/>
  <c r="K138" i="21" s="1"/>
  <c r="E137" i="21"/>
  <c r="K137" i="21" s="1" a="1"/>
  <c r="K137" i="21" s="1"/>
  <c r="E136" i="21"/>
  <c r="K136" i="21" s="1" a="1"/>
  <c r="K136" i="21" s="1"/>
  <c r="E135" i="21"/>
  <c r="K135" i="21" s="1" a="1"/>
  <c r="K135" i="21" s="1"/>
  <c r="E134" i="21"/>
  <c r="K134" i="21" s="1" a="1"/>
  <c r="K134" i="21" s="1"/>
  <c r="E133" i="21"/>
  <c r="K133" i="21" s="1" a="1"/>
  <c r="K133" i="21" s="1"/>
  <c r="E132" i="21"/>
  <c r="K132" i="21" s="1" a="1"/>
  <c r="K132" i="21" s="1"/>
  <c r="E131" i="21"/>
  <c r="K131" i="21" s="1" a="1"/>
  <c r="K131" i="21" s="1"/>
  <c r="E130" i="21"/>
  <c r="K130" i="21" s="1" a="1"/>
  <c r="K130" i="21" s="1"/>
  <c r="E129" i="21"/>
  <c r="K129" i="21" s="1" a="1"/>
  <c r="K129" i="21" s="1"/>
  <c r="E128" i="21"/>
  <c r="K128" i="21" s="1" a="1"/>
  <c r="K128" i="21" s="1"/>
  <c r="E127" i="21"/>
  <c r="K127" i="21" s="1" a="1"/>
  <c r="K127" i="21" s="1"/>
  <c r="E126" i="21"/>
  <c r="K126" i="21" s="1" a="1"/>
  <c r="K126" i="21" s="1"/>
  <c r="E125" i="21"/>
  <c r="K125" i="21" s="1" a="1"/>
  <c r="K125" i="21" s="1"/>
  <c r="E124" i="21"/>
  <c r="K124" i="21" s="1" a="1"/>
  <c r="K124" i="21" s="1"/>
  <c r="E123" i="21"/>
  <c r="K123" i="21" s="1" a="1"/>
  <c r="K123" i="21" s="1"/>
  <c r="E122" i="21"/>
  <c r="K122" i="21" s="1" a="1"/>
  <c r="K122" i="21" s="1"/>
  <c r="E121" i="21"/>
  <c r="K121" i="21" s="1" a="1"/>
  <c r="K121" i="21" s="1"/>
  <c r="E120" i="21"/>
  <c r="K120" i="21" s="1" a="1"/>
  <c r="K120" i="21" s="1"/>
  <c r="E119" i="21"/>
  <c r="K119" i="21" s="1" a="1"/>
  <c r="K119" i="21" s="1"/>
  <c r="E118" i="21"/>
  <c r="K118" i="21" s="1" a="1"/>
  <c r="K118" i="21" s="1"/>
  <c r="E117" i="21"/>
  <c r="K117" i="21" s="1" a="1"/>
  <c r="K117" i="21" s="1"/>
  <c r="E116" i="21"/>
  <c r="K116" i="21" s="1" a="1"/>
  <c r="K116" i="21" s="1"/>
  <c r="E115" i="21"/>
  <c r="K115" i="21" s="1" a="1"/>
  <c r="K115" i="21" s="1"/>
  <c r="E114" i="21"/>
  <c r="K114" i="21" s="1" a="1"/>
  <c r="K114" i="21" s="1"/>
  <c r="E113" i="21"/>
  <c r="K113" i="21" s="1" a="1"/>
  <c r="K113" i="21" s="1"/>
  <c r="E112" i="21"/>
  <c r="K112" i="21" s="1" a="1"/>
  <c r="K112" i="21" s="1"/>
  <c r="E111" i="21"/>
  <c r="K111" i="21" s="1" a="1"/>
  <c r="K111" i="21" s="1"/>
  <c r="E110" i="21"/>
  <c r="K110" i="21" s="1" a="1"/>
  <c r="K110" i="21" s="1"/>
  <c r="E109" i="21"/>
  <c r="K109" i="21" s="1" a="1"/>
  <c r="K109" i="21" s="1"/>
  <c r="E108" i="21"/>
  <c r="K108" i="21" s="1" a="1"/>
  <c r="K108" i="21" s="1"/>
  <c r="E107" i="21"/>
  <c r="K107" i="21" s="1" a="1"/>
  <c r="K107" i="21" s="1"/>
  <c r="E106" i="21"/>
  <c r="K106" i="21" s="1" a="1"/>
  <c r="K106" i="21" s="1"/>
  <c r="E105" i="21"/>
  <c r="K105" i="21" s="1" a="1"/>
  <c r="K105" i="21" s="1"/>
  <c r="E104" i="21"/>
  <c r="K104" i="21" s="1" a="1"/>
  <c r="K104" i="21" s="1"/>
  <c r="E103" i="21"/>
  <c r="K103" i="21" s="1" a="1"/>
  <c r="K103" i="21" s="1"/>
  <c r="E102" i="21"/>
  <c r="K102" i="21" s="1" a="1"/>
  <c r="K102" i="21" s="1"/>
  <c r="E101" i="21"/>
  <c r="K101" i="21" s="1" a="1"/>
  <c r="K101" i="21" s="1"/>
  <c r="E100" i="21"/>
  <c r="K100" i="21" s="1" a="1"/>
  <c r="K100" i="21" s="1"/>
  <c r="E99" i="21"/>
  <c r="K99" i="21" s="1" a="1"/>
  <c r="K99" i="21" s="1"/>
  <c r="E98" i="21"/>
  <c r="K98" i="21" s="1" a="1"/>
  <c r="K98" i="21" s="1"/>
  <c r="E97" i="21"/>
  <c r="K97" i="21" s="1" a="1"/>
  <c r="K97" i="21" s="1"/>
  <c r="E96" i="21"/>
  <c r="K96" i="21" s="1" a="1"/>
  <c r="K96" i="21" s="1"/>
  <c r="E95" i="21"/>
  <c r="K95" i="21" s="1" a="1"/>
  <c r="K95" i="21" s="1"/>
  <c r="E94" i="21"/>
  <c r="K94" i="21" s="1" a="1"/>
  <c r="K94" i="21" s="1"/>
  <c r="E93" i="21"/>
  <c r="K93" i="21" s="1" a="1"/>
  <c r="K93" i="21" s="1"/>
  <c r="E92" i="21"/>
  <c r="K92" i="21" s="1" a="1"/>
  <c r="K92" i="21" s="1"/>
  <c r="E91" i="21"/>
  <c r="K91" i="21" s="1" a="1"/>
  <c r="K91" i="21" s="1"/>
  <c r="E90" i="21"/>
  <c r="K90" i="21" s="1" a="1"/>
  <c r="K90" i="21" s="1"/>
  <c r="E89" i="21"/>
  <c r="K89" i="21" s="1" a="1"/>
  <c r="K89" i="21" s="1"/>
  <c r="E88" i="21"/>
  <c r="K88" i="21" s="1" a="1"/>
  <c r="K88" i="21" s="1"/>
  <c r="E87" i="21"/>
  <c r="K87" i="21" s="1" a="1"/>
  <c r="K87" i="21" s="1"/>
  <c r="E86" i="21"/>
  <c r="K86" i="21" s="1" a="1"/>
  <c r="K86" i="21" s="1"/>
  <c r="E85" i="21"/>
  <c r="K85" i="21" s="1" a="1"/>
  <c r="K85" i="21" s="1"/>
  <c r="E84" i="21"/>
  <c r="K84" i="21" s="1" a="1"/>
  <c r="K84" i="21" s="1"/>
  <c r="E83" i="21"/>
  <c r="K83" i="21" s="1" a="1"/>
  <c r="K83" i="21" s="1"/>
  <c r="E82" i="21"/>
  <c r="K82" i="21" s="1" a="1"/>
  <c r="K82" i="21" s="1"/>
  <c r="E81" i="21"/>
  <c r="K81" i="21" s="1" a="1"/>
  <c r="K81" i="21" s="1"/>
  <c r="E80" i="21"/>
  <c r="K80" i="21" s="1" a="1"/>
  <c r="K80" i="21" s="1"/>
  <c r="E79" i="21"/>
  <c r="K79" i="21" s="1" a="1"/>
  <c r="K79" i="21" s="1"/>
  <c r="E78" i="21"/>
  <c r="K78" i="21" s="1" a="1"/>
  <c r="K78" i="21" s="1"/>
  <c r="E77" i="21"/>
  <c r="K77" i="21" s="1" a="1"/>
  <c r="K77" i="21" s="1"/>
  <c r="E76" i="21"/>
  <c r="K76" i="21" s="1" a="1"/>
  <c r="K76" i="21" s="1"/>
  <c r="E75" i="21"/>
  <c r="K75" i="21" s="1" a="1"/>
  <c r="K75" i="21" s="1"/>
  <c r="E74" i="21"/>
  <c r="K74" i="21" s="1" a="1"/>
  <c r="K74" i="21" s="1"/>
  <c r="E73" i="21"/>
  <c r="K73" i="21" s="1" a="1"/>
  <c r="K73" i="21" s="1"/>
  <c r="E72" i="21"/>
  <c r="K72" i="21" s="1" a="1"/>
  <c r="K72" i="21" s="1"/>
  <c r="E71" i="21"/>
  <c r="K71" i="21" s="1" a="1"/>
  <c r="K71" i="21" s="1"/>
  <c r="E70" i="21"/>
  <c r="K70" i="21" s="1" a="1"/>
  <c r="K70" i="21" s="1"/>
  <c r="E69" i="21"/>
  <c r="K69" i="21" s="1" a="1"/>
  <c r="K69" i="21" s="1"/>
  <c r="E68" i="21"/>
  <c r="K68" i="21" s="1" a="1"/>
  <c r="K68" i="21" s="1"/>
  <c r="E67" i="21"/>
  <c r="K67" i="21" s="1" a="1"/>
  <c r="K67" i="21" s="1"/>
  <c r="E66" i="21"/>
  <c r="K66" i="21" s="1" a="1"/>
  <c r="K66" i="21" s="1"/>
  <c r="E65" i="21"/>
  <c r="K65" i="21" s="1" a="1"/>
  <c r="K65" i="21" s="1"/>
  <c r="E64" i="21"/>
  <c r="K64" i="21" s="1" a="1"/>
  <c r="K64" i="21" s="1"/>
  <c r="E63" i="21"/>
  <c r="K63" i="21" s="1" a="1"/>
  <c r="K63" i="21" s="1"/>
  <c r="E62" i="21"/>
  <c r="K62" i="21" s="1" a="1"/>
  <c r="K62" i="21" s="1"/>
  <c r="E61" i="21"/>
  <c r="K61" i="21" s="1" a="1"/>
  <c r="K61" i="21" s="1"/>
  <c r="E60" i="21"/>
  <c r="K60" i="21" s="1" a="1"/>
  <c r="K60" i="21" s="1"/>
  <c r="E59" i="21"/>
  <c r="K59" i="21" s="1" a="1"/>
  <c r="K59" i="21" s="1"/>
  <c r="E58" i="21"/>
  <c r="K58" i="21" s="1" a="1"/>
  <c r="K58" i="21" s="1"/>
  <c r="E57" i="21"/>
  <c r="K57" i="21" s="1" a="1"/>
  <c r="K57" i="21" s="1"/>
  <c r="E56" i="21"/>
  <c r="K56" i="21" s="1" a="1"/>
  <c r="K56" i="21" s="1"/>
  <c r="E55" i="21"/>
  <c r="K55" i="21" s="1" a="1"/>
  <c r="K55" i="21" s="1"/>
  <c r="E54" i="21"/>
  <c r="K54" i="21" s="1" a="1"/>
  <c r="K54" i="21" s="1"/>
  <c r="E53" i="21"/>
  <c r="K53" i="21" s="1" a="1"/>
  <c r="K53" i="21" s="1"/>
  <c r="E52" i="21"/>
  <c r="K52" i="21" s="1" a="1"/>
  <c r="K52" i="21" s="1"/>
  <c r="E51" i="21"/>
  <c r="K51" i="21" s="1" a="1"/>
  <c r="K51" i="21" s="1"/>
  <c r="E50" i="21"/>
  <c r="K50" i="21" s="1" a="1"/>
  <c r="K50" i="21" s="1"/>
  <c r="E49" i="21"/>
  <c r="K49" i="21" s="1" a="1"/>
  <c r="K49" i="21" s="1"/>
  <c r="E48" i="21"/>
  <c r="K48" i="21" s="1" a="1"/>
  <c r="K48" i="21" s="1"/>
  <c r="E47" i="21"/>
  <c r="K47" i="21" s="1" a="1"/>
  <c r="K47" i="21" s="1"/>
  <c r="E46" i="21"/>
  <c r="K46" i="21" s="1" a="1"/>
  <c r="K46" i="21" s="1"/>
  <c r="E45" i="21"/>
  <c r="K45" i="21" s="1" a="1"/>
  <c r="K45" i="21" s="1"/>
  <c r="E44" i="21"/>
  <c r="K44" i="21" s="1" a="1"/>
  <c r="K44" i="21" s="1"/>
  <c r="E43" i="21"/>
  <c r="K43" i="21" s="1" a="1"/>
  <c r="K43" i="21" s="1"/>
  <c r="E42" i="21"/>
  <c r="K42" i="21" s="1" a="1"/>
  <c r="K42" i="21" s="1"/>
  <c r="E41" i="21"/>
  <c r="K41" i="21" s="1" a="1"/>
  <c r="K41" i="21" s="1"/>
  <c r="E40" i="21"/>
  <c r="K40" i="21" s="1" a="1"/>
  <c r="K40" i="21" s="1"/>
  <c r="E39" i="21"/>
  <c r="K39" i="21" s="1" a="1"/>
  <c r="K39" i="21" s="1"/>
  <c r="E38" i="21"/>
  <c r="K38" i="21" s="1" a="1"/>
  <c r="K38" i="21" s="1"/>
  <c r="E37" i="21"/>
  <c r="K37" i="21" s="1" a="1"/>
  <c r="K37" i="21" s="1"/>
  <c r="E36" i="21"/>
  <c r="K36" i="21" s="1" a="1"/>
  <c r="K36" i="21" s="1"/>
  <c r="E35" i="21"/>
  <c r="K35" i="21" s="1" a="1"/>
  <c r="K35" i="21" s="1"/>
  <c r="E34" i="21"/>
  <c r="K34" i="21" s="1" a="1"/>
  <c r="K34" i="21" s="1"/>
  <c r="E33" i="21"/>
  <c r="K33" i="21" s="1" a="1"/>
  <c r="K33" i="21" s="1"/>
  <c r="E32" i="21"/>
  <c r="K32" i="21" s="1" a="1"/>
  <c r="K32" i="21" s="1"/>
  <c r="E31" i="21"/>
  <c r="K31" i="21" s="1" a="1"/>
  <c r="K31" i="21" s="1"/>
  <c r="E30" i="21"/>
  <c r="K30" i="21" s="1" a="1"/>
  <c r="K30" i="21" s="1"/>
  <c r="E29" i="21"/>
  <c r="K29" i="21" s="1" a="1"/>
  <c r="K29" i="21" s="1"/>
  <c r="E28" i="21"/>
  <c r="K28" i="21" s="1" a="1"/>
  <c r="K28" i="21" s="1"/>
  <c r="E27" i="21"/>
  <c r="K27" i="21" s="1" a="1"/>
  <c r="K27" i="21" s="1"/>
  <c r="E26" i="21"/>
  <c r="K26" i="21" s="1" a="1"/>
  <c r="K26" i="21" s="1"/>
  <c r="E25" i="21"/>
  <c r="K25" i="21" s="1" a="1"/>
  <c r="K25" i="21" s="1"/>
  <c r="E24" i="21"/>
  <c r="K24" i="21" s="1" a="1"/>
  <c r="K24" i="21" s="1"/>
  <c r="E23" i="21"/>
  <c r="K23" i="21" s="1" a="1"/>
  <c r="K23" i="21" s="1"/>
  <c r="E22" i="21"/>
  <c r="K22" i="21" s="1" a="1"/>
  <c r="K22" i="21" s="1"/>
  <c r="E21" i="21"/>
  <c r="K21" i="21" s="1" a="1"/>
  <c r="K21" i="21" s="1"/>
  <c r="E20" i="21"/>
  <c r="K20" i="21" s="1" a="1"/>
  <c r="K20" i="21" s="1"/>
  <c r="E19" i="21"/>
  <c r="K19" i="21" s="1" a="1"/>
  <c r="K19" i="21" s="1"/>
  <c r="E18" i="21"/>
  <c r="K18" i="21" s="1" a="1"/>
  <c r="K18" i="21" s="1"/>
  <c r="E17" i="21"/>
  <c r="K17" i="21" s="1" a="1"/>
  <c r="K17" i="21" s="1"/>
  <c r="E16" i="21"/>
  <c r="K16" i="21" s="1" a="1"/>
  <c r="K16" i="21" s="1"/>
  <c r="E15" i="21"/>
  <c r="K15" i="21" s="1" a="1"/>
  <c r="K15" i="21" s="1"/>
  <c r="E14" i="21"/>
  <c r="K14" i="21" s="1" a="1"/>
  <c r="K14" i="21" s="1"/>
  <c r="E13" i="21"/>
  <c r="K13" i="21" s="1" a="1"/>
  <c r="K13" i="21" s="1"/>
  <c r="E12" i="21"/>
  <c r="K12" i="21" s="1" a="1"/>
  <c r="K12" i="21" s="1"/>
  <c r="E11" i="21"/>
  <c r="K11" i="21" s="1" a="1"/>
  <c r="K11" i="21" s="1"/>
  <c r="E10" i="21"/>
  <c r="K10" i="21" s="1" a="1"/>
  <c r="K10" i="21" s="1"/>
  <c r="E9" i="21"/>
  <c r="K9" i="21" s="1" a="1"/>
  <c r="K9" i="21" s="1"/>
  <c r="E8" i="21"/>
  <c r="K8" i="21" s="1" a="1"/>
  <c r="K8" i="21" s="1"/>
  <c r="E7" i="21"/>
  <c r="K7" i="21" s="1" a="1"/>
  <c r="K7" i="21" s="1"/>
  <c r="E6" i="21"/>
  <c r="K6" i="21" s="1" a="1"/>
  <c r="K6" i="21" s="1"/>
  <c r="E293" i="22"/>
  <c r="K293" i="22" s="1" a="1"/>
  <c r="K293" i="22" s="1"/>
  <c r="E292" i="22"/>
  <c r="K292" i="22" s="1" a="1"/>
  <c r="K292" i="22" s="1"/>
  <c r="E291" i="22"/>
  <c r="K291" i="22" s="1" a="1"/>
  <c r="K291" i="22" s="1"/>
  <c r="E290" i="22"/>
  <c r="K290" i="22" s="1" a="1"/>
  <c r="K290" i="22" s="1"/>
  <c r="E289" i="22"/>
  <c r="K289" i="22" s="1" a="1"/>
  <c r="K289" i="22" s="1"/>
  <c r="E288" i="22"/>
  <c r="K288" i="22" s="1" a="1"/>
  <c r="K288" i="22" s="1"/>
  <c r="E287" i="22"/>
  <c r="K287" i="22" s="1" a="1"/>
  <c r="K287" i="22" s="1"/>
  <c r="E286" i="22"/>
  <c r="K286" i="22" s="1" a="1"/>
  <c r="K286" i="22" s="1"/>
  <c r="E285" i="22"/>
  <c r="K285" i="22" s="1" a="1"/>
  <c r="K285" i="22" s="1"/>
  <c r="E284" i="22"/>
  <c r="K284" i="22" s="1" a="1"/>
  <c r="K284" i="22" s="1"/>
  <c r="E283" i="22"/>
  <c r="K283" i="22" s="1" a="1"/>
  <c r="K283" i="22" s="1"/>
  <c r="E282" i="22"/>
  <c r="K282" i="22" s="1" a="1"/>
  <c r="K282" i="22" s="1"/>
  <c r="E281" i="22"/>
  <c r="K281" i="22" s="1" a="1"/>
  <c r="K281" i="22" s="1"/>
  <c r="E280" i="22"/>
  <c r="K280" i="22" s="1" a="1"/>
  <c r="K280" i="22" s="1"/>
  <c r="E279" i="22"/>
  <c r="K279" i="22" s="1" a="1"/>
  <c r="K279" i="22" s="1"/>
  <c r="E278" i="22"/>
  <c r="K278" i="22" s="1" a="1"/>
  <c r="K278" i="22" s="1"/>
  <c r="E277" i="22"/>
  <c r="K277" i="22" s="1" a="1"/>
  <c r="K277" i="22" s="1"/>
  <c r="E276" i="22"/>
  <c r="K276" i="22" s="1" a="1"/>
  <c r="K276" i="22" s="1"/>
  <c r="E275" i="22"/>
  <c r="K275" i="22" s="1" a="1"/>
  <c r="K275" i="22" s="1"/>
  <c r="E274" i="22"/>
  <c r="K274" i="22" s="1" a="1"/>
  <c r="K274" i="22" s="1"/>
  <c r="E273" i="22"/>
  <c r="K273" i="22" s="1" a="1"/>
  <c r="K273" i="22" s="1"/>
  <c r="E272" i="22"/>
  <c r="K272" i="22" s="1" a="1"/>
  <c r="K272" i="22" s="1"/>
  <c r="E271" i="22"/>
  <c r="K271" i="22" s="1" a="1"/>
  <c r="K271" i="22" s="1"/>
  <c r="E270" i="22"/>
  <c r="K270" i="22" s="1" a="1"/>
  <c r="K270" i="22" s="1"/>
  <c r="E269" i="22"/>
  <c r="K269" i="22" s="1" a="1"/>
  <c r="K269" i="22" s="1"/>
  <c r="E268" i="22"/>
  <c r="K268" i="22" s="1" a="1"/>
  <c r="K268" i="22" s="1"/>
  <c r="E267" i="22"/>
  <c r="K267" i="22" s="1" a="1"/>
  <c r="K267" i="22" s="1"/>
  <c r="E266" i="22"/>
  <c r="K266" i="22" s="1" a="1"/>
  <c r="K266" i="22" s="1"/>
  <c r="E265" i="22"/>
  <c r="K265" i="22" s="1" a="1"/>
  <c r="K265" i="22" s="1"/>
  <c r="E264" i="22"/>
  <c r="K264" i="22" s="1" a="1"/>
  <c r="K264" i="22" s="1"/>
  <c r="E263" i="22"/>
  <c r="K263" i="22" s="1" a="1"/>
  <c r="K263" i="22" s="1"/>
  <c r="E262" i="22"/>
  <c r="K262" i="22" s="1" a="1"/>
  <c r="K262" i="22" s="1"/>
  <c r="E261" i="22"/>
  <c r="K261" i="22" s="1" a="1"/>
  <c r="K261" i="22" s="1"/>
  <c r="E260" i="22"/>
  <c r="K260" i="22" s="1" a="1"/>
  <c r="K260" i="22" s="1"/>
  <c r="E259" i="22"/>
  <c r="K259" i="22" s="1" a="1"/>
  <c r="K259" i="22" s="1"/>
  <c r="E258" i="22"/>
  <c r="K258" i="22" s="1" a="1"/>
  <c r="K258" i="22" s="1"/>
  <c r="E257" i="22"/>
  <c r="K257" i="22" s="1" a="1"/>
  <c r="K257" i="22" s="1"/>
  <c r="E256" i="22"/>
  <c r="K256" i="22" s="1" a="1"/>
  <c r="K256" i="22" s="1"/>
  <c r="E255" i="22"/>
  <c r="K255" i="22" s="1" a="1"/>
  <c r="K255" i="22" s="1"/>
  <c r="E254" i="22"/>
  <c r="K254" i="22" s="1" a="1"/>
  <c r="K254" i="22" s="1"/>
  <c r="E253" i="22"/>
  <c r="K253" i="22" s="1" a="1"/>
  <c r="K253" i="22" s="1"/>
  <c r="E252" i="22"/>
  <c r="K252" i="22" s="1" a="1"/>
  <c r="K252" i="22" s="1"/>
  <c r="E251" i="22"/>
  <c r="K251" i="22" s="1" a="1"/>
  <c r="K251" i="22" s="1"/>
  <c r="E250" i="22"/>
  <c r="K250" i="22" s="1" a="1"/>
  <c r="K250" i="22" s="1"/>
  <c r="E249" i="22"/>
  <c r="K249" i="22" s="1" a="1"/>
  <c r="K249" i="22" s="1"/>
  <c r="E248" i="22"/>
  <c r="K248" i="22" s="1" a="1"/>
  <c r="K248" i="22" s="1"/>
  <c r="E247" i="22"/>
  <c r="K247" i="22" s="1" a="1"/>
  <c r="K247" i="22" s="1"/>
  <c r="E246" i="22"/>
  <c r="K246" i="22" s="1" a="1"/>
  <c r="K246" i="22" s="1"/>
  <c r="E245" i="22"/>
  <c r="K245" i="22" s="1" a="1"/>
  <c r="K245" i="22" s="1"/>
  <c r="E244" i="22"/>
  <c r="K244" i="22" s="1" a="1"/>
  <c r="K244" i="22" s="1"/>
  <c r="E243" i="22"/>
  <c r="K243" i="22" s="1" a="1"/>
  <c r="K243" i="22" s="1"/>
  <c r="E242" i="22"/>
  <c r="K242" i="22" s="1" a="1"/>
  <c r="K242" i="22" s="1"/>
  <c r="E241" i="22"/>
  <c r="K241" i="22" s="1" a="1"/>
  <c r="K241" i="22" s="1"/>
  <c r="E240" i="22"/>
  <c r="K240" i="22" s="1" a="1"/>
  <c r="K240" i="22" s="1"/>
  <c r="E239" i="22"/>
  <c r="K239" i="22" s="1" a="1"/>
  <c r="K239" i="22" s="1"/>
  <c r="E238" i="22"/>
  <c r="K238" i="22" s="1" a="1"/>
  <c r="K238" i="22" s="1"/>
  <c r="E237" i="22"/>
  <c r="K237" i="22" s="1" a="1"/>
  <c r="K237" i="22" s="1"/>
  <c r="E236" i="22"/>
  <c r="K236" i="22" s="1" a="1"/>
  <c r="K236" i="22" s="1"/>
  <c r="E235" i="22"/>
  <c r="K235" i="22" s="1" a="1"/>
  <c r="K235" i="22" s="1"/>
  <c r="E234" i="22"/>
  <c r="K234" i="22" s="1" a="1"/>
  <c r="K234" i="22" s="1"/>
  <c r="E233" i="22"/>
  <c r="K233" i="22" s="1" a="1"/>
  <c r="K233" i="22" s="1"/>
  <c r="E232" i="22"/>
  <c r="K232" i="22" s="1" a="1"/>
  <c r="K232" i="22" s="1"/>
  <c r="E231" i="22"/>
  <c r="K231" i="22" s="1" a="1"/>
  <c r="K231" i="22" s="1"/>
  <c r="E230" i="22"/>
  <c r="K230" i="22" s="1" a="1"/>
  <c r="K230" i="22" s="1"/>
  <c r="E229" i="22"/>
  <c r="K229" i="22" s="1" a="1"/>
  <c r="K229" i="22" s="1"/>
  <c r="E228" i="22"/>
  <c r="K228" i="22" s="1" a="1"/>
  <c r="K228" i="22" s="1"/>
  <c r="E227" i="22"/>
  <c r="K227" i="22" s="1" a="1"/>
  <c r="K227" i="22" s="1"/>
  <c r="E226" i="22"/>
  <c r="K226" i="22" s="1" a="1"/>
  <c r="K226" i="22" s="1"/>
  <c r="E225" i="22"/>
  <c r="K225" i="22" s="1" a="1"/>
  <c r="K225" i="22" s="1"/>
  <c r="E224" i="22"/>
  <c r="K224" i="22" s="1" a="1"/>
  <c r="K224" i="22" s="1"/>
  <c r="E223" i="22"/>
  <c r="K223" i="22" s="1" a="1"/>
  <c r="K223" i="22" s="1"/>
  <c r="E222" i="22"/>
  <c r="K222" i="22" s="1" a="1"/>
  <c r="K222" i="22" s="1"/>
  <c r="E221" i="22"/>
  <c r="K221" i="22" s="1" a="1"/>
  <c r="K221" i="22" s="1"/>
  <c r="E220" i="22"/>
  <c r="K220" i="22" s="1" a="1"/>
  <c r="K220" i="22" s="1"/>
  <c r="E219" i="22"/>
  <c r="K219" i="22" s="1" a="1"/>
  <c r="K219" i="22" s="1"/>
  <c r="E218" i="22"/>
  <c r="K218" i="22" s="1" a="1"/>
  <c r="K218" i="22" s="1"/>
  <c r="E217" i="22"/>
  <c r="K217" i="22" s="1" a="1"/>
  <c r="K217" i="22" s="1"/>
  <c r="E216" i="22"/>
  <c r="K216" i="22" s="1" a="1"/>
  <c r="K216" i="22" s="1"/>
  <c r="E215" i="22"/>
  <c r="K215" i="22" s="1" a="1"/>
  <c r="K215" i="22" s="1"/>
  <c r="E214" i="22"/>
  <c r="K214" i="22" s="1" a="1"/>
  <c r="K214" i="22" s="1"/>
  <c r="E213" i="22"/>
  <c r="K213" i="22" s="1" a="1"/>
  <c r="K213" i="22" s="1"/>
  <c r="E212" i="22"/>
  <c r="K212" i="22" s="1" a="1"/>
  <c r="K212" i="22" s="1"/>
  <c r="E211" i="22"/>
  <c r="K211" i="22" s="1" a="1"/>
  <c r="K211" i="22" s="1"/>
  <c r="E210" i="22"/>
  <c r="K210" i="22" s="1" a="1"/>
  <c r="K210" i="22" s="1"/>
  <c r="E209" i="22"/>
  <c r="K209" i="22" s="1" a="1"/>
  <c r="K209" i="22" s="1"/>
  <c r="E208" i="22"/>
  <c r="K208" i="22" s="1" a="1"/>
  <c r="K208" i="22" s="1"/>
  <c r="E207" i="22"/>
  <c r="K207" i="22" s="1" a="1"/>
  <c r="K207" i="22" s="1"/>
  <c r="E206" i="22"/>
  <c r="K206" i="22" s="1" a="1"/>
  <c r="K206" i="22" s="1"/>
  <c r="E205" i="22"/>
  <c r="K205" i="22" s="1" a="1"/>
  <c r="K205" i="22" s="1"/>
  <c r="E204" i="22"/>
  <c r="K204" i="22" s="1" a="1"/>
  <c r="K204" i="22" s="1"/>
  <c r="E203" i="22"/>
  <c r="K203" i="22" s="1" a="1"/>
  <c r="K203" i="22" s="1"/>
  <c r="E202" i="22"/>
  <c r="K202" i="22" s="1" a="1"/>
  <c r="K202" i="22" s="1"/>
  <c r="E201" i="22"/>
  <c r="K201" i="22" s="1" a="1"/>
  <c r="K201" i="22" s="1"/>
  <c r="E200" i="22"/>
  <c r="K200" i="22" s="1" a="1"/>
  <c r="K200" i="22" s="1"/>
  <c r="E199" i="22"/>
  <c r="K199" i="22" s="1" a="1"/>
  <c r="K199" i="22" s="1"/>
  <c r="E198" i="22"/>
  <c r="K198" i="22" s="1" a="1"/>
  <c r="K198" i="22" s="1"/>
  <c r="E197" i="22"/>
  <c r="K197" i="22" s="1" a="1"/>
  <c r="K197" i="22" s="1"/>
  <c r="E196" i="22"/>
  <c r="K196" i="22" s="1" a="1"/>
  <c r="K196" i="22" s="1"/>
  <c r="E195" i="22"/>
  <c r="K195" i="22" s="1" a="1"/>
  <c r="K195" i="22" s="1"/>
  <c r="E194" i="22"/>
  <c r="K194" i="22" s="1" a="1"/>
  <c r="K194" i="22" s="1"/>
  <c r="E193" i="22"/>
  <c r="K193" i="22" s="1" a="1"/>
  <c r="K193" i="22" s="1"/>
  <c r="E192" i="22"/>
  <c r="K192" i="22" s="1" a="1"/>
  <c r="K192" i="22" s="1"/>
  <c r="E191" i="22"/>
  <c r="K191" i="22" s="1" a="1"/>
  <c r="K191" i="22" s="1"/>
  <c r="E190" i="22"/>
  <c r="K190" i="22" s="1" a="1"/>
  <c r="K190" i="22" s="1"/>
  <c r="E189" i="22"/>
  <c r="K189" i="22" s="1" a="1"/>
  <c r="K189" i="22" s="1"/>
  <c r="E188" i="22"/>
  <c r="K188" i="22" s="1" a="1"/>
  <c r="K188" i="22" s="1"/>
  <c r="E187" i="22"/>
  <c r="K187" i="22" s="1" a="1"/>
  <c r="K187" i="22" s="1"/>
  <c r="E186" i="22"/>
  <c r="K186" i="22" s="1" a="1"/>
  <c r="K186" i="22" s="1"/>
  <c r="E185" i="22"/>
  <c r="K185" i="22" s="1" a="1"/>
  <c r="K185" i="22" s="1"/>
  <c r="E184" i="22"/>
  <c r="K184" i="22" s="1" a="1"/>
  <c r="K184" i="22" s="1"/>
  <c r="E183" i="22"/>
  <c r="K183" i="22" s="1" a="1"/>
  <c r="K183" i="22" s="1"/>
  <c r="E182" i="22"/>
  <c r="K182" i="22" s="1" a="1"/>
  <c r="K182" i="22" s="1"/>
  <c r="E181" i="22"/>
  <c r="K181" i="22" s="1" a="1"/>
  <c r="K181" i="22" s="1"/>
  <c r="E180" i="22"/>
  <c r="K180" i="22" s="1" a="1"/>
  <c r="K180" i="22" s="1"/>
  <c r="E179" i="22"/>
  <c r="K179" i="22" s="1" a="1"/>
  <c r="K179" i="22" s="1"/>
  <c r="E178" i="22"/>
  <c r="K178" i="22" s="1" a="1"/>
  <c r="K178" i="22" s="1"/>
  <c r="E177" i="22"/>
  <c r="K177" i="22" s="1" a="1"/>
  <c r="K177" i="22" s="1"/>
  <c r="E176" i="22"/>
  <c r="K176" i="22" s="1" a="1"/>
  <c r="K176" i="22" s="1"/>
  <c r="E175" i="22"/>
  <c r="K175" i="22" s="1" a="1"/>
  <c r="K175" i="22" s="1"/>
  <c r="E174" i="22"/>
  <c r="K174" i="22" s="1" a="1"/>
  <c r="K174" i="22" s="1"/>
  <c r="E173" i="22"/>
  <c r="K173" i="22" s="1" a="1"/>
  <c r="K173" i="22" s="1"/>
  <c r="E172" i="22"/>
  <c r="K172" i="22" s="1" a="1"/>
  <c r="K172" i="22" s="1"/>
  <c r="E171" i="22"/>
  <c r="K171" i="22" s="1" a="1"/>
  <c r="K171" i="22" s="1"/>
  <c r="E170" i="22"/>
  <c r="K170" i="22" s="1" a="1"/>
  <c r="K170" i="22" s="1"/>
  <c r="E169" i="22"/>
  <c r="K169" i="22" s="1" a="1"/>
  <c r="K169" i="22" s="1"/>
  <c r="E168" i="22"/>
  <c r="K168" i="22" s="1" a="1"/>
  <c r="K168" i="22" s="1"/>
  <c r="E167" i="22"/>
  <c r="K167" i="22" s="1" a="1"/>
  <c r="K167" i="22" s="1"/>
  <c r="E166" i="22"/>
  <c r="K166" i="22" s="1" a="1"/>
  <c r="K166" i="22" s="1"/>
  <c r="E165" i="22"/>
  <c r="K165" i="22" s="1" a="1"/>
  <c r="K165" i="22" s="1"/>
  <c r="E164" i="22"/>
  <c r="K164" i="22" s="1" a="1"/>
  <c r="K164" i="22" s="1"/>
  <c r="E163" i="22"/>
  <c r="K163" i="22" s="1" a="1"/>
  <c r="K163" i="22" s="1"/>
  <c r="E162" i="22"/>
  <c r="K162" i="22" s="1" a="1"/>
  <c r="K162" i="22" s="1"/>
  <c r="E161" i="22"/>
  <c r="K161" i="22" s="1" a="1"/>
  <c r="K161" i="22" s="1"/>
  <c r="E160" i="22"/>
  <c r="K160" i="22" s="1" a="1"/>
  <c r="K160" i="22" s="1"/>
  <c r="E159" i="22"/>
  <c r="K159" i="22" s="1" a="1"/>
  <c r="K159" i="22" s="1"/>
  <c r="E158" i="22"/>
  <c r="K158" i="22" s="1" a="1"/>
  <c r="K158" i="22" s="1"/>
  <c r="E157" i="22"/>
  <c r="K157" i="22" s="1" a="1"/>
  <c r="K157" i="22" s="1"/>
  <c r="E156" i="22"/>
  <c r="K156" i="22" s="1" a="1"/>
  <c r="K156" i="22" s="1"/>
  <c r="E155" i="22"/>
  <c r="K155" i="22" s="1" a="1"/>
  <c r="K155" i="22" s="1"/>
  <c r="E154" i="22"/>
  <c r="K154" i="22" s="1" a="1"/>
  <c r="K154" i="22" s="1"/>
  <c r="E153" i="22"/>
  <c r="K153" i="22" s="1" a="1"/>
  <c r="K153" i="22" s="1"/>
  <c r="E152" i="22"/>
  <c r="K152" i="22" s="1" a="1"/>
  <c r="K152" i="22" s="1"/>
  <c r="E151" i="22"/>
  <c r="K151" i="22" s="1" a="1"/>
  <c r="K151" i="22" s="1"/>
  <c r="E150" i="22"/>
  <c r="K150" i="22" s="1" a="1"/>
  <c r="K150" i="22" s="1"/>
  <c r="E149" i="22"/>
  <c r="K149" i="22" s="1" a="1"/>
  <c r="K149" i="22" s="1"/>
  <c r="E148" i="22"/>
  <c r="K148" i="22" s="1" a="1"/>
  <c r="K148" i="22" s="1"/>
  <c r="E147" i="22"/>
  <c r="K147" i="22" s="1" a="1"/>
  <c r="K147" i="22" s="1"/>
  <c r="E146" i="22"/>
  <c r="K146" i="22" s="1" a="1"/>
  <c r="K146" i="22" s="1"/>
  <c r="E145" i="22"/>
  <c r="K145" i="22" s="1" a="1"/>
  <c r="K145" i="22" s="1"/>
  <c r="E144" i="22"/>
  <c r="K144" i="22" s="1" a="1"/>
  <c r="K144" i="22" s="1"/>
  <c r="E143" i="22"/>
  <c r="K143" i="22" s="1" a="1"/>
  <c r="K143" i="22" s="1"/>
  <c r="E142" i="22"/>
  <c r="K142" i="22" s="1" a="1"/>
  <c r="K142" i="22" s="1"/>
  <c r="E141" i="22"/>
  <c r="K141" i="22" s="1" a="1"/>
  <c r="K141" i="22" s="1"/>
  <c r="E140" i="22"/>
  <c r="K140" i="22" s="1" a="1"/>
  <c r="K140" i="22" s="1"/>
  <c r="E139" i="22"/>
  <c r="K139" i="22" s="1" a="1"/>
  <c r="K139" i="22" s="1"/>
  <c r="E138" i="22"/>
  <c r="K138" i="22" s="1" a="1"/>
  <c r="K138" i="22" s="1"/>
  <c r="E137" i="22"/>
  <c r="K137" i="22" s="1" a="1"/>
  <c r="K137" i="22" s="1"/>
  <c r="E136" i="22"/>
  <c r="K136" i="22" s="1" a="1"/>
  <c r="K136" i="22" s="1"/>
  <c r="E135" i="22"/>
  <c r="K135" i="22" s="1" a="1"/>
  <c r="K135" i="22" s="1"/>
  <c r="E134" i="22"/>
  <c r="K134" i="22" s="1" a="1"/>
  <c r="K134" i="22" s="1"/>
  <c r="E133" i="22"/>
  <c r="K133" i="22" s="1" a="1"/>
  <c r="K133" i="22" s="1"/>
  <c r="E132" i="22"/>
  <c r="K132" i="22" s="1" a="1"/>
  <c r="K132" i="22" s="1"/>
  <c r="E131" i="22"/>
  <c r="K131" i="22" s="1" a="1"/>
  <c r="K131" i="22" s="1"/>
  <c r="E130" i="22"/>
  <c r="K130" i="22" s="1" a="1"/>
  <c r="K130" i="22" s="1"/>
  <c r="E129" i="22"/>
  <c r="K129" i="22" s="1" a="1"/>
  <c r="K129" i="22" s="1"/>
  <c r="E128" i="22"/>
  <c r="K128" i="22" s="1" a="1"/>
  <c r="K128" i="22" s="1"/>
  <c r="E127" i="22"/>
  <c r="K127" i="22" s="1" a="1"/>
  <c r="K127" i="22" s="1"/>
  <c r="E126" i="22"/>
  <c r="K126" i="22" s="1" a="1"/>
  <c r="K126" i="22" s="1"/>
  <c r="E125" i="22"/>
  <c r="K125" i="22" s="1" a="1"/>
  <c r="K125" i="22" s="1"/>
  <c r="E124" i="22"/>
  <c r="K124" i="22" s="1" a="1"/>
  <c r="K124" i="22" s="1"/>
  <c r="E123" i="22"/>
  <c r="K123" i="22" s="1" a="1"/>
  <c r="K123" i="22" s="1"/>
  <c r="E122" i="22"/>
  <c r="K122" i="22" s="1" a="1"/>
  <c r="K122" i="22" s="1"/>
  <c r="E121" i="22"/>
  <c r="K121" i="22" s="1" a="1"/>
  <c r="K121" i="22" s="1"/>
  <c r="E120" i="22"/>
  <c r="K120" i="22" s="1" a="1"/>
  <c r="K120" i="22" s="1"/>
  <c r="E119" i="22"/>
  <c r="K119" i="22" s="1" a="1"/>
  <c r="K119" i="22" s="1"/>
  <c r="E118" i="22"/>
  <c r="K118" i="22" s="1" a="1"/>
  <c r="K118" i="22" s="1"/>
  <c r="E117" i="22"/>
  <c r="K117" i="22" s="1" a="1"/>
  <c r="K117" i="22" s="1"/>
  <c r="E116" i="22"/>
  <c r="K116" i="22" s="1" a="1"/>
  <c r="K116" i="22" s="1"/>
  <c r="E115" i="22"/>
  <c r="K115" i="22" s="1" a="1"/>
  <c r="K115" i="22" s="1"/>
  <c r="E114" i="22"/>
  <c r="K114" i="22" s="1" a="1"/>
  <c r="K114" i="22" s="1"/>
  <c r="E113" i="22"/>
  <c r="K113" i="22" s="1" a="1"/>
  <c r="K113" i="22" s="1"/>
  <c r="E112" i="22"/>
  <c r="K112" i="22" s="1" a="1"/>
  <c r="K112" i="22" s="1"/>
  <c r="E111" i="22"/>
  <c r="K111" i="22" s="1" a="1"/>
  <c r="K111" i="22" s="1"/>
  <c r="E110" i="22"/>
  <c r="K110" i="22" s="1" a="1"/>
  <c r="K110" i="22" s="1"/>
  <c r="E109" i="22"/>
  <c r="K109" i="22" s="1" a="1"/>
  <c r="K109" i="22" s="1"/>
  <c r="E108" i="22"/>
  <c r="K108" i="22" s="1" a="1"/>
  <c r="K108" i="22" s="1"/>
  <c r="E107" i="22"/>
  <c r="K107" i="22" s="1" a="1"/>
  <c r="K107" i="22" s="1"/>
  <c r="E106" i="22"/>
  <c r="K106" i="22" s="1" a="1"/>
  <c r="K106" i="22" s="1"/>
  <c r="E105" i="22"/>
  <c r="K105" i="22" s="1" a="1"/>
  <c r="K105" i="22" s="1"/>
  <c r="E104" i="22"/>
  <c r="K104" i="22" s="1" a="1"/>
  <c r="K104" i="22" s="1"/>
  <c r="E103" i="22"/>
  <c r="K103" i="22" s="1" a="1"/>
  <c r="K103" i="22" s="1"/>
  <c r="E102" i="22"/>
  <c r="K102" i="22" s="1" a="1"/>
  <c r="K102" i="22" s="1"/>
  <c r="E101" i="22"/>
  <c r="K101" i="22" s="1" a="1"/>
  <c r="K101" i="22" s="1"/>
  <c r="E100" i="22"/>
  <c r="K100" i="22" s="1" a="1"/>
  <c r="K100" i="22" s="1"/>
  <c r="E99" i="22"/>
  <c r="K99" i="22" s="1" a="1"/>
  <c r="K99" i="22" s="1"/>
  <c r="E98" i="22"/>
  <c r="K98" i="22" s="1" a="1"/>
  <c r="K98" i="22" s="1"/>
  <c r="E97" i="22"/>
  <c r="K97" i="22" s="1" a="1"/>
  <c r="K97" i="22" s="1"/>
  <c r="E96" i="22"/>
  <c r="K96" i="22" s="1" a="1"/>
  <c r="K96" i="22" s="1"/>
  <c r="E95" i="22"/>
  <c r="K95" i="22" s="1" a="1"/>
  <c r="K95" i="22" s="1"/>
  <c r="E94" i="22"/>
  <c r="K94" i="22" s="1" a="1"/>
  <c r="K94" i="22" s="1"/>
  <c r="E93" i="22"/>
  <c r="K93" i="22" s="1" a="1"/>
  <c r="K93" i="22" s="1"/>
  <c r="E92" i="22"/>
  <c r="K92" i="22" s="1" a="1"/>
  <c r="K92" i="22" s="1"/>
  <c r="E91" i="22"/>
  <c r="K91" i="22" s="1" a="1"/>
  <c r="K91" i="22" s="1"/>
  <c r="E90" i="22"/>
  <c r="K90" i="22" s="1" a="1"/>
  <c r="K90" i="22" s="1"/>
  <c r="E89" i="22"/>
  <c r="K89" i="22" s="1" a="1"/>
  <c r="K89" i="22" s="1"/>
  <c r="E88" i="22"/>
  <c r="K88" i="22" s="1" a="1"/>
  <c r="K88" i="22" s="1"/>
  <c r="E87" i="22"/>
  <c r="K87" i="22" s="1" a="1"/>
  <c r="K87" i="22" s="1"/>
  <c r="E86" i="22"/>
  <c r="K86" i="22" s="1" a="1"/>
  <c r="K86" i="22" s="1"/>
  <c r="E85" i="22"/>
  <c r="K85" i="22" s="1" a="1"/>
  <c r="K85" i="22" s="1"/>
  <c r="E84" i="22"/>
  <c r="K84" i="22" s="1" a="1"/>
  <c r="K84" i="22" s="1"/>
  <c r="E83" i="22"/>
  <c r="K83" i="22" s="1" a="1"/>
  <c r="K83" i="22" s="1"/>
  <c r="E82" i="22"/>
  <c r="K82" i="22" s="1" a="1"/>
  <c r="K82" i="22" s="1"/>
  <c r="E81" i="22"/>
  <c r="K81" i="22" s="1" a="1"/>
  <c r="K81" i="22" s="1"/>
  <c r="E80" i="22"/>
  <c r="K80" i="22" s="1" a="1"/>
  <c r="K80" i="22" s="1"/>
  <c r="E79" i="22"/>
  <c r="K79" i="22" s="1" a="1"/>
  <c r="K79" i="22" s="1"/>
  <c r="E78" i="22"/>
  <c r="K78" i="22" s="1" a="1"/>
  <c r="K78" i="22" s="1"/>
  <c r="E77" i="22"/>
  <c r="K77" i="22" s="1" a="1"/>
  <c r="K77" i="22" s="1"/>
  <c r="E76" i="22"/>
  <c r="K76" i="22" s="1" a="1"/>
  <c r="K76" i="22" s="1"/>
  <c r="E75" i="22"/>
  <c r="K75" i="22" s="1" a="1"/>
  <c r="K75" i="22" s="1"/>
  <c r="E74" i="22"/>
  <c r="K74" i="22" s="1" a="1"/>
  <c r="K74" i="22" s="1"/>
  <c r="E73" i="22"/>
  <c r="K73" i="22" s="1" a="1"/>
  <c r="K73" i="22" s="1"/>
  <c r="E72" i="22"/>
  <c r="K72" i="22" s="1" a="1"/>
  <c r="K72" i="22" s="1"/>
  <c r="E71" i="22"/>
  <c r="K71" i="22" s="1" a="1"/>
  <c r="K71" i="22" s="1"/>
  <c r="E70" i="22"/>
  <c r="K70" i="22" s="1" a="1"/>
  <c r="K70" i="22" s="1"/>
  <c r="E69" i="22"/>
  <c r="K69" i="22" s="1" a="1"/>
  <c r="K69" i="22" s="1"/>
  <c r="E68" i="22"/>
  <c r="K68" i="22" s="1" a="1"/>
  <c r="K68" i="22" s="1"/>
  <c r="E67" i="22"/>
  <c r="K67" i="22" s="1" a="1"/>
  <c r="K67" i="22" s="1"/>
  <c r="E66" i="22"/>
  <c r="K66" i="22" s="1" a="1"/>
  <c r="K66" i="22" s="1"/>
  <c r="E65" i="22"/>
  <c r="K65" i="22" s="1" a="1"/>
  <c r="K65" i="22" s="1"/>
  <c r="E64" i="22"/>
  <c r="K64" i="22" s="1" a="1"/>
  <c r="K64" i="22" s="1"/>
  <c r="E63" i="22"/>
  <c r="K63" i="22" s="1" a="1"/>
  <c r="K63" i="22" s="1"/>
  <c r="E62" i="22"/>
  <c r="K62" i="22" s="1" a="1"/>
  <c r="K62" i="22" s="1"/>
  <c r="E61" i="22"/>
  <c r="K61" i="22" s="1" a="1"/>
  <c r="K61" i="22" s="1"/>
  <c r="E60" i="22"/>
  <c r="K60" i="22" s="1" a="1"/>
  <c r="K60" i="22" s="1"/>
  <c r="E59" i="22"/>
  <c r="K59" i="22" s="1" a="1"/>
  <c r="K59" i="22" s="1"/>
  <c r="E58" i="22"/>
  <c r="K58" i="22" s="1" a="1"/>
  <c r="K58" i="22" s="1"/>
  <c r="E57" i="22"/>
  <c r="K57" i="22" s="1" a="1"/>
  <c r="K57" i="22" s="1"/>
  <c r="E56" i="22"/>
  <c r="K56" i="22" s="1" a="1"/>
  <c r="K56" i="22" s="1"/>
  <c r="E55" i="22"/>
  <c r="K55" i="22" s="1" a="1"/>
  <c r="K55" i="22" s="1"/>
  <c r="E54" i="22"/>
  <c r="K54" i="22" s="1" a="1"/>
  <c r="K54" i="22" s="1"/>
  <c r="E53" i="22"/>
  <c r="K53" i="22" s="1" a="1"/>
  <c r="K53" i="22" s="1"/>
  <c r="E52" i="22"/>
  <c r="K52" i="22" s="1" a="1"/>
  <c r="K52" i="22" s="1"/>
  <c r="E51" i="22"/>
  <c r="K51" i="22" s="1" a="1"/>
  <c r="K51" i="22" s="1"/>
  <c r="E50" i="22"/>
  <c r="K50" i="22" s="1" a="1"/>
  <c r="K50" i="22" s="1"/>
  <c r="E49" i="22"/>
  <c r="K49" i="22" s="1" a="1"/>
  <c r="K49" i="22" s="1"/>
  <c r="E48" i="22"/>
  <c r="K48" i="22" s="1" a="1"/>
  <c r="K48" i="22" s="1"/>
  <c r="E47" i="22"/>
  <c r="K47" i="22" s="1" a="1"/>
  <c r="K47" i="22" s="1"/>
  <c r="E46" i="22"/>
  <c r="K46" i="22" s="1" a="1"/>
  <c r="K46" i="22" s="1"/>
  <c r="E45" i="22"/>
  <c r="K45" i="22" s="1" a="1"/>
  <c r="K45" i="22" s="1"/>
  <c r="E44" i="22"/>
  <c r="K44" i="22" s="1" a="1"/>
  <c r="K44" i="22" s="1"/>
  <c r="E43" i="22"/>
  <c r="K43" i="22" s="1" a="1"/>
  <c r="K43" i="22" s="1"/>
  <c r="E42" i="22"/>
  <c r="K42" i="22" s="1" a="1"/>
  <c r="K42" i="22" s="1"/>
  <c r="E41" i="22"/>
  <c r="K41" i="22" s="1" a="1"/>
  <c r="K41" i="22" s="1"/>
  <c r="E40" i="22"/>
  <c r="K40" i="22" s="1" a="1"/>
  <c r="K40" i="22" s="1"/>
  <c r="E39" i="22"/>
  <c r="K39" i="22" s="1" a="1"/>
  <c r="K39" i="22" s="1"/>
  <c r="E38" i="22"/>
  <c r="K38" i="22" s="1" a="1"/>
  <c r="K38" i="22" s="1"/>
  <c r="E37" i="22"/>
  <c r="K37" i="22" s="1" a="1"/>
  <c r="K37" i="22" s="1"/>
  <c r="E36" i="22"/>
  <c r="K36" i="22" s="1" a="1"/>
  <c r="K36" i="22" s="1"/>
  <c r="E35" i="22"/>
  <c r="K35" i="22" s="1" a="1"/>
  <c r="K35" i="22" s="1"/>
  <c r="E34" i="22"/>
  <c r="K34" i="22" s="1" a="1"/>
  <c r="K34" i="22" s="1"/>
  <c r="E33" i="22"/>
  <c r="K33" i="22" s="1" a="1"/>
  <c r="K33" i="22" s="1"/>
  <c r="E32" i="22"/>
  <c r="K32" i="22" s="1" a="1"/>
  <c r="K32" i="22" s="1"/>
  <c r="E31" i="22"/>
  <c r="K31" i="22" s="1" a="1"/>
  <c r="K31" i="22" s="1"/>
  <c r="E30" i="22"/>
  <c r="K30" i="22" s="1" a="1"/>
  <c r="K30" i="22" s="1"/>
  <c r="E29" i="22"/>
  <c r="K29" i="22" s="1" a="1"/>
  <c r="K29" i="22" s="1"/>
  <c r="E28" i="22"/>
  <c r="K28" i="22" s="1" a="1"/>
  <c r="K28" i="22" s="1"/>
  <c r="E27" i="22"/>
  <c r="K27" i="22" s="1" a="1"/>
  <c r="K27" i="22" s="1"/>
  <c r="E26" i="22"/>
  <c r="K26" i="22" s="1" a="1"/>
  <c r="K26" i="22" s="1"/>
  <c r="E25" i="22"/>
  <c r="K25" i="22" s="1" a="1"/>
  <c r="K25" i="22" s="1"/>
  <c r="E24" i="22"/>
  <c r="K24" i="22" s="1" a="1"/>
  <c r="K24" i="22" s="1"/>
  <c r="E23" i="22"/>
  <c r="K23" i="22" s="1" a="1"/>
  <c r="K23" i="22" s="1"/>
  <c r="E22" i="22"/>
  <c r="K22" i="22" s="1" a="1"/>
  <c r="K22" i="22" s="1"/>
  <c r="E21" i="22"/>
  <c r="K21" i="22" s="1" a="1"/>
  <c r="K21" i="22" s="1"/>
  <c r="E20" i="22"/>
  <c r="K20" i="22" s="1" a="1"/>
  <c r="K20" i="22" s="1"/>
  <c r="E19" i="22"/>
  <c r="K19" i="22" s="1" a="1"/>
  <c r="K19" i="22" s="1"/>
  <c r="E18" i="22"/>
  <c r="K18" i="22" s="1" a="1"/>
  <c r="K18" i="22" s="1"/>
  <c r="E17" i="22"/>
  <c r="K17" i="22" s="1" a="1"/>
  <c r="K17" i="22" s="1"/>
  <c r="E16" i="22"/>
  <c r="K16" i="22" s="1" a="1"/>
  <c r="K16" i="22" s="1"/>
  <c r="E15" i="22"/>
  <c r="K15" i="22" s="1" a="1"/>
  <c r="K15" i="22" s="1"/>
  <c r="E14" i="22"/>
  <c r="K14" i="22" s="1" a="1"/>
  <c r="K14" i="22" s="1"/>
  <c r="E13" i="22"/>
  <c r="K13" i="22" s="1" a="1"/>
  <c r="K13" i="22" s="1"/>
  <c r="E12" i="22"/>
  <c r="K12" i="22" s="1" a="1"/>
  <c r="K12" i="22" s="1"/>
  <c r="E11" i="22"/>
  <c r="K11" i="22" s="1" a="1"/>
  <c r="K11" i="22" s="1"/>
  <c r="E10" i="22"/>
  <c r="K10" i="22" s="1" a="1"/>
  <c r="K10" i="22" s="1"/>
  <c r="E9" i="22"/>
  <c r="K9" i="22" s="1" a="1"/>
  <c r="K9" i="22" s="1"/>
  <c r="N71" i="40" s="1"/>
  <c r="E8" i="22"/>
  <c r="K8" i="22" s="1" a="1"/>
  <c r="K8" i="22" s="1"/>
  <c r="N70" i="40" s="1"/>
  <c r="E7" i="22"/>
  <c r="K7" i="22" s="1" a="1"/>
  <c r="K7" i="22" s="1"/>
  <c r="N55" i="40" s="1"/>
  <c r="E6" i="22"/>
  <c r="K6" i="22" s="1" a="1"/>
  <c r="K6" i="22" s="1"/>
  <c r="E293" i="20"/>
  <c r="K293" i="20" s="1" a="1"/>
  <c r="K293" i="20" s="1"/>
  <c r="E292" i="20"/>
  <c r="K292" i="20" s="1" a="1"/>
  <c r="K292" i="20" s="1"/>
  <c r="E291" i="20"/>
  <c r="K291" i="20" s="1" a="1"/>
  <c r="K291" i="20" s="1"/>
  <c r="E290" i="20"/>
  <c r="K290" i="20" s="1" a="1"/>
  <c r="K290" i="20" s="1"/>
  <c r="E289" i="20"/>
  <c r="K289" i="20" s="1" a="1"/>
  <c r="K289" i="20" s="1"/>
  <c r="E288" i="20"/>
  <c r="K288" i="20" s="1" a="1"/>
  <c r="K288" i="20" s="1"/>
  <c r="E287" i="20"/>
  <c r="K287" i="20" s="1" a="1"/>
  <c r="K287" i="20" s="1"/>
  <c r="E286" i="20"/>
  <c r="K286" i="20" s="1" a="1"/>
  <c r="K286" i="20" s="1"/>
  <c r="E285" i="20"/>
  <c r="K285" i="20" s="1" a="1"/>
  <c r="K285" i="20" s="1"/>
  <c r="E284" i="20"/>
  <c r="K284" i="20" s="1" a="1"/>
  <c r="K284" i="20" s="1"/>
  <c r="E283" i="20"/>
  <c r="K283" i="20" s="1" a="1"/>
  <c r="K283" i="20" s="1"/>
  <c r="E282" i="20"/>
  <c r="K282" i="20" s="1" a="1"/>
  <c r="K282" i="20" s="1"/>
  <c r="E281" i="20"/>
  <c r="K281" i="20" s="1" a="1"/>
  <c r="K281" i="20" s="1"/>
  <c r="E280" i="20"/>
  <c r="K280" i="20" s="1" a="1"/>
  <c r="K280" i="20" s="1"/>
  <c r="E279" i="20"/>
  <c r="K279" i="20" s="1" a="1"/>
  <c r="K279" i="20" s="1"/>
  <c r="E278" i="20"/>
  <c r="K278" i="20" s="1" a="1"/>
  <c r="K278" i="20" s="1"/>
  <c r="E277" i="20"/>
  <c r="K277" i="20" s="1" a="1"/>
  <c r="K277" i="20" s="1"/>
  <c r="E276" i="20"/>
  <c r="K276" i="20" s="1" a="1"/>
  <c r="K276" i="20" s="1"/>
  <c r="E275" i="20"/>
  <c r="K275" i="20" s="1" a="1"/>
  <c r="K275" i="20" s="1"/>
  <c r="E274" i="20"/>
  <c r="K274" i="20" s="1" a="1"/>
  <c r="K274" i="20" s="1"/>
  <c r="E273" i="20"/>
  <c r="K273" i="20" s="1" a="1"/>
  <c r="K273" i="20" s="1"/>
  <c r="E272" i="20"/>
  <c r="K272" i="20" s="1" a="1"/>
  <c r="K272" i="20" s="1"/>
  <c r="E271" i="20"/>
  <c r="K271" i="20" s="1" a="1"/>
  <c r="K271" i="20" s="1"/>
  <c r="E270" i="20"/>
  <c r="K270" i="20" s="1" a="1"/>
  <c r="K270" i="20" s="1"/>
  <c r="E269" i="20"/>
  <c r="K269" i="20" s="1" a="1"/>
  <c r="K269" i="20" s="1"/>
  <c r="E268" i="20"/>
  <c r="K268" i="20" s="1" a="1"/>
  <c r="K268" i="20" s="1"/>
  <c r="E267" i="20"/>
  <c r="K267" i="20" s="1" a="1"/>
  <c r="K267" i="20" s="1"/>
  <c r="E266" i="20"/>
  <c r="K266" i="20" s="1" a="1"/>
  <c r="K266" i="20" s="1"/>
  <c r="E265" i="20"/>
  <c r="K265" i="20" s="1" a="1"/>
  <c r="K265" i="20" s="1"/>
  <c r="E264" i="20"/>
  <c r="K264" i="20" s="1" a="1"/>
  <c r="K264" i="20" s="1"/>
  <c r="E263" i="20"/>
  <c r="K263" i="20" s="1" a="1"/>
  <c r="K263" i="20" s="1"/>
  <c r="E262" i="20"/>
  <c r="K262" i="20" s="1" a="1"/>
  <c r="K262" i="20" s="1"/>
  <c r="E261" i="20"/>
  <c r="K261" i="20" s="1" a="1"/>
  <c r="K261" i="20" s="1"/>
  <c r="E260" i="20"/>
  <c r="K260" i="20" s="1" a="1"/>
  <c r="K260" i="20" s="1"/>
  <c r="E259" i="20"/>
  <c r="K259" i="20" s="1" a="1"/>
  <c r="K259" i="20" s="1"/>
  <c r="E258" i="20"/>
  <c r="K258" i="20" s="1" a="1"/>
  <c r="K258" i="20" s="1"/>
  <c r="E257" i="20"/>
  <c r="K257" i="20" s="1" a="1"/>
  <c r="K257" i="20" s="1"/>
  <c r="E256" i="20"/>
  <c r="K256" i="20" s="1" a="1"/>
  <c r="K256" i="20" s="1"/>
  <c r="E255" i="20"/>
  <c r="K255" i="20" s="1" a="1"/>
  <c r="K255" i="20" s="1"/>
  <c r="E254" i="20"/>
  <c r="K254" i="20" s="1" a="1"/>
  <c r="K254" i="20" s="1"/>
  <c r="E253" i="20"/>
  <c r="K253" i="20" s="1" a="1"/>
  <c r="K253" i="20" s="1"/>
  <c r="E252" i="20"/>
  <c r="K252" i="20" s="1" a="1"/>
  <c r="K252" i="20" s="1"/>
  <c r="E251" i="20"/>
  <c r="K251" i="20" s="1" a="1"/>
  <c r="K251" i="20" s="1"/>
  <c r="E250" i="20"/>
  <c r="K250" i="20" s="1" a="1"/>
  <c r="K250" i="20" s="1"/>
  <c r="E249" i="20"/>
  <c r="K249" i="20" s="1" a="1"/>
  <c r="K249" i="20" s="1"/>
  <c r="E248" i="20"/>
  <c r="K248" i="20" s="1" a="1"/>
  <c r="K248" i="20" s="1"/>
  <c r="E247" i="20"/>
  <c r="K247" i="20" s="1" a="1"/>
  <c r="K247" i="20" s="1"/>
  <c r="E246" i="20"/>
  <c r="K246" i="20" s="1" a="1"/>
  <c r="K246" i="20" s="1"/>
  <c r="E245" i="20"/>
  <c r="K245" i="20" s="1" a="1"/>
  <c r="K245" i="20" s="1"/>
  <c r="E244" i="20"/>
  <c r="K244" i="20" s="1" a="1"/>
  <c r="K244" i="20" s="1"/>
  <c r="E243" i="20"/>
  <c r="K243" i="20" s="1" a="1"/>
  <c r="K243" i="20" s="1"/>
  <c r="E242" i="20"/>
  <c r="K242" i="20" s="1" a="1"/>
  <c r="K242" i="20" s="1"/>
  <c r="E241" i="20"/>
  <c r="K241" i="20" s="1" a="1"/>
  <c r="K241" i="20" s="1"/>
  <c r="E240" i="20"/>
  <c r="K240" i="20" s="1" a="1"/>
  <c r="K240" i="20" s="1"/>
  <c r="E239" i="20"/>
  <c r="K239" i="20" s="1" a="1"/>
  <c r="K239" i="20" s="1"/>
  <c r="E238" i="20"/>
  <c r="K238" i="20" s="1" a="1"/>
  <c r="K238" i="20" s="1"/>
  <c r="E237" i="20"/>
  <c r="K237" i="20" s="1" a="1"/>
  <c r="K237" i="20" s="1"/>
  <c r="E236" i="20"/>
  <c r="K236" i="20" s="1" a="1"/>
  <c r="K236" i="20" s="1"/>
  <c r="E235" i="20"/>
  <c r="K235" i="20" s="1" a="1"/>
  <c r="K235" i="20" s="1"/>
  <c r="E234" i="20"/>
  <c r="K234" i="20" s="1" a="1"/>
  <c r="K234" i="20" s="1"/>
  <c r="E233" i="20"/>
  <c r="K233" i="20" s="1" a="1"/>
  <c r="K233" i="20" s="1"/>
  <c r="E232" i="20"/>
  <c r="K232" i="20" s="1" a="1"/>
  <c r="K232" i="20" s="1"/>
  <c r="E231" i="20"/>
  <c r="K231" i="20" s="1" a="1"/>
  <c r="K231" i="20" s="1"/>
  <c r="E230" i="20"/>
  <c r="K230" i="20" s="1" a="1"/>
  <c r="K230" i="20" s="1"/>
  <c r="E229" i="20"/>
  <c r="K229" i="20" s="1" a="1"/>
  <c r="K229" i="20" s="1"/>
  <c r="E228" i="20"/>
  <c r="K228" i="20" s="1" a="1"/>
  <c r="K228" i="20" s="1"/>
  <c r="E227" i="20"/>
  <c r="K227" i="20" s="1" a="1"/>
  <c r="K227" i="20" s="1"/>
  <c r="E226" i="20"/>
  <c r="K226" i="20" s="1" a="1"/>
  <c r="K226" i="20" s="1"/>
  <c r="E225" i="20"/>
  <c r="K225" i="20" s="1" a="1"/>
  <c r="K225" i="20" s="1"/>
  <c r="E224" i="20"/>
  <c r="K224" i="20" s="1" a="1"/>
  <c r="K224" i="20" s="1"/>
  <c r="E223" i="20"/>
  <c r="K223" i="20" s="1" a="1"/>
  <c r="K223" i="20" s="1"/>
  <c r="E222" i="20"/>
  <c r="K222" i="20" s="1" a="1"/>
  <c r="K222" i="20" s="1"/>
  <c r="E221" i="20"/>
  <c r="K221" i="20" s="1" a="1"/>
  <c r="K221" i="20" s="1"/>
  <c r="E220" i="20"/>
  <c r="K220" i="20" s="1" a="1"/>
  <c r="K220" i="20" s="1"/>
  <c r="E219" i="20"/>
  <c r="K219" i="20" s="1" a="1"/>
  <c r="K219" i="20" s="1"/>
  <c r="E218" i="20"/>
  <c r="K218" i="20" s="1" a="1"/>
  <c r="K218" i="20" s="1"/>
  <c r="E217" i="20"/>
  <c r="K217" i="20" s="1" a="1"/>
  <c r="K217" i="20" s="1"/>
  <c r="E216" i="20"/>
  <c r="K216" i="20" s="1" a="1"/>
  <c r="K216" i="20" s="1"/>
  <c r="E215" i="20"/>
  <c r="K215" i="20" s="1" a="1"/>
  <c r="K215" i="20" s="1"/>
  <c r="E214" i="20"/>
  <c r="K214" i="20" s="1" a="1"/>
  <c r="K214" i="20" s="1"/>
  <c r="E213" i="20"/>
  <c r="K213" i="20" s="1" a="1"/>
  <c r="K213" i="20" s="1"/>
  <c r="E212" i="20"/>
  <c r="K212" i="20" s="1" a="1"/>
  <c r="K212" i="20" s="1"/>
  <c r="E211" i="20"/>
  <c r="K211" i="20" s="1" a="1"/>
  <c r="K211" i="20" s="1"/>
  <c r="E210" i="20"/>
  <c r="K210" i="20" s="1" a="1"/>
  <c r="K210" i="20" s="1"/>
  <c r="E209" i="20"/>
  <c r="K209" i="20" s="1" a="1"/>
  <c r="K209" i="20" s="1"/>
  <c r="E208" i="20"/>
  <c r="K208" i="20" s="1" a="1"/>
  <c r="K208" i="20" s="1"/>
  <c r="E207" i="20"/>
  <c r="K207" i="20" s="1" a="1"/>
  <c r="K207" i="20" s="1"/>
  <c r="E206" i="20"/>
  <c r="K206" i="20" s="1" a="1"/>
  <c r="K206" i="20" s="1"/>
  <c r="E205" i="20"/>
  <c r="K205" i="20" s="1" a="1"/>
  <c r="K205" i="20" s="1"/>
  <c r="E204" i="20"/>
  <c r="K204" i="20" s="1" a="1"/>
  <c r="K204" i="20" s="1"/>
  <c r="E203" i="20"/>
  <c r="K203" i="20" s="1" a="1"/>
  <c r="K203" i="20" s="1"/>
  <c r="E202" i="20"/>
  <c r="K202" i="20" s="1" a="1"/>
  <c r="K202" i="20" s="1"/>
  <c r="E201" i="20"/>
  <c r="K201" i="20" s="1" a="1"/>
  <c r="K201" i="20" s="1"/>
  <c r="E200" i="20"/>
  <c r="K200" i="20" s="1" a="1"/>
  <c r="K200" i="20" s="1"/>
  <c r="E199" i="20"/>
  <c r="K199" i="20" s="1" a="1"/>
  <c r="K199" i="20" s="1"/>
  <c r="E198" i="20"/>
  <c r="K198" i="20" s="1" a="1"/>
  <c r="K198" i="20" s="1"/>
  <c r="E197" i="20"/>
  <c r="K197" i="20" s="1" a="1"/>
  <c r="K197" i="20" s="1"/>
  <c r="E196" i="20"/>
  <c r="K196" i="20" s="1" a="1"/>
  <c r="K196" i="20" s="1"/>
  <c r="E195" i="20"/>
  <c r="K195" i="20" s="1" a="1"/>
  <c r="K195" i="20" s="1"/>
  <c r="E194" i="20"/>
  <c r="K194" i="20" s="1" a="1"/>
  <c r="K194" i="20" s="1"/>
  <c r="E193" i="20"/>
  <c r="K193" i="20" s="1" a="1"/>
  <c r="K193" i="20" s="1"/>
  <c r="E192" i="20"/>
  <c r="K192" i="20" s="1" a="1"/>
  <c r="K192" i="20" s="1"/>
  <c r="E191" i="20"/>
  <c r="K191" i="20" s="1" a="1"/>
  <c r="K191" i="20" s="1"/>
  <c r="E190" i="20"/>
  <c r="K190" i="20" s="1" a="1"/>
  <c r="K190" i="20" s="1"/>
  <c r="E189" i="20"/>
  <c r="K189" i="20" s="1" a="1"/>
  <c r="K189" i="20" s="1"/>
  <c r="E188" i="20"/>
  <c r="K188" i="20" s="1" a="1"/>
  <c r="K188" i="20" s="1"/>
  <c r="E187" i="20"/>
  <c r="K187" i="20" s="1" a="1"/>
  <c r="K187" i="20" s="1"/>
  <c r="E186" i="20"/>
  <c r="K186" i="20" s="1" a="1"/>
  <c r="K186" i="20" s="1"/>
  <c r="E185" i="20"/>
  <c r="K185" i="20" s="1" a="1"/>
  <c r="K185" i="20" s="1"/>
  <c r="E184" i="20"/>
  <c r="K184" i="20" s="1" a="1"/>
  <c r="K184" i="20" s="1"/>
  <c r="E183" i="20"/>
  <c r="K183" i="20" s="1" a="1"/>
  <c r="K183" i="20" s="1"/>
  <c r="E182" i="20"/>
  <c r="K182" i="20" s="1" a="1"/>
  <c r="K182" i="20" s="1"/>
  <c r="E181" i="20"/>
  <c r="K181" i="20" s="1" a="1"/>
  <c r="K181" i="20" s="1"/>
  <c r="E180" i="20"/>
  <c r="K180" i="20" s="1" a="1"/>
  <c r="K180" i="20" s="1"/>
  <c r="E179" i="20"/>
  <c r="K179" i="20" s="1" a="1"/>
  <c r="K179" i="20" s="1"/>
  <c r="E178" i="20"/>
  <c r="K178" i="20" s="1" a="1"/>
  <c r="K178" i="20" s="1"/>
  <c r="E177" i="20"/>
  <c r="K177" i="20" s="1" a="1"/>
  <c r="K177" i="20" s="1"/>
  <c r="E176" i="20"/>
  <c r="K176" i="20" s="1" a="1"/>
  <c r="K176" i="20" s="1"/>
  <c r="E175" i="20"/>
  <c r="K175" i="20" s="1" a="1"/>
  <c r="K175" i="20" s="1"/>
  <c r="E174" i="20"/>
  <c r="K174" i="20" s="1" a="1"/>
  <c r="K174" i="20" s="1"/>
  <c r="E173" i="20"/>
  <c r="K173" i="20" s="1" a="1"/>
  <c r="K173" i="20" s="1"/>
  <c r="E172" i="20"/>
  <c r="K172" i="20" s="1" a="1"/>
  <c r="K172" i="20" s="1"/>
  <c r="E171" i="20"/>
  <c r="K171" i="20" s="1" a="1"/>
  <c r="K171" i="20" s="1"/>
  <c r="E170" i="20"/>
  <c r="K170" i="20" s="1" a="1"/>
  <c r="K170" i="20" s="1"/>
  <c r="E169" i="20"/>
  <c r="K169" i="20" s="1" a="1"/>
  <c r="K169" i="20" s="1"/>
  <c r="E168" i="20"/>
  <c r="K168" i="20" s="1" a="1"/>
  <c r="K168" i="20" s="1"/>
  <c r="E167" i="20"/>
  <c r="K167" i="20" s="1" a="1"/>
  <c r="K167" i="20" s="1"/>
  <c r="E166" i="20"/>
  <c r="K166" i="20" s="1" a="1"/>
  <c r="K166" i="20" s="1"/>
  <c r="E165" i="20"/>
  <c r="K165" i="20" s="1" a="1"/>
  <c r="K165" i="20" s="1"/>
  <c r="E164" i="20"/>
  <c r="K164" i="20" s="1" a="1"/>
  <c r="K164" i="20" s="1"/>
  <c r="E163" i="20"/>
  <c r="K163" i="20" s="1" a="1"/>
  <c r="K163" i="20" s="1"/>
  <c r="E162" i="20"/>
  <c r="K162" i="20" s="1" a="1"/>
  <c r="K162" i="20" s="1"/>
  <c r="E161" i="20"/>
  <c r="K161" i="20" s="1" a="1"/>
  <c r="K161" i="20" s="1"/>
  <c r="E160" i="20"/>
  <c r="K160" i="20" s="1" a="1"/>
  <c r="K160" i="20" s="1"/>
  <c r="E159" i="20"/>
  <c r="K159" i="20" s="1" a="1"/>
  <c r="K159" i="20" s="1"/>
  <c r="E158" i="20"/>
  <c r="K158" i="20" s="1" a="1"/>
  <c r="K158" i="20" s="1"/>
  <c r="E157" i="20"/>
  <c r="K157" i="20" s="1" a="1"/>
  <c r="K157" i="20" s="1"/>
  <c r="E156" i="20"/>
  <c r="K156" i="20" s="1" a="1"/>
  <c r="K156" i="20" s="1"/>
  <c r="E155" i="20"/>
  <c r="K155" i="20" s="1" a="1"/>
  <c r="K155" i="20" s="1"/>
  <c r="E154" i="20"/>
  <c r="K154" i="20" s="1" a="1"/>
  <c r="K154" i="20" s="1"/>
  <c r="E153" i="20"/>
  <c r="K153" i="20" s="1" a="1"/>
  <c r="K153" i="20" s="1"/>
  <c r="E152" i="20"/>
  <c r="K152" i="20" s="1" a="1"/>
  <c r="K152" i="20" s="1"/>
  <c r="E151" i="20"/>
  <c r="K151" i="20" s="1" a="1"/>
  <c r="K151" i="20" s="1"/>
  <c r="E150" i="20"/>
  <c r="K150" i="20" s="1" a="1"/>
  <c r="K150" i="20" s="1"/>
  <c r="E149" i="20"/>
  <c r="K149" i="20" s="1" a="1"/>
  <c r="K149" i="20" s="1"/>
  <c r="E148" i="20"/>
  <c r="K148" i="20" s="1" a="1"/>
  <c r="K148" i="20" s="1"/>
  <c r="E147" i="20"/>
  <c r="K147" i="20" s="1" a="1"/>
  <c r="K147" i="20" s="1"/>
  <c r="E146" i="20"/>
  <c r="K146" i="20" s="1" a="1"/>
  <c r="K146" i="20" s="1"/>
  <c r="E145" i="20"/>
  <c r="K145" i="20" s="1" a="1"/>
  <c r="K145" i="20" s="1"/>
  <c r="E144" i="20"/>
  <c r="K144" i="20" s="1" a="1"/>
  <c r="K144" i="20" s="1"/>
  <c r="E143" i="20"/>
  <c r="K143" i="20" s="1" a="1"/>
  <c r="K143" i="20" s="1"/>
  <c r="E142" i="20"/>
  <c r="K142" i="20" s="1" a="1"/>
  <c r="K142" i="20" s="1"/>
  <c r="E141" i="20"/>
  <c r="K141" i="20" s="1" a="1"/>
  <c r="K141" i="20" s="1"/>
  <c r="E140" i="20"/>
  <c r="K140" i="20" s="1" a="1"/>
  <c r="K140" i="20" s="1"/>
  <c r="E139" i="20"/>
  <c r="K139" i="20" s="1" a="1"/>
  <c r="K139" i="20" s="1"/>
  <c r="E138" i="20"/>
  <c r="K138" i="20" s="1" a="1"/>
  <c r="K138" i="20" s="1"/>
  <c r="E137" i="20"/>
  <c r="K137" i="20" s="1" a="1"/>
  <c r="K137" i="20" s="1"/>
  <c r="E136" i="20"/>
  <c r="K136" i="20" s="1" a="1"/>
  <c r="K136" i="20" s="1"/>
  <c r="E135" i="20"/>
  <c r="K135" i="20" s="1" a="1"/>
  <c r="K135" i="20" s="1"/>
  <c r="E134" i="20"/>
  <c r="K134" i="20" s="1" a="1"/>
  <c r="K134" i="20" s="1"/>
  <c r="E133" i="20"/>
  <c r="K133" i="20" s="1" a="1"/>
  <c r="K133" i="20" s="1"/>
  <c r="E132" i="20"/>
  <c r="K132" i="20" s="1" a="1"/>
  <c r="K132" i="20" s="1"/>
  <c r="E131" i="20"/>
  <c r="K131" i="20" s="1" a="1"/>
  <c r="K131" i="20" s="1"/>
  <c r="E130" i="20"/>
  <c r="K130" i="20" s="1" a="1"/>
  <c r="K130" i="20" s="1"/>
  <c r="E129" i="20"/>
  <c r="K129" i="20" s="1" a="1"/>
  <c r="K129" i="20" s="1"/>
  <c r="E128" i="20"/>
  <c r="K128" i="20" s="1" a="1"/>
  <c r="K128" i="20" s="1"/>
  <c r="E127" i="20"/>
  <c r="K127" i="20" s="1" a="1"/>
  <c r="K127" i="20" s="1"/>
  <c r="E126" i="20"/>
  <c r="K126" i="20" s="1" a="1"/>
  <c r="K126" i="20" s="1"/>
  <c r="E125" i="20"/>
  <c r="K125" i="20" s="1" a="1"/>
  <c r="K125" i="20" s="1"/>
  <c r="E124" i="20"/>
  <c r="K124" i="20" s="1" a="1"/>
  <c r="K124" i="20" s="1"/>
  <c r="E123" i="20"/>
  <c r="K123" i="20" s="1" a="1"/>
  <c r="K123" i="20" s="1"/>
  <c r="E122" i="20"/>
  <c r="K122" i="20" s="1" a="1"/>
  <c r="K122" i="20" s="1"/>
  <c r="E121" i="20"/>
  <c r="K121" i="20" s="1" a="1"/>
  <c r="K121" i="20" s="1"/>
  <c r="E120" i="20"/>
  <c r="K120" i="20" s="1" a="1"/>
  <c r="K120" i="20" s="1"/>
  <c r="E119" i="20"/>
  <c r="K119" i="20" s="1" a="1"/>
  <c r="K119" i="20" s="1"/>
  <c r="E118" i="20"/>
  <c r="K118" i="20" s="1" a="1"/>
  <c r="K118" i="20" s="1"/>
  <c r="E117" i="20"/>
  <c r="K117" i="20" s="1" a="1"/>
  <c r="K117" i="20" s="1"/>
  <c r="E116" i="20"/>
  <c r="K116" i="20" s="1" a="1"/>
  <c r="K116" i="20" s="1"/>
  <c r="E115" i="20"/>
  <c r="K115" i="20" s="1" a="1"/>
  <c r="K115" i="20" s="1"/>
  <c r="E114" i="20"/>
  <c r="K114" i="20" s="1" a="1"/>
  <c r="K114" i="20" s="1"/>
  <c r="E113" i="20"/>
  <c r="K113" i="20" s="1" a="1"/>
  <c r="K113" i="20" s="1"/>
  <c r="E112" i="20"/>
  <c r="K112" i="20" s="1" a="1"/>
  <c r="K112" i="20" s="1"/>
  <c r="E111" i="20"/>
  <c r="K111" i="20" s="1" a="1"/>
  <c r="K111" i="20" s="1"/>
  <c r="E110" i="20"/>
  <c r="K110" i="20" s="1" a="1"/>
  <c r="K110" i="20" s="1"/>
  <c r="E109" i="20"/>
  <c r="K109" i="20" s="1" a="1"/>
  <c r="K109" i="20" s="1"/>
  <c r="E108" i="20"/>
  <c r="K108" i="20" s="1" a="1"/>
  <c r="K108" i="20" s="1"/>
  <c r="E107" i="20"/>
  <c r="K107" i="20" s="1" a="1"/>
  <c r="K107" i="20" s="1"/>
  <c r="E106" i="20"/>
  <c r="K106" i="20" s="1" a="1"/>
  <c r="K106" i="20" s="1"/>
  <c r="E105" i="20"/>
  <c r="K105" i="20" s="1" a="1"/>
  <c r="K105" i="20" s="1"/>
  <c r="E104" i="20"/>
  <c r="K104" i="20" s="1" a="1"/>
  <c r="K104" i="20" s="1"/>
  <c r="E103" i="20"/>
  <c r="K103" i="20" s="1" a="1"/>
  <c r="K103" i="20" s="1"/>
  <c r="E102" i="20"/>
  <c r="K102" i="20" s="1" a="1"/>
  <c r="K102" i="20" s="1"/>
  <c r="E101" i="20"/>
  <c r="K101" i="20" s="1" a="1"/>
  <c r="K101" i="20" s="1"/>
  <c r="E100" i="20"/>
  <c r="K100" i="20" s="1" a="1"/>
  <c r="K100" i="20" s="1"/>
  <c r="E99" i="20"/>
  <c r="K99" i="20" s="1" a="1"/>
  <c r="K99" i="20" s="1"/>
  <c r="E98" i="20"/>
  <c r="K98" i="20" s="1" a="1"/>
  <c r="K98" i="20" s="1"/>
  <c r="E97" i="20"/>
  <c r="K97" i="20" s="1" a="1"/>
  <c r="K97" i="20" s="1"/>
  <c r="E96" i="20"/>
  <c r="K96" i="20" s="1" a="1"/>
  <c r="K96" i="20" s="1"/>
  <c r="E95" i="20"/>
  <c r="K95" i="20" s="1" a="1"/>
  <c r="K95" i="20" s="1"/>
  <c r="E94" i="20"/>
  <c r="K94" i="20" s="1" a="1"/>
  <c r="K94" i="20" s="1"/>
  <c r="E93" i="20"/>
  <c r="K93" i="20" s="1" a="1"/>
  <c r="K93" i="20" s="1"/>
  <c r="E92" i="20"/>
  <c r="K92" i="20" s="1" a="1"/>
  <c r="K92" i="20" s="1"/>
  <c r="E91" i="20"/>
  <c r="K91" i="20" s="1" a="1"/>
  <c r="K91" i="20" s="1"/>
  <c r="E90" i="20"/>
  <c r="K90" i="20" s="1" a="1"/>
  <c r="K90" i="20" s="1"/>
  <c r="E89" i="20"/>
  <c r="K89" i="20" s="1" a="1"/>
  <c r="K89" i="20" s="1"/>
  <c r="E88" i="20"/>
  <c r="K88" i="20" s="1" a="1"/>
  <c r="K88" i="20" s="1"/>
  <c r="E87" i="20"/>
  <c r="K87" i="20" s="1" a="1"/>
  <c r="K87" i="20" s="1"/>
  <c r="E86" i="20"/>
  <c r="K86" i="20" s="1" a="1"/>
  <c r="K86" i="20" s="1"/>
  <c r="E85" i="20"/>
  <c r="K85" i="20" s="1" a="1"/>
  <c r="K85" i="20" s="1"/>
  <c r="E84" i="20"/>
  <c r="K84" i="20" s="1" a="1"/>
  <c r="K84" i="20" s="1"/>
  <c r="E83" i="20"/>
  <c r="K83" i="20" s="1" a="1"/>
  <c r="K83" i="20" s="1"/>
  <c r="E82" i="20"/>
  <c r="K82" i="20" s="1" a="1"/>
  <c r="K82" i="20" s="1"/>
  <c r="E81" i="20"/>
  <c r="K81" i="20" s="1" a="1"/>
  <c r="K81" i="20" s="1"/>
  <c r="E80" i="20"/>
  <c r="K80" i="20" s="1" a="1"/>
  <c r="K80" i="20" s="1"/>
  <c r="E79" i="20"/>
  <c r="K79" i="20" s="1" a="1"/>
  <c r="K79" i="20" s="1"/>
  <c r="E78" i="20"/>
  <c r="K78" i="20" s="1" a="1"/>
  <c r="K78" i="20" s="1"/>
  <c r="E77" i="20"/>
  <c r="K77" i="20" s="1" a="1"/>
  <c r="K77" i="20" s="1"/>
  <c r="E76" i="20"/>
  <c r="K76" i="20" s="1" a="1"/>
  <c r="K76" i="20" s="1"/>
  <c r="E75" i="20"/>
  <c r="K75" i="20" s="1" a="1"/>
  <c r="K75" i="20" s="1"/>
  <c r="E74" i="20"/>
  <c r="K74" i="20" s="1" a="1"/>
  <c r="K74" i="20" s="1"/>
  <c r="E73" i="20"/>
  <c r="K73" i="20" s="1" a="1"/>
  <c r="K73" i="20" s="1"/>
  <c r="E72" i="20"/>
  <c r="K72" i="20" s="1" a="1"/>
  <c r="K72" i="20" s="1"/>
  <c r="E71" i="20"/>
  <c r="K71" i="20" s="1" a="1"/>
  <c r="K71" i="20" s="1"/>
  <c r="E70" i="20"/>
  <c r="K70" i="20" s="1" a="1"/>
  <c r="K70" i="20" s="1"/>
  <c r="E69" i="20"/>
  <c r="K69" i="20" s="1" a="1"/>
  <c r="K69" i="20" s="1"/>
  <c r="E68" i="20"/>
  <c r="K68" i="20" s="1" a="1"/>
  <c r="K68" i="20" s="1"/>
  <c r="E67" i="20"/>
  <c r="K67" i="20" s="1" a="1"/>
  <c r="K67" i="20" s="1"/>
  <c r="E66" i="20"/>
  <c r="K66" i="20" s="1" a="1"/>
  <c r="K66" i="20" s="1"/>
  <c r="E65" i="20"/>
  <c r="K65" i="20" s="1" a="1"/>
  <c r="K65" i="20" s="1"/>
  <c r="E64" i="20"/>
  <c r="K64" i="20" s="1" a="1"/>
  <c r="K64" i="20" s="1"/>
  <c r="E63" i="20"/>
  <c r="K63" i="20" s="1" a="1"/>
  <c r="K63" i="20" s="1"/>
  <c r="E62" i="20"/>
  <c r="K62" i="20" s="1" a="1"/>
  <c r="K62" i="20" s="1"/>
  <c r="E61" i="20"/>
  <c r="K61" i="20" s="1" a="1"/>
  <c r="K61" i="20" s="1"/>
  <c r="E60" i="20"/>
  <c r="K60" i="20" s="1" a="1"/>
  <c r="K60" i="20" s="1"/>
  <c r="E59" i="20"/>
  <c r="K59" i="20" s="1" a="1"/>
  <c r="K59" i="20" s="1"/>
  <c r="E58" i="20"/>
  <c r="K58" i="20" s="1" a="1"/>
  <c r="K58" i="20" s="1"/>
  <c r="E57" i="20"/>
  <c r="K57" i="20" s="1" a="1"/>
  <c r="K57" i="20" s="1"/>
  <c r="E56" i="20"/>
  <c r="K56" i="20" s="1" a="1"/>
  <c r="K56" i="20" s="1"/>
  <c r="E55" i="20"/>
  <c r="K55" i="20" s="1" a="1"/>
  <c r="K55" i="20" s="1"/>
  <c r="E54" i="20"/>
  <c r="K54" i="20" s="1" a="1"/>
  <c r="K54" i="20" s="1"/>
  <c r="E53" i="20"/>
  <c r="K53" i="20" s="1" a="1"/>
  <c r="K53" i="20" s="1"/>
  <c r="E52" i="20"/>
  <c r="K52" i="20" s="1" a="1"/>
  <c r="K52" i="20" s="1"/>
  <c r="E51" i="20"/>
  <c r="K51" i="20" s="1" a="1"/>
  <c r="K51" i="20" s="1"/>
  <c r="E50" i="20"/>
  <c r="K50" i="20" s="1" a="1"/>
  <c r="K50" i="20" s="1"/>
  <c r="E49" i="20"/>
  <c r="K49" i="20" s="1" a="1"/>
  <c r="K49" i="20" s="1"/>
  <c r="E48" i="20"/>
  <c r="K48" i="20" s="1" a="1"/>
  <c r="K48" i="20" s="1"/>
  <c r="E47" i="20"/>
  <c r="K47" i="20" s="1" a="1"/>
  <c r="K47" i="20" s="1"/>
  <c r="E46" i="20"/>
  <c r="K46" i="20" s="1" a="1"/>
  <c r="K46" i="20" s="1"/>
  <c r="E45" i="20"/>
  <c r="K45" i="20" s="1" a="1"/>
  <c r="K45" i="20" s="1"/>
  <c r="E44" i="20"/>
  <c r="K44" i="20" s="1" a="1"/>
  <c r="K44" i="20" s="1"/>
  <c r="E43" i="20"/>
  <c r="K43" i="20" s="1" a="1"/>
  <c r="K43" i="20" s="1"/>
  <c r="E42" i="20"/>
  <c r="K42" i="20" s="1" a="1"/>
  <c r="K42" i="20" s="1"/>
  <c r="E41" i="20"/>
  <c r="K41" i="20" s="1" a="1"/>
  <c r="K41" i="20" s="1"/>
  <c r="E40" i="20"/>
  <c r="K40" i="20" s="1" a="1"/>
  <c r="K40" i="20" s="1"/>
  <c r="E39" i="20"/>
  <c r="K39" i="20" s="1" a="1"/>
  <c r="K39" i="20" s="1"/>
  <c r="E38" i="20"/>
  <c r="K38" i="20" s="1" a="1"/>
  <c r="K38" i="20" s="1"/>
  <c r="E37" i="20"/>
  <c r="K37" i="20" s="1" a="1"/>
  <c r="K37" i="20" s="1"/>
  <c r="E36" i="20"/>
  <c r="K36" i="20" s="1" a="1"/>
  <c r="K36" i="20" s="1"/>
  <c r="E35" i="20"/>
  <c r="K35" i="20" s="1" a="1"/>
  <c r="K35" i="20" s="1"/>
  <c r="E34" i="20"/>
  <c r="K34" i="20" s="1" a="1"/>
  <c r="K34" i="20" s="1"/>
  <c r="E33" i="20"/>
  <c r="K33" i="20" s="1" a="1"/>
  <c r="K33" i="20" s="1"/>
  <c r="E32" i="20"/>
  <c r="K32" i="20" s="1" a="1"/>
  <c r="K32" i="20" s="1"/>
  <c r="E31" i="20"/>
  <c r="K31" i="20" s="1" a="1"/>
  <c r="K31" i="20" s="1"/>
  <c r="E30" i="20"/>
  <c r="K30" i="20" s="1" a="1"/>
  <c r="K30" i="20" s="1"/>
  <c r="E29" i="20"/>
  <c r="K29" i="20" s="1" a="1"/>
  <c r="K29" i="20" s="1"/>
  <c r="E28" i="20"/>
  <c r="K28" i="20" s="1" a="1"/>
  <c r="K28" i="20" s="1"/>
  <c r="E27" i="20"/>
  <c r="K27" i="20" s="1" a="1"/>
  <c r="K27" i="20" s="1"/>
  <c r="E26" i="20"/>
  <c r="K26" i="20" s="1" a="1"/>
  <c r="K26" i="20" s="1"/>
  <c r="E25" i="20"/>
  <c r="K25" i="20" s="1" a="1"/>
  <c r="K25" i="20" s="1"/>
  <c r="E24" i="20"/>
  <c r="K24" i="20" s="1" a="1"/>
  <c r="K24" i="20" s="1"/>
  <c r="E23" i="20"/>
  <c r="K23" i="20" s="1" a="1"/>
  <c r="K23" i="20" s="1"/>
  <c r="E22" i="20"/>
  <c r="K22" i="20" s="1" a="1"/>
  <c r="K22" i="20" s="1"/>
  <c r="E21" i="20"/>
  <c r="K21" i="20" s="1" a="1"/>
  <c r="K21" i="20" s="1"/>
  <c r="E20" i="20"/>
  <c r="K20" i="20" s="1" a="1"/>
  <c r="K20" i="20" s="1"/>
  <c r="E19" i="20"/>
  <c r="K19" i="20" s="1" a="1"/>
  <c r="K19" i="20" s="1"/>
  <c r="E18" i="20"/>
  <c r="K18" i="20" s="1" a="1"/>
  <c r="K18" i="20" s="1"/>
  <c r="E17" i="20"/>
  <c r="K17" i="20" s="1" a="1"/>
  <c r="K17" i="20" s="1"/>
  <c r="E16" i="20"/>
  <c r="K16" i="20" s="1" a="1"/>
  <c r="K16" i="20" s="1"/>
  <c r="E15" i="20"/>
  <c r="K15" i="20" s="1" a="1"/>
  <c r="K15" i="20" s="1"/>
  <c r="E14" i="20"/>
  <c r="K14" i="20" s="1" a="1"/>
  <c r="K14" i="20" s="1"/>
  <c r="E13" i="20"/>
  <c r="K13" i="20" s="1" a="1"/>
  <c r="K13" i="20" s="1"/>
  <c r="E12" i="20"/>
  <c r="K12" i="20" s="1" a="1"/>
  <c r="K12" i="20" s="1"/>
  <c r="E11" i="20"/>
  <c r="K11" i="20" s="1" a="1"/>
  <c r="K11" i="20" s="1"/>
  <c r="E10" i="20"/>
  <c r="K10" i="20" s="1" a="1"/>
  <c r="K10" i="20" s="1"/>
  <c r="E9" i="20"/>
  <c r="K9" i="20" s="1" a="1"/>
  <c r="K9" i="20" s="1"/>
  <c r="K71" i="40" s="1"/>
  <c r="E8" i="20"/>
  <c r="K8" i="20" s="1" a="1"/>
  <c r="K8" i="20" s="1"/>
  <c r="K70" i="40" s="1"/>
  <c r="E7" i="20"/>
  <c r="K7" i="20" s="1" a="1"/>
  <c r="K7" i="20" s="1"/>
  <c r="K55" i="40" s="1"/>
  <c r="E6" i="20"/>
  <c r="K6" i="20" s="1" a="1"/>
  <c r="K6" i="20" s="1"/>
  <c r="E7" i="13"/>
  <c r="K7" i="13" s="1" a="1"/>
  <c r="K7" i="13" s="1"/>
  <c r="H55" i="40" s="1"/>
  <c r="E8" i="13"/>
  <c r="K8" i="13" s="1" a="1"/>
  <c r="K8" i="13" s="1"/>
  <c r="H70" i="40" s="1"/>
  <c r="E9" i="13"/>
  <c r="K9" i="13" s="1" a="1"/>
  <c r="K9" i="13" s="1"/>
  <c r="H71" i="40" s="1"/>
  <c r="E10" i="13"/>
  <c r="K10" i="13" s="1" a="1"/>
  <c r="K10" i="13" s="1"/>
  <c r="E11" i="13"/>
  <c r="K11" i="13" s="1" a="1"/>
  <c r="K11" i="13" s="1"/>
  <c r="E12" i="13"/>
  <c r="K12" i="13" s="1" a="1"/>
  <c r="K12" i="13" s="1"/>
  <c r="E13" i="13"/>
  <c r="K13" i="13" s="1" a="1"/>
  <c r="K13" i="13" s="1"/>
  <c r="E14" i="13"/>
  <c r="K14" i="13" s="1" a="1"/>
  <c r="K14" i="13" s="1"/>
  <c r="E15" i="13"/>
  <c r="K15" i="13" s="1" a="1"/>
  <c r="K15" i="13" s="1"/>
  <c r="E16" i="13"/>
  <c r="K16" i="13" s="1" a="1"/>
  <c r="K16" i="13" s="1"/>
  <c r="E17" i="13"/>
  <c r="K17" i="13" s="1" a="1"/>
  <c r="K17" i="13" s="1"/>
  <c r="E18" i="13"/>
  <c r="K18" i="13" s="1" a="1"/>
  <c r="K18" i="13" s="1"/>
  <c r="E19" i="13"/>
  <c r="K19" i="13" s="1" a="1"/>
  <c r="K19" i="13" s="1"/>
  <c r="E20" i="13"/>
  <c r="K20" i="13" s="1" a="1"/>
  <c r="K20" i="13" s="1"/>
  <c r="E21" i="13"/>
  <c r="K21" i="13" s="1" a="1"/>
  <c r="K21" i="13" s="1"/>
  <c r="E22" i="13"/>
  <c r="K22" i="13" s="1" a="1"/>
  <c r="K22" i="13" s="1"/>
  <c r="E23" i="13"/>
  <c r="K23" i="13" s="1" a="1"/>
  <c r="K23" i="13" s="1"/>
  <c r="E24" i="13"/>
  <c r="K24" i="13" s="1" a="1"/>
  <c r="K24" i="13" s="1"/>
  <c r="E25" i="13"/>
  <c r="K25" i="13" s="1" a="1"/>
  <c r="K25" i="13" s="1"/>
  <c r="E26" i="13"/>
  <c r="K26" i="13" s="1" a="1"/>
  <c r="K26" i="13" s="1"/>
  <c r="E27" i="13"/>
  <c r="K27" i="13" s="1" a="1"/>
  <c r="K27" i="13" s="1"/>
  <c r="E28" i="13"/>
  <c r="K28" i="13" s="1" a="1"/>
  <c r="K28" i="13" s="1"/>
  <c r="E29" i="13"/>
  <c r="K29" i="13" s="1" a="1"/>
  <c r="K29" i="13" s="1"/>
  <c r="E30" i="13"/>
  <c r="K30" i="13" s="1" a="1"/>
  <c r="K30" i="13" s="1"/>
  <c r="E31" i="13"/>
  <c r="K31" i="13" s="1" a="1"/>
  <c r="K31" i="13" s="1"/>
  <c r="E32" i="13"/>
  <c r="K32" i="13" s="1" a="1"/>
  <c r="K32" i="13" s="1"/>
  <c r="E33" i="13"/>
  <c r="K33" i="13" s="1" a="1"/>
  <c r="K33" i="13" s="1"/>
  <c r="E34" i="13"/>
  <c r="K34" i="13" s="1" a="1"/>
  <c r="K34" i="13" s="1"/>
  <c r="E35" i="13"/>
  <c r="K35" i="13" s="1" a="1"/>
  <c r="K35" i="13" s="1"/>
  <c r="E36" i="13"/>
  <c r="K36" i="13" s="1" a="1"/>
  <c r="K36" i="13" s="1"/>
  <c r="E37" i="13"/>
  <c r="K37" i="13" s="1" a="1"/>
  <c r="K37" i="13" s="1"/>
  <c r="E38" i="13"/>
  <c r="K38" i="13" s="1" a="1"/>
  <c r="K38" i="13" s="1"/>
  <c r="E39" i="13"/>
  <c r="K39" i="13" s="1" a="1"/>
  <c r="K39" i="13" s="1"/>
  <c r="E40" i="13"/>
  <c r="K40" i="13" s="1" a="1"/>
  <c r="K40" i="13" s="1"/>
  <c r="E41" i="13"/>
  <c r="K41" i="13" s="1" a="1"/>
  <c r="K41" i="13" s="1"/>
  <c r="E42" i="13"/>
  <c r="K42" i="13" s="1" a="1"/>
  <c r="K42" i="13" s="1"/>
  <c r="E43" i="13"/>
  <c r="K43" i="13" s="1" a="1"/>
  <c r="K43" i="13" s="1"/>
  <c r="E44" i="13"/>
  <c r="K44" i="13" s="1" a="1"/>
  <c r="K44" i="13" s="1"/>
  <c r="E45" i="13"/>
  <c r="K45" i="13" s="1" a="1"/>
  <c r="K45" i="13" s="1"/>
  <c r="E46" i="13"/>
  <c r="K46" i="13" s="1" a="1"/>
  <c r="K46" i="13" s="1"/>
  <c r="E47" i="13"/>
  <c r="K47" i="13" s="1" a="1"/>
  <c r="K47" i="13" s="1"/>
  <c r="E48" i="13"/>
  <c r="K48" i="13" s="1" a="1"/>
  <c r="K48" i="13" s="1"/>
  <c r="E49" i="13"/>
  <c r="K49" i="13" s="1" a="1"/>
  <c r="K49" i="13" s="1"/>
  <c r="E50" i="13"/>
  <c r="K50" i="13" s="1" a="1"/>
  <c r="K50" i="13" s="1"/>
  <c r="E51" i="13"/>
  <c r="K51" i="13" s="1" a="1"/>
  <c r="K51" i="13" s="1"/>
  <c r="E52" i="13"/>
  <c r="K52" i="13" s="1" a="1"/>
  <c r="K52" i="13" s="1"/>
  <c r="E53" i="13"/>
  <c r="K53" i="13" s="1" a="1"/>
  <c r="K53" i="13" s="1"/>
  <c r="E54" i="13"/>
  <c r="K54" i="13" s="1" a="1"/>
  <c r="K54" i="13" s="1"/>
  <c r="E55" i="13"/>
  <c r="K55" i="13" s="1" a="1"/>
  <c r="K55" i="13" s="1"/>
  <c r="E56" i="13"/>
  <c r="K56" i="13" s="1" a="1"/>
  <c r="K56" i="13" s="1"/>
  <c r="E57" i="13"/>
  <c r="K57" i="13" s="1" a="1"/>
  <c r="K57" i="13" s="1"/>
  <c r="E58" i="13"/>
  <c r="K58" i="13" s="1" a="1"/>
  <c r="K58" i="13" s="1"/>
  <c r="E59" i="13"/>
  <c r="K59" i="13" s="1" a="1"/>
  <c r="K59" i="13" s="1"/>
  <c r="E60" i="13"/>
  <c r="K60" i="13" s="1" a="1"/>
  <c r="K60" i="13" s="1"/>
  <c r="E61" i="13"/>
  <c r="K61" i="13" s="1" a="1"/>
  <c r="K61" i="13" s="1"/>
  <c r="E62" i="13"/>
  <c r="K62" i="13" s="1" a="1"/>
  <c r="K62" i="13" s="1"/>
  <c r="E63" i="13"/>
  <c r="K63" i="13" s="1" a="1"/>
  <c r="K63" i="13" s="1"/>
  <c r="E64" i="13"/>
  <c r="K64" i="13" s="1" a="1"/>
  <c r="K64" i="13" s="1"/>
  <c r="E65" i="13"/>
  <c r="K65" i="13" s="1" a="1"/>
  <c r="K65" i="13" s="1"/>
  <c r="E66" i="13"/>
  <c r="K66" i="13" s="1" a="1"/>
  <c r="K66" i="13" s="1"/>
  <c r="E67" i="13"/>
  <c r="K67" i="13" s="1" a="1"/>
  <c r="K67" i="13" s="1"/>
  <c r="E68" i="13"/>
  <c r="K68" i="13" s="1" a="1"/>
  <c r="K68" i="13" s="1"/>
  <c r="E69" i="13"/>
  <c r="K69" i="13" s="1" a="1"/>
  <c r="K69" i="13" s="1"/>
  <c r="E70" i="13"/>
  <c r="K70" i="13" s="1" a="1"/>
  <c r="K70" i="13" s="1"/>
  <c r="E71" i="13"/>
  <c r="K71" i="13" s="1" a="1"/>
  <c r="K71" i="13" s="1"/>
  <c r="E72" i="13"/>
  <c r="K72" i="13" s="1" a="1"/>
  <c r="K72" i="13" s="1"/>
  <c r="E73" i="13"/>
  <c r="K73" i="13" s="1" a="1"/>
  <c r="K73" i="13" s="1"/>
  <c r="E74" i="13"/>
  <c r="K74" i="13" s="1" a="1"/>
  <c r="K74" i="13" s="1"/>
  <c r="E75" i="13"/>
  <c r="K75" i="13" s="1" a="1"/>
  <c r="K75" i="13" s="1"/>
  <c r="E76" i="13"/>
  <c r="K76" i="13" s="1" a="1"/>
  <c r="K76" i="13" s="1"/>
  <c r="E77" i="13"/>
  <c r="K77" i="13" s="1" a="1"/>
  <c r="K77" i="13" s="1"/>
  <c r="E78" i="13"/>
  <c r="K78" i="13" s="1" a="1"/>
  <c r="K78" i="13" s="1"/>
  <c r="E79" i="13"/>
  <c r="K79" i="13" s="1" a="1"/>
  <c r="K79" i="13" s="1"/>
  <c r="E80" i="13"/>
  <c r="K80" i="13" s="1" a="1"/>
  <c r="K80" i="13" s="1"/>
  <c r="E81" i="13"/>
  <c r="K81" i="13" s="1" a="1"/>
  <c r="K81" i="13" s="1"/>
  <c r="E82" i="13"/>
  <c r="K82" i="13" s="1" a="1"/>
  <c r="K82" i="13" s="1"/>
  <c r="E83" i="13"/>
  <c r="K83" i="13" s="1" a="1"/>
  <c r="K83" i="13" s="1"/>
  <c r="E84" i="13"/>
  <c r="K84" i="13" s="1" a="1"/>
  <c r="K84" i="13" s="1"/>
  <c r="E85" i="13"/>
  <c r="K85" i="13" s="1" a="1"/>
  <c r="K85" i="13" s="1"/>
  <c r="E86" i="13"/>
  <c r="K86" i="13" s="1" a="1"/>
  <c r="K86" i="13" s="1"/>
  <c r="E87" i="13"/>
  <c r="K87" i="13" s="1" a="1"/>
  <c r="K87" i="13" s="1"/>
  <c r="E88" i="13"/>
  <c r="K88" i="13" s="1" a="1"/>
  <c r="K88" i="13" s="1"/>
  <c r="E89" i="13"/>
  <c r="K89" i="13" s="1" a="1"/>
  <c r="K89" i="13" s="1"/>
  <c r="E90" i="13"/>
  <c r="K90" i="13" s="1" a="1"/>
  <c r="K90" i="13" s="1"/>
  <c r="E91" i="13"/>
  <c r="K91" i="13" s="1" a="1"/>
  <c r="K91" i="13" s="1"/>
  <c r="E92" i="13"/>
  <c r="K92" i="13" s="1" a="1"/>
  <c r="K92" i="13" s="1"/>
  <c r="E93" i="13"/>
  <c r="K93" i="13" s="1" a="1"/>
  <c r="K93" i="13" s="1"/>
  <c r="E94" i="13"/>
  <c r="K94" i="13" s="1" a="1"/>
  <c r="K94" i="13" s="1"/>
  <c r="E95" i="13"/>
  <c r="K95" i="13" s="1" a="1"/>
  <c r="K95" i="13" s="1"/>
  <c r="E96" i="13"/>
  <c r="K96" i="13" s="1" a="1"/>
  <c r="K96" i="13" s="1"/>
  <c r="E97" i="13"/>
  <c r="K97" i="13" s="1" a="1"/>
  <c r="K97" i="13" s="1"/>
  <c r="E98" i="13"/>
  <c r="K98" i="13" s="1" a="1"/>
  <c r="K98" i="13" s="1"/>
  <c r="E99" i="13"/>
  <c r="K99" i="13" s="1" a="1"/>
  <c r="K99" i="13" s="1"/>
  <c r="E100" i="13"/>
  <c r="K100" i="13" s="1" a="1"/>
  <c r="K100" i="13" s="1"/>
  <c r="E101" i="13"/>
  <c r="K101" i="13" s="1" a="1"/>
  <c r="K101" i="13" s="1"/>
  <c r="E102" i="13"/>
  <c r="K102" i="13" s="1" a="1"/>
  <c r="K102" i="13" s="1"/>
  <c r="E103" i="13"/>
  <c r="K103" i="13" s="1" a="1"/>
  <c r="K103" i="13" s="1"/>
  <c r="E104" i="13"/>
  <c r="K104" i="13" s="1" a="1"/>
  <c r="K104" i="13" s="1"/>
  <c r="E105" i="13"/>
  <c r="K105" i="13" s="1" a="1"/>
  <c r="K105" i="13" s="1"/>
  <c r="E106" i="13"/>
  <c r="K106" i="13" s="1" a="1"/>
  <c r="K106" i="13" s="1"/>
  <c r="E107" i="13"/>
  <c r="K107" i="13" s="1" a="1"/>
  <c r="K107" i="13" s="1"/>
  <c r="E108" i="13"/>
  <c r="K108" i="13" s="1" a="1"/>
  <c r="K108" i="13" s="1"/>
  <c r="E109" i="13"/>
  <c r="K109" i="13" s="1" a="1"/>
  <c r="K109" i="13" s="1"/>
  <c r="E110" i="13"/>
  <c r="K110" i="13" s="1" a="1"/>
  <c r="K110" i="13" s="1"/>
  <c r="E111" i="13"/>
  <c r="K111" i="13" s="1" a="1"/>
  <c r="K111" i="13" s="1"/>
  <c r="E112" i="13"/>
  <c r="K112" i="13" s="1" a="1"/>
  <c r="K112" i="13" s="1"/>
  <c r="E113" i="13"/>
  <c r="K113" i="13" s="1" a="1"/>
  <c r="K113" i="13" s="1"/>
  <c r="E114" i="13"/>
  <c r="K114" i="13" s="1" a="1"/>
  <c r="K114" i="13" s="1"/>
  <c r="E115" i="13"/>
  <c r="K115" i="13" s="1" a="1"/>
  <c r="K115" i="13" s="1"/>
  <c r="E116" i="13"/>
  <c r="K116" i="13" s="1" a="1"/>
  <c r="K116" i="13" s="1"/>
  <c r="E117" i="13"/>
  <c r="K117" i="13" s="1" a="1"/>
  <c r="K117" i="13" s="1"/>
  <c r="E118" i="13"/>
  <c r="K118" i="13" s="1" a="1"/>
  <c r="K118" i="13" s="1"/>
  <c r="E119" i="13"/>
  <c r="K119" i="13" s="1" a="1"/>
  <c r="K119" i="13" s="1"/>
  <c r="E120" i="13"/>
  <c r="K120" i="13" s="1" a="1"/>
  <c r="K120" i="13" s="1"/>
  <c r="E121" i="13"/>
  <c r="K121" i="13" s="1" a="1"/>
  <c r="K121" i="13" s="1"/>
  <c r="E122" i="13"/>
  <c r="K122" i="13" s="1" a="1"/>
  <c r="K122" i="13" s="1"/>
  <c r="E123" i="13"/>
  <c r="K123" i="13" s="1" a="1"/>
  <c r="K123" i="13" s="1"/>
  <c r="E124" i="13"/>
  <c r="K124" i="13" s="1" a="1"/>
  <c r="K124" i="13" s="1"/>
  <c r="E125" i="13"/>
  <c r="K125" i="13" s="1" a="1"/>
  <c r="K125" i="13" s="1"/>
  <c r="E126" i="13"/>
  <c r="K126" i="13" s="1" a="1"/>
  <c r="K126" i="13" s="1"/>
  <c r="E127" i="13"/>
  <c r="K127" i="13" s="1" a="1"/>
  <c r="K127" i="13" s="1"/>
  <c r="E128" i="13"/>
  <c r="K128" i="13" s="1" a="1"/>
  <c r="K128" i="13" s="1"/>
  <c r="E129" i="13"/>
  <c r="K129" i="13" s="1" a="1"/>
  <c r="K129" i="13" s="1"/>
  <c r="E130" i="13"/>
  <c r="K130" i="13" s="1" a="1"/>
  <c r="K130" i="13" s="1"/>
  <c r="E131" i="13"/>
  <c r="K131" i="13" s="1" a="1"/>
  <c r="K131" i="13" s="1"/>
  <c r="E132" i="13"/>
  <c r="K132" i="13" s="1" a="1"/>
  <c r="K132" i="13" s="1"/>
  <c r="E133" i="13"/>
  <c r="K133" i="13" s="1" a="1"/>
  <c r="K133" i="13" s="1"/>
  <c r="E134" i="13"/>
  <c r="K134" i="13" s="1" a="1"/>
  <c r="K134" i="13" s="1"/>
  <c r="E135" i="13"/>
  <c r="K135" i="13" s="1" a="1"/>
  <c r="K135" i="13" s="1"/>
  <c r="E136" i="13"/>
  <c r="K136" i="13" s="1" a="1"/>
  <c r="K136" i="13" s="1"/>
  <c r="E137" i="13"/>
  <c r="K137" i="13" s="1" a="1"/>
  <c r="K137" i="13" s="1"/>
  <c r="E138" i="13"/>
  <c r="K138" i="13" s="1" a="1"/>
  <c r="K138" i="13" s="1"/>
  <c r="E139" i="13"/>
  <c r="K139" i="13" s="1" a="1"/>
  <c r="K139" i="13" s="1"/>
  <c r="E140" i="13"/>
  <c r="K140" i="13" s="1" a="1"/>
  <c r="K140" i="13" s="1"/>
  <c r="E141" i="13"/>
  <c r="K141" i="13" s="1" a="1"/>
  <c r="K141" i="13" s="1"/>
  <c r="E142" i="13"/>
  <c r="K142" i="13" s="1" a="1"/>
  <c r="K142" i="13" s="1"/>
  <c r="E143" i="13"/>
  <c r="K143" i="13" s="1" a="1"/>
  <c r="K143" i="13" s="1"/>
  <c r="E144" i="13"/>
  <c r="K144" i="13" s="1" a="1"/>
  <c r="K144" i="13" s="1"/>
  <c r="E145" i="13"/>
  <c r="K145" i="13" s="1" a="1"/>
  <c r="K145" i="13" s="1"/>
  <c r="E146" i="13"/>
  <c r="K146" i="13" s="1" a="1"/>
  <c r="K146" i="13" s="1"/>
  <c r="E147" i="13"/>
  <c r="K147" i="13" s="1" a="1"/>
  <c r="K147" i="13" s="1"/>
  <c r="E148" i="13"/>
  <c r="K148" i="13" s="1" a="1"/>
  <c r="K148" i="13" s="1"/>
  <c r="E149" i="13"/>
  <c r="K149" i="13" s="1" a="1"/>
  <c r="K149" i="13" s="1"/>
  <c r="E150" i="13"/>
  <c r="K150" i="13" s="1" a="1"/>
  <c r="K150" i="13" s="1"/>
  <c r="E151" i="13"/>
  <c r="K151" i="13" s="1" a="1"/>
  <c r="K151" i="13" s="1"/>
  <c r="E152" i="13"/>
  <c r="K152" i="13" s="1" a="1"/>
  <c r="K152" i="13" s="1"/>
  <c r="E153" i="13"/>
  <c r="K153" i="13" s="1" a="1"/>
  <c r="K153" i="13" s="1"/>
  <c r="E154" i="13"/>
  <c r="K154" i="13" s="1" a="1"/>
  <c r="K154" i="13" s="1"/>
  <c r="E155" i="13"/>
  <c r="K155" i="13" s="1" a="1"/>
  <c r="K155" i="13" s="1"/>
  <c r="E156" i="13"/>
  <c r="K156" i="13" s="1" a="1"/>
  <c r="K156" i="13" s="1"/>
  <c r="E157" i="13"/>
  <c r="K157" i="13" s="1" a="1"/>
  <c r="K157" i="13" s="1"/>
  <c r="E158" i="13"/>
  <c r="K158" i="13" s="1" a="1"/>
  <c r="K158" i="13" s="1"/>
  <c r="E159" i="13"/>
  <c r="K159" i="13" s="1" a="1"/>
  <c r="K159" i="13" s="1"/>
  <c r="E160" i="13"/>
  <c r="K160" i="13" s="1" a="1"/>
  <c r="K160" i="13" s="1"/>
  <c r="E161" i="13"/>
  <c r="K161" i="13" s="1" a="1"/>
  <c r="K161" i="13" s="1"/>
  <c r="E162" i="13"/>
  <c r="K162" i="13" s="1" a="1"/>
  <c r="K162" i="13" s="1"/>
  <c r="E163" i="13"/>
  <c r="K163" i="13" s="1" a="1"/>
  <c r="K163" i="13" s="1"/>
  <c r="E164" i="13"/>
  <c r="K164" i="13" s="1" a="1"/>
  <c r="K164" i="13" s="1"/>
  <c r="E165" i="13"/>
  <c r="K165" i="13" s="1" a="1"/>
  <c r="K165" i="13" s="1"/>
  <c r="E166" i="13"/>
  <c r="K166" i="13" s="1" a="1"/>
  <c r="K166" i="13" s="1"/>
  <c r="E167" i="13"/>
  <c r="K167" i="13" s="1" a="1"/>
  <c r="K167" i="13" s="1"/>
  <c r="E168" i="13"/>
  <c r="K168" i="13" s="1" a="1"/>
  <c r="K168" i="13" s="1"/>
  <c r="E169" i="13"/>
  <c r="K169" i="13" s="1" a="1"/>
  <c r="K169" i="13" s="1"/>
  <c r="E170" i="13"/>
  <c r="K170" i="13" s="1" a="1"/>
  <c r="K170" i="13" s="1"/>
  <c r="E171" i="13"/>
  <c r="K171" i="13" s="1" a="1"/>
  <c r="K171" i="13" s="1"/>
  <c r="E172" i="13"/>
  <c r="K172" i="13" s="1" a="1"/>
  <c r="K172" i="13" s="1"/>
  <c r="E173" i="13"/>
  <c r="K173" i="13" s="1" a="1"/>
  <c r="K173" i="13" s="1"/>
  <c r="E174" i="13"/>
  <c r="K174" i="13" s="1" a="1"/>
  <c r="K174" i="13" s="1"/>
  <c r="E175" i="13"/>
  <c r="K175" i="13" s="1" a="1"/>
  <c r="K175" i="13" s="1"/>
  <c r="E176" i="13"/>
  <c r="K176" i="13" s="1" a="1"/>
  <c r="K176" i="13" s="1"/>
  <c r="E177" i="13"/>
  <c r="K177" i="13" s="1" a="1"/>
  <c r="K177" i="13" s="1"/>
  <c r="E178" i="13"/>
  <c r="K178" i="13" s="1" a="1"/>
  <c r="K178" i="13" s="1"/>
  <c r="E179" i="13"/>
  <c r="K179" i="13" s="1" a="1"/>
  <c r="K179" i="13" s="1"/>
  <c r="E180" i="13"/>
  <c r="K180" i="13" s="1" a="1"/>
  <c r="K180" i="13" s="1"/>
  <c r="E181" i="13"/>
  <c r="K181" i="13" s="1" a="1"/>
  <c r="K181" i="13" s="1"/>
  <c r="E182" i="13"/>
  <c r="K182" i="13" s="1" a="1"/>
  <c r="K182" i="13" s="1"/>
  <c r="E183" i="13"/>
  <c r="K183" i="13" s="1" a="1"/>
  <c r="K183" i="13" s="1"/>
  <c r="E184" i="13"/>
  <c r="K184" i="13" s="1" a="1"/>
  <c r="K184" i="13" s="1"/>
  <c r="E185" i="13"/>
  <c r="K185" i="13" s="1" a="1"/>
  <c r="K185" i="13" s="1"/>
  <c r="E186" i="13"/>
  <c r="K186" i="13" s="1" a="1"/>
  <c r="K186" i="13" s="1"/>
  <c r="E187" i="13"/>
  <c r="K187" i="13" s="1" a="1"/>
  <c r="K187" i="13" s="1"/>
  <c r="E188" i="13"/>
  <c r="K188" i="13" s="1" a="1"/>
  <c r="K188" i="13" s="1"/>
  <c r="E189" i="13"/>
  <c r="K189" i="13" s="1" a="1"/>
  <c r="K189" i="13" s="1"/>
  <c r="E190" i="13"/>
  <c r="K190" i="13" s="1" a="1"/>
  <c r="K190" i="13" s="1"/>
  <c r="E191" i="13"/>
  <c r="K191" i="13" s="1" a="1"/>
  <c r="K191" i="13" s="1"/>
  <c r="E192" i="13"/>
  <c r="K192" i="13" s="1" a="1"/>
  <c r="K192" i="13" s="1"/>
  <c r="E193" i="13"/>
  <c r="K193" i="13" s="1" a="1"/>
  <c r="K193" i="13" s="1"/>
  <c r="E194" i="13"/>
  <c r="K194" i="13" s="1" a="1"/>
  <c r="K194" i="13" s="1"/>
  <c r="E195" i="13"/>
  <c r="K195" i="13" s="1" a="1"/>
  <c r="K195" i="13" s="1"/>
  <c r="E196" i="13"/>
  <c r="K196" i="13" s="1" a="1"/>
  <c r="K196" i="13" s="1"/>
  <c r="E197" i="13"/>
  <c r="K197" i="13" s="1" a="1"/>
  <c r="K197" i="13" s="1"/>
  <c r="E198" i="13"/>
  <c r="K198" i="13" s="1" a="1"/>
  <c r="K198" i="13" s="1"/>
  <c r="E199" i="13"/>
  <c r="K199" i="13" s="1" a="1"/>
  <c r="K199" i="13" s="1"/>
  <c r="E200" i="13"/>
  <c r="K200" i="13" s="1" a="1"/>
  <c r="K200" i="13" s="1"/>
  <c r="E201" i="13"/>
  <c r="K201" i="13" s="1" a="1"/>
  <c r="K201" i="13" s="1"/>
  <c r="E202" i="13"/>
  <c r="K202" i="13" s="1" a="1"/>
  <c r="K202" i="13" s="1"/>
  <c r="E203" i="13"/>
  <c r="K203" i="13" s="1" a="1"/>
  <c r="K203" i="13" s="1"/>
  <c r="E204" i="13"/>
  <c r="K204" i="13" s="1" a="1"/>
  <c r="K204" i="13" s="1"/>
  <c r="E205" i="13"/>
  <c r="K205" i="13" s="1" a="1"/>
  <c r="K205" i="13" s="1"/>
  <c r="E206" i="13"/>
  <c r="K206" i="13" s="1" a="1"/>
  <c r="K206" i="13" s="1"/>
  <c r="E207" i="13"/>
  <c r="K207" i="13" s="1" a="1"/>
  <c r="K207" i="13" s="1"/>
  <c r="E208" i="13"/>
  <c r="K208" i="13" s="1" a="1"/>
  <c r="K208" i="13" s="1"/>
  <c r="E209" i="13"/>
  <c r="K209" i="13" s="1" a="1"/>
  <c r="K209" i="13" s="1"/>
  <c r="E210" i="13"/>
  <c r="K210" i="13" s="1" a="1"/>
  <c r="K210" i="13" s="1"/>
  <c r="E211" i="13"/>
  <c r="K211" i="13" s="1" a="1"/>
  <c r="K211" i="13" s="1"/>
  <c r="E212" i="13"/>
  <c r="K212" i="13" s="1" a="1"/>
  <c r="K212" i="13" s="1"/>
  <c r="E213" i="13"/>
  <c r="K213" i="13" s="1" a="1"/>
  <c r="K213" i="13" s="1"/>
  <c r="E214" i="13"/>
  <c r="K214" i="13" s="1" a="1"/>
  <c r="K214" i="13" s="1"/>
  <c r="E215" i="13"/>
  <c r="K215" i="13" s="1" a="1"/>
  <c r="K215" i="13" s="1"/>
  <c r="E216" i="13"/>
  <c r="K216" i="13" s="1" a="1"/>
  <c r="K216" i="13" s="1"/>
  <c r="E217" i="13"/>
  <c r="K217" i="13" s="1" a="1"/>
  <c r="K217" i="13" s="1"/>
  <c r="E218" i="13"/>
  <c r="K218" i="13" s="1" a="1"/>
  <c r="K218" i="13" s="1"/>
  <c r="E219" i="13"/>
  <c r="K219" i="13" s="1" a="1"/>
  <c r="K219" i="13" s="1"/>
  <c r="E220" i="13"/>
  <c r="K220" i="13" s="1" a="1"/>
  <c r="K220" i="13" s="1"/>
  <c r="E221" i="13"/>
  <c r="K221" i="13" s="1" a="1"/>
  <c r="K221" i="13" s="1"/>
  <c r="E222" i="13"/>
  <c r="K222" i="13" s="1" a="1"/>
  <c r="K222" i="13" s="1"/>
  <c r="E223" i="13"/>
  <c r="K223" i="13" s="1" a="1"/>
  <c r="K223" i="13" s="1"/>
  <c r="E224" i="13"/>
  <c r="K224" i="13" s="1" a="1"/>
  <c r="K224" i="13" s="1"/>
  <c r="E225" i="13"/>
  <c r="K225" i="13" s="1" a="1"/>
  <c r="K225" i="13" s="1"/>
  <c r="E226" i="13"/>
  <c r="K226" i="13" s="1" a="1"/>
  <c r="K226" i="13" s="1"/>
  <c r="E227" i="13"/>
  <c r="K227" i="13" s="1" a="1"/>
  <c r="K227" i="13" s="1"/>
  <c r="E228" i="13"/>
  <c r="K228" i="13" s="1" a="1"/>
  <c r="K228" i="13" s="1"/>
  <c r="E229" i="13"/>
  <c r="K229" i="13" s="1" a="1"/>
  <c r="K229" i="13" s="1"/>
  <c r="E230" i="13"/>
  <c r="K230" i="13" s="1" a="1"/>
  <c r="K230" i="13" s="1"/>
  <c r="E231" i="13"/>
  <c r="K231" i="13" s="1" a="1"/>
  <c r="K231" i="13" s="1"/>
  <c r="E232" i="13"/>
  <c r="K232" i="13" s="1" a="1"/>
  <c r="K232" i="13" s="1"/>
  <c r="E233" i="13"/>
  <c r="K233" i="13" s="1" a="1"/>
  <c r="K233" i="13" s="1"/>
  <c r="E234" i="13"/>
  <c r="K234" i="13" s="1" a="1"/>
  <c r="K234" i="13" s="1"/>
  <c r="E235" i="13"/>
  <c r="K235" i="13" s="1" a="1"/>
  <c r="K235" i="13" s="1"/>
  <c r="E236" i="13"/>
  <c r="K236" i="13" s="1" a="1"/>
  <c r="K236" i="13" s="1"/>
  <c r="E237" i="13"/>
  <c r="K237" i="13" s="1" a="1"/>
  <c r="K237" i="13" s="1"/>
  <c r="E238" i="13"/>
  <c r="K238" i="13" s="1" a="1"/>
  <c r="K238" i="13" s="1"/>
  <c r="E239" i="13"/>
  <c r="K239" i="13" s="1" a="1"/>
  <c r="K239" i="13" s="1"/>
  <c r="E240" i="13"/>
  <c r="K240" i="13" s="1" a="1"/>
  <c r="K240" i="13" s="1"/>
  <c r="E241" i="13"/>
  <c r="K241" i="13" s="1" a="1"/>
  <c r="K241" i="13" s="1"/>
  <c r="E242" i="13"/>
  <c r="K242" i="13" s="1" a="1"/>
  <c r="K242" i="13" s="1"/>
  <c r="E243" i="13"/>
  <c r="K243" i="13" s="1" a="1"/>
  <c r="K243" i="13" s="1"/>
  <c r="E244" i="13"/>
  <c r="K244" i="13" s="1" a="1"/>
  <c r="K244" i="13" s="1"/>
  <c r="E245" i="13"/>
  <c r="K245" i="13" s="1" a="1"/>
  <c r="K245" i="13" s="1"/>
  <c r="E246" i="13"/>
  <c r="K246" i="13" s="1" a="1"/>
  <c r="K246" i="13" s="1"/>
  <c r="E247" i="13"/>
  <c r="K247" i="13" s="1" a="1"/>
  <c r="K247" i="13" s="1"/>
  <c r="E248" i="13"/>
  <c r="K248" i="13" s="1" a="1"/>
  <c r="K248" i="13" s="1"/>
  <c r="E249" i="13"/>
  <c r="K249" i="13" s="1" a="1"/>
  <c r="K249" i="13" s="1"/>
  <c r="E250" i="13"/>
  <c r="K250" i="13" s="1" a="1"/>
  <c r="K250" i="13" s="1"/>
  <c r="E251" i="13"/>
  <c r="K251" i="13" s="1" a="1"/>
  <c r="K251" i="13" s="1"/>
  <c r="E252" i="13"/>
  <c r="K252" i="13" s="1" a="1"/>
  <c r="K252" i="13" s="1"/>
  <c r="E253" i="13"/>
  <c r="K253" i="13" s="1" a="1"/>
  <c r="K253" i="13" s="1"/>
  <c r="E254" i="13"/>
  <c r="K254" i="13" s="1" a="1"/>
  <c r="K254" i="13" s="1"/>
  <c r="E255" i="13"/>
  <c r="K255" i="13" s="1" a="1"/>
  <c r="K255" i="13" s="1"/>
  <c r="E256" i="13"/>
  <c r="K256" i="13" s="1" a="1"/>
  <c r="K256" i="13" s="1"/>
  <c r="E257" i="13"/>
  <c r="K257" i="13" s="1" a="1"/>
  <c r="K257" i="13" s="1"/>
  <c r="E258" i="13"/>
  <c r="K258" i="13" s="1" a="1"/>
  <c r="K258" i="13" s="1"/>
  <c r="E259" i="13"/>
  <c r="K259" i="13" s="1" a="1"/>
  <c r="K259" i="13" s="1"/>
  <c r="E260" i="13"/>
  <c r="K260" i="13" s="1" a="1"/>
  <c r="K260" i="13" s="1"/>
  <c r="E261" i="13"/>
  <c r="K261" i="13" s="1" a="1"/>
  <c r="K261" i="13" s="1"/>
  <c r="E262" i="13"/>
  <c r="K262" i="13" s="1" a="1"/>
  <c r="K262" i="13" s="1"/>
  <c r="E263" i="13"/>
  <c r="K263" i="13" s="1" a="1"/>
  <c r="K263" i="13" s="1"/>
  <c r="E264" i="13"/>
  <c r="K264" i="13" s="1" a="1"/>
  <c r="K264" i="13" s="1"/>
  <c r="E265" i="13"/>
  <c r="K265" i="13" s="1" a="1"/>
  <c r="K265" i="13" s="1"/>
  <c r="E266" i="13"/>
  <c r="K266" i="13" s="1" a="1"/>
  <c r="K266" i="13" s="1"/>
  <c r="E267" i="13"/>
  <c r="K267" i="13" s="1" a="1"/>
  <c r="K267" i="13" s="1"/>
  <c r="E268" i="13"/>
  <c r="K268" i="13" s="1" a="1"/>
  <c r="K268" i="13" s="1"/>
  <c r="E269" i="13"/>
  <c r="K269" i="13" s="1" a="1"/>
  <c r="K269" i="13" s="1"/>
  <c r="E270" i="13"/>
  <c r="K270" i="13" s="1" a="1"/>
  <c r="K270" i="13" s="1"/>
  <c r="E271" i="13"/>
  <c r="K271" i="13" s="1" a="1"/>
  <c r="K271" i="13" s="1"/>
  <c r="E272" i="13"/>
  <c r="K272" i="13" s="1" a="1"/>
  <c r="K272" i="13" s="1"/>
  <c r="E273" i="13"/>
  <c r="K273" i="13" s="1" a="1"/>
  <c r="K273" i="13" s="1"/>
  <c r="E274" i="13"/>
  <c r="K274" i="13" s="1" a="1"/>
  <c r="K274" i="13" s="1"/>
  <c r="E275" i="13"/>
  <c r="K275" i="13" s="1" a="1"/>
  <c r="K275" i="13" s="1"/>
  <c r="E276" i="13"/>
  <c r="K276" i="13" s="1" a="1"/>
  <c r="K276" i="13" s="1"/>
  <c r="E277" i="13"/>
  <c r="K277" i="13" s="1" a="1"/>
  <c r="K277" i="13" s="1"/>
  <c r="E278" i="13"/>
  <c r="K278" i="13" s="1" a="1"/>
  <c r="K278" i="13" s="1"/>
  <c r="E279" i="13"/>
  <c r="K279" i="13" s="1" a="1"/>
  <c r="K279" i="13" s="1"/>
  <c r="E280" i="13"/>
  <c r="K280" i="13" s="1" a="1"/>
  <c r="K280" i="13" s="1"/>
  <c r="E281" i="13"/>
  <c r="K281" i="13" s="1" a="1"/>
  <c r="K281" i="13" s="1"/>
  <c r="E282" i="13"/>
  <c r="K282" i="13" s="1" a="1"/>
  <c r="K282" i="13" s="1"/>
  <c r="E283" i="13"/>
  <c r="K283" i="13" s="1" a="1"/>
  <c r="K283" i="13" s="1"/>
  <c r="E284" i="13"/>
  <c r="K284" i="13" s="1" a="1"/>
  <c r="K284" i="13" s="1"/>
  <c r="E285" i="13"/>
  <c r="K285" i="13" s="1" a="1"/>
  <c r="K285" i="13" s="1"/>
  <c r="E286" i="13"/>
  <c r="K286" i="13" s="1" a="1"/>
  <c r="K286" i="13" s="1"/>
  <c r="E287" i="13"/>
  <c r="K287" i="13" s="1" a="1"/>
  <c r="K287" i="13" s="1"/>
  <c r="E288" i="13"/>
  <c r="K288" i="13" s="1" a="1"/>
  <c r="K288" i="13" s="1"/>
  <c r="E289" i="13"/>
  <c r="K289" i="13" s="1" a="1"/>
  <c r="K289" i="13" s="1"/>
  <c r="E290" i="13"/>
  <c r="K290" i="13" s="1" a="1"/>
  <c r="K290" i="13" s="1"/>
  <c r="E291" i="13"/>
  <c r="K291" i="13" s="1" a="1"/>
  <c r="K291" i="13" s="1"/>
  <c r="E292" i="13"/>
  <c r="K292" i="13" s="1" a="1"/>
  <c r="K292" i="13" s="1"/>
  <c r="E293" i="13"/>
  <c r="K293" i="13" s="1" a="1"/>
  <c r="K293" i="13" s="1"/>
  <c r="D2" i="36"/>
  <c r="F2" i="21"/>
  <c r="F2" i="22"/>
  <c r="F2" i="20"/>
  <c r="F2" i="13"/>
  <c r="O419" i="40" l="1"/>
  <c r="M471" i="40"/>
  <c r="M643" i="40"/>
  <c r="O643" i="40"/>
  <c r="I529" i="40"/>
  <c r="N420" i="40"/>
  <c r="F553" i="40"/>
  <c r="J456" i="40"/>
  <c r="J471" i="40"/>
  <c r="L590" i="40"/>
  <c r="P456" i="40"/>
  <c r="L471" i="40"/>
  <c r="N590" i="40"/>
  <c r="K590" i="40"/>
  <c r="O492" i="40"/>
  <c r="F408" i="40"/>
  <c r="F662" i="40"/>
  <c r="J635" i="40"/>
  <c r="L662" i="40"/>
  <c r="G530" i="40"/>
  <c r="N662" i="40"/>
  <c r="P616" i="40"/>
  <c r="F458" i="40"/>
  <c r="G614" i="40"/>
  <c r="K662" i="40"/>
  <c r="M7" i="20" a="1"/>
  <c r="M7" i="20" s="1"/>
  <c r="K526" i="40"/>
  <c r="I530" i="40"/>
  <c r="H616" i="40"/>
  <c r="G662" i="40"/>
  <c r="F616" i="40"/>
  <c r="I616" i="40"/>
  <c r="F468" i="40"/>
  <c r="O468" i="40"/>
  <c r="I468" i="40"/>
  <c r="J408" i="40"/>
  <c r="N492" i="40"/>
  <c r="M530" i="40"/>
  <c r="M616" i="40"/>
  <c r="H408" i="40"/>
  <c r="J616" i="40"/>
  <c r="L408" i="40"/>
  <c r="O526" i="40"/>
  <c r="J468" i="40"/>
  <c r="P492" i="40"/>
  <c r="J492" i="40"/>
  <c r="H468" i="40"/>
  <c r="G468" i="40"/>
  <c r="N468" i="40"/>
  <c r="K408" i="40"/>
  <c r="G492" i="40"/>
  <c r="N408" i="40"/>
  <c r="P469" i="40"/>
  <c r="H611" i="40"/>
  <c r="H470" i="40"/>
  <c r="M470" i="40"/>
  <c r="N456" i="40"/>
  <c r="P601" i="40"/>
  <c r="K419" i="40"/>
  <c r="O420" i="40"/>
  <c r="I553" i="40"/>
  <c r="K420" i="40"/>
  <c r="G420" i="40"/>
  <c r="F590" i="40"/>
  <c r="K470" i="40"/>
  <c r="L530" i="40"/>
  <c r="O662" i="40"/>
  <c r="N530" i="40"/>
  <c r="O530" i="40"/>
  <c r="N616" i="40"/>
  <c r="P408" i="40"/>
  <c r="F492" i="40"/>
  <c r="J526" i="40"/>
  <c r="H662" i="40"/>
  <c r="J662" i="40"/>
  <c r="K530" i="40"/>
  <c r="I662" i="40"/>
  <c r="L616" i="40"/>
  <c r="I492" i="40"/>
  <c r="O604" i="40"/>
  <c r="P468" i="40"/>
  <c r="G408" i="40"/>
  <c r="K492" i="40"/>
  <c r="P662" i="40"/>
  <c r="J530" i="40"/>
  <c r="O616" i="40"/>
  <c r="H492" i="40"/>
  <c r="I408" i="40"/>
  <c r="M408" i="40"/>
  <c r="N453" i="40"/>
  <c r="O614" i="40"/>
  <c r="G616" i="40"/>
  <c r="M492" i="40"/>
  <c r="L468" i="40"/>
  <c r="H526" i="40"/>
  <c r="L420" i="40"/>
  <c r="G471" i="40"/>
  <c r="Q471" i="40" s="1"/>
  <c r="O471" i="40"/>
  <c r="H420" i="40"/>
  <c r="I442" i="40"/>
  <c r="F456" i="40"/>
  <c r="F471" i="40"/>
  <c r="F491" i="40"/>
  <c r="O590" i="40"/>
  <c r="H590" i="40"/>
  <c r="J420" i="40"/>
  <c r="N471" i="40"/>
  <c r="F420" i="40"/>
  <c r="K456" i="40"/>
  <c r="O456" i="40"/>
  <c r="I471" i="40"/>
  <c r="P491" i="40"/>
  <c r="I590" i="40"/>
  <c r="G590" i="40"/>
  <c r="J590" i="40"/>
  <c r="M590" i="40"/>
  <c r="L456" i="40"/>
  <c r="M456" i="40"/>
  <c r="G456" i="40"/>
  <c r="H471" i="40"/>
  <c r="K471" i="40"/>
  <c r="I560" i="40"/>
  <c r="M560" i="40"/>
  <c r="F415" i="40"/>
  <c r="N439" i="40"/>
  <c r="M498" i="40"/>
  <c r="O601" i="40"/>
  <c r="F625" i="40"/>
  <c r="P595" i="40"/>
  <c r="N549" i="40"/>
  <c r="G506" i="40"/>
  <c r="L560" i="40"/>
  <c r="I435" i="40"/>
  <c r="J452" i="40"/>
  <c r="M458" i="40"/>
  <c r="I520" i="40"/>
  <c r="I577" i="40"/>
  <c r="N600" i="40"/>
  <c r="O592" i="40"/>
  <c r="H525" i="40"/>
  <c r="O585" i="40"/>
  <c r="H641" i="40"/>
  <c r="N452" i="40"/>
  <c r="G545" i="40"/>
  <c r="M545" i="40"/>
  <c r="J625" i="40"/>
  <c r="P478" i="40"/>
  <c r="P415" i="40"/>
  <c r="N469" i="40"/>
  <c r="P580" i="40"/>
  <c r="J585" i="40"/>
  <c r="P577" i="40"/>
  <c r="F585" i="40"/>
  <c r="G434" i="40"/>
  <c r="N435" i="40"/>
  <c r="J415" i="40"/>
  <c r="K435" i="40"/>
  <c r="K452" i="40"/>
  <c r="N498" i="40"/>
  <c r="I641" i="40"/>
  <c r="L506" i="40"/>
  <c r="F532" i="40"/>
  <c r="F434" i="40"/>
  <c r="O560" i="40"/>
  <c r="I550" i="40"/>
  <c r="O424" i="40"/>
  <c r="M434" i="40"/>
  <c r="P435" i="40"/>
  <c r="G415" i="40"/>
  <c r="H415" i="40"/>
  <c r="K439" i="40"/>
  <c r="I469" i="40"/>
  <c r="F469" i="40"/>
  <c r="O498" i="40"/>
  <c r="F577" i="40"/>
  <c r="P641" i="40"/>
  <c r="I595" i="40"/>
  <c r="N560" i="40"/>
  <c r="N506" i="40"/>
  <c r="J532" i="40"/>
  <c r="H600" i="40"/>
  <c r="L478" i="40"/>
  <c r="J525" i="40"/>
  <c r="N585" i="40"/>
  <c r="L625" i="40"/>
  <c r="K478" i="40"/>
  <c r="F545" i="40"/>
  <c r="O452" i="40"/>
  <c r="O545" i="40"/>
  <c r="M520" i="40"/>
  <c r="F424" i="40"/>
  <c r="F435" i="40"/>
  <c r="N415" i="40"/>
  <c r="K415" i="40"/>
  <c r="P483" i="40"/>
  <c r="O458" i="40"/>
  <c r="G452" i="40"/>
  <c r="M452" i="40"/>
  <c r="P458" i="40"/>
  <c r="G439" i="40"/>
  <c r="J439" i="40"/>
  <c r="K458" i="40"/>
  <c r="P520" i="40"/>
  <c r="N545" i="40"/>
  <c r="M469" i="40"/>
  <c r="G469" i="40"/>
  <c r="F498" i="40"/>
  <c r="O577" i="40"/>
  <c r="N595" i="40"/>
  <c r="H564" i="40"/>
  <c r="O595" i="40"/>
  <c r="I625" i="40"/>
  <c r="F560" i="40"/>
  <c r="H506" i="40"/>
  <c r="G625" i="40"/>
  <c r="G641" i="40"/>
  <c r="L600" i="40"/>
  <c r="M600" i="40"/>
  <c r="L592" i="40"/>
  <c r="F592" i="40"/>
  <c r="K601" i="40"/>
  <c r="G549" i="40"/>
  <c r="N424" i="40"/>
  <c r="P424" i="40"/>
  <c r="G424" i="40"/>
  <c r="M641" i="40"/>
  <c r="J545" i="40"/>
  <c r="L520" i="40"/>
  <c r="J478" i="40"/>
  <c r="O520" i="40"/>
  <c r="P434" i="40"/>
  <c r="M415" i="40"/>
  <c r="M435" i="40"/>
  <c r="O415" i="40"/>
  <c r="H452" i="40"/>
  <c r="H458" i="40"/>
  <c r="K520" i="40"/>
  <c r="L545" i="40"/>
  <c r="I498" i="40"/>
  <c r="P625" i="40"/>
  <c r="L532" i="40"/>
  <c r="N532" i="40"/>
  <c r="N592" i="40"/>
  <c r="K434" i="40"/>
  <c r="N520" i="40"/>
  <c r="O525" i="40"/>
  <c r="I424" i="40"/>
  <c r="H478" i="40"/>
  <c r="O435" i="40"/>
  <c r="J435" i="40"/>
  <c r="L415" i="40"/>
  <c r="L426" i="40"/>
  <c r="H483" i="40"/>
  <c r="L452" i="40"/>
  <c r="I452" i="40"/>
  <c r="F439" i="40"/>
  <c r="I439" i="40"/>
  <c r="N458" i="40"/>
  <c r="M476" i="40"/>
  <c r="L525" i="40"/>
  <c r="G520" i="40"/>
  <c r="L469" i="40"/>
  <c r="H469" i="40"/>
  <c r="J498" i="40"/>
  <c r="G498" i="40"/>
  <c r="G564" i="40"/>
  <c r="H577" i="40"/>
  <c r="J577" i="40"/>
  <c r="J595" i="40"/>
  <c r="O506" i="40"/>
  <c r="P532" i="40"/>
  <c r="F580" i="40"/>
  <c r="G601" i="40"/>
  <c r="O625" i="40"/>
  <c r="O641" i="40"/>
  <c r="G600" i="40"/>
  <c r="H592" i="40"/>
  <c r="G525" i="40"/>
  <c r="J601" i="40"/>
  <c r="L564" i="40"/>
  <c r="H434" i="40"/>
  <c r="K424" i="40"/>
  <c r="P561" i="40"/>
  <c r="L641" i="40"/>
  <c r="K545" i="40"/>
  <c r="M601" i="40"/>
  <c r="P545" i="40"/>
  <c r="I547" i="40"/>
  <c r="O617" i="40"/>
  <c r="G406" i="40"/>
  <c r="G470" i="40"/>
  <c r="I470" i="40"/>
  <c r="F406" i="40"/>
  <c r="P439" i="40"/>
  <c r="H439" i="40"/>
  <c r="L439" i="40"/>
  <c r="J458" i="40"/>
  <c r="O470" i="40"/>
  <c r="L498" i="40"/>
  <c r="H498" i="40"/>
  <c r="P564" i="40"/>
  <c r="K532" i="40"/>
  <c r="H580" i="40"/>
  <c r="I564" i="40"/>
  <c r="I580" i="40"/>
  <c r="M585" i="40"/>
  <c r="P560" i="40"/>
  <c r="K506" i="40"/>
  <c r="F506" i="40"/>
  <c r="I506" i="40"/>
  <c r="I532" i="40"/>
  <c r="O532" i="40"/>
  <c r="F564" i="40"/>
  <c r="N577" i="40"/>
  <c r="O580" i="40"/>
  <c r="M595" i="40"/>
  <c r="J580" i="40"/>
  <c r="I600" i="40"/>
  <c r="F600" i="40"/>
  <c r="K592" i="40"/>
  <c r="G592" i="40"/>
  <c r="M592" i="40"/>
  <c r="K525" i="40"/>
  <c r="N580" i="40"/>
  <c r="F601" i="40"/>
  <c r="J434" i="40"/>
  <c r="K585" i="40"/>
  <c r="M424" i="40"/>
  <c r="K625" i="40"/>
  <c r="N564" i="40"/>
  <c r="I434" i="40"/>
  <c r="J424" i="40"/>
  <c r="K641" i="40"/>
  <c r="I483" i="40"/>
  <c r="K483" i="40"/>
  <c r="K577" i="40"/>
  <c r="K600" i="40"/>
  <c r="L595" i="40"/>
  <c r="F478" i="40"/>
  <c r="P585" i="40"/>
  <c r="M525" i="40"/>
  <c r="K611" i="40"/>
  <c r="K406" i="40"/>
  <c r="F454" i="40"/>
  <c r="G435" i="40"/>
  <c r="L435" i="40"/>
  <c r="L458" i="40"/>
  <c r="J483" i="40"/>
  <c r="O439" i="40"/>
  <c r="I458" i="40"/>
  <c r="J470" i="40"/>
  <c r="F470" i="40"/>
  <c r="H520" i="40"/>
  <c r="K469" i="40"/>
  <c r="J469" i="40"/>
  <c r="K498" i="40"/>
  <c r="J560" i="40"/>
  <c r="G580" i="40"/>
  <c r="M506" i="40"/>
  <c r="K560" i="40"/>
  <c r="G577" i="40"/>
  <c r="G595" i="40"/>
  <c r="I601" i="40"/>
  <c r="O611" i="40"/>
  <c r="H595" i="40"/>
  <c r="M532" i="40"/>
  <c r="G560" i="40"/>
  <c r="J564" i="40"/>
  <c r="J506" i="40"/>
  <c r="H532" i="40"/>
  <c r="M577" i="40"/>
  <c r="O564" i="40"/>
  <c r="I585" i="40"/>
  <c r="O600" i="40"/>
  <c r="P600" i="40"/>
  <c r="I592" i="40"/>
  <c r="P592" i="40"/>
  <c r="F452" i="40"/>
  <c r="O620" i="40"/>
  <c r="I525" i="40"/>
  <c r="M580" i="40"/>
  <c r="H601" i="40"/>
  <c r="N625" i="40"/>
  <c r="L424" i="40"/>
  <c r="H585" i="40"/>
  <c r="L585" i="40"/>
  <c r="L434" i="40"/>
  <c r="H625" i="40"/>
  <c r="M564" i="40"/>
  <c r="O434" i="40"/>
  <c r="F641" i="40"/>
  <c r="N641" i="40"/>
  <c r="F483" i="40"/>
  <c r="P525" i="40"/>
  <c r="J520" i="40"/>
  <c r="L483" i="40"/>
  <c r="O483" i="40"/>
  <c r="N601" i="40"/>
  <c r="P470" i="40"/>
  <c r="K595" i="40"/>
  <c r="M478" i="40"/>
  <c r="H545" i="40"/>
  <c r="G478" i="40"/>
  <c r="N483" i="40"/>
  <c r="N478" i="40"/>
  <c r="L580" i="40"/>
  <c r="G483" i="40"/>
  <c r="L470" i="40"/>
  <c r="H494" i="40"/>
  <c r="F494" i="40"/>
  <c r="H426" i="40"/>
  <c r="I472" i="40"/>
  <c r="P494" i="40"/>
  <c r="I494" i="40"/>
  <c r="J550" i="40"/>
  <c r="J569" i="40"/>
  <c r="M494" i="40"/>
  <c r="N494" i="40"/>
  <c r="K404" i="40"/>
  <c r="K417" i="40"/>
  <c r="O426" i="40"/>
  <c r="G494" i="40"/>
  <c r="L480" i="40"/>
  <c r="N651" i="40"/>
  <c r="H659" i="40"/>
  <c r="G404" i="40"/>
  <c r="O494" i="40"/>
  <c r="I392" i="40"/>
  <c r="M430" i="40"/>
  <c r="J494" i="40"/>
  <c r="O549" i="40"/>
  <c r="I549" i="40"/>
  <c r="P608" i="40"/>
  <c r="L494" i="40"/>
  <c r="O569" i="40"/>
  <c r="N417" i="40"/>
  <c r="I426" i="40"/>
  <c r="N426" i="40"/>
  <c r="G426" i="40"/>
  <c r="G472" i="40"/>
  <c r="O476" i="40"/>
  <c r="K549" i="40"/>
  <c r="I561" i="40"/>
  <c r="L549" i="40"/>
  <c r="I569" i="40"/>
  <c r="O573" i="40"/>
  <c r="F659" i="40"/>
  <c r="N608" i="40"/>
  <c r="F623" i="40"/>
  <c r="H556" i="40"/>
  <c r="G418" i="40"/>
  <c r="P404" i="40"/>
  <c r="K430" i="40"/>
  <c r="N569" i="40"/>
  <c r="O418" i="40"/>
  <c r="L404" i="40"/>
  <c r="J620" i="40"/>
  <c r="O538" i="40"/>
  <c r="J438" i="40"/>
  <c r="J418" i="40"/>
  <c r="F426" i="40"/>
  <c r="M426" i="40"/>
  <c r="J549" i="40"/>
  <c r="L573" i="40"/>
  <c r="N591" i="40"/>
  <c r="K623" i="40"/>
  <c r="O404" i="40"/>
  <c r="F404" i="40"/>
  <c r="F549" i="40"/>
  <c r="G556" i="40"/>
  <c r="J538" i="40"/>
  <c r="J404" i="40"/>
  <c r="L438" i="40"/>
  <c r="P430" i="40"/>
  <c r="P417" i="40"/>
  <c r="P426" i="40"/>
  <c r="K426" i="40"/>
  <c r="F480" i="40"/>
  <c r="H549" i="40"/>
  <c r="M549" i="40"/>
  <c r="L651" i="40"/>
  <c r="P573" i="40"/>
  <c r="P651" i="40"/>
  <c r="K591" i="40"/>
  <c r="N404" i="40"/>
  <c r="N476" i="40"/>
  <c r="H404" i="40"/>
  <c r="M404" i="40"/>
  <c r="J556" i="40"/>
  <c r="J561" i="40"/>
  <c r="H623" i="40"/>
  <c r="L392" i="40"/>
  <c r="P406" i="40"/>
  <c r="M406" i="40"/>
  <c r="I432" i="40"/>
  <c r="K454" i="40"/>
  <c r="I461" i="40"/>
  <c r="P617" i="40"/>
  <c r="I611" i="40"/>
  <c r="I617" i="40"/>
  <c r="P611" i="40"/>
  <c r="J611" i="40"/>
  <c r="G547" i="40"/>
  <c r="L617" i="40"/>
  <c r="F617" i="40"/>
  <c r="L395" i="40"/>
  <c r="J406" i="40"/>
  <c r="O406" i="40"/>
  <c r="H406" i="40"/>
  <c r="G619" i="40"/>
  <c r="O607" i="40"/>
  <c r="I627" i="40"/>
  <c r="G454" i="40"/>
  <c r="J617" i="40"/>
  <c r="N617" i="40"/>
  <c r="I406" i="40"/>
  <c r="L406" i="40"/>
  <c r="N611" i="40"/>
  <c r="G611" i="40"/>
  <c r="M611" i="40"/>
  <c r="G617" i="40"/>
  <c r="M617" i="40"/>
  <c r="K617" i="40"/>
  <c r="L611" i="40"/>
  <c r="I430" i="40"/>
  <c r="G430" i="40"/>
  <c r="F438" i="40"/>
  <c r="O417" i="40"/>
  <c r="I417" i="40"/>
  <c r="F417" i="40"/>
  <c r="F472" i="40"/>
  <c r="J472" i="40"/>
  <c r="L476" i="40"/>
  <c r="F476" i="40"/>
  <c r="I480" i="40"/>
  <c r="O480" i="40"/>
  <c r="G550" i="40"/>
  <c r="H561" i="40"/>
  <c r="K659" i="40"/>
  <c r="F573" i="40"/>
  <c r="K573" i="40"/>
  <c r="H573" i="40"/>
  <c r="H651" i="40"/>
  <c r="F651" i="40"/>
  <c r="I659" i="40"/>
  <c r="O659" i="40"/>
  <c r="I591" i="40"/>
  <c r="F591" i="40"/>
  <c r="J591" i="40"/>
  <c r="H608" i="40"/>
  <c r="F608" i="40"/>
  <c r="M623" i="40"/>
  <c r="J623" i="40"/>
  <c r="M538" i="40"/>
  <c r="N620" i="40"/>
  <c r="K538" i="40"/>
  <c r="N418" i="40"/>
  <c r="H430" i="40"/>
  <c r="K569" i="40"/>
  <c r="J651" i="40"/>
  <c r="O556" i="40"/>
  <c r="M561" i="40"/>
  <c r="O561" i="40"/>
  <c r="P623" i="40"/>
  <c r="G538" i="40"/>
  <c r="P418" i="40"/>
  <c r="G620" i="40"/>
  <c r="K550" i="40"/>
  <c r="M550" i="40"/>
  <c r="P472" i="40"/>
  <c r="L550" i="40"/>
  <c r="M472" i="40"/>
  <c r="N392" i="40"/>
  <c r="H392" i="40"/>
  <c r="I418" i="40"/>
  <c r="N430" i="40"/>
  <c r="O438" i="40"/>
  <c r="H417" i="40"/>
  <c r="J417" i="40"/>
  <c r="L472" i="40"/>
  <c r="H472" i="40"/>
  <c r="J476" i="40"/>
  <c r="K476" i="40"/>
  <c r="H480" i="40"/>
  <c r="G480" i="40"/>
  <c r="O550" i="40"/>
  <c r="P550" i="40"/>
  <c r="H620" i="40"/>
  <c r="O591" i="40"/>
  <c r="J608" i="40"/>
  <c r="N573" i="40"/>
  <c r="J573" i="40"/>
  <c r="I651" i="40"/>
  <c r="O651" i="40"/>
  <c r="M659" i="40"/>
  <c r="G659" i="40"/>
  <c r="P591" i="40"/>
  <c r="M591" i="40"/>
  <c r="O608" i="40"/>
  <c r="I608" i="40"/>
  <c r="I623" i="40"/>
  <c r="L659" i="40"/>
  <c r="P438" i="40"/>
  <c r="G476" i="40"/>
  <c r="I556" i="40"/>
  <c r="K556" i="40"/>
  <c r="F430" i="40"/>
  <c r="L556" i="40"/>
  <c r="H569" i="40"/>
  <c r="K651" i="40"/>
  <c r="M556" i="40"/>
  <c r="F556" i="40"/>
  <c r="L561" i="40"/>
  <c r="G561" i="40"/>
  <c r="M438" i="40"/>
  <c r="M620" i="40"/>
  <c r="L538" i="40"/>
  <c r="F620" i="40"/>
  <c r="K620" i="40"/>
  <c r="H438" i="40"/>
  <c r="N438" i="40"/>
  <c r="P392" i="40"/>
  <c r="H418" i="40"/>
  <c r="O392" i="40"/>
  <c r="F418" i="40"/>
  <c r="K418" i="40"/>
  <c r="J430" i="40"/>
  <c r="G417" i="40"/>
  <c r="M417" i="40"/>
  <c r="K472" i="40"/>
  <c r="O472" i="40"/>
  <c r="I476" i="40"/>
  <c r="H476" i="40"/>
  <c r="N480" i="40"/>
  <c r="F550" i="40"/>
  <c r="H550" i="40"/>
  <c r="N561" i="40"/>
  <c r="M569" i="40"/>
  <c r="P620" i="40"/>
  <c r="G573" i="40"/>
  <c r="M573" i="40"/>
  <c r="K608" i="40"/>
  <c r="M651" i="40"/>
  <c r="P659" i="40"/>
  <c r="N659" i="40"/>
  <c r="H591" i="40"/>
  <c r="L591" i="40"/>
  <c r="L608" i="40"/>
  <c r="G608" i="40"/>
  <c r="N623" i="40"/>
  <c r="L623" i="40"/>
  <c r="J480" i="40"/>
  <c r="G438" i="40"/>
  <c r="K480" i="40"/>
  <c r="N538" i="40"/>
  <c r="L620" i="40"/>
  <c r="L418" i="40"/>
  <c r="L430" i="40"/>
  <c r="G569" i="40"/>
  <c r="L569" i="40"/>
  <c r="P556" i="40"/>
  <c r="G623" i="40"/>
  <c r="K561" i="40"/>
  <c r="P569" i="40"/>
  <c r="M480" i="40"/>
  <c r="K438" i="40"/>
  <c r="P538" i="40"/>
  <c r="K392" i="40"/>
  <c r="M392" i="40"/>
  <c r="F538" i="40"/>
  <c r="H538" i="40"/>
  <c r="F392" i="40"/>
  <c r="P461" i="40"/>
  <c r="O461" i="40"/>
  <c r="H586" i="40"/>
  <c r="L547" i="40"/>
  <c r="P547" i="40"/>
  <c r="G576" i="40"/>
  <c r="H607" i="40"/>
  <c r="J607" i="40"/>
  <c r="O627" i="40"/>
  <c r="F387" i="40"/>
  <c r="L586" i="40"/>
  <c r="K462" i="40"/>
  <c r="M462" i="40"/>
  <c r="O387" i="40"/>
  <c r="H461" i="40"/>
  <c r="K547" i="40"/>
  <c r="M547" i="40"/>
  <c r="I619" i="40"/>
  <c r="F547" i="40"/>
  <c r="P576" i="40"/>
  <c r="F586" i="40"/>
  <c r="F606" i="40"/>
  <c r="K627" i="40"/>
  <c r="G627" i="40"/>
  <c r="O462" i="40"/>
  <c r="J387" i="40"/>
  <c r="L432" i="40"/>
  <c r="O454" i="40"/>
  <c r="G461" i="40"/>
  <c r="J547" i="40"/>
  <c r="N547" i="40"/>
  <c r="O547" i="40"/>
  <c r="P607" i="40"/>
  <c r="M627" i="40"/>
  <c r="H454" i="40"/>
  <c r="K606" i="40"/>
  <c r="L619" i="40"/>
  <c r="K643" i="40"/>
  <c r="F419" i="40"/>
  <c r="J453" i="40"/>
  <c r="I526" i="40"/>
  <c r="H553" i="40"/>
  <c r="J553" i="40"/>
  <c r="F614" i="40"/>
  <c r="I643" i="40"/>
  <c r="H419" i="40"/>
  <c r="N419" i="40"/>
  <c r="J486" i="40"/>
  <c r="L419" i="40"/>
  <c r="H395" i="40"/>
  <c r="M419" i="40"/>
  <c r="H432" i="40"/>
  <c r="L454" i="40"/>
  <c r="P453" i="40"/>
  <c r="M461" i="40"/>
  <c r="K461" i="40"/>
  <c r="N461" i="40"/>
  <c r="L491" i="40"/>
  <c r="J491" i="40"/>
  <c r="M526" i="40"/>
  <c r="I486" i="40"/>
  <c r="N514" i="40"/>
  <c r="J576" i="40"/>
  <c r="H606" i="40"/>
  <c r="H614" i="40"/>
  <c r="I614" i="40"/>
  <c r="L553" i="40"/>
  <c r="P553" i="40"/>
  <c r="N606" i="40"/>
  <c r="N614" i="40"/>
  <c r="M619" i="40"/>
  <c r="J606" i="40"/>
  <c r="P643" i="40"/>
  <c r="N643" i="40"/>
  <c r="L607" i="40"/>
  <c r="H635" i="40"/>
  <c r="P627" i="40"/>
  <c r="N627" i="40"/>
  <c r="F526" i="40"/>
  <c r="M387" i="40"/>
  <c r="O432" i="40"/>
  <c r="M453" i="40"/>
  <c r="K586" i="40"/>
  <c r="O453" i="40"/>
  <c r="L522" i="40"/>
  <c r="L614" i="40"/>
  <c r="F462" i="40"/>
  <c r="P522" i="40"/>
  <c r="H453" i="40"/>
  <c r="P486" i="40"/>
  <c r="M454" i="40"/>
  <c r="N491" i="40"/>
  <c r="F453" i="40"/>
  <c r="G491" i="40"/>
  <c r="H491" i="40"/>
  <c r="F486" i="40"/>
  <c r="K553" i="40"/>
  <c r="M553" i="40"/>
  <c r="G643" i="40"/>
  <c r="I453" i="40"/>
  <c r="J643" i="40"/>
  <c r="I604" i="40"/>
  <c r="P526" i="40"/>
  <c r="G526" i="40"/>
  <c r="K387" i="40"/>
  <c r="I419" i="40"/>
  <c r="J419" i="40"/>
  <c r="O395" i="40"/>
  <c r="N432" i="40"/>
  <c r="K453" i="40"/>
  <c r="L453" i="40"/>
  <c r="I454" i="40"/>
  <c r="O442" i="40"/>
  <c r="L461" i="40"/>
  <c r="J461" i="40"/>
  <c r="K491" i="40"/>
  <c r="I491" i="40"/>
  <c r="F529" i="40"/>
  <c r="O514" i="40"/>
  <c r="O586" i="40"/>
  <c r="P614" i="40"/>
  <c r="I606" i="40"/>
  <c r="H619" i="40"/>
  <c r="O553" i="40"/>
  <c r="G553" i="40"/>
  <c r="J614" i="40"/>
  <c r="J627" i="40"/>
  <c r="H643" i="40"/>
  <c r="F643" i="40"/>
  <c r="L627" i="40"/>
  <c r="K607" i="40"/>
  <c r="N635" i="40"/>
  <c r="H627" i="40"/>
  <c r="G419" i="40"/>
  <c r="N454" i="40"/>
  <c r="P454" i="40"/>
  <c r="L462" i="40"/>
  <c r="K614" i="40"/>
  <c r="N522" i="40"/>
  <c r="L526" i="40"/>
  <c r="O491" i="40"/>
  <c r="N442" i="40"/>
  <c r="L486" i="40"/>
  <c r="J522" i="40"/>
  <c r="K522" i="40"/>
  <c r="H529" i="40"/>
  <c r="J514" i="40"/>
  <c r="J604" i="40"/>
  <c r="H387" i="40"/>
  <c r="I387" i="40"/>
  <c r="P395" i="40"/>
  <c r="I395" i="40"/>
  <c r="F432" i="40"/>
  <c r="G432" i="40"/>
  <c r="K432" i="40"/>
  <c r="G442" i="40"/>
  <c r="K442" i="40"/>
  <c r="J442" i="40"/>
  <c r="J529" i="40"/>
  <c r="H486" i="40"/>
  <c r="N486" i="40"/>
  <c r="P514" i="40"/>
  <c r="I514" i="40"/>
  <c r="H576" i="40"/>
  <c r="O606" i="40"/>
  <c r="G586" i="40"/>
  <c r="P606" i="40"/>
  <c r="O619" i="40"/>
  <c r="P619" i="40"/>
  <c r="P586" i="40"/>
  <c r="H604" i="40"/>
  <c r="G607" i="40"/>
  <c r="I607" i="40"/>
  <c r="N607" i="40"/>
  <c r="M635" i="40"/>
  <c r="O635" i="40"/>
  <c r="L387" i="40"/>
  <c r="J462" i="40"/>
  <c r="I586" i="40"/>
  <c r="P529" i="40"/>
  <c r="G529" i="40"/>
  <c r="P462" i="40"/>
  <c r="N462" i="40"/>
  <c r="O522" i="40"/>
  <c r="M604" i="40"/>
  <c r="G604" i="40"/>
  <c r="M606" i="40"/>
  <c r="L576" i="40"/>
  <c r="O576" i="40"/>
  <c r="L606" i="40"/>
  <c r="K619" i="40"/>
  <c r="O486" i="40"/>
  <c r="K514" i="40"/>
  <c r="L442" i="40"/>
  <c r="H514" i="40"/>
  <c r="G514" i="40"/>
  <c r="I635" i="40"/>
  <c r="F635" i="40"/>
  <c r="G522" i="40"/>
  <c r="I522" i="40"/>
  <c r="N604" i="40"/>
  <c r="L635" i="40"/>
  <c r="N387" i="40"/>
  <c r="F395" i="40"/>
  <c r="M432" i="40"/>
  <c r="J432" i="40"/>
  <c r="F442" i="40"/>
  <c r="H442" i="40"/>
  <c r="M442" i="40"/>
  <c r="N529" i="40"/>
  <c r="G486" i="40"/>
  <c r="M486" i="40"/>
  <c r="F514" i="40"/>
  <c r="N619" i="40"/>
  <c r="J586" i="40"/>
  <c r="J619" i="40"/>
  <c r="P604" i="40"/>
  <c r="M607" i="40"/>
  <c r="P635" i="40"/>
  <c r="G635" i="40"/>
  <c r="N576" i="40"/>
  <c r="G387" i="40"/>
  <c r="M514" i="40"/>
  <c r="O529" i="40"/>
  <c r="M586" i="40"/>
  <c r="K529" i="40"/>
  <c r="G462" i="40"/>
  <c r="I462" i="40"/>
  <c r="M522" i="40"/>
  <c r="F522" i="40"/>
  <c r="L604" i="40"/>
  <c r="F604" i="40"/>
  <c r="F576" i="40"/>
  <c r="M576" i="40"/>
  <c r="O478" i="40"/>
  <c r="L529" i="40"/>
  <c r="K576" i="40"/>
  <c r="F525" i="40"/>
  <c r="Q652" i="40"/>
  <c r="R652" i="40" s="1"/>
  <c r="Q660" i="40"/>
  <c r="S660" i="40" s="1"/>
  <c r="Q490" i="40"/>
  <c r="R490" i="40" s="1"/>
  <c r="Q628" i="40"/>
  <c r="U628" i="40" s="1"/>
  <c r="Q400" i="40"/>
  <c r="R400" i="40" s="1"/>
  <c r="Q459" i="40"/>
  <c r="R459" i="40" s="1"/>
  <c r="Q636" i="40"/>
  <c r="S636" i="40" s="1"/>
  <c r="Q460" i="40"/>
  <c r="U460" i="40" s="1"/>
  <c r="Q540" i="40"/>
  <c r="T540" i="40" s="1"/>
  <c r="Q446" i="40"/>
  <c r="R446" i="40" s="1"/>
  <c r="Q582" i="40"/>
  <c r="U582" i="40" s="1"/>
  <c r="Q596" i="40"/>
  <c r="U596" i="40" s="1"/>
  <c r="Q639" i="40"/>
  <c r="T639" i="40" s="1"/>
  <c r="Q638" i="40"/>
  <c r="R638" i="40" s="1"/>
  <c r="Q579" i="40"/>
  <c r="U579" i="40" s="1"/>
  <c r="Q567" i="40"/>
  <c r="R567" i="40" s="1"/>
  <c r="Q467" i="40"/>
  <c r="S467" i="40" s="1"/>
  <c r="Q425" i="40"/>
  <c r="U425" i="40" s="1"/>
  <c r="Q654" i="40"/>
  <c r="T654" i="40" s="1"/>
  <c r="Q646" i="40"/>
  <c r="U646" i="40" s="1"/>
  <c r="Q615" i="40"/>
  <c r="S615" i="40" s="1"/>
  <c r="Q645" i="40"/>
  <c r="T645" i="40" s="1"/>
  <c r="Q497" i="40"/>
  <c r="R497" i="40" s="1"/>
  <c r="Q661" i="40"/>
  <c r="R661" i="40" s="1"/>
  <c r="Q443" i="40"/>
  <c r="T443" i="40" s="1"/>
  <c r="Q612" i="40"/>
  <c r="R612" i="40" s="1"/>
  <c r="Q644" i="40"/>
  <c r="U644" i="40" s="1"/>
  <c r="Q640" i="40"/>
  <c r="T640" i="40" s="1"/>
  <c r="Q388" i="40"/>
  <c r="T388" i="40" s="1"/>
  <c r="Q631" i="40"/>
  <c r="R631" i="40" s="1"/>
  <c r="L46" i="13" a="1"/>
  <c r="L46" i="13" s="1"/>
  <c r="M46" i="13" a="1"/>
  <c r="M46" i="13" s="1"/>
  <c r="L254" i="13" a="1"/>
  <c r="L254" i="13" s="1"/>
  <c r="M254" i="13" a="1"/>
  <c r="M254" i="13" s="1"/>
  <c r="L222" i="13" a="1"/>
  <c r="L222" i="13" s="1"/>
  <c r="M222" i="13" a="1"/>
  <c r="M222" i="13" s="1"/>
  <c r="L190" i="13" a="1"/>
  <c r="L190" i="13" s="1"/>
  <c r="M190" i="13" a="1"/>
  <c r="M190" i="13" s="1"/>
  <c r="L150" i="13" a="1"/>
  <c r="L150" i="13" s="1"/>
  <c r="M150" i="13" a="1"/>
  <c r="M150" i="13" s="1"/>
  <c r="L118" i="13" a="1"/>
  <c r="L118" i="13" s="1"/>
  <c r="M118" i="13" a="1"/>
  <c r="M118" i="13" s="1"/>
  <c r="L78" i="13" a="1"/>
  <c r="L78" i="13" s="1"/>
  <c r="M78" i="13" a="1"/>
  <c r="M78" i="13" s="1"/>
  <c r="L38" i="13" a="1"/>
  <c r="L38" i="13" s="1"/>
  <c r="M38" i="13" a="1"/>
  <c r="M38" i="13" s="1"/>
  <c r="L38" i="20" a="1"/>
  <c r="L38" i="20" s="1"/>
  <c r="M38" i="20" a="1"/>
  <c r="M38" i="20" s="1"/>
  <c r="L70" i="20" a="1"/>
  <c r="L70" i="20" s="1"/>
  <c r="M70" i="20" a="1"/>
  <c r="M70" i="20" s="1"/>
  <c r="L102" i="20" a="1"/>
  <c r="L102" i="20" s="1"/>
  <c r="M102" i="20" a="1"/>
  <c r="M102" i="20" s="1"/>
  <c r="L134" i="20" a="1"/>
  <c r="L134" i="20" s="1"/>
  <c r="M134" i="20" a="1"/>
  <c r="M134" i="20" s="1"/>
  <c r="L150" i="20" a="1"/>
  <c r="L150" i="20" s="1"/>
  <c r="M150" i="20" a="1"/>
  <c r="M150" i="20" s="1"/>
  <c r="L270" i="13" a="1"/>
  <c r="L270" i="13" s="1"/>
  <c r="M270" i="13" a="1"/>
  <c r="M270" i="13" s="1"/>
  <c r="L238" i="13" a="1"/>
  <c r="L238" i="13" s="1"/>
  <c r="M238" i="13" a="1"/>
  <c r="M238" i="13" s="1"/>
  <c r="L206" i="13" a="1"/>
  <c r="L206" i="13" s="1"/>
  <c r="M206" i="13" a="1"/>
  <c r="M206" i="13" s="1"/>
  <c r="L174" i="13" a="1"/>
  <c r="L174" i="13" s="1"/>
  <c r="M174" i="13" a="1"/>
  <c r="M174" i="13" s="1"/>
  <c r="L142" i="13" a="1"/>
  <c r="L142" i="13" s="1"/>
  <c r="M142" i="13" a="1"/>
  <c r="M142" i="13" s="1"/>
  <c r="L110" i="13" a="1"/>
  <c r="L110" i="13" s="1"/>
  <c r="M110" i="13" a="1"/>
  <c r="M110" i="13" s="1"/>
  <c r="L86" i="13" a="1"/>
  <c r="L86" i="13" s="1"/>
  <c r="M86" i="13" a="1"/>
  <c r="M86" i="13" s="1"/>
  <c r="L54" i="13" a="1"/>
  <c r="L54" i="13" s="1"/>
  <c r="M54" i="13" a="1"/>
  <c r="M54" i="13" s="1"/>
  <c r="L14" i="13" a="1"/>
  <c r="L14" i="13" s="1"/>
  <c r="M14" i="13" a="1"/>
  <c r="M14" i="13" s="1"/>
  <c r="L30" i="20" a="1"/>
  <c r="L30" i="20" s="1"/>
  <c r="M30" i="20" a="1"/>
  <c r="M30" i="20" s="1"/>
  <c r="L62" i="20" a="1"/>
  <c r="L62" i="20" s="1"/>
  <c r="M62" i="20" a="1"/>
  <c r="M62" i="20" s="1"/>
  <c r="L94" i="20" a="1"/>
  <c r="L94" i="20" s="1"/>
  <c r="M94" i="20" a="1"/>
  <c r="M94" i="20" s="1"/>
  <c r="L110" i="20" a="1"/>
  <c r="L110" i="20" s="1"/>
  <c r="M110" i="20" a="1"/>
  <c r="M110" i="20" s="1"/>
  <c r="L142" i="20" a="1"/>
  <c r="L142" i="20" s="1"/>
  <c r="M142" i="20" a="1"/>
  <c r="M142" i="20" s="1"/>
  <c r="L278" i="13" a="1"/>
  <c r="L278" i="13" s="1"/>
  <c r="M278" i="13" a="1"/>
  <c r="M278" i="13" s="1"/>
  <c r="L246" i="13" a="1"/>
  <c r="L246" i="13" s="1"/>
  <c r="M246" i="13" a="1"/>
  <c r="M246" i="13" s="1"/>
  <c r="L214" i="13" a="1"/>
  <c r="L214" i="13" s="1"/>
  <c r="M214" i="13" a="1"/>
  <c r="M214" i="13" s="1"/>
  <c r="L182" i="13" a="1"/>
  <c r="L182" i="13" s="1"/>
  <c r="M182" i="13" a="1"/>
  <c r="M182" i="13" s="1"/>
  <c r="L158" i="13" a="1"/>
  <c r="L158" i="13" s="1"/>
  <c r="M158" i="13" a="1"/>
  <c r="M158" i="13" s="1"/>
  <c r="L126" i="13" a="1"/>
  <c r="L126" i="13" s="1"/>
  <c r="M126" i="13" a="1"/>
  <c r="M126" i="13" s="1"/>
  <c r="L94" i="13" a="1"/>
  <c r="L94" i="13" s="1"/>
  <c r="M94" i="13" a="1"/>
  <c r="M94" i="13" s="1"/>
  <c r="L62" i="13" a="1"/>
  <c r="L62" i="13" s="1"/>
  <c r="M62" i="13" a="1"/>
  <c r="M62" i="13" s="1"/>
  <c r="L22" i="13" a="1"/>
  <c r="L22" i="13" s="1"/>
  <c r="M22" i="13" a="1"/>
  <c r="M22" i="13" s="1"/>
  <c r="L22" i="20" a="1"/>
  <c r="L22" i="20" s="1"/>
  <c r="M22" i="20" a="1"/>
  <c r="M22" i="20" s="1"/>
  <c r="L54" i="20" a="1"/>
  <c r="L54" i="20" s="1"/>
  <c r="M54" i="20" a="1"/>
  <c r="M54" i="20" s="1"/>
  <c r="L86" i="20" a="1"/>
  <c r="L86" i="20" s="1"/>
  <c r="M86" i="20" a="1"/>
  <c r="M86" i="20" s="1"/>
  <c r="L126" i="20" a="1"/>
  <c r="L126" i="20" s="1"/>
  <c r="M126" i="20" a="1"/>
  <c r="M126" i="20" s="1"/>
  <c r="L266" i="13" a="1"/>
  <c r="L266" i="13" s="1"/>
  <c r="M266" i="13" a="1"/>
  <c r="M266" i="13" s="1"/>
  <c r="L286" i="13" a="1"/>
  <c r="L286" i="13" s="1"/>
  <c r="M286" i="13" a="1"/>
  <c r="M286" i="13" s="1"/>
  <c r="L262" i="13" a="1"/>
  <c r="L262" i="13" s="1"/>
  <c r="M262" i="13" a="1"/>
  <c r="M262" i="13" s="1"/>
  <c r="L230" i="13" a="1"/>
  <c r="L230" i="13" s="1"/>
  <c r="M230" i="13" a="1"/>
  <c r="M230" i="13" s="1"/>
  <c r="L198" i="13" a="1"/>
  <c r="L198" i="13" s="1"/>
  <c r="M198" i="13" a="1"/>
  <c r="M198" i="13" s="1"/>
  <c r="L166" i="13" a="1"/>
  <c r="L166" i="13" s="1"/>
  <c r="M166" i="13" a="1"/>
  <c r="M166" i="13" s="1"/>
  <c r="L134" i="13" a="1"/>
  <c r="L134" i="13" s="1"/>
  <c r="M134" i="13" a="1"/>
  <c r="M134" i="13" s="1"/>
  <c r="L102" i="13" a="1"/>
  <c r="L102" i="13" s="1"/>
  <c r="M102" i="13" a="1"/>
  <c r="M102" i="13" s="1"/>
  <c r="L70" i="13" a="1"/>
  <c r="L70" i="13" s="1"/>
  <c r="M70" i="13" a="1"/>
  <c r="M70" i="13" s="1"/>
  <c r="L30" i="13" a="1"/>
  <c r="L30" i="13" s="1"/>
  <c r="M30" i="13" a="1"/>
  <c r="M30" i="13" s="1"/>
  <c r="L14" i="20" a="1"/>
  <c r="L14" i="20" s="1"/>
  <c r="M14" i="20" a="1"/>
  <c r="M14" i="20" s="1"/>
  <c r="L46" i="20" a="1"/>
  <c r="L46" i="20" s="1"/>
  <c r="M46" i="20" a="1"/>
  <c r="M46" i="20" s="1"/>
  <c r="L78" i="20" a="1"/>
  <c r="L78" i="20" s="1"/>
  <c r="M78" i="20" a="1"/>
  <c r="M78" i="20" s="1"/>
  <c r="L118" i="20" a="1"/>
  <c r="L118" i="20" s="1"/>
  <c r="M118" i="20" a="1"/>
  <c r="M118" i="20" s="1"/>
  <c r="L290" i="13" a="1"/>
  <c r="L290" i="13" s="1"/>
  <c r="M290" i="13" a="1"/>
  <c r="M290" i="13" s="1"/>
  <c r="L282" i="13" a="1"/>
  <c r="L282" i="13" s="1"/>
  <c r="M282" i="13" a="1"/>
  <c r="M282" i="13" s="1"/>
  <c r="L274" i="13" a="1"/>
  <c r="L274" i="13" s="1"/>
  <c r="M274" i="13" a="1"/>
  <c r="M274" i="13" s="1"/>
  <c r="L258" i="13" a="1"/>
  <c r="L258" i="13" s="1"/>
  <c r="M258" i="13" a="1"/>
  <c r="M258" i="13" s="1"/>
  <c r="L218" i="13" a="1"/>
  <c r="L218" i="13" s="1"/>
  <c r="M218" i="13" a="1"/>
  <c r="M218" i="13" s="1"/>
  <c r="L50" i="13" a="1"/>
  <c r="L50" i="13" s="1"/>
  <c r="M50" i="13" a="1"/>
  <c r="M50" i="13" s="1"/>
  <c r="L26" i="13" a="1"/>
  <c r="L26" i="13" s="1"/>
  <c r="M26" i="13" a="1"/>
  <c r="M26" i="13" s="1"/>
  <c r="L289" i="13" a="1"/>
  <c r="L289" i="13" s="1"/>
  <c r="M289" i="13" a="1"/>
  <c r="M289" i="13" s="1"/>
  <c r="L257" i="13" a="1"/>
  <c r="L257" i="13" s="1"/>
  <c r="M257" i="13" a="1"/>
  <c r="M257" i="13" s="1"/>
  <c r="L233" i="13" a="1"/>
  <c r="L233" i="13" s="1"/>
  <c r="M233" i="13" a="1"/>
  <c r="M233" i="13" s="1"/>
  <c r="L201" i="13" a="1"/>
  <c r="L201" i="13" s="1"/>
  <c r="M201" i="13" a="1"/>
  <c r="M201" i="13" s="1"/>
  <c r="L169" i="13" a="1"/>
  <c r="L169" i="13" s="1"/>
  <c r="M169" i="13" a="1"/>
  <c r="M169" i="13" s="1"/>
  <c r="L280" i="13" a="1"/>
  <c r="L280" i="13" s="1"/>
  <c r="M280" i="13" a="1"/>
  <c r="M280" i="13" s="1"/>
  <c r="L256" i="13" a="1"/>
  <c r="L256" i="13" s="1"/>
  <c r="M256" i="13" a="1"/>
  <c r="M256" i="13" s="1"/>
  <c r="L240" i="13" a="1"/>
  <c r="L240" i="13" s="1"/>
  <c r="M240" i="13" a="1"/>
  <c r="M240" i="13" s="1"/>
  <c r="L216" i="13" a="1"/>
  <c r="L216" i="13" s="1"/>
  <c r="M216" i="13" a="1"/>
  <c r="M216" i="13" s="1"/>
  <c r="L200" i="13" a="1"/>
  <c r="L200" i="13" s="1"/>
  <c r="M200" i="13" a="1"/>
  <c r="M200" i="13" s="1"/>
  <c r="L176" i="13" a="1"/>
  <c r="L176" i="13" s="1"/>
  <c r="M176" i="13" a="1"/>
  <c r="M176" i="13" s="1"/>
  <c r="L160" i="13" a="1"/>
  <c r="L160" i="13" s="1"/>
  <c r="M160" i="13" a="1"/>
  <c r="M160" i="13" s="1"/>
  <c r="L136" i="13" a="1"/>
  <c r="L136" i="13" s="1"/>
  <c r="M136" i="13" a="1"/>
  <c r="M136" i="13" s="1"/>
  <c r="L120" i="13" a="1"/>
  <c r="L120" i="13" s="1"/>
  <c r="M120" i="13" a="1"/>
  <c r="M120" i="13" s="1"/>
  <c r="L104" i="13" a="1"/>
  <c r="L104" i="13" s="1"/>
  <c r="M104" i="13" a="1"/>
  <c r="M104" i="13" s="1"/>
  <c r="L88" i="13" a="1"/>
  <c r="L88" i="13" s="1"/>
  <c r="M88" i="13" a="1"/>
  <c r="M88" i="13" s="1"/>
  <c r="L64" i="13" a="1"/>
  <c r="L64" i="13" s="1"/>
  <c r="M64" i="13" a="1"/>
  <c r="M64" i="13" s="1"/>
  <c r="L40" i="13" a="1"/>
  <c r="L40" i="13" s="1"/>
  <c r="M40" i="13" a="1"/>
  <c r="M40" i="13" s="1"/>
  <c r="L16" i="13" a="1"/>
  <c r="L16" i="13" s="1"/>
  <c r="M16" i="13" a="1"/>
  <c r="M16" i="13" s="1"/>
  <c r="L12" i="20" a="1"/>
  <c r="L12" i="20" s="1"/>
  <c r="M12" i="20" a="1"/>
  <c r="M12" i="20" s="1"/>
  <c r="L28" i="20" a="1"/>
  <c r="L28" i="20" s="1"/>
  <c r="M28" i="20" a="1"/>
  <c r="M28" i="20" s="1"/>
  <c r="L52" i="20" a="1"/>
  <c r="L52" i="20" s="1"/>
  <c r="M52" i="20" a="1"/>
  <c r="M52" i="20" s="1"/>
  <c r="L76" i="20" a="1"/>
  <c r="L76" i="20" s="1"/>
  <c r="M76" i="20" a="1"/>
  <c r="M76" i="20" s="1"/>
  <c r="L132" i="20" a="1"/>
  <c r="L132" i="20" s="1"/>
  <c r="M132" i="20" a="1"/>
  <c r="M132" i="20" s="1"/>
  <c r="L148" i="20" a="1"/>
  <c r="L148" i="20" s="1"/>
  <c r="M148" i="20" a="1"/>
  <c r="M148" i="20" s="1"/>
  <c r="L172" i="20" a="1"/>
  <c r="L172" i="20" s="1"/>
  <c r="M172" i="20" a="1"/>
  <c r="M172" i="20" s="1"/>
  <c r="L188" i="20" a="1"/>
  <c r="L188" i="20" s="1"/>
  <c r="M188" i="20" a="1"/>
  <c r="M188" i="20" s="1"/>
  <c r="L212" i="20" a="1"/>
  <c r="L212" i="20" s="1"/>
  <c r="M212" i="20" a="1"/>
  <c r="M212" i="20" s="1"/>
  <c r="L228" i="20" a="1"/>
  <c r="L228" i="20" s="1"/>
  <c r="M228" i="20" a="1"/>
  <c r="M228" i="20" s="1"/>
  <c r="L252" i="20" a="1"/>
  <c r="L252" i="20" s="1"/>
  <c r="M252" i="20" a="1"/>
  <c r="M252" i="20" s="1"/>
  <c r="L276" i="20" a="1"/>
  <c r="L276" i="20" s="1"/>
  <c r="M276" i="20" a="1"/>
  <c r="M276" i="20" s="1"/>
  <c r="L12" i="22" a="1"/>
  <c r="L12" i="22" s="1"/>
  <c r="M12" i="22" a="1"/>
  <c r="M12" i="22" s="1"/>
  <c r="L28" i="22" a="1"/>
  <c r="L28" i="22" s="1"/>
  <c r="M28" i="22" a="1"/>
  <c r="M28" i="22" s="1"/>
  <c r="L52" i="22" a="1"/>
  <c r="L52" i="22" s="1"/>
  <c r="M52" i="22" a="1"/>
  <c r="M52" i="22" s="1"/>
  <c r="L76" i="22" a="1"/>
  <c r="L76" i="22" s="1"/>
  <c r="M76" i="22" a="1"/>
  <c r="M76" i="22" s="1"/>
  <c r="L92" i="22" a="1"/>
  <c r="L92" i="22" s="1"/>
  <c r="M92" i="22" a="1"/>
  <c r="M92" i="22" s="1"/>
  <c r="L116" i="22" a="1"/>
  <c r="L116" i="22" s="1"/>
  <c r="M116" i="22" a="1"/>
  <c r="M116" i="22" s="1"/>
  <c r="L140" i="22" a="1"/>
  <c r="L140" i="22" s="1"/>
  <c r="M140" i="22" a="1"/>
  <c r="M140" i="22" s="1"/>
  <c r="L156" i="22" a="1"/>
  <c r="L156" i="22" s="1"/>
  <c r="M156" i="22" a="1"/>
  <c r="M156" i="22" s="1"/>
  <c r="L180" i="22" a="1"/>
  <c r="L180" i="22" s="1"/>
  <c r="M180" i="22" a="1"/>
  <c r="M180" i="22" s="1"/>
  <c r="L196" i="22" a="1"/>
  <c r="L196" i="22" s="1"/>
  <c r="M196" i="22" a="1"/>
  <c r="M196" i="22" s="1"/>
  <c r="L220" i="22" a="1"/>
  <c r="L220" i="22" s="1"/>
  <c r="M220" i="22" a="1"/>
  <c r="M220" i="22" s="1"/>
  <c r="L268" i="22" a="1"/>
  <c r="L268" i="22" s="1"/>
  <c r="M268" i="22" a="1"/>
  <c r="M268" i="22" s="1"/>
  <c r="L284" i="22" a="1"/>
  <c r="L284" i="22" s="1"/>
  <c r="M284" i="22" a="1"/>
  <c r="M284" i="22" s="1"/>
  <c r="L292" i="22" a="1"/>
  <c r="L292" i="22" s="1"/>
  <c r="M292" i="22" a="1"/>
  <c r="M292" i="22" s="1"/>
  <c r="L12" i="21" a="1"/>
  <c r="L12" i="21" s="1"/>
  <c r="M12" i="21" a="1"/>
  <c r="M12" i="21" s="1"/>
  <c r="L20" i="21" a="1"/>
  <c r="L20" i="21" s="1"/>
  <c r="M20" i="21" a="1"/>
  <c r="M20" i="21" s="1"/>
  <c r="L28" i="21" a="1"/>
  <c r="L28" i="21" s="1"/>
  <c r="M28" i="21" a="1"/>
  <c r="M28" i="21" s="1"/>
  <c r="L36" i="21" a="1"/>
  <c r="L36" i="21" s="1"/>
  <c r="M36" i="21" a="1"/>
  <c r="M36" i="21" s="1"/>
  <c r="L44" i="21" a="1"/>
  <c r="L44" i="21" s="1"/>
  <c r="M44" i="21" a="1"/>
  <c r="M44" i="21" s="1"/>
  <c r="L52" i="21" a="1"/>
  <c r="L52" i="21" s="1"/>
  <c r="M52" i="21" a="1"/>
  <c r="M52" i="21" s="1"/>
  <c r="L60" i="21" a="1"/>
  <c r="L60" i="21" s="1"/>
  <c r="M60" i="21" a="1"/>
  <c r="M60" i="21" s="1"/>
  <c r="L68" i="21" a="1"/>
  <c r="L68" i="21" s="1"/>
  <c r="M68" i="21" a="1"/>
  <c r="M68" i="21" s="1"/>
  <c r="L76" i="21" a="1"/>
  <c r="L76" i="21" s="1"/>
  <c r="M76" i="21" a="1"/>
  <c r="M76" i="21" s="1"/>
  <c r="L84" i="21" a="1"/>
  <c r="L84" i="21" s="1"/>
  <c r="M84" i="21" a="1"/>
  <c r="M84" i="21" s="1"/>
  <c r="L92" i="21" a="1"/>
  <c r="L92" i="21" s="1"/>
  <c r="M92" i="21" a="1"/>
  <c r="M92" i="21" s="1"/>
  <c r="L100" i="21" a="1"/>
  <c r="L100" i="21" s="1"/>
  <c r="M100" i="21" a="1"/>
  <c r="M100" i="21" s="1"/>
  <c r="L108" i="21" a="1"/>
  <c r="L108" i="21" s="1"/>
  <c r="M108" i="21" a="1"/>
  <c r="M108" i="21" s="1"/>
  <c r="L116" i="21" a="1"/>
  <c r="L116" i="21" s="1"/>
  <c r="M116" i="21" a="1"/>
  <c r="M116" i="21" s="1"/>
  <c r="L124" i="21" a="1"/>
  <c r="L124" i="21" s="1"/>
  <c r="M124" i="21" a="1"/>
  <c r="M124" i="21" s="1"/>
  <c r="L132" i="21" a="1"/>
  <c r="L132" i="21" s="1"/>
  <c r="M132" i="21" a="1"/>
  <c r="M132" i="21" s="1"/>
  <c r="L140" i="21" a="1"/>
  <c r="L140" i="21" s="1"/>
  <c r="M140" i="21" a="1"/>
  <c r="M140" i="21" s="1"/>
  <c r="L148" i="21" a="1"/>
  <c r="L148" i="21" s="1"/>
  <c r="M148" i="21" a="1"/>
  <c r="M148" i="21" s="1"/>
  <c r="L156" i="21" a="1"/>
  <c r="L156" i="21" s="1"/>
  <c r="M156" i="21" a="1"/>
  <c r="M156" i="21" s="1"/>
  <c r="L164" i="21" a="1"/>
  <c r="L164" i="21" s="1"/>
  <c r="M164" i="21" a="1"/>
  <c r="M164" i="21" s="1"/>
  <c r="L172" i="21" a="1"/>
  <c r="L172" i="21" s="1"/>
  <c r="M172" i="21" a="1"/>
  <c r="M172" i="21" s="1"/>
  <c r="L180" i="21" a="1"/>
  <c r="L180" i="21" s="1"/>
  <c r="M180" i="21" a="1"/>
  <c r="M180" i="21" s="1"/>
  <c r="L188" i="21" a="1"/>
  <c r="L188" i="21" s="1"/>
  <c r="M188" i="21" a="1"/>
  <c r="M188" i="21" s="1"/>
  <c r="L196" i="21" a="1"/>
  <c r="L196" i="21" s="1"/>
  <c r="M196" i="21" a="1"/>
  <c r="M196" i="21" s="1"/>
  <c r="L204" i="21" a="1"/>
  <c r="L204" i="21" s="1"/>
  <c r="M204" i="21" a="1"/>
  <c r="M204" i="21" s="1"/>
  <c r="L212" i="21" a="1"/>
  <c r="L212" i="21" s="1"/>
  <c r="M212" i="21" a="1"/>
  <c r="M212" i="21" s="1"/>
  <c r="L220" i="21" a="1"/>
  <c r="L220" i="21" s="1"/>
  <c r="M220" i="21" a="1"/>
  <c r="M220" i="21" s="1"/>
  <c r="L228" i="21" a="1"/>
  <c r="L228" i="21" s="1"/>
  <c r="M228" i="21" a="1"/>
  <c r="M228" i="21" s="1"/>
  <c r="L236" i="21" a="1"/>
  <c r="L236" i="21" s="1"/>
  <c r="M236" i="21" a="1"/>
  <c r="M236" i="21" s="1"/>
  <c r="L244" i="21" a="1"/>
  <c r="L244" i="21" s="1"/>
  <c r="M244" i="21" a="1"/>
  <c r="M244" i="21" s="1"/>
  <c r="L252" i="21" a="1"/>
  <c r="L252" i="21" s="1"/>
  <c r="M252" i="21" a="1"/>
  <c r="M252" i="21" s="1"/>
  <c r="L260" i="21" a="1"/>
  <c r="L260" i="21" s="1"/>
  <c r="M260" i="21" a="1"/>
  <c r="M260" i="21" s="1"/>
  <c r="L268" i="21" a="1"/>
  <c r="L268" i="21" s="1"/>
  <c r="M268" i="21" a="1"/>
  <c r="M268" i="21" s="1"/>
  <c r="L276" i="21" a="1"/>
  <c r="L276" i="21" s="1"/>
  <c r="M276" i="21" a="1"/>
  <c r="M276" i="21" s="1"/>
  <c r="L284" i="21" a="1"/>
  <c r="L284" i="21" s="1"/>
  <c r="M284" i="21" a="1"/>
  <c r="M284" i="21" s="1"/>
  <c r="L292" i="21" a="1"/>
  <c r="L292" i="21" s="1"/>
  <c r="M292" i="21" a="1"/>
  <c r="M292" i="21" s="1"/>
  <c r="L242" i="13" a="1"/>
  <c r="L242" i="13" s="1"/>
  <c r="M242" i="13" a="1"/>
  <c r="M242" i="13" s="1"/>
  <c r="L210" i="13" a="1"/>
  <c r="L210" i="13" s="1"/>
  <c r="M210" i="13" a="1"/>
  <c r="M210" i="13" s="1"/>
  <c r="L194" i="13" a="1"/>
  <c r="L194" i="13" s="1"/>
  <c r="M194" i="13" a="1"/>
  <c r="M194" i="13" s="1"/>
  <c r="L170" i="13" a="1"/>
  <c r="L170" i="13" s="1"/>
  <c r="M170" i="13" a="1"/>
  <c r="M170" i="13" s="1"/>
  <c r="L154" i="13" a="1"/>
  <c r="L154" i="13" s="1"/>
  <c r="M154" i="13" a="1"/>
  <c r="M154" i="13" s="1"/>
  <c r="L138" i="13" a="1"/>
  <c r="L138" i="13" s="1"/>
  <c r="M138" i="13" a="1"/>
  <c r="M138" i="13" s="1"/>
  <c r="L122" i="13" a="1"/>
  <c r="L122" i="13" s="1"/>
  <c r="M122" i="13" a="1"/>
  <c r="M122" i="13" s="1"/>
  <c r="L106" i="13" a="1"/>
  <c r="L106" i="13" s="1"/>
  <c r="M106" i="13" a="1"/>
  <c r="M106" i="13" s="1"/>
  <c r="L82" i="13" a="1"/>
  <c r="L82" i="13" s="1"/>
  <c r="M82" i="13" a="1"/>
  <c r="M82" i="13" s="1"/>
  <c r="L74" i="13" a="1"/>
  <c r="L74" i="13" s="1"/>
  <c r="M74" i="13" a="1"/>
  <c r="M74" i="13" s="1"/>
  <c r="L42" i="13" a="1"/>
  <c r="L42" i="13" s="1"/>
  <c r="M42" i="13" a="1"/>
  <c r="M42" i="13" s="1"/>
  <c r="L10" i="13" a="1"/>
  <c r="L10" i="13" s="1"/>
  <c r="M10" i="13" a="1"/>
  <c r="M10" i="13" s="1"/>
  <c r="G382" i="40" s="1"/>
  <c r="Q382" i="40" s="1"/>
  <c r="L281" i="13" a="1"/>
  <c r="L281" i="13" s="1"/>
  <c r="M281" i="13" a="1"/>
  <c r="M281" i="13" s="1"/>
  <c r="L265" i="13" a="1"/>
  <c r="L265" i="13" s="1"/>
  <c r="M265" i="13" a="1"/>
  <c r="M265" i="13" s="1"/>
  <c r="L249" i="13" a="1"/>
  <c r="L249" i="13" s="1"/>
  <c r="M249" i="13" a="1"/>
  <c r="M249" i="13" s="1"/>
  <c r="L225" i="13" a="1"/>
  <c r="L225" i="13" s="1"/>
  <c r="M225" i="13" a="1"/>
  <c r="M225" i="13" s="1"/>
  <c r="L209" i="13" a="1"/>
  <c r="L209" i="13" s="1"/>
  <c r="M209" i="13" a="1"/>
  <c r="M209" i="13" s="1"/>
  <c r="L193" i="13" a="1"/>
  <c r="L193" i="13" s="1"/>
  <c r="M193" i="13" a="1"/>
  <c r="M193" i="13" s="1"/>
  <c r="L177" i="13" a="1"/>
  <c r="L177" i="13" s="1"/>
  <c r="M177" i="13" a="1"/>
  <c r="M177" i="13" s="1"/>
  <c r="L288" i="13" a="1"/>
  <c r="L288" i="13" s="1"/>
  <c r="M288" i="13" a="1"/>
  <c r="M288" i="13" s="1"/>
  <c r="L272" i="13" a="1"/>
  <c r="L272" i="13" s="1"/>
  <c r="M272" i="13" a="1"/>
  <c r="M272" i="13" s="1"/>
  <c r="L264" i="13" a="1"/>
  <c r="L264" i="13" s="1"/>
  <c r="M264" i="13" a="1"/>
  <c r="M264" i="13" s="1"/>
  <c r="L248" i="13" a="1"/>
  <c r="L248" i="13" s="1"/>
  <c r="M248" i="13" a="1"/>
  <c r="M248" i="13" s="1"/>
  <c r="L232" i="13" a="1"/>
  <c r="L232" i="13" s="1"/>
  <c r="M232" i="13" a="1"/>
  <c r="M232" i="13" s="1"/>
  <c r="L224" i="13" a="1"/>
  <c r="L224" i="13" s="1"/>
  <c r="M224" i="13" a="1"/>
  <c r="M224" i="13" s="1"/>
  <c r="L208" i="13" a="1"/>
  <c r="L208" i="13" s="1"/>
  <c r="M208" i="13" a="1"/>
  <c r="M208" i="13" s="1"/>
  <c r="L192" i="13" a="1"/>
  <c r="L192" i="13" s="1"/>
  <c r="M192" i="13" a="1"/>
  <c r="M192" i="13" s="1"/>
  <c r="L184" i="13" a="1"/>
  <c r="L184" i="13" s="1"/>
  <c r="M184" i="13" a="1"/>
  <c r="M184" i="13" s="1"/>
  <c r="L168" i="13" a="1"/>
  <c r="L168" i="13" s="1"/>
  <c r="M168" i="13" a="1"/>
  <c r="M168" i="13" s="1"/>
  <c r="L152" i="13" a="1"/>
  <c r="L152" i="13" s="1"/>
  <c r="M152" i="13" a="1"/>
  <c r="M152" i="13" s="1"/>
  <c r="L144" i="13" a="1"/>
  <c r="L144" i="13" s="1"/>
  <c r="M144" i="13" a="1"/>
  <c r="M144" i="13" s="1"/>
  <c r="L128" i="13" a="1"/>
  <c r="L128" i="13" s="1"/>
  <c r="M128" i="13" a="1"/>
  <c r="M128" i="13" s="1"/>
  <c r="L112" i="13" a="1"/>
  <c r="L112" i="13" s="1"/>
  <c r="M112" i="13" a="1"/>
  <c r="M112" i="13" s="1"/>
  <c r="L96" i="13" a="1"/>
  <c r="L96" i="13" s="1"/>
  <c r="M96" i="13" a="1"/>
  <c r="M96" i="13" s="1"/>
  <c r="L80" i="13" a="1"/>
  <c r="L80" i="13" s="1"/>
  <c r="M80" i="13" a="1"/>
  <c r="M80" i="13" s="1"/>
  <c r="L72" i="13" a="1"/>
  <c r="L72" i="13" s="1"/>
  <c r="M72" i="13" a="1"/>
  <c r="M72" i="13" s="1"/>
  <c r="L56" i="13" a="1"/>
  <c r="L56" i="13" s="1"/>
  <c r="M56" i="13" a="1"/>
  <c r="M56" i="13" s="1"/>
  <c r="L48" i="13" a="1"/>
  <c r="L48" i="13" s="1"/>
  <c r="M48" i="13" a="1"/>
  <c r="M48" i="13" s="1"/>
  <c r="L32" i="13" a="1"/>
  <c r="L32" i="13" s="1"/>
  <c r="M32" i="13" a="1"/>
  <c r="M32" i="13" s="1"/>
  <c r="L24" i="13" a="1"/>
  <c r="L24" i="13" s="1"/>
  <c r="M24" i="13" a="1"/>
  <c r="M24" i="13" s="1"/>
  <c r="L20" i="20" a="1"/>
  <c r="L20" i="20" s="1"/>
  <c r="M20" i="20" a="1"/>
  <c r="M20" i="20" s="1"/>
  <c r="L36" i="20" a="1"/>
  <c r="L36" i="20" s="1"/>
  <c r="M36" i="20" a="1"/>
  <c r="M36" i="20" s="1"/>
  <c r="L44" i="20" a="1"/>
  <c r="L44" i="20" s="1"/>
  <c r="M44" i="20" a="1"/>
  <c r="M44" i="20" s="1"/>
  <c r="L60" i="20" a="1"/>
  <c r="L60" i="20" s="1"/>
  <c r="M60" i="20" a="1"/>
  <c r="M60" i="20" s="1"/>
  <c r="L68" i="20" a="1"/>
  <c r="L68" i="20" s="1"/>
  <c r="M68" i="20" a="1"/>
  <c r="M68" i="20" s="1"/>
  <c r="L84" i="20" a="1"/>
  <c r="L84" i="20" s="1"/>
  <c r="M84" i="20" a="1"/>
  <c r="M84" i="20" s="1"/>
  <c r="L92" i="20" a="1"/>
  <c r="L92" i="20" s="1"/>
  <c r="M92" i="20" a="1"/>
  <c r="M92" i="20" s="1"/>
  <c r="L100" i="20" a="1"/>
  <c r="L100" i="20" s="1"/>
  <c r="M100" i="20" a="1"/>
  <c r="M100" i="20" s="1"/>
  <c r="L108" i="20" a="1"/>
  <c r="L108" i="20" s="1"/>
  <c r="M108" i="20" a="1"/>
  <c r="M108" i="20" s="1"/>
  <c r="L116" i="20" a="1"/>
  <c r="L116" i="20" s="1"/>
  <c r="M116" i="20" a="1"/>
  <c r="M116" i="20" s="1"/>
  <c r="L124" i="20" a="1"/>
  <c r="L124" i="20" s="1"/>
  <c r="M124" i="20" a="1"/>
  <c r="M124" i="20" s="1"/>
  <c r="L140" i="20" a="1"/>
  <c r="L140" i="20" s="1"/>
  <c r="M140" i="20" a="1"/>
  <c r="M140" i="20" s="1"/>
  <c r="L156" i="20" a="1"/>
  <c r="L156" i="20" s="1"/>
  <c r="M156" i="20" a="1"/>
  <c r="M156" i="20" s="1"/>
  <c r="L164" i="20" a="1"/>
  <c r="L164" i="20" s="1"/>
  <c r="M164" i="20" a="1"/>
  <c r="M164" i="20" s="1"/>
  <c r="L180" i="20" a="1"/>
  <c r="L180" i="20" s="1"/>
  <c r="M180" i="20" a="1"/>
  <c r="M180" i="20" s="1"/>
  <c r="L196" i="20" a="1"/>
  <c r="L196" i="20" s="1"/>
  <c r="M196" i="20" a="1"/>
  <c r="M196" i="20" s="1"/>
  <c r="L204" i="20" a="1"/>
  <c r="L204" i="20" s="1"/>
  <c r="M204" i="20" a="1"/>
  <c r="M204" i="20" s="1"/>
  <c r="L220" i="20" a="1"/>
  <c r="L220" i="20" s="1"/>
  <c r="M220" i="20" a="1"/>
  <c r="M220" i="20" s="1"/>
  <c r="L236" i="20" a="1"/>
  <c r="L236" i="20" s="1"/>
  <c r="M236" i="20" a="1"/>
  <c r="M236" i="20" s="1"/>
  <c r="L244" i="20" a="1"/>
  <c r="L244" i="20" s="1"/>
  <c r="M244" i="20" a="1"/>
  <c r="M244" i="20" s="1"/>
  <c r="L260" i="20" a="1"/>
  <c r="L260" i="20" s="1"/>
  <c r="M260" i="20" a="1"/>
  <c r="M260" i="20" s="1"/>
  <c r="L268" i="20" a="1"/>
  <c r="L268" i="20" s="1"/>
  <c r="M268" i="20" a="1"/>
  <c r="M268" i="20" s="1"/>
  <c r="L284" i="20" a="1"/>
  <c r="L284" i="20" s="1"/>
  <c r="M284" i="20" a="1"/>
  <c r="M284" i="20" s="1"/>
  <c r="L292" i="20" a="1"/>
  <c r="L292" i="20" s="1"/>
  <c r="M292" i="20" a="1"/>
  <c r="M292" i="20" s="1"/>
  <c r="L20" i="22" a="1"/>
  <c r="L20" i="22" s="1"/>
  <c r="M20" i="22" a="1"/>
  <c r="M20" i="22" s="1"/>
  <c r="L36" i="22" a="1"/>
  <c r="L36" i="22" s="1"/>
  <c r="M36" i="22" a="1"/>
  <c r="M36" i="22" s="1"/>
  <c r="L44" i="22" a="1"/>
  <c r="L44" i="22" s="1"/>
  <c r="M44" i="22" a="1"/>
  <c r="M44" i="22" s="1"/>
  <c r="L60" i="22" a="1"/>
  <c r="L60" i="22" s="1"/>
  <c r="M60" i="22" a="1"/>
  <c r="M60" i="22" s="1"/>
  <c r="L68" i="22" a="1"/>
  <c r="L68" i="22" s="1"/>
  <c r="M68" i="22" a="1"/>
  <c r="M68" i="22" s="1"/>
  <c r="L84" i="22" a="1"/>
  <c r="L84" i="22" s="1"/>
  <c r="M84" i="22" a="1"/>
  <c r="M84" i="22" s="1"/>
  <c r="L100" i="22" a="1"/>
  <c r="L100" i="22" s="1"/>
  <c r="M100" i="22" a="1"/>
  <c r="M100" i="22" s="1"/>
  <c r="L108" i="22" a="1"/>
  <c r="L108" i="22" s="1"/>
  <c r="M108" i="22" a="1"/>
  <c r="M108" i="22" s="1"/>
  <c r="L124" i="22" a="1"/>
  <c r="L124" i="22" s="1"/>
  <c r="M124" i="22" a="1"/>
  <c r="M124" i="22" s="1"/>
  <c r="L132" i="22" a="1"/>
  <c r="L132" i="22" s="1"/>
  <c r="M132" i="22" a="1"/>
  <c r="M132" i="22" s="1"/>
  <c r="L148" i="22" a="1"/>
  <c r="L148" i="22" s="1"/>
  <c r="M148" i="22" a="1"/>
  <c r="M148" i="22" s="1"/>
  <c r="L164" i="22" a="1"/>
  <c r="L164" i="22" s="1"/>
  <c r="M164" i="22" a="1"/>
  <c r="M164" i="22" s="1"/>
  <c r="L172" i="22" a="1"/>
  <c r="L172" i="22" s="1"/>
  <c r="M172" i="22" a="1"/>
  <c r="M172" i="22" s="1"/>
  <c r="L188" i="22" a="1"/>
  <c r="L188" i="22" s="1"/>
  <c r="M188" i="22" a="1"/>
  <c r="M188" i="22" s="1"/>
  <c r="L204" i="22" a="1"/>
  <c r="L204" i="22" s="1"/>
  <c r="M204" i="22" a="1"/>
  <c r="M204" i="22" s="1"/>
  <c r="L212" i="22" a="1"/>
  <c r="L212" i="22" s="1"/>
  <c r="M212" i="22" a="1"/>
  <c r="M212" i="22" s="1"/>
  <c r="L228" i="22" a="1"/>
  <c r="L228" i="22" s="1"/>
  <c r="M228" i="22" a="1"/>
  <c r="M228" i="22" s="1"/>
  <c r="L236" i="22" a="1"/>
  <c r="L236" i="22" s="1"/>
  <c r="M236" i="22" a="1"/>
  <c r="M236" i="22" s="1"/>
  <c r="L244" i="22" a="1"/>
  <c r="L244" i="22" s="1"/>
  <c r="M244" i="22" a="1"/>
  <c r="M244" i="22" s="1"/>
  <c r="L252" i="22" a="1"/>
  <c r="L252" i="22" s="1"/>
  <c r="M252" i="22" a="1"/>
  <c r="M252" i="22" s="1"/>
  <c r="L260" i="22" a="1"/>
  <c r="L260" i="22" s="1"/>
  <c r="M260" i="22" a="1"/>
  <c r="M260" i="22" s="1"/>
  <c r="L276" i="22" a="1"/>
  <c r="L276" i="22" s="1"/>
  <c r="M276" i="22" a="1"/>
  <c r="M276" i="22" s="1"/>
  <c r="L287" i="13" a="1"/>
  <c r="L287" i="13" s="1"/>
  <c r="M287" i="13" a="1"/>
  <c r="M287" i="13" s="1"/>
  <c r="L279" i="13" a="1"/>
  <c r="L279" i="13" s="1"/>
  <c r="M279" i="13" a="1"/>
  <c r="M279" i="13" s="1"/>
  <c r="L271" i="13" a="1"/>
  <c r="L271" i="13" s="1"/>
  <c r="M271" i="13" a="1"/>
  <c r="M271" i="13" s="1"/>
  <c r="L263" i="13" a="1"/>
  <c r="L263" i="13" s="1"/>
  <c r="M263" i="13" a="1"/>
  <c r="M263" i="13" s="1"/>
  <c r="L255" i="13" a="1"/>
  <c r="L255" i="13" s="1"/>
  <c r="M255" i="13" a="1"/>
  <c r="M255" i="13" s="1"/>
  <c r="L247" i="13" a="1"/>
  <c r="L247" i="13" s="1"/>
  <c r="M247" i="13" a="1"/>
  <c r="M247" i="13" s="1"/>
  <c r="L239" i="13" a="1"/>
  <c r="L239" i="13" s="1"/>
  <c r="M239" i="13" a="1"/>
  <c r="M239" i="13" s="1"/>
  <c r="L231" i="13" a="1"/>
  <c r="L231" i="13" s="1"/>
  <c r="M231" i="13" a="1"/>
  <c r="M231" i="13" s="1"/>
  <c r="L223" i="13" a="1"/>
  <c r="L223" i="13" s="1"/>
  <c r="M223" i="13" a="1"/>
  <c r="M223" i="13" s="1"/>
  <c r="L215" i="13" a="1"/>
  <c r="L215" i="13" s="1"/>
  <c r="M215" i="13" a="1"/>
  <c r="M215" i="13" s="1"/>
  <c r="L207" i="13" a="1"/>
  <c r="L207" i="13" s="1"/>
  <c r="M207" i="13" a="1"/>
  <c r="M207" i="13" s="1"/>
  <c r="L199" i="13" a="1"/>
  <c r="L199" i="13" s="1"/>
  <c r="M199" i="13" a="1"/>
  <c r="M199" i="13" s="1"/>
  <c r="L191" i="13" a="1"/>
  <c r="L191" i="13" s="1"/>
  <c r="M191" i="13" a="1"/>
  <c r="M191" i="13" s="1"/>
  <c r="L183" i="13" a="1"/>
  <c r="L183" i="13" s="1"/>
  <c r="M183" i="13" a="1"/>
  <c r="M183" i="13" s="1"/>
  <c r="L175" i="13" a="1"/>
  <c r="L175" i="13" s="1"/>
  <c r="M175" i="13" a="1"/>
  <c r="M175" i="13" s="1"/>
  <c r="L167" i="13" a="1"/>
  <c r="L167" i="13" s="1"/>
  <c r="M167" i="13" a="1"/>
  <c r="M167" i="13" s="1"/>
  <c r="L159" i="13" a="1"/>
  <c r="L159" i="13" s="1"/>
  <c r="M159" i="13" a="1"/>
  <c r="M159" i="13" s="1"/>
  <c r="L151" i="13" a="1"/>
  <c r="L151" i="13" s="1"/>
  <c r="M151" i="13" a="1"/>
  <c r="M151" i="13" s="1"/>
  <c r="L143" i="13" a="1"/>
  <c r="L143" i="13" s="1"/>
  <c r="M143" i="13" a="1"/>
  <c r="M143" i="13" s="1"/>
  <c r="L135" i="13" a="1"/>
  <c r="L135" i="13" s="1"/>
  <c r="M135" i="13" a="1"/>
  <c r="M135" i="13" s="1"/>
  <c r="L127" i="13" a="1"/>
  <c r="L127" i="13" s="1"/>
  <c r="M127" i="13" a="1"/>
  <c r="M127" i="13" s="1"/>
  <c r="L119" i="13" a="1"/>
  <c r="L119" i="13" s="1"/>
  <c r="M119" i="13" a="1"/>
  <c r="M119" i="13" s="1"/>
  <c r="L111" i="13" a="1"/>
  <c r="L111" i="13" s="1"/>
  <c r="M111" i="13" a="1"/>
  <c r="M111" i="13" s="1"/>
  <c r="L103" i="13" a="1"/>
  <c r="L103" i="13" s="1"/>
  <c r="M103" i="13" a="1"/>
  <c r="M103" i="13" s="1"/>
  <c r="L95" i="13" a="1"/>
  <c r="L95" i="13" s="1"/>
  <c r="M95" i="13" a="1"/>
  <c r="M95" i="13" s="1"/>
  <c r="L87" i="13" a="1"/>
  <c r="L87" i="13" s="1"/>
  <c r="M87" i="13" a="1"/>
  <c r="M87" i="13" s="1"/>
  <c r="L79" i="13" a="1"/>
  <c r="L79" i="13" s="1"/>
  <c r="M79" i="13" a="1"/>
  <c r="M79" i="13" s="1"/>
  <c r="L71" i="13" a="1"/>
  <c r="L71" i="13" s="1"/>
  <c r="M71" i="13" a="1"/>
  <c r="M71" i="13" s="1"/>
  <c r="L63" i="13" a="1"/>
  <c r="L63" i="13" s="1"/>
  <c r="M63" i="13" a="1"/>
  <c r="M63" i="13" s="1"/>
  <c r="L55" i="13" a="1"/>
  <c r="L55" i="13" s="1"/>
  <c r="M55" i="13" a="1"/>
  <c r="M55" i="13" s="1"/>
  <c r="L47" i="13" a="1"/>
  <c r="L47" i="13" s="1"/>
  <c r="M47" i="13" a="1"/>
  <c r="M47" i="13" s="1"/>
  <c r="L39" i="13" a="1"/>
  <c r="L39" i="13" s="1"/>
  <c r="M39" i="13" a="1"/>
  <c r="M39" i="13" s="1"/>
  <c r="L31" i="13" a="1"/>
  <c r="L31" i="13" s="1"/>
  <c r="M31" i="13" a="1"/>
  <c r="M31" i="13" s="1"/>
  <c r="L23" i="13" a="1"/>
  <c r="L23" i="13" s="1"/>
  <c r="M23" i="13" a="1"/>
  <c r="M23" i="13" s="1"/>
  <c r="L15" i="13" a="1"/>
  <c r="L15" i="13" s="1"/>
  <c r="M15" i="13" a="1"/>
  <c r="M15" i="13" s="1"/>
  <c r="L13" i="20" a="1"/>
  <c r="L13" i="20" s="1"/>
  <c r="M13" i="20" a="1"/>
  <c r="M13" i="20" s="1"/>
  <c r="L21" i="20" a="1"/>
  <c r="L21" i="20" s="1"/>
  <c r="M21" i="20" a="1"/>
  <c r="M21" i="20" s="1"/>
  <c r="L29" i="20" a="1"/>
  <c r="L29" i="20" s="1"/>
  <c r="M29" i="20" a="1"/>
  <c r="M29" i="20" s="1"/>
  <c r="L37" i="20" a="1"/>
  <c r="L37" i="20" s="1"/>
  <c r="M37" i="20" a="1"/>
  <c r="M37" i="20" s="1"/>
  <c r="L45" i="20" a="1"/>
  <c r="L45" i="20" s="1"/>
  <c r="M45" i="20" a="1"/>
  <c r="M45" i="20" s="1"/>
  <c r="L53" i="20" a="1"/>
  <c r="L53" i="20" s="1"/>
  <c r="M53" i="20" a="1"/>
  <c r="M53" i="20" s="1"/>
  <c r="L61" i="20" a="1"/>
  <c r="L61" i="20" s="1"/>
  <c r="M61" i="20" a="1"/>
  <c r="M61" i="20" s="1"/>
  <c r="L69" i="20" a="1"/>
  <c r="L69" i="20" s="1"/>
  <c r="M69" i="20" a="1"/>
  <c r="M69" i="20" s="1"/>
  <c r="L77" i="20" a="1"/>
  <c r="L77" i="20" s="1"/>
  <c r="M77" i="20" a="1"/>
  <c r="M77" i="20" s="1"/>
  <c r="L85" i="20" a="1"/>
  <c r="L85" i="20" s="1"/>
  <c r="M85" i="20" a="1"/>
  <c r="M85" i="20" s="1"/>
  <c r="L93" i="20" a="1"/>
  <c r="L93" i="20" s="1"/>
  <c r="M93" i="20" a="1"/>
  <c r="M93" i="20" s="1"/>
  <c r="L101" i="20" a="1"/>
  <c r="L101" i="20" s="1"/>
  <c r="M101" i="20" a="1"/>
  <c r="M101" i="20" s="1"/>
  <c r="L109" i="20" a="1"/>
  <c r="L109" i="20" s="1"/>
  <c r="M109" i="20" a="1"/>
  <c r="M109" i="20" s="1"/>
  <c r="L117" i="20" a="1"/>
  <c r="L117" i="20" s="1"/>
  <c r="M117" i="20" a="1"/>
  <c r="M117" i="20" s="1"/>
  <c r="L125" i="20" a="1"/>
  <c r="L125" i="20" s="1"/>
  <c r="M125" i="20" a="1"/>
  <c r="M125" i="20" s="1"/>
  <c r="L133" i="20" a="1"/>
  <c r="L133" i="20" s="1"/>
  <c r="M133" i="20" a="1"/>
  <c r="M133" i="20" s="1"/>
  <c r="L141" i="20" a="1"/>
  <c r="L141" i="20" s="1"/>
  <c r="M141" i="20" a="1"/>
  <c r="M141" i="20" s="1"/>
  <c r="L149" i="20" a="1"/>
  <c r="L149" i="20" s="1"/>
  <c r="M149" i="20" a="1"/>
  <c r="M149" i="20" s="1"/>
  <c r="L157" i="20" a="1"/>
  <c r="L157" i="20" s="1"/>
  <c r="M157" i="20" a="1"/>
  <c r="M157" i="20" s="1"/>
  <c r="L165" i="20" a="1"/>
  <c r="L165" i="20" s="1"/>
  <c r="M165" i="20" a="1"/>
  <c r="M165" i="20" s="1"/>
  <c r="L173" i="20" a="1"/>
  <c r="L173" i="20" s="1"/>
  <c r="M173" i="20" a="1"/>
  <c r="M173" i="20" s="1"/>
  <c r="L181" i="20" a="1"/>
  <c r="L181" i="20" s="1"/>
  <c r="M181" i="20" a="1"/>
  <c r="M181" i="20" s="1"/>
  <c r="L189" i="20" a="1"/>
  <c r="L189" i="20" s="1"/>
  <c r="M189" i="20" a="1"/>
  <c r="M189" i="20" s="1"/>
  <c r="L197" i="20" a="1"/>
  <c r="L197" i="20" s="1"/>
  <c r="M197" i="20" a="1"/>
  <c r="M197" i="20" s="1"/>
  <c r="L205" i="20" a="1"/>
  <c r="L205" i="20" s="1"/>
  <c r="M205" i="20" a="1"/>
  <c r="M205" i="20" s="1"/>
  <c r="L213" i="20" a="1"/>
  <c r="L213" i="20" s="1"/>
  <c r="M213" i="20" a="1"/>
  <c r="M213" i="20" s="1"/>
  <c r="L221" i="20" a="1"/>
  <c r="L221" i="20" s="1"/>
  <c r="M221" i="20" a="1"/>
  <c r="M221" i="20" s="1"/>
  <c r="L229" i="20" a="1"/>
  <c r="L229" i="20" s="1"/>
  <c r="M229" i="20" a="1"/>
  <c r="M229" i="20" s="1"/>
  <c r="L237" i="20" a="1"/>
  <c r="L237" i="20" s="1"/>
  <c r="M237" i="20" a="1"/>
  <c r="M237" i="20" s="1"/>
  <c r="L245" i="20" a="1"/>
  <c r="L245" i="20" s="1"/>
  <c r="M245" i="20" a="1"/>
  <c r="M245" i="20" s="1"/>
  <c r="L253" i="20" a="1"/>
  <c r="L253" i="20" s="1"/>
  <c r="M253" i="20" a="1"/>
  <c r="M253" i="20" s="1"/>
  <c r="L261" i="20" a="1"/>
  <c r="L261" i="20" s="1"/>
  <c r="M261" i="20" a="1"/>
  <c r="M261" i="20" s="1"/>
  <c r="L269" i="20" a="1"/>
  <c r="L269" i="20" s="1"/>
  <c r="M269" i="20" a="1"/>
  <c r="M269" i="20" s="1"/>
  <c r="L277" i="20" a="1"/>
  <c r="L277" i="20" s="1"/>
  <c r="M277" i="20" a="1"/>
  <c r="M277" i="20" s="1"/>
  <c r="L285" i="20" a="1"/>
  <c r="L285" i="20" s="1"/>
  <c r="M285" i="20" a="1"/>
  <c r="M285" i="20" s="1"/>
  <c r="L293" i="20" a="1"/>
  <c r="L293" i="20" s="1"/>
  <c r="M293" i="20" a="1"/>
  <c r="M293" i="20" s="1"/>
  <c r="L13" i="22" a="1"/>
  <c r="L13" i="22" s="1"/>
  <c r="M13" i="22" a="1"/>
  <c r="M13" i="22" s="1"/>
  <c r="L21" i="22" a="1"/>
  <c r="L21" i="22" s="1"/>
  <c r="M21" i="22" a="1"/>
  <c r="M21" i="22" s="1"/>
  <c r="L29" i="22" a="1"/>
  <c r="L29" i="22" s="1"/>
  <c r="M29" i="22" a="1"/>
  <c r="M29" i="22" s="1"/>
  <c r="L37" i="22" a="1"/>
  <c r="L37" i="22" s="1"/>
  <c r="M37" i="22" a="1"/>
  <c r="M37" i="22" s="1"/>
  <c r="L45" i="22" a="1"/>
  <c r="L45" i="22" s="1"/>
  <c r="M45" i="22" a="1"/>
  <c r="M45" i="22" s="1"/>
  <c r="L53" i="22" a="1"/>
  <c r="L53" i="22" s="1"/>
  <c r="M53" i="22" a="1"/>
  <c r="M53" i="22" s="1"/>
  <c r="L61" i="22" a="1"/>
  <c r="L61" i="22" s="1"/>
  <c r="M61" i="22" a="1"/>
  <c r="M61" i="22" s="1"/>
  <c r="L69" i="22" a="1"/>
  <c r="L69" i="22" s="1"/>
  <c r="M69" i="22" a="1"/>
  <c r="M69" i="22" s="1"/>
  <c r="L77" i="22" a="1"/>
  <c r="L77" i="22" s="1"/>
  <c r="M77" i="22" a="1"/>
  <c r="M77" i="22" s="1"/>
  <c r="L85" i="22" a="1"/>
  <c r="L85" i="22" s="1"/>
  <c r="M85" i="22" a="1"/>
  <c r="M85" i="22" s="1"/>
  <c r="L93" i="22" a="1"/>
  <c r="L93" i="22" s="1"/>
  <c r="M93" i="22" a="1"/>
  <c r="M93" i="22" s="1"/>
  <c r="L101" i="22" a="1"/>
  <c r="L101" i="22" s="1"/>
  <c r="M101" i="22" a="1"/>
  <c r="M101" i="22" s="1"/>
  <c r="L109" i="22" a="1"/>
  <c r="L109" i="22" s="1"/>
  <c r="M109" i="22" a="1"/>
  <c r="M109" i="22" s="1"/>
  <c r="L117" i="22" a="1"/>
  <c r="L117" i="22" s="1"/>
  <c r="M117" i="22" a="1"/>
  <c r="M117" i="22" s="1"/>
  <c r="L125" i="22" a="1"/>
  <c r="L125" i="22" s="1"/>
  <c r="M125" i="22" a="1"/>
  <c r="M125" i="22" s="1"/>
  <c r="L133" i="22" a="1"/>
  <c r="L133" i="22" s="1"/>
  <c r="M133" i="22" a="1"/>
  <c r="M133" i="22" s="1"/>
  <c r="L141" i="22" a="1"/>
  <c r="L141" i="22" s="1"/>
  <c r="M141" i="22" a="1"/>
  <c r="M141" i="22" s="1"/>
  <c r="L149" i="22" a="1"/>
  <c r="L149" i="22" s="1"/>
  <c r="M149" i="22" a="1"/>
  <c r="M149" i="22" s="1"/>
  <c r="L157" i="22" a="1"/>
  <c r="L157" i="22" s="1"/>
  <c r="M157" i="22" a="1"/>
  <c r="M157" i="22" s="1"/>
  <c r="L165" i="22" a="1"/>
  <c r="L165" i="22" s="1"/>
  <c r="M165" i="22" a="1"/>
  <c r="M165" i="22" s="1"/>
  <c r="L173" i="22" a="1"/>
  <c r="L173" i="22" s="1"/>
  <c r="M173" i="22" a="1"/>
  <c r="M173" i="22" s="1"/>
  <c r="L181" i="22" a="1"/>
  <c r="L181" i="22" s="1"/>
  <c r="M181" i="22" a="1"/>
  <c r="M181" i="22" s="1"/>
  <c r="L189" i="22" a="1"/>
  <c r="L189" i="22" s="1"/>
  <c r="M189" i="22" a="1"/>
  <c r="M189" i="22" s="1"/>
  <c r="L197" i="22" a="1"/>
  <c r="L197" i="22" s="1"/>
  <c r="M197" i="22" a="1"/>
  <c r="M197" i="22" s="1"/>
  <c r="L205" i="22" a="1"/>
  <c r="L205" i="22" s="1"/>
  <c r="M205" i="22" a="1"/>
  <c r="M205" i="22" s="1"/>
  <c r="L213" i="22" a="1"/>
  <c r="L213" i="22" s="1"/>
  <c r="M213" i="22" a="1"/>
  <c r="M213" i="22" s="1"/>
  <c r="L221" i="22" a="1"/>
  <c r="L221" i="22" s="1"/>
  <c r="M221" i="22" a="1"/>
  <c r="M221" i="22" s="1"/>
  <c r="L229" i="22" a="1"/>
  <c r="L229" i="22" s="1"/>
  <c r="M229" i="22" a="1"/>
  <c r="M229" i="22" s="1"/>
  <c r="L237" i="22" a="1"/>
  <c r="L237" i="22" s="1"/>
  <c r="M237" i="22" a="1"/>
  <c r="M237" i="22" s="1"/>
  <c r="L245" i="22" a="1"/>
  <c r="L245" i="22" s="1"/>
  <c r="M245" i="22" a="1"/>
  <c r="M245" i="22" s="1"/>
  <c r="L253" i="22" a="1"/>
  <c r="L253" i="22" s="1"/>
  <c r="M253" i="22" a="1"/>
  <c r="M253" i="22" s="1"/>
  <c r="L261" i="22" a="1"/>
  <c r="L261" i="22" s="1"/>
  <c r="M261" i="22" a="1"/>
  <c r="M261" i="22" s="1"/>
  <c r="L269" i="22" a="1"/>
  <c r="L269" i="22" s="1"/>
  <c r="M269" i="22" a="1"/>
  <c r="M269" i="22" s="1"/>
  <c r="L277" i="22" a="1"/>
  <c r="L277" i="22" s="1"/>
  <c r="M277" i="22" a="1"/>
  <c r="M277" i="22" s="1"/>
  <c r="L285" i="22" a="1"/>
  <c r="L285" i="22" s="1"/>
  <c r="M285" i="22" a="1"/>
  <c r="M285" i="22" s="1"/>
  <c r="L293" i="22" a="1"/>
  <c r="L293" i="22" s="1"/>
  <c r="M293" i="22" a="1"/>
  <c r="M293" i="22" s="1"/>
  <c r="L13" i="21" a="1"/>
  <c r="L13" i="21" s="1"/>
  <c r="M13" i="21" a="1"/>
  <c r="M13" i="21" s="1"/>
  <c r="L21" i="21" a="1"/>
  <c r="L21" i="21" s="1"/>
  <c r="M21" i="21" a="1"/>
  <c r="M21" i="21" s="1"/>
  <c r="L29" i="21" a="1"/>
  <c r="L29" i="21" s="1"/>
  <c r="M29" i="21" a="1"/>
  <c r="M29" i="21" s="1"/>
  <c r="L37" i="21" a="1"/>
  <c r="L37" i="21" s="1"/>
  <c r="M37" i="21" a="1"/>
  <c r="M37" i="21" s="1"/>
  <c r="L45" i="21" a="1"/>
  <c r="L45" i="21" s="1"/>
  <c r="M45" i="21" a="1"/>
  <c r="M45" i="21" s="1"/>
  <c r="L53" i="21" a="1"/>
  <c r="L53" i="21" s="1"/>
  <c r="M53" i="21" a="1"/>
  <c r="M53" i="21" s="1"/>
  <c r="L61" i="21" a="1"/>
  <c r="L61" i="21" s="1"/>
  <c r="M61" i="21" a="1"/>
  <c r="M61" i="21" s="1"/>
  <c r="L69" i="21" a="1"/>
  <c r="L69" i="21" s="1"/>
  <c r="M69" i="21" a="1"/>
  <c r="M69" i="21" s="1"/>
  <c r="L77" i="21" a="1"/>
  <c r="L77" i="21" s="1"/>
  <c r="M77" i="21" a="1"/>
  <c r="M77" i="21" s="1"/>
  <c r="L85" i="21" a="1"/>
  <c r="L85" i="21" s="1"/>
  <c r="M85" i="21" a="1"/>
  <c r="M85" i="21" s="1"/>
  <c r="L93" i="21" a="1"/>
  <c r="L93" i="21" s="1"/>
  <c r="M93" i="21" a="1"/>
  <c r="M93" i="21" s="1"/>
  <c r="L101" i="21" a="1"/>
  <c r="L101" i="21" s="1"/>
  <c r="M101" i="21" a="1"/>
  <c r="M101" i="21" s="1"/>
  <c r="L109" i="21" a="1"/>
  <c r="L109" i="21" s="1"/>
  <c r="M109" i="21" a="1"/>
  <c r="M109" i="21" s="1"/>
  <c r="L117" i="21" a="1"/>
  <c r="L117" i="21" s="1"/>
  <c r="M117" i="21" a="1"/>
  <c r="M117" i="21" s="1"/>
  <c r="L125" i="21" a="1"/>
  <c r="L125" i="21" s="1"/>
  <c r="M125" i="21" a="1"/>
  <c r="M125" i="21" s="1"/>
  <c r="L133" i="21" a="1"/>
  <c r="L133" i="21" s="1"/>
  <c r="M133" i="21" a="1"/>
  <c r="M133" i="21" s="1"/>
  <c r="L141" i="21" a="1"/>
  <c r="L141" i="21" s="1"/>
  <c r="M141" i="21" a="1"/>
  <c r="M141" i="21" s="1"/>
  <c r="L149" i="21" a="1"/>
  <c r="L149" i="21" s="1"/>
  <c r="M149" i="21" a="1"/>
  <c r="M149" i="21" s="1"/>
  <c r="L157" i="21" a="1"/>
  <c r="L157" i="21" s="1"/>
  <c r="M157" i="21" a="1"/>
  <c r="M157" i="21" s="1"/>
  <c r="L165" i="21" a="1"/>
  <c r="L165" i="21" s="1"/>
  <c r="M165" i="21" a="1"/>
  <c r="M165" i="21" s="1"/>
  <c r="L173" i="21" a="1"/>
  <c r="L173" i="21" s="1"/>
  <c r="M173" i="21" a="1"/>
  <c r="M173" i="21" s="1"/>
  <c r="L181" i="21" a="1"/>
  <c r="L181" i="21" s="1"/>
  <c r="M181" i="21" a="1"/>
  <c r="M181" i="21" s="1"/>
  <c r="L189" i="21" a="1"/>
  <c r="L189" i="21" s="1"/>
  <c r="M189" i="21" a="1"/>
  <c r="M189" i="21" s="1"/>
  <c r="L197" i="21" a="1"/>
  <c r="L197" i="21" s="1"/>
  <c r="M197" i="21" a="1"/>
  <c r="M197" i="21" s="1"/>
  <c r="L205" i="21" a="1"/>
  <c r="L205" i="21" s="1"/>
  <c r="M205" i="21" a="1"/>
  <c r="M205" i="21" s="1"/>
  <c r="L213" i="21" a="1"/>
  <c r="L213" i="21" s="1"/>
  <c r="M213" i="21" a="1"/>
  <c r="M213" i="21" s="1"/>
  <c r="L221" i="21" a="1"/>
  <c r="L221" i="21" s="1"/>
  <c r="M221" i="21" a="1"/>
  <c r="M221" i="21" s="1"/>
  <c r="L229" i="21" a="1"/>
  <c r="L229" i="21" s="1"/>
  <c r="M229" i="21" a="1"/>
  <c r="M229" i="21" s="1"/>
  <c r="L237" i="21" a="1"/>
  <c r="L237" i="21" s="1"/>
  <c r="M237" i="21" a="1"/>
  <c r="M237" i="21" s="1"/>
  <c r="L245" i="21" a="1"/>
  <c r="L245" i="21" s="1"/>
  <c r="M245" i="21" a="1"/>
  <c r="M245" i="21" s="1"/>
  <c r="L253" i="21" a="1"/>
  <c r="L253" i="21" s="1"/>
  <c r="M253" i="21" a="1"/>
  <c r="M253" i="21" s="1"/>
  <c r="L261" i="21" a="1"/>
  <c r="L261" i="21" s="1"/>
  <c r="M261" i="21" a="1"/>
  <c r="M261" i="21" s="1"/>
  <c r="L269" i="21" a="1"/>
  <c r="L269" i="21" s="1"/>
  <c r="M269" i="21" a="1"/>
  <c r="M269" i="21" s="1"/>
  <c r="L277" i="21" a="1"/>
  <c r="L277" i="21" s="1"/>
  <c r="M277" i="21" a="1"/>
  <c r="M277" i="21" s="1"/>
  <c r="L285" i="21" a="1"/>
  <c r="L285" i="21" s="1"/>
  <c r="M285" i="21" a="1"/>
  <c r="M285" i="21" s="1"/>
  <c r="L293" i="21" a="1"/>
  <c r="L293" i="21" s="1"/>
  <c r="M293" i="21" a="1"/>
  <c r="M293" i="21" s="1"/>
  <c r="Q464" i="40"/>
  <c r="U464" i="40" s="1"/>
  <c r="Q528" i="40"/>
  <c r="U528" i="40" s="1"/>
  <c r="Q447" i="40"/>
  <c r="T447" i="40" s="1"/>
  <c r="Q598" i="40"/>
  <c r="T598" i="40" s="1"/>
  <c r="L270" i="20" a="1"/>
  <c r="L270" i="20" s="1"/>
  <c r="M270" i="20" a="1"/>
  <c r="M270" i="20" s="1"/>
  <c r="L54" i="22" a="1"/>
  <c r="L54" i="22" s="1"/>
  <c r="M54" i="22" a="1"/>
  <c r="M54" i="22" s="1"/>
  <c r="L86" i="22" a="1"/>
  <c r="L86" i="22" s="1"/>
  <c r="M86" i="22" a="1"/>
  <c r="M86" i="22" s="1"/>
  <c r="L118" i="22" a="1"/>
  <c r="L118" i="22" s="1"/>
  <c r="M118" i="22" a="1"/>
  <c r="M118" i="22" s="1"/>
  <c r="L158" i="22" a="1"/>
  <c r="L158" i="22" s="1"/>
  <c r="M158" i="22" a="1"/>
  <c r="M158" i="22" s="1"/>
  <c r="L198" i="22" a="1"/>
  <c r="L198" i="22" s="1"/>
  <c r="M198" i="22" a="1"/>
  <c r="M198" i="22" s="1"/>
  <c r="L230" i="22" a="1"/>
  <c r="L230" i="22" s="1"/>
  <c r="M230" i="22" a="1"/>
  <c r="M230" i="22" s="1"/>
  <c r="L278" i="22" a="1"/>
  <c r="L278" i="22" s="1"/>
  <c r="M278" i="22" a="1"/>
  <c r="M278" i="22" s="1"/>
  <c r="L30" i="21" a="1"/>
  <c r="L30" i="21" s="1"/>
  <c r="M30" i="21" a="1"/>
  <c r="M30" i="21" s="1"/>
  <c r="L62" i="21" a="1"/>
  <c r="L62" i="21" s="1"/>
  <c r="M62" i="21" a="1"/>
  <c r="M62" i="21" s="1"/>
  <c r="L94" i="21" a="1"/>
  <c r="L94" i="21" s="1"/>
  <c r="M94" i="21" a="1"/>
  <c r="M94" i="21" s="1"/>
  <c r="L126" i="21" a="1"/>
  <c r="L126" i="21" s="1"/>
  <c r="M126" i="21" a="1"/>
  <c r="M126" i="21" s="1"/>
  <c r="L174" i="21" a="1"/>
  <c r="L174" i="21" s="1"/>
  <c r="M174" i="21" a="1"/>
  <c r="M174" i="21" s="1"/>
  <c r="L237" i="13" a="1"/>
  <c r="L237" i="13" s="1"/>
  <c r="M237" i="13" a="1"/>
  <c r="M237" i="13" s="1"/>
  <c r="L189" i="13" a="1"/>
  <c r="L189" i="13" s="1"/>
  <c r="M189" i="13" a="1"/>
  <c r="M189" i="13" s="1"/>
  <c r="L117" i="13" a="1"/>
  <c r="L117" i="13" s="1"/>
  <c r="M117" i="13" a="1"/>
  <c r="M117" i="13" s="1"/>
  <c r="L93" i="13" a="1"/>
  <c r="L93" i="13" s="1"/>
  <c r="M93" i="13" a="1"/>
  <c r="M93" i="13" s="1"/>
  <c r="L45" i="13" a="1"/>
  <c r="L45" i="13" s="1"/>
  <c r="M45" i="13" a="1"/>
  <c r="M45" i="13" s="1"/>
  <c r="L13" i="13" a="1"/>
  <c r="L13" i="13" s="1"/>
  <c r="M13" i="13" a="1"/>
  <c r="M13" i="13" s="1"/>
  <c r="G385" i="40" s="1"/>
  <c r="L87" i="20" a="1"/>
  <c r="L87" i="20" s="1"/>
  <c r="M87" i="20" a="1"/>
  <c r="M87" i="20" s="1"/>
  <c r="L119" i="20" a="1"/>
  <c r="L119" i="20" s="1"/>
  <c r="M119" i="20" a="1"/>
  <c r="M119" i="20" s="1"/>
  <c r="L151" i="20" a="1"/>
  <c r="L151" i="20" s="1"/>
  <c r="M151" i="20" a="1"/>
  <c r="M151" i="20" s="1"/>
  <c r="L183" i="20" a="1"/>
  <c r="L183" i="20" s="1"/>
  <c r="M183" i="20" a="1"/>
  <c r="M183" i="20" s="1"/>
  <c r="L215" i="20" a="1"/>
  <c r="L215" i="20" s="1"/>
  <c r="M215" i="20" a="1"/>
  <c r="M215" i="20" s="1"/>
  <c r="L255" i="20" a="1"/>
  <c r="L255" i="20" s="1"/>
  <c r="M255" i="20" a="1"/>
  <c r="M255" i="20" s="1"/>
  <c r="L287" i="20" a="1"/>
  <c r="L287" i="20" s="1"/>
  <c r="M287" i="20" a="1"/>
  <c r="M287" i="20" s="1"/>
  <c r="L31" i="22" a="1"/>
  <c r="L31" i="22" s="1"/>
  <c r="M31" i="22" a="1"/>
  <c r="M31" i="22" s="1"/>
  <c r="L47" i="22" a="1"/>
  <c r="L47" i="22" s="1"/>
  <c r="M47" i="22" a="1"/>
  <c r="M47" i="22" s="1"/>
  <c r="L71" i="22" a="1"/>
  <c r="L71" i="22" s="1"/>
  <c r="M71" i="22" a="1"/>
  <c r="M71" i="22" s="1"/>
  <c r="L87" i="22" a="1"/>
  <c r="L87" i="22" s="1"/>
  <c r="M87" i="22" a="1"/>
  <c r="M87" i="22" s="1"/>
  <c r="L111" i="22" a="1"/>
  <c r="L111" i="22" s="1"/>
  <c r="M111" i="22" a="1"/>
  <c r="M111" i="22" s="1"/>
  <c r="L127" i="22" a="1"/>
  <c r="L127" i="22" s="1"/>
  <c r="M127" i="22" a="1"/>
  <c r="M127" i="22" s="1"/>
  <c r="L151" i="22" a="1"/>
  <c r="L151" i="22" s="1"/>
  <c r="M151" i="22" a="1"/>
  <c r="M151" i="22" s="1"/>
  <c r="L175" i="22" a="1"/>
  <c r="L175" i="22" s="1"/>
  <c r="M175" i="22" a="1"/>
  <c r="M175" i="22" s="1"/>
  <c r="L183" i="22" a="1"/>
  <c r="L183" i="22" s="1"/>
  <c r="M183" i="22" a="1"/>
  <c r="M183" i="22" s="1"/>
  <c r="L191" i="22" a="1"/>
  <c r="L191" i="22" s="1"/>
  <c r="M191" i="22" a="1"/>
  <c r="M191" i="22" s="1"/>
  <c r="L199" i="22" a="1"/>
  <c r="L199" i="22" s="1"/>
  <c r="M199" i="22" a="1"/>
  <c r="M199" i="22" s="1"/>
  <c r="L207" i="22" a="1"/>
  <c r="L207" i="22" s="1"/>
  <c r="M207" i="22" a="1"/>
  <c r="M207" i="22" s="1"/>
  <c r="L215" i="22" a="1"/>
  <c r="L215" i="22" s="1"/>
  <c r="M215" i="22" a="1"/>
  <c r="M215" i="22" s="1"/>
  <c r="L223" i="22" a="1"/>
  <c r="L223" i="22" s="1"/>
  <c r="M223" i="22" a="1"/>
  <c r="M223" i="22" s="1"/>
  <c r="L231" i="22" a="1"/>
  <c r="L231" i="22" s="1"/>
  <c r="M231" i="22" a="1"/>
  <c r="M231" i="22" s="1"/>
  <c r="L239" i="22" a="1"/>
  <c r="L239" i="22" s="1"/>
  <c r="M239" i="22" a="1"/>
  <c r="M239" i="22" s="1"/>
  <c r="L247" i="22" a="1"/>
  <c r="L247" i="22" s="1"/>
  <c r="M247" i="22" a="1"/>
  <c r="M247" i="22" s="1"/>
  <c r="L255" i="22" a="1"/>
  <c r="L255" i="22" s="1"/>
  <c r="M255" i="22" a="1"/>
  <c r="M255" i="22" s="1"/>
  <c r="L263" i="22" a="1"/>
  <c r="L263" i="22" s="1"/>
  <c r="M263" i="22" a="1"/>
  <c r="M263" i="22" s="1"/>
  <c r="L271" i="22" a="1"/>
  <c r="L271" i="22" s="1"/>
  <c r="M271" i="22" a="1"/>
  <c r="M271" i="22" s="1"/>
  <c r="L279" i="22" a="1"/>
  <c r="L279" i="22" s="1"/>
  <c r="M279" i="22" a="1"/>
  <c r="M279" i="22" s="1"/>
  <c r="L287" i="22" a="1"/>
  <c r="L287" i="22" s="1"/>
  <c r="M287" i="22" a="1"/>
  <c r="M287" i="22" s="1"/>
  <c r="L15" i="21" a="1"/>
  <c r="L15" i="21" s="1"/>
  <c r="M15" i="21" a="1"/>
  <c r="M15" i="21" s="1"/>
  <c r="L23" i="21" a="1"/>
  <c r="L23" i="21" s="1"/>
  <c r="M23" i="21" a="1"/>
  <c r="M23" i="21" s="1"/>
  <c r="L31" i="21" a="1"/>
  <c r="L31" i="21" s="1"/>
  <c r="M31" i="21" a="1"/>
  <c r="M31" i="21" s="1"/>
  <c r="L39" i="21" a="1"/>
  <c r="L39" i="21" s="1"/>
  <c r="M39" i="21" a="1"/>
  <c r="M39" i="21" s="1"/>
  <c r="L47" i="21" a="1"/>
  <c r="L47" i="21" s="1"/>
  <c r="M47" i="21" a="1"/>
  <c r="M47" i="21" s="1"/>
  <c r="L55" i="21" a="1"/>
  <c r="L55" i="21" s="1"/>
  <c r="M55" i="21" a="1"/>
  <c r="M55" i="21" s="1"/>
  <c r="L63" i="21" a="1"/>
  <c r="L63" i="21" s="1"/>
  <c r="M63" i="21" a="1"/>
  <c r="M63" i="21" s="1"/>
  <c r="L71" i="21" a="1"/>
  <c r="L71" i="21" s="1"/>
  <c r="M71" i="21" a="1"/>
  <c r="M71" i="21" s="1"/>
  <c r="L79" i="21" a="1"/>
  <c r="L79" i="21" s="1"/>
  <c r="M79" i="21" a="1"/>
  <c r="M79" i="21" s="1"/>
  <c r="L87" i="21" a="1"/>
  <c r="L87" i="21" s="1"/>
  <c r="M87" i="21" a="1"/>
  <c r="M87" i="21" s="1"/>
  <c r="L95" i="21" a="1"/>
  <c r="L95" i="21" s="1"/>
  <c r="M95" i="21" a="1"/>
  <c r="M95" i="21" s="1"/>
  <c r="L103" i="21" a="1"/>
  <c r="L103" i="21" s="1"/>
  <c r="M103" i="21" a="1"/>
  <c r="M103" i="21" s="1"/>
  <c r="L111" i="21" a="1"/>
  <c r="L111" i="21" s="1"/>
  <c r="M111" i="21" a="1"/>
  <c r="M111" i="21" s="1"/>
  <c r="L119" i="21" a="1"/>
  <c r="L119" i="21" s="1"/>
  <c r="M119" i="21" a="1"/>
  <c r="M119" i="21" s="1"/>
  <c r="L127" i="21" a="1"/>
  <c r="L127" i="21" s="1"/>
  <c r="M127" i="21" a="1"/>
  <c r="M127" i="21" s="1"/>
  <c r="L135" i="21" a="1"/>
  <c r="L135" i="21" s="1"/>
  <c r="M135" i="21" a="1"/>
  <c r="M135" i="21" s="1"/>
  <c r="L143" i="21" a="1"/>
  <c r="L143" i="21" s="1"/>
  <c r="M143" i="21" a="1"/>
  <c r="M143" i="21" s="1"/>
  <c r="L151" i="21" a="1"/>
  <c r="L151" i="21" s="1"/>
  <c r="M151" i="21" a="1"/>
  <c r="M151" i="21" s="1"/>
  <c r="L159" i="21" a="1"/>
  <c r="L159" i="21" s="1"/>
  <c r="M159" i="21" a="1"/>
  <c r="M159" i="21" s="1"/>
  <c r="L167" i="21" a="1"/>
  <c r="L167" i="21" s="1"/>
  <c r="M167" i="21" a="1"/>
  <c r="M167" i="21" s="1"/>
  <c r="L175" i="21" a="1"/>
  <c r="L175" i="21" s="1"/>
  <c r="M175" i="21" a="1"/>
  <c r="M175" i="21" s="1"/>
  <c r="L183" i="21" a="1"/>
  <c r="L183" i="21" s="1"/>
  <c r="M183" i="21" a="1"/>
  <c r="M183" i="21" s="1"/>
  <c r="L191" i="21" a="1"/>
  <c r="L191" i="21" s="1"/>
  <c r="M191" i="21" a="1"/>
  <c r="M191" i="21" s="1"/>
  <c r="L199" i="21" a="1"/>
  <c r="L199" i="21" s="1"/>
  <c r="M199" i="21" a="1"/>
  <c r="M199" i="21" s="1"/>
  <c r="L207" i="21" a="1"/>
  <c r="L207" i="21" s="1"/>
  <c r="M207" i="21" a="1"/>
  <c r="M207" i="21" s="1"/>
  <c r="L215" i="21" a="1"/>
  <c r="L215" i="21" s="1"/>
  <c r="M215" i="21" a="1"/>
  <c r="M215" i="21" s="1"/>
  <c r="L223" i="21" a="1"/>
  <c r="L223" i="21" s="1"/>
  <c r="M223" i="21" a="1"/>
  <c r="M223" i="21" s="1"/>
  <c r="L231" i="21" a="1"/>
  <c r="L231" i="21" s="1"/>
  <c r="M231" i="21" a="1"/>
  <c r="M231" i="21" s="1"/>
  <c r="L239" i="21" a="1"/>
  <c r="L239" i="21" s="1"/>
  <c r="M239" i="21" a="1"/>
  <c r="M239" i="21" s="1"/>
  <c r="L247" i="21" a="1"/>
  <c r="L247" i="21" s="1"/>
  <c r="M247" i="21" a="1"/>
  <c r="M247" i="21" s="1"/>
  <c r="L255" i="21" a="1"/>
  <c r="L255" i="21" s="1"/>
  <c r="M255" i="21" a="1"/>
  <c r="M255" i="21" s="1"/>
  <c r="L263" i="21" a="1"/>
  <c r="L263" i="21" s="1"/>
  <c r="M263" i="21" a="1"/>
  <c r="M263" i="21" s="1"/>
  <c r="L271" i="21" a="1"/>
  <c r="L271" i="21" s="1"/>
  <c r="M271" i="21" a="1"/>
  <c r="M271" i="21" s="1"/>
  <c r="L279" i="21" a="1"/>
  <c r="L279" i="21" s="1"/>
  <c r="M279" i="21" a="1"/>
  <c r="M279" i="21" s="1"/>
  <c r="L287" i="21" a="1"/>
  <c r="L287" i="21" s="1"/>
  <c r="M287" i="21" a="1"/>
  <c r="M287" i="21" s="1"/>
  <c r="Q571" i="40"/>
  <c r="R571" i="40" s="1"/>
  <c r="L158" i="20" a="1"/>
  <c r="L158" i="20" s="1"/>
  <c r="M158" i="20" a="1"/>
  <c r="M158" i="20" s="1"/>
  <c r="L174" i="20" a="1"/>
  <c r="L174" i="20" s="1"/>
  <c r="M174" i="20" a="1"/>
  <c r="M174" i="20" s="1"/>
  <c r="L190" i="20" a="1"/>
  <c r="L190" i="20" s="1"/>
  <c r="M190" i="20" a="1"/>
  <c r="M190" i="20" s="1"/>
  <c r="L206" i="20" a="1"/>
  <c r="L206" i="20" s="1"/>
  <c r="M206" i="20" a="1"/>
  <c r="M206" i="20" s="1"/>
  <c r="L222" i="20" a="1"/>
  <c r="L222" i="20" s="1"/>
  <c r="M222" i="20" a="1"/>
  <c r="M222" i="20" s="1"/>
  <c r="L246" i="20" a="1"/>
  <c r="L246" i="20" s="1"/>
  <c r="M246" i="20" a="1"/>
  <c r="M246" i="20" s="1"/>
  <c r="L262" i="20" a="1"/>
  <c r="L262" i="20" s="1"/>
  <c r="M262" i="20" a="1"/>
  <c r="M262" i="20" s="1"/>
  <c r="L286" i="20" a="1"/>
  <c r="L286" i="20" s="1"/>
  <c r="M286" i="20" a="1"/>
  <c r="M286" i="20" s="1"/>
  <c r="L14" i="22" a="1"/>
  <c r="L14" i="22" s="1"/>
  <c r="M14" i="22" a="1"/>
  <c r="M14" i="22" s="1"/>
  <c r="L30" i="22" a="1"/>
  <c r="L30" i="22" s="1"/>
  <c r="M30" i="22" a="1"/>
  <c r="M30" i="22" s="1"/>
  <c r="L46" i="22" a="1"/>
  <c r="L46" i="22" s="1"/>
  <c r="M46" i="22" a="1"/>
  <c r="M46" i="22" s="1"/>
  <c r="L70" i="22" a="1"/>
  <c r="L70" i="22" s="1"/>
  <c r="M70" i="22" a="1"/>
  <c r="M70" i="22" s="1"/>
  <c r="L94" i="22" a="1"/>
  <c r="L94" i="22" s="1"/>
  <c r="M94" i="22" a="1"/>
  <c r="M94" i="22" s="1"/>
  <c r="L110" i="22" a="1"/>
  <c r="L110" i="22" s="1"/>
  <c r="M110" i="22" a="1"/>
  <c r="M110" i="22" s="1"/>
  <c r="L134" i="22" a="1"/>
  <c r="L134" i="22" s="1"/>
  <c r="M134" i="22" a="1"/>
  <c r="M134" i="22" s="1"/>
  <c r="L150" i="22" a="1"/>
  <c r="L150" i="22" s="1"/>
  <c r="M150" i="22" a="1"/>
  <c r="M150" i="22" s="1"/>
  <c r="L174" i="22" a="1"/>
  <c r="L174" i="22" s="1"/>
  <c r="M174" i="22" a="1"/>
  <c r="M174" i="22" s="1"/>
  <c r="L190" i="22" a="1"/>
  <c r="L190" i="22" s="1"/>
  <c r="M190" i="22" a="1"/>
  <c r="M190" i="22" s="1"/>
  <c r="L214" i="22" a="1"/>
  <c r="L214" i="22" s="1"/>
  <c r="M214" i="22" a="1"/>
  <c r="M214" i="22" s="1"/>
  <c r="L238" i="22" a="1"/>
  <c r="L238" i="22" s="1"/>
  <c r="M238" i="22" a="1"/>
  <c r="M238" i="22" s="1"/>
  <c r="L254" i="22" a="1"/>
  <c r="L254" i="22" s="1"/>
  <c r="M254" i="22" a="1"/>
  <c r="M254" i="22" s="1"/>
  <c r="L262" i="22" a="1"/>
  <c r="L262" i="22" s="1"/>
  <c r="M262" i="22" a="1"/>
  <c r="M262" i="22" s="1"/>
  <c r="L286" i="22" a="1"/>
  <c r="L286" i="22" s="1"/>
  <c r="M286" i="22" a="1"/>
  <c r="M286" i="22" s="1"/>
  <c r="L14" i="21" a="1"/>
  <c r="L14" i="21" s="1"/>
  <c r="M14" i="21" a="1"/>
  <c r="M14" i="21" s="1"/>
  <c r="L38" i="21" a="1"/>
  <c r="L38" i="21" s="1"/>
  <c r="M38" i="21" a="1"/>
  <c r="M38" i="21" s="1"/>
  <c r="L54" i="21" a="1"/>
  <c r="L54" i="21" s="1"/>
  <c r="M54" i="21" a="1"/>
  <c r="M54" i="21" s="1"/>
  <c r="L78" i="21" a="1"/>
  <c r="L78" i="21" s="1"/>
  <c r="M78" i="21" a="1"/>
  <c r="M78" i="21" s="1"/>
  <c r="L102" i="21" a="1"/>
  <c r="L102" i="21" s="1"/>
  <c r="M102" i="21" a="1"/>
  <c r="M102" i="21" s="1"/>
  <c r="L118" i="21" a="1"/>
  <c r="L118" i="21" s="1"/>
  <c r="M118" i="21" a="1"/>
  <c r="M118" i="21" s="1"/>
  <c r="L142" i="21" a="1"/>
  <c r="L142" i="21" s="1"/>
  <c r="M142" i="21" a="1"/>
  <c r="M142" i="21" s="1"/>
  <c r="L158" i="21" a="1"/>
  <c r="L158" i="21" s="1"/>
  <c r="M158" i="21" a="1"/>
  <c r="M158" i="21" s="1"/>
  <c r="L182" i="21" a="1"/>
  <c r="L182" i="21" s="1"/>
  <c r="M182" i="21" a="1"/>
  <c r="M182" i="21" s="1"/>
  <c r="L198" i="21" a="1"/>
  <c r="L198" i="21" s="1"/>
  <c r="M198" i="21" a="1"/>
  <c r="M198" i="21" s="1"/>
  <c r="L214" i="21" a="1"/>
  <c r="L214" i="21" s="1"/>
  <c r="M214" i="21" a="1"/>
  <c r="M214" i="21" s="1"/>
  <c r="L230" i="21" a="1"/>
  <c r="L230" i="21" s="1"/>
  <c r="M230" i="21" a="1"/>
  <c r="M230" i="21" s="1"/>
  <c r="L246" i="21" a="1"/>
  <c r="L246" i="21" s="1"/>
  <c r="M246" i="21" a="1"/>
  <c r="M246" i="21" s="1"/>
  <c r="L262" i="21" a="1"/>
  <c r="L262" i="21" s="1"/>
  <c r="M262" i="21" a="1"/>
  <c r="M262" i="21" s="1"/>
  <c r="L278" i="21" a="1"/>
  <c r="L278" i="21" s="1"/>
  <c r="M278" i="21" a="1"/>
  <c r="M278" i="21" s="1"/>
  <c r="L285" i="13" a="1"/>
  <c r="L285" i="13" s="1"/>
  <c r="M285" i="13" a="1"/>
  <c r="M285" i="13" s="1"/>
  <c r="L269" i="13" a="1"/>
  <c r="L269" i="13" s="1"/>
  <c r="M269" i="13" a="1"/>
  <c r="M269" i="13" s="1"/>
  <c r="L253" i="13" a="1"/>
  <c r="L253" i="13" s="1"/>
  <c r="M253" i="13" a="1"/>
  <c r="M253" i="13" s="1"/>
  <c r="L229" i="13" a="1"/>
  <c r="L229" i="13" s="1"/>
  <c r="M229" i="13" a="1"/>
  <c r="M229" i="13" s="1"/>
  <c r="L213" i="13" a="1"/>
  <c r="L213" i="13" s="1"/>
  <c r="M213" i="13" a="1"/>
  <c r="M213" i="13" s="1"/>
  <c r="L197" i="13" a="1"/>
  <c r="L197" i="13" s="1"/>
  <c r="M197" i="13" a="1"/>
  <c r="M197" i="13" s="1"/>
  <c r="L173" i="13" a="1"/>
  <c r="L173" i="13" s="1"/>
  <c r="M173" i="13" a="1"/>
  <c r="M173" i="13" s="1"/>
  <c r="L157" i="13" a="1"/>
  <c r="L157" i="13" s="1"/>
  <c r="M157" i="13" a="1"/>
  <c r="M157" i="13" s="1"/>
  <c r="L141" i="13" a="1"/>
  <c r="L141" i="13" s="1"/>
  <c r="M141" i="13" a="1"/>
  <c r="M141" i="13" s="1"/>
  <c r="L125" i="13" a="1"/>
  <c r="L125" i="13" s="1"/>
  <c r="M125" i="13" a="1"/>
  <c r="M125" i="13" s="1"/>
  <c r="L109" i="13" a="1"/>
  <c r="L109" i="13" s="1"/>
  <c r="M109" i="13" a="1"/>
  <c r="M109" i="13" s="1"/>
  <c r="L101" i="13" a="1"/>
  <c r="L101" i="13" s="1"/>
  <c r="M101" i="13" a="1"/>
  <c r="M101" i="13" s="1"/>
  <c r="L85" i="13" a="1"/>
  <c r="L85" i="13" s="1"/>
  <c r="M85" i="13" a="1"/>
  <c r="M85" i="13" s="1"/>
  <c r="L77" i="13" a="1"/>
  <c r="L77" i="13" s="1"/>
  <c r="M77" i="13" a="1"/>
  <c r="M77" i="13" s="1"/>
  <c r="L69" i="13" a="1"/>
  <c r="L69" i="13" s="1"/>
  <c r="M69" i="13" a="1"/>
  <c r="M69" i="13" s="1"/>
  <c r="L61" i="13" a="1"/>
  <c r="L61" i="13" s="1"/>
  <c r="M61" i="13" a="1"/>
  <c r="M61" i="13" s="1"/>
  <c r="L53" i="13" a="1"/>
  <c r="L53" i="13" s="1"/>
  <c r="M53" i="13" a="1"/>
  <c r="M53" i="13" s="1"/>
  <c r="L37" i="13" a="1"/>
  <c r="L37" i="13" s="1"/>
  <c r="M37" i="13" a="1"/>
  <c r="M37" i="13" s="1"/>
  <c r="L29" i="13" a="1"/>
  <c r="L29" i="13" s="1"/>
  <c r="M29" i="13" a="1"/>
  <c r="M29" i="13" s="1"/>
  <c r="L21" i="13" a="1"/>
  <c r="L21" i="13" s="1"/>
  <c r="M21" i="13" a="1"/>
  <c r="M21" i="13" s="1"/>
  <c r="L15" i="20" a="1"/>
  <c r="L15" i="20" s="1"/>
  <c r="M15" i="20" a="1"/>
  <c r="M15" i="20" s="1"/>
  <c r="L31" i="20" a="1"/>
  <c r="L31" i="20" s="1"/>
  <c r="M31" i="20" a="1"/>
  <c r="M31" i="20" s="1"/>
  <c r="L47" i="20" a="1"/>
  <c r="L47" i="20" s="1"/>
  <c r="M47" i="20" a="1"/>
  <c r="M47" i="20" s="1"/>
  <c r="L63" i="20" a="1"/>
  <c r="L63" i="20" s="1"/>
  <c r="M63" i="20" a="1"/>
  <c r="M63" i="20" s="1"/>
  <c r="L79" i="20" a="1"/>
  <c r="L79" i="20" s="1"/>
  <c r="M79" i="20" a="1"/>
  <c r="M79" i="20" s="1"/>
  <c r="L103" i="20" a="1"/>
  <c r="L103" i="20" s="1"/>
  <c r="M103" i="20" a="1"/>
  <c r="M103" i="20" s="1"/>
  <c r="L127" i="20" a="1"/>
  <c r="L127" i="20" s="1"/>
  <c r="M127" i="20" a="1"/>
  <c r="M127" i="20" s="1"/>
  <c r="L143" i="20" a="1"/>
  <c r="L143" i="20" s="1"/>
  <c r="M143" i="20" a="1"/>
  <c r="M143" i="20" s="1"/>
  <c r="L167" i="20" a="1"/>
  <c r="L167" i="20" s="1"/>
  <c r="M167" i="20" a="1"/>
  <c r="M167" i="20" s="1"/>
  <c r="L191" i="20" a="1"/>
  <c r="L191" i="20" s="1"/>
  <c r="M191" i="20" a="1"/>
  <c r="M191" i="20" s="1"/>
  <c r="L207" i="20" a="1"/>
  <c r="L207" i="20" s="1"/>
  <c r="M207" i="20" a="1"/>
  <c r="M207" i="20" s="1"/>
  <c r="L231" i="20" a="1"/>
  <c r="L231" i="20" s="1"/>
  <c r="M231" i="20" a="1"/>
  <c r="M231" i="20" s="1"/>
  <c r="L247" i="20" a="1"/>
  <c r="L247" i="20" s="1"/>
  <c r="M247" i="20" a="1"/>
  <c r="M247" i="20" s="1"/>
  <c r="L271" i="20" a="1"/>
  <c r="L271" i="20" s="1"/>
  <c r="M271" i="20" a="1"/>
  <c r="M271" i="20" s="1"/>
  <c r="L15" i="22" a="1"/>
  <c r="L15" i="22" s="1"/>
  <c r="M15" i="22" a="1"/>
  <c r="M15" i="22" s="1"/>
  <c r="L284" i="13" a="1"/>
  <c r="L284" i="13" s="1"/>
  <c r="M284" i="13" a="1"/>
  <c r="M284" i="13" s="1"/>
  <c r="L268" i="13" a="1"/>
  <c r="L268" i="13" s="1"/>
  <c r="M268" i="13" a="1"/>
  <c r="M268" i="13" s="1"/>
  <c r="L252" i="13" a="1"/>
  <c r="L252" i="13" s="1"/>
  <c r="M252" i="13" a="1"/>
  <c r="M252" i="13" s="1"/>
  <c r="L236" i="13" a="1"/>
  <c r="L236" i="13" s="1"/>
  <c r="M236" i="13" a="1"/>
  <c r="M236" i="13" s="1"/>
  <c r="L220" i="13" a="1"/>
  <c r="L220" i="13" s="1"/>
  <c r="M220" i="13" a="1"/>
  <c r="M220" i="13" s="1"/>
  <c r="L204" i="13" a="1"/>
  <c r="L204" i="13" s="1"/>
  <c r="M204" i="13" a="1"/>
  <c r="M204" i="13" s="1"/>
  <c r="L188" i="13" a="1"/>
  <c r="L188" i="13" s="1"/>
  <c r="M188" i="13" a="1"/>
  <c r="M188" i="13" s="1"/>
  <c r="L180" i="13" a="1"/>
  <c r="L180" i="13" s="1"/>
  <c r="M180" i="13" a="1"/>
  <c r="M180" i="13" s="1"/>
  <c r="L172" i="13" a="1"/>
  <c r="L172" i="13" s="1"/>
  <c r="M172" i="13" a="1"/>
  <c r="M172" i="13" s="1"/>
  <c r="L164" i="13" a="1"/>
  <c r="L164" i="13" s="1"/>
  <c r="M164" i="13" a="1"/>
  <c r="M164" i="13" s="1"/>
  <c r="L156" i="13" a="1"/>
  <c r="L156" i="13" s="1"/>
  <c r="M156" i="13" a="1"/>
  <c r="M156" i="13" s="1"/>
  <c r="L148" i="13" a="1"/>
  <c r="L148" i="13" s="1"/>
  <c r="M148" i="13" a="1"/>
  <c r="M148" i="13" s="1"/>
  <c r="L140" i="13" a="1"/>
  <c r="L140" i="13" s="1"/>
  <c r="M140" i="13" a="1"/>
  <c r="M140" i="13" s="1"/>
  <c r="L132" i="13" a="1"/>
  <c r="L132" i="13" s="1"/>
  <c r="M132" i="13" a="1"/>
  <c r="M132" i="13" s="1"/>
  <c r="L124" i="13" a="1"/>
  <c r="L124" i="13" s="1"/>
  <c r="M124" i="13" a="1"/>
  <c r="M124" i="13" s="1"/>
  <c r="L116" i="13" a="1"/>
  <c r="L116" i="13" s="1"/>
  <c r="M116" i="13" a="1"/>
  <c r="M116" i="13" s="1"/>
  <c r="L108" i="13" a="1"/>
  <c r="L108" i="13" s="1"/>
  <c r="M108" i="13" a="1"/>
  <c r="M108" i="13" s="1"/>
  <c r="L100" i="13" a="1"/>
  <c r="L100" i="13" s="1"/>
  <c r="M100" i="13" a="1"/>
  <c r="M100" i="13" s="1"/>
  <c r="L92" i="13" a="1"/>
  <c r="L92" i="13" s="1"/>
  <c r="M92" i="13" a="1"/>
  <c r="M92" i="13" s="1"/>
  <c r="L84" i="13" a="1"/>
  <c r="L84" i="13" s="1"/>
  <c r="M84" i="13" a="1"/>
  <c r="M84" i="13" s="1"/>
  <c r="L76" i="13" a="1"/>
  <c r="L76" i="13" s="1"/>
  <c r="M76" i="13" a="1"/>
  <c r="M76" i="13" s="1"/>
  <c r="L68" i="13" a="1"/>
  <c r="L68" i="13" s="1"/>
  <c r="M68" i="13" a="1"/>
  <c r="M68" i="13" s="1"/>
  <c r="L60" i="13" a="1"/>
  <c r="L60" i="13" s="1"/>
  <c r="M60" i="13" a="1"/>
  <c r="M60" i="13" s="1"/>
  <c r="L52" i="13" a="1"/>
  <c r="L52" i="13" s="1"/>
  <c r="M52" i="13" a="1"/>
  <c r="M52" i="13" s="1"/>
  <c r="L44" i="13" a="1"/>
  <c r="L44" i="13" s="1"/>
  <c r="M44" i="13" a="1"/>
  <c r="M44" i="13" s="1"/>
  <c r="L36" i="13" a="1"/>
  <c r="L36" i="13" s="1"/>
  <c r="M36" i="13" a="1"/>
  <c r="M36" i="13" s="1"/>
  <c r="L28" i="13" a="1"/>
  <c r="L28" i="13" s="1"/>
  <c r="M28" i="13" a="1"/>
  <c r="M28" i="13" s="1"/>
  <c r="L20" i="13" a="1"/>
  <c r="L20" i="13" s="1"/>
  <c r="M20" i="13" a="1"/>
  <c r="M20" i="13" s="1"/>
  <c r="L12" i="13" a="1"/>
  <c r="L12" i="13" s="1"/>
  <c r="M12" i="13" a="1"/>
  <c r="M12" i="13" s="1"/>
  <c r="G384" i="40" s="1"/>
  <c r="Q384" i="40" s="1"/>
  <c r="L8" i="20" a="1"/>
  <c r="L8" i="20" s="1"/>
  <c r="M8" i="20" a="1"/>
  <c r="M8" i="20" s="1"/>
  <c r="J394" i="40" s="1"/>
  <c r="L16" i="20" a="1"/>
  <c r="L16" i="20" s="1"/>
  <c r="M16" i="20" a="1"/>
  <c r="M16" i="20" s="1"/>
  <c r="L24" i="20" a="1"/>
  <c r="L24" i="20" s="1"/>
  <c r="M24" i="20" a="1"/>
  <c r="M24" i="20" s="1"/>
  <c r="L32" i="20" a="1"/>
  <c r="L32" i="20" s="1"/>
  <c r="M32" i="20" a="1"/>
  <c r="M32" i="20" s="1"/>
  <c r="L40" i="20" a="1"/>
  <c r="L40" i="20" s="1"/>
  <c r="M40" i="20" a="1"/>
  <c r="M40" i="20" s="1"/>
  <c r="L48" i="20" a="1"/>
  <c r="L48" i="20" s="1"/>
  <c r="M48" i="20" a="1"/>
  <c r="M48" i="20" s="1"/>
  <c r="L56" i="20" a="1"/>
  <c r="L56" i="20" s="1"/>
  <c r="M56" i="20" a="1"/>
  <c r="M56" i="20" s="1"/>
  <c r="L64" i="20" a="1"/>
  <c r="L64" i="20" s="1"/>
  <c r="M64" i="20" a="1"/>
  <c r="M64" i="20" s="1"/>
  <c r="L72" i="20" a="1"/>
  <c r="L72" i="20" s="1"/>
  <c r="M72" i="20" a="1"/>
  <c r="M72" i="20" s="1"/>
  <c r="L80" i="20" a="1"/>
  <c r="L80" i="20" s="1"/>
  <c r="M80" i="20" a="1"/>
  <c r="M80" i="20" s="1"/>
  <c r="L88" i="20" a="1"/>
  <c r="L88" i="20" s="1"/>
  <c r="M88" i="20" a="1"/>
  <c r="M88" i="20" s="1"/>
  <c r="L96" i="20" a="1"/>
  <c r="L96" i="20" s="1"/>
  <c r="M96" i="20" a="1"/>
  <c r="M96" i="20" s="1"/>
  <c r="L104" i="20" a="1"/>
  <c r="L104" i="20" s="1"/>
  <c r="M104" i="20" a="1"/>
  <c r="M104" i="20" s="1"/>
  <c r="L112" i="20" a="1"/>
  <c r="L112" i="20" s="1"/>
  <c r="M112" i="20" a="1"/>
  <c r="M112" i="20" s="1"/>
  <c r="L120" i="20" a="1"/>
  <c r="L120" i="20" s="1"/>
  <c r="M120" i="20" a="1"/>
  <c r="M120" i="20" s="1"/>
  <c r="L128" i="20" a="1"/>
  <c r="L128" i="20" s="1"/>
  <c r="M128" i="20" a="1"/>
  <c r="M128" i="20" s="1"/>
  <c r="L136" i="20" a="1"/>
  <c r="L136" i="20" s="1"/>
  <c r="M136" i="20" a="1"/>
  <c r="M136" i="20" s="1"/>
  <c r="L144" i="20" a="1"/>
  <c r="L144" i="20" s="1"/>
  <c r="M144" i="20" a="1"/>
  <c r="M144" i="20" s="1"/>
  <c r="L152" i="20" a="1"/>
  <c r="L152" i="20" s="1"/>
  <c r="M152" i="20" a="1"/>
  <c r="M152" i="20" s="1"/>
  <c r="L160" i="20" a="1"/>
  <c r="L160" i="20" s="1"/>
  <c r="M160" i="20" a="1"/>
  <c r="M160" i="20" s="1"/>
  <c r="L168" i="20" a="1"/>
  <c r="L168" i="20" s="1"/>
  <c r="M168" i="20" a="1"/>
  <c r="M168" i="20" s="1"/>
  <c r="L176" i="20" a="1"/>
  <c r="L176" i="20" s="1"/>
  <c r="M176" i="20" a="1"/>
  <c r="M176" i="20" s="1"/>
  <c r="L184" i="20" a="1"/>
  <c r="L184" i="20" s="1"/>
  <c r="M184" i="20" a="1"/>
  <c r="M184" i="20" s="1"/>
  <c r="L192" i="20" a="1"/>
  <c r="L192" i="20" s="1"/>
  <c r="M192" i="20" a="1"/>
  <c r="M192" i="20" s="1"/>
  <c r="L200" i="20" a="1"/>
  <c r="L200" i="20" s="1"/>
  <c r="M200" i="20" a="1"/>
  <c r="M200" i="20" s="1"/>
  <c r="L208" i="20" a="1"/>
  <c r="L208" i="20" s="1"/>
  <c r="M208" i="20" a="1"/>
  <c r="M208" i="20" s="1"/>
  <c r="L216" i="20" a="1"/>
  <c r="L216" i="20" s="1"/>
  <c r="M216" i="20" a="1"/>
  <c r="M216" i="20" s="1"/>
  <c r="L224" i="20" a="1"/>
  <c r="L224" i="20" s="1"/>
  <c r="M224" i="20" a="1"/>
  <c r="M224" i="20" s="1"/>
  <c r="L232" i="20" a="1"/>
  <c r="L232" i="20" s="1"/>
  <c r="M232" i="20" a="1"/>
  <c r="M232" i="20" s="1"/>
  <c r="L240" i="20" a="1"/>
  <c r="L240" i="20" s="1"/>
  <c r="M240" i="20" a="1"/>
  <c r="M240" i="20" s="1"/>
  <c r="L248" i="20" a="1"/>
  <c r="L248" i="20" s="1"/>
  <c r="M248" i="20" a="1"/>
  <c r="M248" i="20" s="1"/>
  <c r="L256" i="20" a="1"/>
  <c r="L256" i="20" s="1"/>
  <c r="M256" i="20" a="1"/>
  <c r="M256" i="20" s="1"/>
  <c r="L264" i="20" a="1"/>
  <c r="L264" i="20" s="1"/>
  <c r="M264" i="20" a="1"/>
  <c r="M264" i="20" s="1"/>
  <c r="L272" i="20" a="1"/>
  <c r="L272" i="20" s="1"/>
  <c r="M272" i="20" a="1"/>
  <c r="M272" i="20" s="1"/>
  <c r="L280" i="20" a="1"/>
  <c r="L280" i="20" s="1"/>
  <c r="M280" i="20" a="1"/>
  <c r="M280" i="20" s="1"/>
  <c r="L288" i="20" a="1"/>
  <c r="L288" i="20" s="1"/>
  <c r="M288" i="20" a="1"/>
  <c r="M288" i="20" s="1"/>
  <c r="L8" i="22" a="1"/>
  <c r="L8" i="22" s="1"/>
  <c r="M8" i="22" a="1"/>
  <c r="M8" i="22" s="1"/>
  <c r="M394" i="40" s="1"/>
  <c r="L16" i="22" a="1"/>
  <c r="L16" i="22" s="1"/>
  <c r="M16" i="22" a="1"/>
  <c r="M16" i="22" s="1"/>
  <c r="L24" i="22" a="1"/>
  <c r="L24" i="22" s="1"/>
  <c r="M24" i="22" a="1"/>
  <c r="M24" i="22" s="1"/>
  <c r="L32" i="22" a="1"/>
  <c r="L32" i="22" s="1"/>
  <c r="M32" i="22" a="1"/>
  <c r="M32" i="22" s="1"/>
  <c r="L40" i="22" a="1"/>
  <c r="L40" i="22" s="1"/>
  <c r="M40" i="22" a="1"/>
  <c r="M40" i="22" s="1"/>
  <c r="L48" i="22" a="1"/>
  <c r="L48" i="22" s="1"/>
  <c r="M48" i="22" a="1"/>
  <c r="M48" i="22" s="1"/>
  <c r="L56" i="22" a="1"/>
  <c r="L56" i="22" s="1"/>
  <c r="M56" i="22" a="1"/>
  <c r="M56" i="22" s="1"/>
  <c r="L64" i="22" a="1"/>
  <c r="L64" i="22" s="1"/>
  <c r="M64" i="22" a="1"/>
  <c r="M64" i="22" s="1"/>
  <c r="L72" i="22" a="1"/>
  <c r="L72" i="22" s="1"/>
  <c r="M72" i="22" a="1"/>
  <c r="M72" i="22" s="1"/>
  <c r="L80" i="22" a="1"/>
  <c r="L80" i="22" s="1"/>
  <c r="M80" i="22" a="1"/>
  <c r="M80" i="22" s="1"/>
  <c r="L88" i="22" a="1"/>
  <c r="L88" i="22" s="1"/>
  <c r="M88" i="22" a="1"/>
  <c r="M88" i="22" s="1"/>
  <c r="L96" i="22" a="1"/>
  <c r="L96" i="22" s="1"/>
  <c r="M96" i="22" a="1"/>
  <c r="M96" i="22" s="1"/>
  <c r="L104" i="22" a="1"/>
  <c r="L104" i="22" s="1"/>
  <c r="M104" i="22" a="1"/>
  <c r="M104" i="22" s="1"/>
  <c r="L112" i="22" a="1"/>
  <c r="L112" i="22" s="1"/>
  <c r="M112" i="22" a="1"/>
  <c r="M112" i="22" s="1"/>
  <c r="L120" i="22" a="1"/>
  <c r="L120" i="22" s="1"/>
  <c r="M120" i="22" a="1"/>
  <c r="M120" i="22" s="1"/>
  <c r="L128" i="22" a="1"/>
  <c r="L128" i="22" s="1"/>
  <c r="M128" i="22" a="1"/>
  <c r="M128" i="22" s="1"/>
  <c r="L136" i="22" a="1"/>
  <c r="L136" i="22" s="1"/>
  <c r="M136" i="22" a="1"/>
  <c r="M136" i="22" s="1"/>
  <c r="L144" i="22" a="1"/>
  <c r="L144" i="22" s="1"/>
  <c r="M144" i="22" a="1"/>
  <c r="M144" i="22" s="1"/>
  <c r="L152" i="22" a="1"/>
  <c r="L152" i="22" s="1"/>
  <c r="M152" i="22" a="1"/>
  <c r="M152" i="22" s="1"/>
  <c r="L160" i="22" a="1"/>
  <c r="L160" i="22" s="1"/>
  <c r="M160" i="22" a="1"/>
  <c r="M160" i="22" s="1"/>
  <c r="L168" i="22" a="1"/>
  <c r="L168" i="22" s="1"/>
  <c r="M168" i="22" a="1"/>
  <c r="M168" i="22" s="1"/>
  <c r="L176" i="22" a="1"/>
  <c r="L176" i="22" s="1"/>
  <c r="M176" i="22" a="1"/>
  <c r="M176" i="22" s="1"/>
  <c r="L184" i="22" a="1"/>
  <c r="L184" i="22" s="1"/>
  <c r="M184" i="22" a="1"/>
  <c r="M184" i="22" s="1"/>
  <c r="L192" i="22" a="1"/>
  <c r="L192" i="22" s="1"/>
  <c r="M192" i="22" a="1"/>
  <c r="M192" i="22" s="1"/>
  <c r="L200" i="22" a="1"/>
  <c r="L200" i="22" s="1"/>
  <c r="M200" i="22" a="1"/>
  <c r="M200" i="22" s="1"/>
  <c r="L208" i="22" a="1"/>
  <c r="L208" i="22" s="1"/>
  <c r="M208" i="22" a="1"/>
  <c r="M208" i="22" s="1"/>
  <c r="L216" i="22" a="1"/>
  <c r="L216" i="22" s="1"/>
  <c r="M216" i="22" a="1"/>
  <c r="M216" i="22" s="1"/>
  <c r="L224" i="22" a="1"/>
  <c r="L224" i="22" s="1"/>
  <c r="M224" i="22" a="1"/>
  <c r="M224" i="22" s="1"/>
  <c r="L232" i="22" a="1"/>
  <c r="L232" i="22" s="1"/>
  <c r="M232" i="22" a="1"/>
  <c r="M232" i="22" s="1"/>
  <c r="L240" i="22" a="1"/>
  <c r="L240" i="22" s="1"/>
  <c r="M240" i="22" a="1"/>
  <c r="M240" i="22" s="1"/>
  <c r="L248" i="22" a="1"/>
  <c r="L248" i="22" s="1"/>
  <c r="M248" i="22" a="1"/>
  <c r="M248" i="22" s="1"/>
  <c r="L256" i="22" a="1"/>
  <c r="L256" i="22" s="1"/>
  <c r="M256" i="22" a="1"/>
  <c r="M256" i="22" s="1"/>
  <c r="L264" i="22" a="1"/>
  <c r="L264" i="22" s="1"/>
  <c r="M264" i="22" a="1"/>
  <c r="M264" i="22" s="1"/>
  <c r="L272" i="22" a="1"/>
  <c r="L272" i="22" s="1"/>
  <c r="M272" i="22" a="1"/>
  <c r="M272" i="22" s="1"/>
  <c r="L280" i="22" a="1"/>
  <c r="L280" i="22" s="1"/>
  <c r="M280" i="22" a="1"/>
  <c r="M280" i="22" s="1"/>
  <c r="L288" i="22" a="1"/>
  <c r="L288" i="22" s="1"/>
  <c r="M288" i="22" a="1"/>
  <c r="M288" i="22" s="1"/>
  <c r="L8" i="21" a="1"/>
  <c r="L8" i="21" s="1"/>
  <c r="M8" i="21" a="1"/>
  <c r="M8" i="21" s="1"/>
  <c r="L16" i="21" a="1"/>
  <c r="L16" i="21" s="1"/>
  <c r="M16" i="21" a="1"/>
  <c r="M16" i="21" s="1"/>
  <c r="L24" i="21" a="1"/>
  <c r="L24" i="21" s="1"/>
  <c r="M24" i="21" a="1"/>
  <c r="M24" i="21" s="1"/>
  <c r="L32" i="21" a="1"/>
  <c r="L32" i="21" s="1"/>
  <c r="M32" i="21" a="1"/>
  <c r="M32" i="21" s="1"/>
  <c r="L40" i="21" a="1"/>
  <c r="L40" i="21" s="1"/>
  <c r="M40" i="21" a="1"/>
  <c r="M40" i="21" s="1"/>
  <c r="L48" i="21" a="1"/>
  <c r="L48" i="21" s="1"/>
  <c r="M48" i="21" a="1"/>
  <c r="M48" i="21" s="1"/>
  <c r="L56" i="21" a="1"/>
  <c r="L56" i="21" s="1"/>
  <c r="M56" i="21" a="1"/>
  <c r="M56" i="21" s="1"/>
  <c r="L64" i="21" a="1"/>
  <c r="L64" i="21" s="1"/>
  <c r="M64" i="21" a="1"/>
  <c r="M64" i="21" s="1"/>
  <c r="L72" i="21" a="1"/>
  <c r="L72" i="21" s="1"/>
  <c r="M72" i="21" a="1"/>
  <c r="M72" i="21" s="1"/>
  <c r="L80" i="21" a="1"/>
  <c r="L80" i="21" s="1"/>
  <c r="M80" i="21" a="1"/>
  <c r="M80" i="21" s="1"/>
  <c r="L88" i="21" a="1"/>
  <c r="L88" i="21" s="1"/>
  <c r="M88" i="21" a="1"/>
  <c r="M88" i="21" s="1"/>
  <c r="L96" i="21" a="1"/>
  <c r="L96" i="21" s="1"/>
  <c r="M96" i="21" a="1"/>
  <c r="M96" i="21" s="1"/>
  <c r="L104" i="21" a="1"/>
  <c r="L104" i="21" s="1"/>
  <c r="M104" i="21" a="1"/>
  <c r="M104" i="21" s="1"/>
  <c r="L112" i="21" a="1"/>
  <c r="L112" i="21" s="1"/>
  <c r="M112" i="21" a="1"/>
  <c r="M112" i="21" s="1"/>
  <c r="L120" i="21" a="1"/>
  <c r="L120" i="21" s="1"/>
  <c r="M120" i="21" a="1"/>
  <c r="M120" i="21" s="1"/>
  <c r="L128" i="21" a="1"/>
  <c r="L128" i="21" s="1"/>
  <c r="M128" i="21" a="1"/>
  <c r="M128" i="21" s="1"/>
  <c r="L136" i="21" a="1"/>
  <c r="L136" i="21" s="1"/>
  <c r="M136" i="21" a="1"/>
  <c r="M136" i="21" s="1"/>
  <c r="L144" i="21" a="1"/>
  <c r="L144" i="21" s="1"/>
  <c r="M144" i="21" a="1"/>
  <c r="M144" i="21" s="1"/>
  <c r="L152" i="21" a="1"/>
  <c r="L152" i="21" s="1"/>
  <c r="M152" i="21" a="1"/>
  <c r="M152" i="21" s="1"/>
  <c r="L160" i="21" a="1"/>
  <c r="L160" i="21" s="1"/>
  <c r="M160" i="21" a="1"/>
  <c r="M160" i="21" s="1"/>
  <c r="L168" i="21" a="1"/>
  <c r="L168" i="21" s="1"/>
  <c r="M168" i="21" a="1"/>
  <c r="M168" i="21" s="1"/>
  <c r="L176" i="21" a="1"/>
  <c r="L176" i="21" s="1"/>
  <c r="M176" i="21" a="1"/>
  <c r="M176" i="21" s="1"/>
  <c r="L184" i="21" a="1"/>
  <c r="L184" i="21" s="1"/>
  <c r="M184" i="21" a="1"/>
  <c r="M184" i="21" s="1"/>
  <c r="L192" i="21" a="1"/>
  <c r="L192" i="21" s="1"/>
  <c r="M192" i="21" a="1"/>
  <c r="M192" i="21" s="1"/>
  <c r="L200" i="21" a="1"/>
  <c r="L200" i="21" s="1"/>
  <c r="M200" i="21" a="1"/>
  <c r="M200" i="21" s="1"/>
  <c r="L208" i="21" a="1"/>
  <c r="L208" i="21" s="1"/>
  <c r="M208" i="21" a="1"/>
  <c r="M208" i="21" s="1"/>
  <c r="L216" i="21" a="1"/>
  <c r="L216" i="21" s="1"/>
  <c r="M216" i="21" a="1"/>
  <c r="M216" i="21" s="1"/>
  <c r="L224" i="21" a="1"/>
  <c r="L224" i="21" s="1"/>
  <c r="M224" i="21" a="1"/>
  <c r="M224" i="21" s="1"/>
  <c r="L232" i="21" a="1"/>
  <c r="L232" i="21" s="1"/>
  <c r="M232" i="21" a="1"/>
  <c r="M232" i="21" s="1"/>
  <c r="L240" i="21" a="1"/>
  <c r="L240" i="21" s="1"/>
  <c r="M240" i="21" a="1"/>
  <c r="M240" i="21" s="1"/>
  <c r="L248" i="21" a="1"/>
  <c r="L248" i="21" s="1"/>
  <c r="M248" i="21" a="1"/>
  <c r="M248" i="21" s="1"/>
  <c r="L256" i="21" a="1"/>
  <c r="L256" i="21" s="1"/>
  <c r="M256" i="21" a="1"/>
  <c r="M256" i="21" s="1"/>
  <c r="L264" i="21" a="1"/>
  <c r="L264" i="21" s="1"/>
  <c r="M264" i="21" a="1"/>
  <c r="M264" i="21" s="1"/>
  <c r="L272" i="21" a="1"/>
  <c r="L272" i="21" s="1"/>
  <c r="M272" i="21" a="1"/>
  <c r="M272" i="21" s="1"/>
  <c r="L280" i="21" a="1"/>
  <c r="L280" i="21" s="1"/>
  <c r="M280" i="21" a="1"/>
  <c r="M280" i="21" s="1"/>
  <c r="L288" i="21" a="1"/>
  <c r="L288" i="21" s="1"/>
  <c r="M288" i="21" a="1"/>
  <c r="M288" i="21" s="1"/>
  <c r="Q423" i="40"/>
  <c r="T423" i="40" s="1"/>
  <c r="L166" i="20" a="1"/>
  <c r="L166" i="20" s="1"/>
  <c r="M166" i="20" a="1"/>
  <c r="M166" i="20" s="1"/>
  <c r="L182" i="20" a="1"/>
  <c r="L182" i="20" s="1"/>
  <c r="M182" i="20" a="1"/>
  <c r="M182" i="20" s="1"/>
  <c r="L198" i="20" a="1"/>
  <c r="L198" i="20" s="1"/>
  <c r="M198" i="20" a="1"/>
  <c r="M198" i="20" s="1"/>
  <c r="L214" i="20" a="1"/>
  <c r="L214" i="20" s="1"/>
  <c r="M214" i="20" a="1"/>
  <c r="M214" i="20" s="1"/>
  <c r="L230" i="20" a="1"/>
  <c r="L230" i="20" s="1"/>
  <c r="M230" i="20" a="1"/>
  <c r="M230" i="20" s="1"/>
  <c r="L238" i="20" a="1"/>
  <c r="L238" i="20" s="1"/>
  <c r="M238" i="20" a="1"/>
  <c r="M238" i="20" s="1"/>
  <c r="L254" i="20" a="1"/>
  <c r="L254" i="20" s="1"/>
  <c r="M254" i="20" a="1"/>
  <c r="M254" i="20" s="1"/>
  <c r="L278" i="20" a="1"/>
  <c r="L278" i="20" s="1"/>
  <c r="M278" i="20" a="1"/>
  <c r="M278" i="20" s="1"/>
  <c r="L22" i="22" a="1"/>
  <c r="L22" i="22" s="1"/>
  <c r="M22" i="22" a="1"/>
  <c r="M22" i="22" s="1"/>
  <c r="L38" i="22" a="1"/>
  <c r="L38" i="22" s="1"/>
  <c r="M38" i="22" a="1"/>
  <c r="M38" i="22" s="1"/>
  <c r="L62" i="22" a="1"/>
  <c r="L62" i="22" s="1"/>
  <c r="M62" i="22" a="1"/>
  <c r="M62" i="22" s="1"/>
  <c r="L78" i="22" a="1"/>
  <c r="L78" i="22" s="1"/>
  <c r="M78" i="22" a="1"/>
  <c r="M78" i="22" s="1"/>
  <c r="L102" i="22" a="1"/>
  <c r="L102" i="22" s="1"/>
  <c r="M102" i="22" a="1"/>
  <c r="M102" i="22" s="1"/>
  <c r="L126" i="22" a="1"/>
  <c r="L126" i="22" s="1"/>
  <c r="M126" i="22" a="1"/>
  <c r="M126" i="22" s="1"/>
  <c r="L142" i="22" a="1"/>
  <c r="L142" i="22" s="1"/>
  <c r="M142" i="22" a="1"/>
  <c r="M142" i="22" s="1"/>
  <c r="L166" i="22" a="1"/>
  <c r="L166" i="22" s="1"/>
  <c r="M166" i="22" a="1"/>
  <c r="M166" i="22" s="1"/>
  <c r="L182" i="22" a="1"/>
  <c r="L182" i="22" s="1"/>
  <c r="M182" i="22" a="1"/>
  <c r="M182" i="22" s="1"/>
  <c r="L206" i="22" a="1"/>
  <c r="L206" i="22" s="1"/>
  <c r="M206" i="22" a="1"/>
  <c r="M206" i="22" s="1"/>
  <c r="L222" i="22" a="1"/>
  <c r="L222" i="22" s="1"/>
  <c r="M222" i="22" a="1"/>
  <c r="M222" i="22" s="1"/>
  <c r="L246" i="22" a="1"/>
  <c r="L246" i="22" s="1"/>
  <c r="M246" i="22" a="1"/>
  <c r="M246" i="22" s="1"/>
  <c r="L270" i="22" a="1"/>
  <c r="L270" i="22" s="1"/>
  <c r="M270" i="22" a="1"/>
  <c r="M270" i="22" s="1"/>
  <c r="L22" i="21" a="1"/>
  <c r="L22" i="21" s="1"/>
  <c r="M22" i="21" a="1"/>
  <c r="M22" i="21" s="1"/>
  <c r="L46" i="21" a="1"/>
  <c r="L46" i="21" s="1"/>
  <c r="M46" i="21" a="1"/>
  <c r="M46" i="21" s="1"/>
  <c r="L70" i="21" a="1"/>
  <c r="L70" i="21" s="1"/>
  <c r="M70" i="21" a="1"/>
  <c r="M70" i="21" s="1"/>
  <c r="L86" i="21" a="1"/>
  <c r="L86" i="21" s="1"/>
  <c r="M86" i="21" a="1"/>
  <c r="M86" i="21" s="1"/>
  <c r="L110" i="21" a="1"/>
  <c r="L110" i="21" s="1"/>
  <c r="M110" i="21" a="1"/>
  <c r="M110" i="21" s="1"/>
  <c r="L134" i="21" a="1"/>
  <c r="L134" i="21" s="1"/>
  <c r="M134" i="21" a="1"/>
  <c r="M134" i="21" s="1"/>
  <c r="L150" i="21" a="1"/>
  <c r="L150" i="21" s="1"/>
  <c r="M150" i="21" a="1"/>
  <c r="M150" i="21" s="1"/>
  <c r="L166" i="21" a="1"/>
  <c r="L166" i="21" s="1"/>
  <c r="M166" i="21" a="1"/>
  <c r="M166" i="21" s="1"/>
  <c r="L190" i="21" a="1"/>
  <c r="L190" i="21" s="1"/>
  <c r="M190" i="21" a="1"/>
  <c r="M190" i="21" s="1"/>
  <c r="L206" i="21" a="1"/>
  <c r="L206" i="21" s="1"/>
  <c r="M206" i="21" a="1"/>
  <c r="M206" i="21" s="1"/>
  <c r="L222" i="21" a="1"/>
  <c r="L222" i="21" s="1"/>
  <c r="M222" i="21" a="1"/>
  <c r="M222" i="21" s="1"/>
  <c r="L238" i="21" a="1"/>
  <c r="L238" i="21" s="1"/>
  <c r="M238" i="21" a="1"/>
  <c r="M238" i="21" s="1"/>
  <c r="L254" i="21" a="1"/>
  <c r="L254" i="21" s="1"/>
  <c r="M254" i="21" a="1"/>
  <c r="M254" i="21" s="1"/>
  <c r="L270" i="21" a="1"/>
  <c r="L270" i="21" s="1"/>
  <c r="M270" i="21" a="1"/>
  <c r="M270" i="21" s="1"/>
  <c r="L286" i="21" a="1"/>
  <c r="L286" i="21" s="1"/>
  <c r="M286" i="21" a="1"/>
  <c r="M286" i="21" s="1"/>
  <c r="L293" i="13" a="1"/>
  <c r="L293" i="13" s="1"/>
  <c r="M293" i="13" a="1"/>
  <c r="M293" i="13" s="1"/>
  <c r="L277" i="13" a="1"/>
  <c r="L277" i="13" s="1"/>
  <c r="M277" i="13" a="1"/>
  <c r="M277" i="13" s="1"/>
  <c r="L261" i="13" a="1"/>
  <c r="L261" i="13" s="1"/>
  <c r="M261" i="13" a="1"/>
  <c r="M261" i="13" s="1"/>
  <c r="L245" i="13" a="1"/>
  <c r="L245" i="13" s="1"/>
  <c r="M245" i="13" a="1"/>
  <c r="M245" i="13" s="1"/>
  <c r="L221" i="13" a="1"/>
  <c r="L221" i="13" s="1"/>
  <c r="M221" i="13" a="1"/>
  <c r="M221" i="13" s="1"/>
  <c r="L205" i="13" a="1"/>
  <c r="L205" i="13" s="1"/>
  <c r="M205" i="13" a="1"/>
  <c r="M205" i="13" s="1"/>
  <c r="L181" i="13" a="1"/>
  <c r="L181" i="13" s="1"/>
  <c r="M181" i="13" a="1"/>
  <c r="M181" i="13" s="1"/>
  <c r="L165" i="13" a="1"/>
  <c r="L165" i="13" s="1"/>
  <c r="M165" i="13" a="1"/>
  <c r="M165" i="13" s="1"/>
  <c r="L149" i="13" a="1"/>
  <c r="L149" i="13" s="1"/>
  <c r="M149" i="13" a="1"/>
  <c r="M149" i="13" s="1"/>
  <c r="L133" i="13" a="1"/>
  <c r="L133" i="13" s="1"/>
  <c r="M133" i="13" a="1"/>
  <c r="M133" i="13" s="1"/>
  <c r="L23" i="20" a="1"/>
  <c r="L23" i="20" s="1"/>
  <c r="M23" i="20" a="1"/>
  <c r="M23" i="20" s="1"/>
  <c r="L39" i="20" a="1"/>
  <c r="L39" i="20" s="1"/>
  <c r="M39" i="20" a="1"/>
  <c r="M39" i="20" s="1"/>
  <c r="L55" i="20" a="1"/>
  <c r="L55" i="20" s="1"/>
  <c r="M55" i="20" a="1"/>
  <c r="M55" i="20" s="1"/>
  <c r="L71" i="20" a="1"/>
  <c r="L71" i="20" s="1"/>
  <c r="M71" i="20" a="1"/>
  <c r="M71" i="20" s="1"/>
  <c r="L95" i="20" a="1"/>
  <c r="L95" i="20" s="1"/>
  <c r="M95" i="20" a="1"/>
  <c r="M95" i="20" s="1"/>
  <c r="L111" i="20" a="1"/>
  <c r="L111" i="20" s="1"/>
  <c r="M111" i="20" a="1"/>
  <c r="M111" i="20" s="1"/>
  <c r="L135" i="20" a="1"/>
  <c r="L135" i="20" s="1"/>
  <c r="M135" i="20" a="1"/>
  <c r="M135" i="20" s="1"/>
  <c r="L159" i="20" a="1"/>
  <c r="L159" i="20" s="1"/>
  <c r="M159" i="20" a="1"/>
  <c r="M159" i="20" s="1"/>
  <c r="L175" i="20" a="1"/>
  <c r="L175" i="20" s="1"/>
  <c r="M175" i="20" a="1"/>
  <c r="M175" i="20" s="1"/>
  <c r="L199" i="20" a="1"/>
  <c r="L199" i="20" s="1"/>
  <c r="M199" i="20" a="1"/>
  <c r="M199" i="20" s="1"/>
  <c r="L223" i="20" a="1"/>
  <c r="L223" i="20" s="1"/>
  <c r="M223" i="20" a="1"/>
  <c r="M223" i="20" s="1"/>
  <c r="L239" i="20" a="1"/>
  <c r="L239" i="20" s="1"/>
  <c r="M239" i="20" a="1"/>
  <c r="M239" i="20" s="1"/>
  <c r="L263" i="20" a="1"/>
  <c r="L263" i="20" s="1"/>
  <c r="M263" i="20" a="1"/>
  <c r="M263" i="20" s="1"/>
  <c r="L279" i="20" a="1"/>
  <c r="L279" i="20" s="1"/>
  <c r="M279" i="20" a="1"/>
  <c r="M279" i="20" s="1"/>
  <c r="L23" i="22" a="1"/>
  <c r="L23" i="22" s="1"/>
  <c r="M23" i="22" a="1"/>
  <c r="M23" i="22" s="1"/>
  <c r="L39" i="22" a="1"/>
  <c r="L39" i="22" s="1"/>
  <c r="M39" i="22" a="1"/>
  <c r="M39" i="22" s="1"/>
  <c r="L55" i="22" a="1"/>
  <c r="L55" i="22" s="1"/>
  <c r="M55" i="22" a="1"/>
  <c r="M55" i="22" s="1"/>
  <c r="L63" i="22" a="1"/>
  <c r="L63" i="22" s="1"/>
  <c r="M63" i="22" a="1"/>
  <c r="M63" i="22" s="1"/>
  <c r="L79" i="22" a="1"/>
  <c r="L79" i="22" s="1"/>
  <c r="M79" i="22" a="1"/>
  <c r="M79" i="22" s="1"/>
  <c r="L95" i="22" a="1"/>
  <c r="L95" i="22" s="1"/>
  <c r="M95" i="22" a="1"/>
  <c r="M95" i="22" s="1"/>
  <c r="L103" i="22" a="1"/>
  <c r="L103" i="22" s="1"/>
  <c r="M103" i="22" a="1"/>
  <c r="M103" i="22" s="1"/>
  <c r="L119" i="22" a="1"/>
  <c r="L119" i="22" s="1"/>
  <c r="M119" i="22" a="1"/>
  <c r="M119" i="22" s="1"/>
  <c r="L135" i="22" a="1"/>
  <c r="L135" i="22" s="1"/>
  <c r="M135" i="22" a="1"/>
  <c r="M135" i="22" s="1"/>
  <c r="L143" i="22" a="1"/>
  <c r="L143" i="22" s="1"/>
  <c r="M143" i="22" a="1"/>
  <c r="M143" i="22" s="1"/>
  <c r="L159" i="22" a="1"/>
  <c r="L159" i="22" s="1"/>
  <c r="M159" i="22" a="1"/>
  <c r="M159" i="22" s="1"/>
  <c r="L167" i="22" a="1"/>
  <c r="L167" i="22" s="1"/>
  <c r="M167" i="22" a="1"/>
  <c r="M167" i="22" s="1"/>
  <c r="L292" i="13" a="1"/>
  <c r="L292" i="13" s="1"/>
  <c r="M292" i="13" a="1"/>
  <c r="M292" i="13" s="1"/>
  <c r="L276" i="13" a="1"/>
  <c r="L276" i="13" s="1"/>
  <c r="M276" i="13" a="1"/>
  <c r="M276" i="13" s="1"/>
  <c r="L260" i="13" a="1"/>
  <c r="L260" i="13" s="1"/>
  <c r="M260" i="13" a="1"/>
  <c r="M260" i="13" s="1"/>
  <c r="L244" i="13" a="1"/>
  <c r="L244" i="13" s="1"/>
  <c r="M244" i="13" a="1"/>
  <c r="M244" i="13" s="1"/>
  <c r="L228" i="13" a="1"/>
  <c r="L228" i="13" s="1"/>
  <c r="M228" i="13" a="1"/>
  <c r="M228" i="13" s="1"/>
  <c r="L212" i="13" a="1"/>
  <c r="L212" i="13" s="1"/>
  <c r="M212" i="13" a="1"/>
  <c r="M212" i="13" s="1"/>
  <c r="L196" i="13" a="1"/>
  <c r="L196" i="13" s="1"/>
  <c r="M196" i="13" a="1"/>
  <c r="M196" i="13" s="1"/>
  <c r="L291" i="13" a="1"/>
  <c r="L291" i="13" s="1"/>
  <c r="M291" i="13" a="1"/>
  <c r="M291" i="13" s="1"/>
  <c r="L283" i="13" a="1"/>
  <c r="L283" i="13" s="1"/>
  <c r="M283" i="13" a="1"/>
  <c r="M283" i="13" s="1"/>
  <c r="L275" i="13" a="1"/>
  <c r="L275" i="13" s="1"/>
  <c r="M275" i="13" a="1"/>
  <c r="M275" i="13" s="1"/>
  <c r="L267" i="13" a="1"/>
  <c r="L267" i="13" s="1"/>
  <c r="M267" i="13" a="1"/>
  <c r="M267" i="13" s="1"/>
  <c r="L259" i="13" a="1"/>
  <c r="L259" i="13" s="1"/>
  <c r="M259" i="13" a="1"/>
  <c r="M259" i="13" s="1"/>
  <c r="L251" i="13" a="1"/>
  <c r="L251" i="13" s="1"/>
  <c r="M251" i="13" a="1"/>
  <c r="M251" i="13" s="1"/>
  <c r="L243" i="13" a="1"/>
  <c r="L243" i="13" s="1"/>
  <c r="M243" i="13" a="1"/>
  <c r="M243" i="13" s="1"/>
  <c r="L235" i="13" a="1"/>
  <c r="L235" i="13" s="1"/>
  <c r="M235" i="13" a="1"/>
  <c r="M235" i="13" s="1"/>
  <c r="L227" i="13" a="1"/>
  <c r="L227" i="13" s="1"/>
  <c r="M227" i="13" a="1"/>
  <c r="M227" i="13" s="1"/>
  <c r="L219" i="13" a="1"/>
  <c r="L219" i="13" s="1"/>
  <c r="M219" i="13" a="1"/>
  <c r="M219" i="13" s="1"/>
  <c r="L211" i="13" a="1"/>
  <c r="L211" i="13" s="1"/>
  <c r="M211" i="13" a="1"/>
  <c r="M211" i="13" s="1"/>
  <c r="L203" i="13" a="1"/>
  <c r="L203" i="13" s="1"/>
  <c r="M203" i="13" a="1"/>
  <c r="M203" i="13" s="1"/>
  <c r="L195" i="13" a="1"/>
  <c r="L195" i="13" s="1"/>
  <c r="M195" i="13" a="1"/>
  <c r="M195" i="13" s="1"/>
  <c r="L187" i="13" a="1"/>
  <c r="L187" i="13" s="1"/>
  <c r="M187" i="13" a="1"/>
  <c r="M187" i="13" s="1"/>
  <c r="L179" i="13" a="1"/>
  <c r="L179" i="13" s="1"/>
  <c r="M179" i="13" a="1"/>
  <c r="M179" i="13" s="1"/>
  <c r="L171" i="13" a="1"/>
  <c r="L171" i="13" s="1"/>
  <c r="M171" i="13" a="1"/>
  <c r="M171" i="13" s="1"/>
  <c r="L163" i="13" a="1"/>
  <c r="L163" i="13" s="1"/>
  <c r="M163" i="13" a="1"/>
  <c r="M163" i="13" s="1"/>
  <c r="L155" i="13" a="1"/>
  <c r="L155" i="13" s="1"/>
  <c r="M155" i="13" a="1"/>
  <c r="M155" i="13" s="1"/>
  <c r="L147" i="13" a="1"/>
  <c r="L147" i="13" s="1"/>
  <c r="M147" i="13" a="1"/>
  <c r="M147" i="13" s="1"/>
  <c r="L139" i="13" a="1"/>
  <c r="L139" i="13" s="1"/>
  <c r="M139" i="13" a="1"/>
  <c r="M139" i="13" s="1"/>
  <c r="L131" i="13" a="1"/>
  <c r="L131" i="13" s="1"/>
  <c r="M131" i="13" a="1"/>
  <c r="M131" i="13" s="1"/>
  <c r="L123" i="13" a="1"/>
  <c r="L123" i="13" s="1"/>
  <c r="M123" i="13" a="1"/>
  <c r="M123" i="13" s="1"/>
  <c r="L115" i="13" a="1"/>
  <c r="L115" i="13" s="1"/>
  <c r="M115" i="13" a="1"/>
  <c r="M115" i="13" s="1"/>
  <c r="L107" i="13" a="1"/>
  <c r="L107" i="13" s="1"/>
  <c r="M107" i="13" a="1"/>
  <c r="M107" i="13" s="1"/>
  <c r="L99" i="13" a="1"/>
  <c r="L99" i="13" s="1"/>
  <c r="M99" i="13" a="1"/>
  <c r="M99" i="13" s="1"/>
  <c r="L91" i="13" a="1"/>
  <c r="L91" i="13" s="1"/>
  <c r="M91" i="13" a="1"/>
  <c r="M91" i="13" s="1"/>
  <c r="L83" i="13" a="1"/>
  <c r="L83" i="13" s="1"/>
  <c r="M83" i="13" a="1"/>
  <c r="M83" i="13" s="1"/>
  <c r="L75" i="13" a="1"/>
  <c r="L75" i="13" s="1"/>
  <c r="M75" i="13" a="1"/>
  <c r="M75" i="13" s="1"/>
  <c r="L67" i="13" a="1"/>
  <c r="L67" i="13" s="1"/>
  <c r="M67" i="13" a="1"/>
  <c r="M67" i="13" s="1"/>
  <c r="L59" i="13" a="1"/>
  <c r="L59" i="13" s="1"/>
  <c r="M59" i="13" a="1"/>
  <c r="M59" i="13" s="1"/>
  <c r="L51" i="13" a="1"/>
  <c r="L51" i="13" s="1"/>
  <c r="M51" i="13" a="1"/>
  <c r="M51" i="13" s="1"/>
  <c r="L43" i="13" a="1"/>
  <c r="L43" i="13" s="1"/>
  <c r="M43" i="13" a="1"/>
  <c r="M43" i="13" s="1"/>
  <c r="L35" i="13" a="1"/>
  <c r="L35" i="13" s="1"/>
  <c r="M35" i="13" a="1"/>
  <c r="M35" i="13" s="1"/>
  <c r="L27" i="13" a="1"/>
  <c r="L27" i="13" s="1"/>
  <c r="M27" i="13" a="1"/>
  <c r="M27" i="13" s="1"/>
  <c r="L19" i="13" a="1"/>
  <c r="L19" i="13" s="1"/>
  <c r="M19" i="13" a="1"/>
  <c r="M19" i="13" s="1"/>
  <c r="L11" i="13" a="1"/>
  <c r="L11" i="13" s="1"/>
  <c r="M11" i="13" a="1"/>
  <c r="M11" i="13" s="1"/>
  <c r="G383" i="40" s="1"/>
  <c r="L9" i="20" a="1"/>
  <c r="L9" i="20" s="1"/>
  <c r="M9" i="20" a="1"/>
  <c r="M9" i="20" s="1"/>
  <c r="J395" i="40" s="1"/>
  <c r="L17" i="20" a="1"/>
  <c r="L17" i="20" s="1"/>
  <c r="M17" i="20" a="1"/>
  <c r="M17" i="20" s="1"/>
  <c r="L25" i="20" a="1"/>
  <c r="L25" i="20" s="1"/>
  <c r="M25" i="20" a="1"/>
  <c r="M25" i="20" s="1"/>
  <c r="L33" i="20" a="1"/>
  <c r="L33" i="20" s="1"/>
  <c r="M33" i="20" a="1"/>
  <c r="M33" i="20" s="1"/>
  <c r="L41" i="20" a="1"/>
  <c r="L41" i="20" s="1"/>
  <c r="M41" i="20" a="1"/>
  <c r="M41" i="20" s="1"/>
  <c r="L49" i="20" a="1"/>
  <c r="L49" i="20" s="1"/>
  <c r="M49" i="20" a="1"/>
  <c r="M49" i="20" s="1"/>
  <c r="L57" i="20" a="1"/>
  <c r="L57" i="20" s="1"/>
  <c r="M57" i="20" a="1"/>
  <c r="M57" i="20" s="1"/>
  <c r="L65" i="20" a="1"/>
  <c r="L65" i="20" s="1"/>
  <c r="M65" i="20" a="1"/>
  <c r="M65" i="20" s="1"/>
  <c r="L73" i="20" a="1"/>
  <c r="L73" i="20" s="1"/>
  <c r="M73" i="20" a="1"/>
  <c r="M73" i="20" s="1"/>
  <c r="L81" i="20" a="1"/>
  <c r="L81" i="20" s="1"/>
  <c r="M81" i="20" a="1"/>
  <c r="M81" i="20" s="1"/>
  <c r="L89" i="20" a="1"/>
  <c r="L89" i="20" s="1"/>
  <c r="M89" i="20" a="1"/>
  <c r="M89" i="20" s="1"/>
  <c r="L97" i="20" a="1"/>
  <c r="L97" i="20" s="1"/>
  <c r="M97" i="20" a="1"/>
  <c r="M97" i="20" s="1"/>
  <c r="L105" i="20" a="1"/>
  <c r="L105" i="20" s="1"/>
  <c r="M105" i="20" a="1"/>
  <c r="M105" i="20" s="1"/>
  <c r="L113" i="20" a="1"/>
  <c r="L113" i="20" s="1"/>
  <c r="M113" i="20" a="1"/>
  <c r="M113" i="20" s="1"/>
  <c r="L121" i="20" a="1"/>
  <c r="L121" i="20" s="1"/>
  <c r="M121" i="20" a="1"/>
  <c r="M121" i="20" s="1"/>
  <c r="L129" i="20" a="1"/>
  <c r="L129" i="20" s="1"/>
  <c r="M129" i="20" a="1"/>
  <c r="M129" i="20" s="1"/>
  <c r="L137" i="20" a="1"/>
  <c r="L137" i="20" s="1"/>
  <c r="M137" i="20" a="1"/>
  <c r="M137" i="20" s="1"/>
  <c r="L145" i="20" a="1"/>
  <c r="L145" i="20" s="1"/>
  <c r="M145" i="20" a="1"/>
  <c r="M145" i="20" s="1"/>
  <c r="L153" i="20" a="1"/>
  <c r="L153" i="20" s="1"/>
  <c r="M153" i="20" a="1"/>
  <c r="M153" i="20" s="1"/>
  <c r="L161" i="20" a="1"/>
  <c r="L161" i="20" s="1"/>
  <c r="M161" i="20" a="1"/>
  <c r="M161" i="20" s="1"/>
  <c r="L169" i="20" a="1"/>
  <c r="L169" i="20" s="1"/>
  <c r="M169" i="20" a="1"/>
  <c r="M169" i="20" s="1"/>
  <c r="L177" i="20" a="1"/>
  <c r="L177" i="20" s="1"/>
  <c r="M177" i="20" a="1"/>
  <c r="M177" i="20" s="1"/>
  <c r="L185" i="20" a="1"/>
  <c r="L185" i="20" s="1"/>
  <c r="M185" i="20" a="1"/>
  <c r="M185" i="20" s="1"/>
  <c r="L193" i="20" a="1"/>
  <c r="L193" i="20" s="1"/>
  <c r="M193" i="20" a="1"/>
  <c r="M193" i="20" s="1"/>
  <c r="L201" i="20" a="1"/>
  <c r="L201" i="20" s="1"/>
  <c r="M201" i="20" a="1"/>
  <c r="M201" i="20" s="1"/>
  <c r="L209" i="20" a="1"/>
  <c r="L209" i="20" s="1"/>
  <c r="M209" i="20" a="1"/>
  <c r="M209" i="20" s="1"/>
  <c r="L217" i="20" a="1"/>
  <c r="L217" i="20" s="1"/>
  <c r="M217" i="20" a="1"/>
  <c r="M217" i="20" s="1"/>
  <c r="L225" i="20" a="1"/>
  <c r="L225" i="20" s="1"/>
  <c r="M225" i="20" a="1"/>
  <c r="M225" i="20" s="1"/>
  <c r="L233" i="20" a="1"/>
  <c r="L233" i="20" s="1"/>
  <c r="M233" i="20" a="1"/>
  <c r="M233" i="20" s="1"/>
  <c r="L241" i="20" a="1"/>
  <c r="L241" i="20" s="1"/>
  <c r="M241" i="20" a="1"/>
  <c r="M241" i="20" s="1"/>
  <c r="L249" i="20" a="1"/>
  <c r="L249" i="20" s="1"/>
  <c r="M249" i="20" a="1"/>
  <c r="M249" i="20" s="1"/>
  <c r="L257" i="20" a="1"/>
  <c r="L257" i="20" s="1"/>
  <c r="M257" i="20" a="1"/>
  <c r="M257" i="20" s="1"/>
  <c r="L265" i="20" a="1"/>
  <c r="L265" i="20" s="1"/>
  <c r="M265" i="20" a="1"/>
  <c r="M265" i="20" s="1"/>
  <c r="L273" i="20" a="1"/>
  <c r="L273" i="20" s="1"/>
  <c r="M273" i="20" a="1"/>
  <c r="M273" i="20" s="1"/>
  <c r="L281" i="20" a="1"/>
  <c r="L281" i="20" s="1"/>
  <c r="M281" i="20" a="1"/>
  <c r="M281" i="20" s="1"/>
  <c r="L289" i="20" a="1"/>
  <c r="L289" i="20" s="1"/>
  <c r="M289" i="20" a="1"/>
  <c r="M289" i="20" s="1"/>
  <c r="L9" i="22" a="1"/>
  <c r="L9" i="22" s="1"/>
  <c r="M9" i="22" a="1"/>
  <c r="M9" i="22" s="1"/>
  <c r="M395" i="40" s="1"/>
  <c r="L17" i="22" a="1"/>
  <c r="L17" i="22" s="1"/>
  <c r="M17" i="22" a="1"/>
  <c r="M17" i="22" s="1"/>
  <c r="L25" i="22" a="1"/>
  <c r="L25" i="22" s="1"/>
  <c r="M25" i="22" a="1"/>
  <c r="M25" i="22" s="1"/>
  <c r="L33" i="22" a="1"/>
  <c r="L33" i="22" s="1"/>
  <c r="M33" i="22" a="1"/>
  <c r="M33" i="22" s="1"/>
  <c r="L41" i="22" a="1"/>
  <c r="L41" i="22" s="1"/>
  <c r="M41" i="22" a="1"/>
  <c r="M41" i="22" s="1"/>
  <c r="L49" i="22" a="1"/>
  <c r="L49" i="22" s="1"/>
  <c r="M49" i="22" a="1"/>
  <c r="M49" i="22" s="1"/>
  <c r="L57" i="22" a="1"/>
  <c r="L57" i="22" s="1"/>
  <c r="M57" i="22" a="1"/>
  <c r="M57" i="22" s="1"/>
  <c r="L65" i="22" a="1"/>
  <c r="L65" i="22" s="1"/>
  <c r="M65" i="22" a="1"/>
  <c r="M65" i="22" s="1"/>
  <c r="L73" i="22" a="1"/>
  <c r="L73" i="22" s="1"/>
  <c r="M73" i="22" a="1"/>
  <c r="M73" i="22" s="1"/>
  <c r="L81" i="22" a="1"/>
  <c r="L81" i="22" s="1"/>
  <c r="M81" i="22" a="1"/>
  <c r="M81" i="22" s="1"/>
  <c r="L89" i="22" a="1"/>
  <c r="L89" i="22" s="1"/>
  <c r="M89" i="22" a="1"/>
  <c r="M89" i="22" s="1"/>
  <c r="L97" i="22" a="1"/>
  <c r="L97" i="22" s="1"/>
  <c r="M97" i="22" a="1"/>
  <c r="M97" i="22" s="1"/>
  <c r="L105" i="22" a="1"/>
  <c r="L105" i="22" s="1"/>
  <c r="M105" i="22" a="1"/>
  <c r="M105" i="22" s="1"/>
  <c r="L113" i="22" a="1"/>
  <c r="L113" i="22" s="1"/>
  <c r="M113" i="22" a="1"/>
  <c r="M113" i="22" s="1"/>
  <c r="L121" i="22" a="1"/>
  <c r="L121" i="22" s="1"/>
  <c r="M121" i="22" a="1"/>
  <c r="M121" i="22" s="1"/>
  <c r="L129" i="22" a="1"/>
  <c r="L129" i="22" s="1"/>
  <c r="M129" i="22" a="1"/>
  <c r="M129" i="22" s="1"/>
  <c r="L137" i="22" a="1"/>
  <c r="L137" i="22" s="1"/>
  <c r="M137" i="22" a="1"/>
  <c r="M137" i="22" s="1"/>
  <c r="L145" i="22" a="1"/>
  <c r="L145" i="22" s="1"/>
  <c r="M145" i="22" a="1"/>
  <c r="M145" i="22" s="1"/>
  <c r="L153" i="22" a="1"/>
  <c r="L153" i="22" s="1"/>
  <c r="M153" i="22" a="1"/>
  <c r="M153" i="22" s="1"/>
  <c r="L161" i="22" a="1"/>
  <c r="L161" i="22" s="1"/>
  <c r="M161" i="22" a="1"/>
  <c r="M161" i="22" s="1"/>
  <c r="L169" i="22" a="1"/>
  <c r="L169" i="22" s="1"/>
  <c r="M169" i="22" a="1"/>
  <c r="M169" i="22" s="1"/>
  <c r="L177" i="22" a="1"/>
  <c r="L177" i="22" s="1"/>
  <c r="M177" i="22" a="1"/>
  <c r="M177" i="22" s="1"/>
  <c r="L185" i="22" a="1"/>
  <c r="L185" i="22" s="1"/>
  <c r="M185" i="22" a="1"/>
  <c r="M185" i="22" s="1"/>
  <c r="L193" i="22" a="1"/>
  <c r="L193" i="22" s="1"/>
  <c r="M193" i="22" a="1"/>
  <c r="M193" i="22" s="1"/>
  <c r="L201" i="22" a="1"/>
  <c r="L201" i="22" s="1"/>
  <c r="M201" i="22" a="1"/>
  <c r="M201" i="22" s="1"/>
  <c r="L209" i="22" a="1"/>
  <c r="L209" i="22" s="1"/>
  <c r="M209" i="22" a="1"/>
  <c r="M209" i="22" s="1"/>
  <c r="L217" i="22" a="1"/>
  <c r="L217" i="22" s="1"/>
  <c r="M217" i="22" a="1"/>
  <c r="M217" i="22" s="1"/>
  <c r="L225" i="22" a="1"/>
  <c r="L225" i="22" s="1"/>
  <c r="M225" i="22" a="1"/>
  <c r="M225" i="22" s="1"/>
  <c r="L233" i="22" a="1"/>
  <c r="L233" i="22" s="1"/>
  <c r="M233" i="22" a="1"/>
  <c r="M233" i="22" s="1"/>
  <c r="L241" i="22" a="1"/>
  <c r="L241" i="22" s="1"/>
  <c r="M241" i="22" a="1"/>
  <c r="M241" i="22" s="1"/>
  <c r="L249" i="22" a="1"/>
  <c r="L249" i="22" s="1"/>
  <c r="M249" i="22" a="1"/>
  <c r="M249" i="22" s="1"/>
  <c r="L257" i="22" a="1"/>
  <c r="L257" i="22" s="1"/>
  <c r="M257" i="22" a="1"/>
  <c r="M257" i="22" s="1"/>
  <c r="L265" i="22" a="1"/>
  <c r="L265" i="22" s="1"/>
  <c r="M265" i="22" a="1"/>
  <c r="M265" i="22" s="1"/>
  <c r="L273" i="22" a="1"/>
  <c r="L273" i="22" s="1"/>
  <c r="M273" i="22" a="1"/>
  <c r="M273" i="22" s="1"/>
  <c r="L281" i="22" a="1"/>
  <c r="L281" i="22" s="1"/>
  <c r="M281" i="22" a="1"/>
  <c r="M281" i="22" s="1"/>
  <c r="L289" i="22" a="1"/>
  <c r="L289" i="22" s="1"/>
  <c r="M289" i="22" a="1"/>
  <c r="M289" i="22" s="1"/>
  <c r="L9" i="21" a="1"/>
  <c r="L9" i="21" s="1"/>
  <c r="M9" i="21" a="1"/>
  <c r="M9" i="21" s="1"/>
  <c r="L17" i="21" a="1"/>
  <c r="L17" i="21" s="1"/>
  <c r="M17" i="21" a="1"/>
  <c r="M17" i="21" s="1"/>
  <c r="L25" i="21" a="1"/>
  <c r="L25" i="21" s="1"/>
  <c r="M25" i="21" a="1"/>
  <c r="M25" i="21" s="1"/>
  <c r="L33" i="21" a="1"/>
  <c r="L33" i="21" s="1"/>
  <c r="M33" i="21" a="1"/>
  <c r="M33" i="21" s="1"/>
  <c r="L41" i="21" a="1"/>
  <c r="L41" i="21" s="1"/>
  <c r="M41" i="21" a="1"/>
  <c r="M41" i="21" s="1"/>
  <c r="L49" i="21" a="1"/>
  <c r="L49" i="21" s="1"/>
  <c r="M49" i="21" a="1"/>
  <c r="M49" i="21" s="1"/>
  <c r="L57" i="21" a="1"/>
  <c r="L57" i="21" s="1"/>
  <c r="M57" i="21" a="1"/>
  <c r="M57" i="21" s="1"/>
  <c r="L65" i="21" a="1"/>
  <c r="L65" i="21" s="1"/>
  <c r="M65" i="21" a="1"/>
  <c r="M65" i="21" s="1"/>
  <c r="L73" i="21" a="1"/>
  <c r="L73" i="21" s="1"/>
  <c r="M73" i="21" a="1"/>
  <c r="M73" i="21" s="1"/>
  <c r="L81" i="21" a="1"/>
  <c r="L81" i="21" s="1"/>
  <c r="M81" i="21" a="1"/>
  <c r="M81" i="21" s="1"/>
  <c r="L89" i="21" a="1"/>
  <c r="L89" i="21" s="1"/>
  <c r="M89" i="21" a="1"/>
  <c r="M89" i="21" s="1"/>
  <c r="L97" i="21" a="1"/>
  <c r="L97" i="21" s="1"/>
  <c r="M97" i="21" a="1"/>
  <c r="M97" i="21" s="1"/>
  <c r="L105" i="21" a="1"/>
  <c r="L105" i="21" s="1"/>
  <c r="M105" i="21" a="1"/>
  <c r="M105" i="21" s="1"/>
  <c r="L113" i="21" a="1"/>
  <c r="L113" i="21" s="1"/>
  <c r="M113" i="21" a="1"/>
  <c r="M113" i="21" s="1"/>
  <c r="L121" i="21" a="1"/>
  <c r="L121" i="21" s="1"/>
  <c r="M121" i="21" a="1"/>
  <c r="M121" i="21" s="1"/>
  <c r="L129" i="21" a="1"/>
  <c r="L129" i="21" s="1"/>
  <c r="M129" i="21" a="1"/>
  <c r="M129" i="21" s="1"/>
  <c r="L137" i="21" a="1"/>
  <c r="L137" i="21" s="1"/>
  <c r="M137" i="21" a="1"/>
  <c r="M137" i="21" s="1"/>
  <c r="L145" i="21" a="1"/>
  <c r="L145" i="21" s="1"/>
  <c r="M145" i="21" a="1"/>
  <c r="M145" i="21" s="1"/>
  <c r="L153" i="21" a="1"/>
  <c r="L153" i="21" s="1"/>
  <c r="M153" i="21" a="1"/>
  <c r="M153" i="21" s="1"/>
  <c r="L161" i="21" a="1"/>
  <c r="L161" i="21" s="1"/>
  <c r="M161" i="21" a="1"/>
  <c r="M161" i="21" s="1"/>
  <c r="L169" i="21" a="1"/>
  <c r="L169" i="21" s="1"/>
  <c r="M169" i="21" a="1"/>
  <c r="M169" i="21" s="1"/>
  <c r="L177" i="21" a="1"/>
  <c r="L177" i="21" s="1"/>
  <c r="M177" i="21" a="1"/>
  <c r="M177" i="21" s="1"/>
  <c r="L185" i="21" a="1"/>
  <c r="L185" i="21" s="1"/>
  <c r="M185" i="21" a="1"/>
  <c r="M185" i="21" s="1"/>
  <c r="L193" i="21" a="1"/>
  <c r="L193" i="21" s="1"/>
  <c r="M193" i="21" a="1"/>
  <c r="M193" i="21" s="1"/>
  <c r="L201" i="21" a="1"/>
  <c r="L201" i="21" s="1"/>
  <c r="M201" i="21" a="1"/>
  <c r="M201" i="21" s="1"/>
  <c r="L209" i="21" a="1"/>
  <c r="L209" i="21" s="1"/>
  <c r="M209" i="21" a="1"/>
  <c r="M209" i="21" s="1"/>
  <c r="L217" i="21" a="1"/>
  <c r="L217" i="21" s="1"/>
  <c r="M217" i="21" a="1"/>
  <c r="M217" i="21" s="1"/>
  <c r="L225" i="21" a="1"/>
  <c r="L225" i="21" s="1"/>
  <c r="M225" i="21" a="1"/>
  <c r="M225" i="21" s="1"/>
  <c r="L233" i="21" a="1"/>
  <c r="L233" i="21" s="1"/>
  <c r="M233" i="21" a="1"/>
  <c r="M233" i="21" s="1"/>
  <c r="L241" i="21" a="1"/>
  <c r="L241" i="21" s="1"/>
  <c r="M241" i="21" a="1"/>
  <c r="M241" i="21" s="1"/>
  <c r="L249" i="21" a="1"/>
  <c r="L249" i="21" s="1"/>
  <c r="M249" i="21" a="1"/>
  <c r="M249" i="21" s="1"/>
  <c r="L257" i="21" a="1"/>
  <c r="L257" i="21" s="1"/>
  <c r="M257" i="21" a="1"/>
  <c r="M257" i="21" s="1"/>
  <c r="L265" i="21" a="1"/>
  <c r="L265" i="21" s="1"/>
  <c r="M265" i="21" a="1"/>
  <c r="M265" i="21" s="1"/>
  <c r="L273" i="21" a="1"/>
  <c r="L273" i="21" s="1"/>
  <c r="M273" i="21" a="1"/>
  <c r="M273" i="21" s="1"/>
  <c r="L281" i="21" a="1"/>
  <c r="L281" i="21" s="1"/>
  <c r="M281" i="21" a="1"/>
  <c r="M281" i="21" s="1"/>
  <c r="L289" i="21" a="1"/>
  <c r="L289" i="21" s="1"/>
  <c r="M289" i="21" a="1"/>
  <c r="M289" i="21" s="1"/>
  <c r="P378" i="40"/>
  <c r="Q477" i="40"/>
  <c r="T477" i="40" s="1"/>
  <c r="Q523" i="40"/>
  <c r="T523" i="40" s="1"/>
  <c r="Q527" i="40"/>
  <c r="R527" i="40" s="1"/>
  <c r="Q622" i="40"/>
  <c r="R622" i="40" s="1"/>
  <c r="Q599" i="40"/>
  <c r="T599" i="40" s="1"/>
  <c r="L250" i="13" a="1"/>
  <c r="L250" i="13" s="1"/>
  <c r="M250" i="13" a="1"/>
  <c r="M250" i="13" s="1"/>
  <c r="L226" i="13" a="1"/>
  <c r="L226" i="13" s="1"/>
  <c r="M226" i="13" a="1"/>
  <c r="M226" i="13" s="1"/>
  <c r="L202" i="13" a="1"/>
  <c r="L202" i="13" s="1"/>
  <c r="M202" i="13" a="1"/>
  <c r="M202" i="13" s="1"/>
  <c r="L178" i="13" a="1"/>
  <c r="L178" i="13" s="1"/>
  <c r="M178" i="13" a="1"/>
  <c r="M178" i="13" s="1"/>
  <c r="L162" i="13" a="1"/>
  <c r="L162" i="13" s="1"/>
  <c r="M162" i="13" a="1"/>
  <c r="M162" i="13" s="1"/>
  <c r="L146" i="13" a="1"/>
  <c r="L146" i="13" s="1"/>
  <c r="M146" i="13" a="1"/>
  <c r="M146" i="13" s="1"/>
  <c r="L130" i="13" a="1"/>
  <c r="L130" i="13" s="1"/>
  <c r="M130" i="13" a="1"/>
  <c r="M130" i="13" s="1"/>
  <c r="L114" i="13" a="1"/>
  <c r="L114" i="13" s="1"/>
  <c r="M114" i="13" a="1"/>
  <c r="M114" i="13" s="1"/>
  <c r="L90" i="13" a="1"/>
  <c r="L90" i="13" s="1"/>
  <c r="M90" i="13" a="1"/>
  <c r="M90" i="13" s="1"/>
  <c r="L66" i="13" a="1"/>
  <c r="L66" i="13" s="1"/>
  <c r="M66" i="13" a="1"/>
  <c r="M66" i="13" s="1"/>
  <c r="L34" i="13" a="1"/>
  <c r="L34" i="13" s="1"/>
  <c r="M34" i="13" a="1"/>
  <c r="M34" i="13" s="1"/>
  <c r="L18" i="13" a="1"/>
  <c r="L18" i="13" s="1"/>
  <c r="M18" i="13" a="1"/>
  <c r="M18" i="13" s="1"/>
  <c r="L18" i="20" a="1"/>
  <c r="L18" i="20" s="1"/>
  <c r="M18" i="20" a="1"/>
  <c r="M18" i="20" s="1"/>
  <c r="L26" i="20" a="1"/>
  <c r="L26" i="20" s="1"/>
  <c r="M26" i="20" a="1"/>
  <c r="M26" i="20" s="1"/>
  <c r="L34" i="20" a="1"/>
  <c r="L34" i="20" s="1"/>
  <c r="M34" i="20" a="1"/>
  <c r="M34" i="20" s="1"/>
  <c r="L42" i="20" a="1"/>
  <c r="L42" i="20" s="1"/>
  <c r="M42" i="20" a="1"/>
  <c r="M42" i="20" s="1"/>
  <c r="L50" i="20" a="1"/>
  <c r="L50" i="20" s="1"/>
  <c r="M50" i="20" a="1"/>
  <c r="M50" i="20" s="1"/>
  <c r="L58" i="20" a="1"/>
  <c r="L58" i="20" s="1"/>
  <c r="M58" i="20" a="1"/>
  <c r="M58" i="20" s="1"/>
  <c r="L66" i="20" a="1"/>
  <c r="L66" i="20" s="1"/>
  <c r="M66" i="20" a="1"/>
  <c r="M66" i="20" s="1"/>
  <c r="L74" i="20" a="1"/>
  <c r="L74" i="20" s="1"/>
  <c r="M74" i="20" a="1"/>
  <c r="M74" i="20" s="1"/>
  <c r="L82" i="20" a="1"/>
  <c r="L82" i="20" s="1"/>
  <c r="M82" i="20" a="1"/>
  <c r="M82" i="20" s="1"/>
  <c r="L90" i="20" a="1"/>
  <c r="L90" i="20" s="1"/>
  <c r="M90" i="20" a="1"/>
  <c r="M90" i="20" s="1"/>
  <c r="L98" i="20" a="1"/>
  <c r="L98" i="20" s="1"/>
  <c r="M98" i="20" a="1"/>
  <c r="M98" i="20" s="1"/>
  <c r="L106" i="20" a="1"/>
  <c r="L106" i="20" s="1"/>
  <c r="M106" i="20" a="1"/>
  <c r="M106" i="20" s="1"/>
  <c r="L114" i="20" a="1"/>
  <c r="L114" i="20" s="1"/>
  <c r="M114" i="20" a="1"/>
  <c r="M114" i="20" s="1"/>
  <c r="L122" i="20" a="1"/>
  <c r="L122" i="20" s="1"/>
  <c r="M122" i="20" a="1"/>
  <c r="M122" i="20" s="1"/>
  <c r="L130" i="20" a="1"/>
  <c r="L130" i="20" s="1"/>
  <c r="M130" i="20" a="1"/>
  <c r="M130" i="20" s="1"/>
  <c r="L138" i="20" a="1"/>
  <c r="L138" i="20" s="1"/>
  <c r="M138" i="20" a="1"/>
  <c r="M138" i="20" s="1"/>
  <c r="L146" i="20" a="1"/>
  <c r="L146" i="20" s="1"/>
  <c r="M146" i="20" a="1"/>
  <c r="M146" i="20" s="1"/>
  <c r="L154" i="20" a="1"/>
  <c r="L154" i="20" s="1"/>
  <c r="M154" i="20" a="1"/>
  <c r="M154" i="20" s="1"/>
  <c r="L162" i="20" a="1"/>
  <c r="L162" i="20" s="1"/>
  <c r="M162" i="20" a="1"/>
  <c r="M162" i="20" s="1"/>
  <c r="L170" i="20" a="1"/>
  <c r="L170" i="20" s="1"/>
  <c r="M170" i="20" a="1"/>
  <c r="M170" i="20" s="1"/>
  <c r="L178" i="20" a="1"/>
  <c r="L178" i="20" s="1"/>
  <c r="M178" i="20" a="1"/>
  <c r="M178" i="20" s="1"/>
  <c r="L186" i="20" a="1"/>
  <c r="L186" i="20" s="1"/>
  <c r="M186" i="20" a="1"/>
  <c r="M186" i="20" s="1"/>
  <c r="L194" i="20" a="1"/>
  <c r="L194" i="20" s="1"/>
  <c r="M194" i="20" a="1"/>
  <c r="M194" i="20" s="1"/>
  <c r="L202" i="20" a="1"/>
  <c r="L202" i="20" s="1"/>
  <c r="M202" i="20" a="1"/>
  <c r="M202" i="20" s="1"/>
  <c r="L210" i="20" a="1"/>
  <c r="L210" i="20" s="1"/>
  <c r="M210" i="20" a="1"/>
  <c r="M210" i="20" s="1"/>
  <c r="L218" i="20" a="1"/>
  <c r="L218" i="20" s="1"/>
  <c r="M218" i="20" a="1"/>
  <c r="M218" i="20" s="1"/>
  <c r="L226" i="20" a="1"/>
  <c r="L226" i="20" s="1"/>
  <c r="M226" i="20" a="1"/>
  <c r="M226" i="20" s="1"/>
  <c r="L234" i="20" a="1"/>
  <c r="L234" i="20" s="1"/>
  <c r="M234" i="20" a="1"/>
  <c r="M234" i="20" s="1"/>
  <c r="L242" i="20" a="1"/>
  <c r="L242" i="20" s="1"/>
  <c r="M242" i="20" a="1"/>
  <c r="M242" i="20" s="1"/>
  <c r="L250" i="20" a="1"/>
  <c r="L250" i="20" s="1"/>
  <c r="M250" i="20" a="1"/>
  <c r="M250" i="20" s="1"/>
  <c r="L258" i="20" a="1"/>
  <c r="L258" i="20" s="1"/>
  <c r="M258" i="20" a="1"/>
  <c r="M258" i="20" s="1"/>
  <c r="L266" i="20" a="1"/>
  <c r="L266" i="20" s="1"/>
  <c r="M266" i="20" a="1"/>
  <c r="M266" i="20" s="1"/>
  <c r="L274" i="20" a="1"/>
  <c r="L274" i="20" s="1"/>
  <c r="M274" i="20" a="1"/>
  <c r="M274" i="20" s="1"/>
  <c r="L282" i="20" a="1"/>
  <c r="L282" i="20" s="1"/>
  <c r="M282" i="20" a="1"/>
  <c r="M282" i="20" s="1"/>
  <c r="L290" i="20" a="1"/>
  <c r="L290" i="20" s="1"/>
  <c r="M290" i="20" a="1"/>
  <c r="M290" i="20" s="1"/>
  <c r="L10" i="22" a="1"/>
  <c r="L10" i="22" s="1"/>
  <c r="M10" i="22" a="1"/>
  <c r="M10" i="22" s="1"/>
  <c r="L18" i="22" a="1"/>
  <c r="L18" i="22" s="1"/>
  <c r="M18" i="22" a="1"/>
  <c r="M18" i="22" s="1"/>
  <c r="L26" i="22" a="1"/>
  <c r="L26" i="22" s="1"/>
  <c r="M26" i="22" a="1"/>
  <c r="M26" i="22" s="1"/>
  <c r="L34" i="22" a="1"/>
  <c r="L34" i="22" s="1"/>
  <c r="M34" i="22" a="1"/>
  <c r="M34" i="22" s="1"/>
  <c r="L42" i="22" a="1"/>
  <c r="L42" i="22" s="1"/>
  <c r="M42" i="22" a="1"/>
  <c r="M42" i="22" s="1"/>
  <c r="L50" i="22" a="1"/>
  <c r="L50" i="22" s="1"/>
  <c r="M50" i="22" a="1"/>
  <c r="M50" i="22" s="1"/>
  <c r="L58" i="22" a="1"/>
  <c r="L58" i="22" s="1"/>
  <c r="M58" i="22" a="1"/>
  <c r="M58" i="22" s="1"/>
  <c r="L66" i="22" a="1"/>
  <c r="L66" i="22" s="1"/>
  <c r="M66" i="22" a="1"/>
  <c r="M66" i="22" s="1"/>
  <c r="L74" i="22" a="1"/>
  <c r="L74" i="22" s="1"/>
  <c r="M74" i="22" a="1"/>
  <c r="M74" i="22" s="1"/>
  <c r="L82" i="22" a="1"/>
  <c r="L82" i="22" s="1"/>
  <c r="M82" i="22" a="1"/>
  <c r="M82" i="22" s="1"/>
  <c r="L90" i="22" a="1"/>
  <c r="L90" i="22" s="1"/>
  <c r="M90" i="22" a="1"/>
  <c r="M90" i="22" s="1"/>
  <c r="L98" i="22" a="1"/>
  <c r="L98" i="22" s="1"/>
  <c r="M98" i="22" a="1"/>
  <c r="M98" i="22" s="1"/>
  <c r="L106" i="22" a="1"/>
  <c r="L106" i="22" s="1"/>
  <c r="M106" i="22" a="1"/>
  <c r="M106" i="22" s="1"/>
  <c r="L114" i="22" a="1"/>
  <c r="L114" i="22" s="1"/>
  <c r="M114" i="22" a="1"/>
  <c r="M114" i="22" s="1"/>
  <c r="L122" i="22" a="1"/>
  <c r="L122" i="22" s="1"/>
  <c r="M122" i="22" a="1"/>
  <c r="M122" i="22" s="1"/>
  <c r="L130" i="22" a="1"/>
  <c r="L130" i="22" s="1"/>
  <c r="M130" i="22" a="1"/>
  <c r="M130" i="22" s="1"/>
  <c r="L138" i="22" a="1"/>
  <c r="L138" i="22" s="1"/>
  <c r="M138" i="22" a="1"/>
  <c r="M138" i="22" s="1"/>
  <c r="L146" i="22" a="1"/>
  <c r="L146" i="22" s="1"/>
  <c r="M146" i="22" a="1"/>
  <c r="M146" i="22" s="1"/>
  <c r="L154" i="22" a="1"/>
  <c r="L154" i="22" s="1"/>
  <c r="M154" i="22" a="1"/>
  <c r="M154" i="22" s="1"/>
  <c r="L162" i="22" a="1"/>
  <c r="L162" i="22" s="1"/>
  <c r="M162" i="22" a="1"/>
  <c r="M162" i="22" s="1"/>
  <c r="L170" i="22" a="1"/>
  <c r="L170" i="22" s="1"/>
  <c r="M170" i="22" a="1"/>
  <c r="M170" i="22" s="1"/>
  <c r="L178" i="22" a="1"/>
  <c r="L178" i="22" s="1"/>
  <c r="M178" i="22" a="1"/>
  <c r="M178" i="22" s="1"/>
  <c r="L186" i="22" a="1"/>
  <c r="L186" i="22" s="1"/>
  <c r="M186" i="22" a="1"/>
  <c r="M186" i="22" s="1"/>
  <c r="L194" i="22" a="1"/>
  <c r="L194" i="22" s="1"/>
  <c r="M194" i="22" a="1"/>
  <c r="M194" i="22" s="1"/>
  <c r="L202" i="22" a="1"/>
  <c r="L202" i="22" s="1"/>
  <c r="M202" i="22" a="1"/>
  <c r="M202" i="22" s="1"/>
  <c r="L210" i="22" a="1"/>
  <c r="L210" i="22" s="1"/>
  <c r="M210" i="22" a="1"/>
  <c r="M210" i="22" s="1"/>
  <c r="L218" i="22" a="1"/>
  <c r="L218" i="22" s="1"/>
  <c r="M218" i="22" a="1"/>
  <c r="M218" i="22" s="1"/>
  <c r="L226" i="22" a="1"/>
  <c r="L226" i="22" s="1"/>
  <c r="M226" i="22" a="1"/>
  <c r="M226" i="22" s="1"/>
  <c r="L234" i="22" a="1"/>
  <c r="L234" i="22" s="1"/>
  <c r="M234" i="22" a="1"/>
  <c r="M234" i="22" s="1"/>
  <c r="L242" i="22" a="1"/>
  <c r="L242" i="22" s="1"/>
  <c r="M242" i="22" a="1"/>
  <c r="M242" i="22" s="1"/>
  <c r="L250" i="22" a="1"/>
  <c r="L250" i="22" s="1"/>
  <c r="M250" i="22" a="1"/>
  <c r="M250" i="22" s="1"/>
  <c r="L258" i="22" a="1"/>
  <c r="L258" i="22" s="1"/>
  <c r="M258" i="22" a="1"/>
  <c r="M258" i="22" s="1"/>
  <c r="L266" i="22" a="1"/>
  <c r="L266" i="22" s="1"/>
  <c r="M266" i="22" a="1"/>
  <c r="M266" i="22" s="1"/>
  <c r="L274" i="22" a="1"/>
  <c r="L274" i="22" s="1"/>
  <c r="M274" i="22" a="1"/>
  <c r="M274" i="22" s="1"/>
  <c r="L282" i="22" a="1"/>
  <c r="L282" i="22" s="1"/>
  <c r="M282" i="22" a="1"/>
  <c r="M282" i="22" s="1"/>
  <c r="L290" i="22" a="1"/>
  <c r="L290" i="22" s="1"/>
  <c r="M290" i="22" a="1"/>
  <c r="M290" i="22" s="1"/>
  <c r="L10" i="21" a="1"/>
  <c r="L10" i="21" s="1"/>
  <c r="M10" i="21" a="1"/>
  <c r="M10" i="21" s="1"/>
  <c r="L18" i="21" a="1"/>
  <c r="L18" i="21" s="1"/>
  <c r="M18" i="21" a="1"/>
  <c r="M18" i="21" s="1"/>
  <c r="L26" i="21" a="1"/>
  <c r="L26" i="21" s="1"/>
  <c r="M26" i="21" a="1"/>
  <c r="M26" i="21" s="1"/>
  <c r="L34" i="21" a="1"/>
  <c r="L34" i="21" s="1"/>
  <c r="M34" i="21" a="1"/>
  <c r="M34" i="21" s="1"/>
  <c r="L42" i="21" a="1"/>
  <c r="L42" i="21" s="1"/>
  <c r="M42" i="21" a="1"/>
  <c r="M42" i="21" s="1"/>
  <c r="L50" i="21" a="1"/>
  <c r="L50" i="21" s="1"/>
  <c r="M50" i="21" a="1"/>
  <c r="M50" i="21" s="1"/>
  <c r="L58" i="21" a="1"/>
  <c r="L58" i="21" s="1"/>
  <c r="M58" i="21" a="1"/>
  <c r="M58" i="21" s="1"/>
  <c r="L66" i="21" a="1"/>
  <c r="L66" i="21" s="1"/>
  <c r="M66" i="21" a="1"/>
  <c r="M66" i="21" s="1"/>
  <c r="L74" i="21" a="1"/>
  <c r="L74" i="21" s="1"/>
  <c r="M74" i="21" a="1"/>
  <c r="M74" i="21" s="1"/>
  <c r="L82" i="21" a="1"/>
  <c r="L82" i="21" s="1"/>
  <c r="M82" i="21" a="1"/>
  <c r="M82" i="21" s="1"/>
  <c r="L90" i="21" a="1"/>
  <c r="L90" i="21" s="1"/>
  <c r="M90" i="21" a="1"/>
  <c r="M90" i="21" s="1"/>
  <c r="L98" i="21" a="1"/>
  <c r="L98" i="21" s="1"/>
  <c r="M98" i="21" a="1"/>
  <c r="M98" i="21" s="1"/>
  <c r="L106" i="21" a="1"/>
  <c r="L106" i="21" s="1"/>
  <c r="M106" i="21" a="1"/>
  <c r="M106" i="21" s="1"/>
  <c r="L114" i="21" a="1"/>
  <c r="L114" i="21" s="1"/>
  <c r="M114" i="21" a="1"/>
  <c r="M114" i="21" s="1"/>
  <c r="L122" i="21" a="1"/>
  <c r="L122" i="21" s="1"/>
  <c r="M122" i="21" a="1"/>
  <c r="M122" i="21" s="1"/>
  <c r="L130" i="21" a="1"/>
  <c r="L130" i="21" s="1"/>
  <c r="M130" i="21" a="1"/>
  <c r="M130" i="21" s="1"/>
  <c r="L138" i="21" a="1"/>
  <c r="L138" i="21" s="1"/>
  <c r="M138" i="21" a="1"/>
  <c r="M138" i="21" s="1"/>
  <c r="L146" i="21" a="1"/>
  <c r="L146" i="21" s="1"/>
  <c r="M146" i="21" a="1"/>
  <c r="M146" i="21" s="1"/>
  <c r="L154" i="21" a="1"/>
  <c r="L154" i="21" s="1"/>
  <c r="M154" i="21" a="1"/>
  <c r="M154" i="21" s="1"/>
  <c r="L162" i="21" a="1"/>
  <c r="L162" i="21" s="1"/>
  <c r="M162" i="21" a="1"/>
  <c r="M162" i="21" s="1"/>
  <c r="L170" i="21" a="1"/>
  <c r="L170" i="21" s="1"/>
  <c r="M170" i="21" a="1"/>
  <c r="M170" i="21" s="1"/>
  <c r="L178" i="21" a="1"/>
  <c r="L178" i="21" s="1"/>
  <c r="M178" i="21" a="1"/>
  <c r="M178" i="21" s="1"/>
  <c r="L186" i="21" a="1"/>
  <c r="L186" i="21" s="1"/>
  <c r="M186" i="21" a="1"/>
  <c r="M186" i="21" s="1"/>
  <c r="L194" i="21" a="1"/>
  <c r="L194" i="21" s="1"/>
  <c r="M194" i="21" a="1"/>
  <c r="M194" i="21" s="1"/>
  <c r="L202" i="21" a="1"/>
  <c r="L202" i="21" s="1"/>
  <c r="M202" i="21" a="1"/>
  <c r="M202" i="21" s="1"/>
  <c r="L210" i="21" a="1"/>
  <c r="L210" i="21" s="1"/>
  <c r="M210" i="21" a="1"/>
  <c r="M210" i="21" s="1"/>
  <c r="L218" i="21" a="1"/>
  <c r="L218" i="21" s="1"/>
  <c r="M218" i="21" a="1"/>
  <c r="M218" i="21" s="1"/>
  <c r="L226" i="21" a="1"/>
  <c r="L226" i="21" s="1"/>
  <c r="M226" i="21" a="1"/>
  <c r="M226" i="21" s="1"/>
  <c r="L234" i="21" a="1"/>
  <c r="L234" i="21" s="1"/>
  <c r="M234" i="21" a="1"/>
  <c r="M234" i="21" s="1"/>
  <c r="L242" i="21" a="1"/>
  <c r="L242" i="21" s="1"/>
  <c r="M242" i="21" a="1"/>
  <c r="M242" i="21" s="1"/>
  <c r="L250" i="21" a="1"/>
  <c r="L250" i="21" s="1"/>
  <c r="M250" i="21" a="1"/>
  <c r="M250" i="21" s="1"/>
  <c r="L258" i="21" a="1"/>
  <c r="L258" i="21" s="1"/>
  <c r="M258" i="21" a="1"/>
  <c r="M258" i="21" s="1"/>
  <c r="L266" i="21" a="1"/>
  <c r="L266" i="21" s="1"/>
  <c r="M266" i="21" a="1"/>
  <c r="M266" i="21" s="1"/>
  <c r="L274" i="21" a="1"/>
  <c r="L274" i="21" s="1"/>
  <c r="M274" i="21" a="1"/>
  <c r="M274" i="21" s="1"/>
  <c r="L282" i="21" a="1"/>
  <c r="L282" i="21" s="1"/>
  <c r="M282" i="21" a="1"/>
  <c r="M282" i="21" s="1"/>
  <c r="L290" i="21" a="1"/>
  <c r="L290" i="21" s="1"/>
  <c r="M290" i="21" a="1"/>
  <c r="M290" i="21" s="1"/>
  <c r="L234" i="13" a="1"/>
  <c r="L234" i="13" s="1"/>
  <c r="M234" i="13" a="1"/>
  <c r="M234" i="13" s="1"/>
  <c r="L186" i="13" a="1"/>
  <c r="L186" i="13" s="1"/>
  <c r="M186" i="13" a="1"/>
  <c r="M186" i="13" s="1"/>
  <c r="L98" i="13" a="1"/>
  <c r="L98" i="13" s="1"/>
  <c r="M98" i="13" a="1"/>
  <c r="M98" i="13" s="1"/>
  <c r="L58" i="13" a="1"/>
  <c r="L58" i="13" s="1"/>
  <c r="M58" i="13" a="1"/>
  <c r="M58" i="13" s="1"/>
  <c r="L10" i="20" a="1"/>
  <c r="L10" i="20" s="1"/>
  <c r="M10" i="20" a="1"/>
  <c r="M10" i="20" s="1"/>
  <c r="L273" i="13" a="1"/>
  <c r="L273" i="13" s="1"/>
  <c r="M273" i="13" a="1"/>
  <c r="M273" i="13" s="1"/>
  <c r="L241" i="13" a="1"/>
  <c r="L241" i="13" s="1"/>
  <c r="M241" i="13" a="1"/>
  <c r="M241" i="13" s="1"/>
  <c r="L217" i="13" a="1"/>
  <c r="L217" i="13" s="1"/>
  <c r="M217" i="13" a="1"/>
  <c r="M217" i="13" s="1"/>
  <c r="L185" i="13" a="1"/>
  <c r="L185" i="13" s="1"/>
  <c r="M185" i="13" a="1"/>
  <c r="M185" i="13" s="1"/>
  <c r="L161" i="13" a="1"/>
  <c r="L161" i="13" s="1"/>
  <c r="M161" i="13" a="1"/>
  <c r="M161" i="13" s="1"/>
  <c r="L153" i="13" a="1"/>
  <c r="L153" i="13" s="1"/>
  <c r="M153" i="13" a="1"/>
  <c r="M153" i="13" s="1"/>
  <c r="L145" i="13" a="1"/>
  <c r="L145" i="13" s="1"/>
  <c r="M145" i="13" a="1"/>
  <c r="M145" i="13" s="1"/>
  <c r="L137" i="13" a="1"/>
  <c r="L137" i="13" s="1"/>
  <c r="M137" i="13" a="1"/>
  <c r="M137" i="13" s="1"/>
  <c r="L129" i="13" a="1"/>
  <c r="L129" i="13" s="1"/>
  <c r="M129" i="13" a="1"/>
  <c r="M129" i="13" s="1"/>
  <c r="L121" i="13" a="1"/>
  <c r="L121" i="13" s="1"/>
  <c r="M121" i="13" a="1"/>
  <c r="M121" i="13" s="1"/>
  <c r="L113" i="13" a="1"/>
  <c r="L113" i="13" s="1"/>
  <c r="M113" i="13" a="1"/>
  <c r="M113" i="13" s="1"/>
  <c r="L105" i="13" a="1"/>
  <c r="L105" i="13" s="1"/>
  <c r="M105" i="13" a="1"/>
  <c r="M105" i="13" s="1"/>
  <c r="L97" i="13" a="1"/>
  <c r="L97" i="13" s="1"/>
  <c r="M97" i="13" a="1"/>
  <c r="M97" i="13" s="1"/>
  <c r="L89" i="13" a="1"/>
  <c r="L89" i="13" s="1"/>
  <c r="M89" i="13" a="1"/>
  <c r="M89" i="13" s="1"/>
  <c r="L81" i="13" a="1"/>
  <c r="L81" i="13" s="1"/>
  <c r="M81" i="13" a="1"/>
  <c r="M81" i="13" s="1"/>
  <c r="L73" i="13" a="1"/>
  <c r="L73" i="13" s="1"/>
  <c r="M73" i="13" a="1"/>
  <c r="M73" i="13" s="1"/>
  <c r="L65" i="13" a="1"/>
  <c r="L65" i="13" s="1"/>
  <c r="M65" i="13" a="1"/>
  <c r="M65" i="13" s="1"/>
  <c r="L57" i="13" a="1"/>
  <c r="L57" i="13" s="1"/>
  <c r="M57" i="13" a="1"/>
  <c r="M57" i="13" s="1"/>
  <c r="L49" i="13" a="1"/>
  <c r="L49" i="13" s="1"/>
  <c r="M49" i="13" a="1"/>
  <c r="M49" i="13" s="1"/>
  <c r="L41" i="13" a="1"/>
  <c r="L41" i="13" s="1"/>
  <c r="M41" i="13" a="1"/>
  <c r="M41" i="13" s="1"/>
  <c r="L33" i="13" a="1"/>
  <c r="L33" i="13" s="1"/>
  <c r="M33" i="13" a="1"/>
  <c r="M33" i="13" s="1"/>
  <c r="L25" i="13" a="1"/>
  <c r="L25" i="13" s="1"/>
  <c r="M25" i="13" a="1"/>
  <c r="M25" i="13" s="1"/>
  <c r="L17" i="13" a="1"/>
  <c r="L17" i="13" s="1"/>
  <c r="M17" i="13" a="1"/>
  <c r="M17" i="13" s="1"/>
  <c r="L11" i="20" a="1"/>
  <c r="L11" i="20" s="1"/>
  <c r="M11" i="20" a="1"/>
  <c r="M11" i="20" s="1"/>
  <c r="L19" i="20" a="1"/>
  <c r="L19" i="20" s="1"/>
  <c r="M19" i="20" a="1"/>
  <c r="M19" i="20" s="1"/>
  <c r="L27" i="20" a="1"/>
  <c r="L27" i="20" s="1"/>
  <c r="M27" i="20" a="1"/>
  <c r="M27" i="20" s="1"/>
  <c r="L35" i="20" a="1"/>
  <c r="L35" i="20" s="1"/>
  <c r="M35" i="20" a="1"/>
  <c r="M35" i="20" s="1"/>
  <c r="L43" i="20" a="1"/>
  <c r="L43" i="20" s="1"/>
  <c r="M43" i="20" a="1"/>
  <c r="M43" i="20" s="1"/>
  <c r="L51" i="20" a="1"/>
  <c r="L51" i="20" s="1"/>
  <c r="M51" i="20" a="1"/>
  <c r="M51" i="20" s="1"/>
  <c r="L59" i="20" a="1"/>
  <c r="L59" i="20" s="1"/>
  <c r="M59" i="20" a="1"/>
  <c r="M59" i="20" s="1"/>
  <c r="L67" i="20" a="1"/>
  <c r="L67" i="20" s="1"/>
  <c r="M67" i="20" a="1"/>
  <c r="M67" i="20" s="1"/>
  <c r="L75" i="20" a="1"/>
  <c r="L75" i="20" s="1"/>
  <c r="M75" i="20" a="1"/>
  <c r="M75" i="20" s="1"/>
  <c r="L83" i="20" a="1"/>
  <c r="L83" i="20" s="1"/>
  <c r="M83" i="20" a="1"/>
  <c r="M83" i="20" s="1"/>
  <c r="L91" i="20" a="1"/>
  <c r="L91" i="20" s="1"/>
  <c r="M91" i="20" a="1"/>
  <c r="M91" i="20" s="1"/>
  <c r="L99" i="20" a="1"/>
  <c r="L99" i="20" s="1"/>
  <c r="M99" i="20" a="1"/>
  <c r="M99" i="20" s="1"/>
  <c r="L107" i="20" a="1"/>
  <c r="L107" i="20" s="1"/>
  <c r="M107" i="20" a="1"/>
  <c r="M107" i="20" s="1"/>
  <c r="L115" i="20" a="1"/>
  <c r="L115" i="20" s="1"/>
  <c r="M115" i="20" a="1"/>
  <c r="M115" i="20" s="1"/>
  <c r="L123" i="20" a="1"/>
  <c r="L123" i="20" s="1"/>
  <c r="M123" i="20" a="1"/>
  <c r="M123" i="20" s="1"/>
  <c r="L131" i="20" a="1"/>
  <c r="L131" i="20" s="1"/>
  <c r="M131" i="20" a="1"/>
  <c r="M131" i="20" s="1"/>
  <c r="L139" i="20" a="1"/>
  <c r="L139" i="20" s="1"/>
  <c r="M139" i="20" a="1"/>
  <c r="M139" i="20" s="1"/>
  <c r="L147" i="20" a="1"/>
  <c r="L147" i="20" s="1"/>
  <c r="M147" i="20" a="1"/>
  <c r="M147" i="20" s="1"/>
  <c r="L155" i="20" a="1"/>
  <c r="L155" i="20" s="1"/>
  <c r="M155" i="20" a="1"/>
  <c r="M155" i="20" s="1"/>
  <c r="L163" i="20" a="1"/>
  <c r="L163" i="20" s="1"/>
  <c r="M163" i="20" a="1"/>
  <c r="M163" i="20" s="1"/>
  <c r="L171" i="20" a="1"/>
  <c r="L171" i="20" s="1"/>
  <c r="M171" i="20" a="1"/>
  <c r="M171" i="20" s="1"/>
  <c r="L179" i="20" a="1"/>
  <c r="L179" i="20" s="1"/>
  <c r="M179" i="20" a="1"/>
  <c r="M179" i="20" s="1"/>
  <c r="L187" i="20" a="1"/>
  <c r="L187" i="20" s="1"/>
  <c r="M187" i="20" a="1"/>
  <c r="M187" i="20" s="1"/>
  <c r="L195" i="20" a="1"/>
  <c r="L195" i="20" s="1"/>
  <c r="M195" i="20" a="1"/>
  <c r="M195" i="20" s="1"/>
  <c r="L203" i="20" a="1"/>
  <c r="L203" i="20" s="1"/>
  <c r="M203" i="20" a="1"/>
  <c r="M203" i="20" s="1"/>
  <c r="L211" i="20" a="1"/>
  <c r="L211" i="20" s="1"/>
  <c r="M211" i="20" a="1"/>
  <c r="M211" i="20" s="1"/>
  <c r="L219" i="20" a="1"/>
  <c r="L219" i="20" s="1"/>
  <c r="M219" i="20" a="1"/>
  <c r="M219" i="20" s="1"/>
  <c r="L227" i="20" a="1"/>
  <c r="L227" i="20" s="1"/>
  <c r="M227" i="20" a="1"/>
  <c r="M227" i="20" s="1"/>
  <c r="L235" i="20" a="1"/>
  <c r="L235" i="20" s="1"/>
  <c r="M235" i="20" a="1"/>
  <c r="M235" i="20" s="1"/>
  <c r="L243" i="20" a="1"/>
  <c r="L243" i="20" s="1"/>
  <c r="M243" i="20" a="1"/>
  <c r="M243" i="20" s="1"/>
  <c r="L251" i="20" a="1"/>
  <c r="L251" i="20" s="1"/>
  <c r="M251" i="20" a="1"/>
  <c r="M251" i="20" s="1"/>
  <c r="L259" i="20" a="1"/>
  <c r="L259" i="20" s="1"/>
  <c r="M259" i="20" a="1"/>
  <c r="M259" i="20" s="1"/>
  <c r="L267" i="20" a="1"/>
  <c r="L267" i="20" s="1"/>
  <c r="M267" i="20" a="1"/>
  <c r="M267" i="20" s="1"/>
  <c r="L275" i="20" a="1"/>
  <c r="L275" i="20" s="1"/>
  <c r="M275" i="20" a="1"/>
  <c r="M275" i="20" s="1"/>
  <c r="L283" i="20" a="1"/>
  <c r="L283" i="20" s="1"/>
  <c r="M283" i="20" a="1"/>
  <c r="M283" i="20" s="1"/>
  <c r="L291" i="20" a="1"/>
  <c r="L291" i="20" s="1"/>
  <c r="M291" i="20" a="1"/>
  <c r="M291" i="20" s="1"/>
  <c r="L11" i="22" a="1"/>
  <c r="L11" i="22" s="1"/>
  <c r="M11" i="22" a="1"/>
  <c r="M11" i="22" s="1"/>
  <c r="L19" i="22" a="1"/>
  <c r="L19" i="22" s="1"/>
  <c r="M19" i="22" a="1"/>
  <c r="M19" i="22" s="1"/>
  <c r="L27" i="22" a="1"/>
  <c r="L27" i="22" s="1"/>
  <c r="M27" i="22" a="1"/>
  <c r="M27" i="22" s="1"/>
  <c r="L35" i="22" a="1"/>
  <c r="L35" i="22" s="1"/>
  <c r="M35" i="22" a="1"/>
  <c r="M35" i="22" s="1"/>
  <c r="L43" i="22" a="1"/>
  <c r="L43" i="22" s="1"/>
  <c r="M43" i="22" a="1"/>
  <c r="M43" i="22" s="1"/>
  <c r="L51" i="22" a="1"/>
  <c r="L51" i="22" s="1"/>
  <c r="M51" i="22" a="1"/>
  <c r="M51" i="22" s="1"/>
  <c r="L59" i="22" a="1"/>
  <c r="L59" i="22" s="1"/>
  <c r="M59" i="22" a="1"/>
  <c r="M59" i="22" s="1"/>
  <c r="L67" i="22" a="1"/>
  <c r="L67" i="22" s="1"/>
  <c r="M67" i="22" a="1"/>
  <c r="M67" i="22" s="1"/>
  <c r="L75" i="22" a="1"/>
  <c r="L75" i="22" s="1"/>
  <c r="M75" i="22" a="1"/>
  <c r="M75" i="22" s="1"/>
  <c r="L83" i="22" a="1"/>
  <c r="L83" i="22" s="1"/>
  <c r="M83" i="22" a="1"/>
  <c r="M83" i="22" s="1"/>
  <c r="L91" i="22" a="1"/>
  <c r="L91" i="22" s="1"/>
  <c r="M91" i="22" a="1"/>
  <c r="M91" i="22" s="1"/>
  <c r="L99" i="22" a="1"/>
  <c r="L99" i="22" s="1"/>
  <c r="M99" i="22" a="1"/>
  <c r="M99" i="22" s="1"/>
  <c r="L107" i="22" a="1"/>
  <c r="L107" i="22" s="1"/>
  <c r="M107" i="22" a="1"/>
  <c r="M107" i="22" s="1"/>
  <c r="L115" i="22" a="1"/>
  <c r="L115" i="22" s="1"/>
  <c r="M115" i="22" a="1"/>
  <c r="M115" i="22" s="1"/>
  <c r="L123" i="22" a="1"/>
  <c r="L123" i="22" s="1"/>
  <c r="M123" i="22" a="1"/>
  <c r="M123" i="22" s="1"/>
  <c r="L131" i="22" a="1"/>
  <c r="L131" i="22" s="1"/>
  <c r="M131" i="22" a="1"/>
  <c r="M131" i="22" s="1"/>
  <c r="L139" i="22" a="1"/>
  <c r="L139" i="22" s="1"/>
  <c r="M139" i="22" a="1"/>
  <c r="M139" i="22" s="1"/>
  <c r="L147" i="22" a="1"/>
  <c r="L147" i="22" s="1"/>
  <c r="M147" i="22" a="1"/>
  <c r="M147" i="22" s="1"/>
  <c r="L155" i="22" a="1"/>
  <c r="L155" i="22" s="1"/>
  <c r="M155" i="22" a="1"/>
  <c r="M155" i="22" s="1"/>
  <c r="L163" i="22" a="1"/>
  <c r="L163" i="22" s="1"/>
  <c r="M163" i="22" a="1"/>
  <c r="M163" i="22" s="1"/>
  <c r="L171" i="22" a="1"/>
  <c r="L171" i="22" s="1"/>
  <c r="M171" i="22" a="1"/>
  <c r="M171" i="22" s="1"/>
  <c r="L179" i="22" a="1"/>
  <c r="L179" i="22" s="1"/>
  <c r="M179" i="22" a="1"/>
  <c r="M179" i="22" s="1"/>
  <c r="L187" i="22" a="1"/>
  <c r="L187" i="22" s="1"/>
  <c r="M187" i="22" a="1"/>
  <c r="M187" i="22" s="1"/>
  <c r="L195" i="22" a="1"/>
  <c r="L195" i="22" s="1"/>
  <c r="M195" i="22" a="1"/>
  <c r="M195" i="22" s="1"/>
  <c r="L203" i="22" a="1"/>
  <c r="L203" i="22" s="1"/>
  <c r="M203" i="22" a="1"/>
  <c r="M203" i="22" s="1"/>
  <c r="L211" i="22" a="1"/>
  <c r="L211" i="22" s="1"/>
  <c r="M211" i="22" a="1"/>
  <c r="M211" i="22" s="1"/>
  <c r="L219" i="22" a="1"/>
  <c r="L219" i="22" s="1"/>
  <c r="M219" i="22" a="1"/>
  <c r="M219" i="22" s="1"/>
  <c r="L227" i="22" a="1"/>
  <c r="L227" i="22" s="1"/>
  <c r="M227" i="22" a="1"/>
  <c r="M227" i="22" s="1"/>
  <c r="L235" i="22" a="1"/>
  <c r="L235" i="22" s="1"/>
  <c r="M235" i="22" a="1"/>
  <c r="M235" i="22" s="1"/>
  <c r="L243" i="22" a="1"/>
  <c r="L243" i="22" s="1"/>
  <c r="M243" i="22" a="1"/>
  <c r="M243" i="22" s="1"/>
  <c r="L251" i="22" a="1"/>
  <c r="L251" i="22" s="1"/>
  <c r="M251" i="22" a="1"/>
  <c r="M251" i="22" s="1"/>
  <c r="L259" i="22" a="1"/>
  <c r="L259" i="22" s="1"/>
  <c r="M259" i="22" a="1"/>
  <c r="M259" i="22" s="1"/>
  <c r="L267" i="22" a="1"/>
  <c r="L267" i="22" s="1"/>
  <c r="M267" i="22" a="1"/>
  <c r="M267" i="22" s="1"/>
  <c r="L275" i="22" a="1"/>
  <c r="L275" i="22" s="1"/>
  <c r="M275" i="22" a="1"/>
  <c r="M275" i="22" s="1"/>
  <c r="L283" i="22" a="1"/>
  <c r="L283" i="22" s="1"/>
  <c r="M283" i="22" a="1"/>
  <c r="M283" i="22" s="1"/>
  <c r="L291" i="22" a="1"/>
  <c r="L291" i="22" s="1"/>
  <c r="M291" i="22" a="1"/>
  <c r="M291" i="22" s="1"/>
  <c r="L11" i="21" a="1"/>
  <c r="L11" i="21" s="1"/>
  <c r="M11" i="21" a="1"/>
  <c r="M11" i="21" s="1"/>
  <c r="L19" i="21" a="1"/>
  <c r="L19" i="21" s="1"/>
  <c r="M19" i="21" a="1"/>
  <c r="M19" i="21" s="1"/>
  <c r="L27" i="21" a="1"/>
  <c r="L27" i="21" s="1"/>
  <c r="M27" i="21" a="1"/>
  <c r="M27" i="21" s="1"/>
  <c r="L35" i="21" a="1"/>
  <c r="L35" i="21" s="1"/>
  <c r="M35" i="21" a="1"/>
  <c r="M35" i="21" s="1"/>
  <c r="L43" i="21" a="1"/>
  <c r="L43" i="21" s="1"/>
  <c r="M43" i="21" a="1"/>
  <c r="M43" i="21" s="1"/>
  <c r="L51" i="21" a="1"/>
  <c r="L51" i="21" s="1"/>
  <c r="M51" i="21" a="1"/>
  <c r="M51" i="21" s="1"/>
  <c r="L59" i="21" a="1"/>
  <c r="L59" i="21" s="1"/>
  <c r="M59" i="21" a="1"/>
  <c r="M59" i="21" s="1"/>
  <c r="L67" i="21" a="1"/>
  <c r="L67" i="21" s="1"/>
  <c r="M67" i="21" a="1"/>
  <c r="M67" i="21" s="1"/>
  <c r="L75" i="21" a="1"/>
  <c r="L75" i="21" s="1"/>
  <c r="M75" i="21" a="1"/>
  <c r="M75" i="21" s="1"/>
  <c r="L83" i="21" a="1"/>
  <c r="L83" i="21" s="1"/>
  <c r="M83" i="21" a="1"/>
  <c r="M83" i="21" s="1"/>
  <c r="L91" i="21" a="1"/>
  <c r="L91" i="21" s="1"/>
  <c r="M91" i="21" a="1"/>
  <c r="M91" i="21" s="1"/>
  <c r="L99" i="21" a="1"/>
  <c r="L99" i="21" s="1"/>
  <c r="M99" i="21" a="1"/>
  <c r="M99" i="21" s="1"/>
  <c r="L107" i="21" a="1"/>
  <c r="L107" i="21" s="1"/>
  <c r="M107" i="21" a="1"/>
  <c r="M107" i="21" s="1"/>
  <c r="L115" i="21" a="1"/>
  <c r="L115" i="21" s="1"/>
  <c r="M115" i="21" a="1"/>
  <c r="M115" i="21" s="1"/>
  <c r="L123" i="21" a="1"/>
  <c r="L123" i="21" s="1"/>
  <c r="M123" i="21" a="1"/>
  <c r="M123" i="21" s="1"/>
  <c r="L131" i="21" a="1"/>
  <c r="L131" i="21" s="1"/>
  <c r="M131" i="21" a="1"/>
  <c r="M131" i="21" s="1"/>
  <c r="L139" i="21" a="1"/>
  <c r="L139" i="21" s="1"/>
  <c r="M139" i="21" a="1"/>
  <c r="M139" i="21" s="1"/>
  <c r="L147" i="21" a="1"/>
  <c r="L147" i="21" s="1"/>
  <c r="M147" i="21" a="1"/>
  <c r="M147" i="21" s="1"/>
  <c r="L155" i="21" a="1"/>
  <c r="L155" i="21" s="1"/>
  <c r="M155" i="21" a="1"/>
  <c r="M155" i="21" s="1"/>
  <c r="L163" i="21" a="1"/>
  <c r="L163" i="21" s="1"/>
  <c r="M163" i="21" a="1"/>
  <c r="M163" i="21" s="1"/>
  <c r="L171" i="21" a="1"/>
  <c r="L171" i="21" s="1"/>
  <c r="M171" i="21" a="1"/>
  <c r="M171" i="21" s="1"/>
  <c r="L179" i="21" a="1"/>
  <c r="L179" i="21" s="1"/>
  <c r="M179" i="21" a="1"/>
  <c r="M179" i="21" s="1"/>
  <c r="L187" i="21" a="1"/>
  <c r="L187" i="21" s="1"/>
  <c r="M187" i="21" a="1"/>
  <c r="M187" i="21" s="1"/>
  <c r="L195" i="21" a="1"/>
  <c r="L195" i="21" s="1"/>
  <c r="M195" i="21" a="1"/>
  <c r="M195" i="21" s="1"/>
  <c r="L203" i="21" a="1"/>
  <c r="L203" i="21" s="1"/>
  <c r="M203" i="21" a="1"/>
  <c r="M203" i="21" s="1"/>
  <c r="L211" i="21" a="1"/>
  <c r="L211" i="21" s="1"/>
  <c r="M211" i="21" a="1"/>
  <c r="M211" i="21" s="1"/>
  <c r="L219" i="21" a="1"/>
  <c r="L219" i="21" s="1"/>
  <c r="M219" i="21" a="1"/>
  <c r="M219" i="21" s="1"/>
  <c r="L227" i="21" a="1"/>
  <c r="L227" i="21" s="1"/>
  <c r="M227" i="21" a="1"/>
  <c r="M227" i="21" s="1"/>
  <c r="L235" i="21" a="1"/>
  <c r="L235" i="21" s="1"/>
  <c r="M235" i="21" a="1"/>
  <c r="M235" i="21" s="1"/>
  <c r="L243" i="21" a="1"/>
  <c r="L243" i="21" s="1"/>
  <c r="M243" i="21" a="1"/>
  <c r="M243" i="21" s="1"/>
  <c r="L251" i="21" a="1"/>
  <c r="L251" i="21" s="1"/>
  <c r="M251" i="21" a="1"/>
  <c r="M251" i="21" s="1"/>
  <c r="L259" i="21" a="1"/>
  <c r="L259" i="21" s="1"/>
  <c r="M259" i="21" a="1"/>
  <c r="M259" i="21" s="1"/>
  <c r="L267" i="21" a="1"/>
  <c r="L267" i="21" s="1"/>
  <c r="M267" i="21" a="1"/>
  <c r="M267" i="21" s="1"/>
  <c r="L275" i="21" a="1"/>
  <c r="L275" i="21" s="1"/>
  <c r="M275" i="21" a="1"/>
  <c r="M275" i="21" s="1"/>
  <c r="L283" i="21" a="1"/>
  <c r="L283" i="21" s="1"/>
  <c r="M283" i="21" a="1"/>
  <c r="M283" i="21" s="1"/>
  <c r="L291" i="21" a="1"/>
  <c r="L291" i="21" s="1"/>
  <c r="M291" i="21" a="1"/>
  <c r="M291" i="21" s="1"/>
  <c r="Q584" i="40"/>
  <c r="U584" i="40" s="1"/>
  <c r="Q653" i="40"/>
  <c r="S653" i="40" s="1"/>
  <c r="Q647" i="40"/>
  <c r="R647" i="40" s="1"/>
  <c r="Q566" i="40"/>
  <c r="U566" i="40" s="1"/>
  <c r="Q603" i="40"/>
  <c r="R603" i="40" s="1"/>
  <c r="Q504" i="40"/>
  <c r="U504" i="40" s="1"/>
  <c r="Q552" i="40"/>
  <c r="U552" i="40" s="1"/>
  <c r="Q555" i="40"/>
  <c r="R555" i="40" s="1"/>
  <c r="Q524" i="40"/>
  <c r="U524" i="40" s="1"/>
  <c r="Q605" i="40"/>
  <c r="S605" i="40" s="1"/>
  <c r="Q630" i="40"/>
  <c r="R630" i="40" s="1"/>
  <c r="Q632" i="40"/>
  <c r="S632" i="40" s="1"/>
  <c r="Q511" i="40"/>
  <c r="T511" i="40" s="1"/>
  <c r="Q501" i="40"/>
  <c r="R501" i="40" s="1"/>
  <c r="Q570" i="40"/>
  <c r="T570" i="40" s="1"/>
  <c r="Q391" i="40"/>
  <c r="S391" i="40" s="1"/>
  <c r="Q440" i="40"/>
  <c r="R440" i="40" s="1"/>
  <c r="Q436" i="40"/>
  <c r="Q534" i="40"/>
  <c r="Q574" i="40"/>
  <c r="Q589" i="40"/>
  <c r="Q655" i="40"/>
  <c r="J449" i="40"/>
  <c r="H449" i="40"/>
  <c r="L449" i="40"/>
  <c r="K449" i="40"/>
  <c r="M449" i="40"/>
  <c r="N449" i="40"/>
  <c r="I449" i="40"/>
  <c r="O449" i="40"/>
  <c r="P449" i="40"/>
  <c r="G449" i="40"/>
  <c r="F449" i="40"/>
  <c r="K416" i="40"/>
  <c r="F416" i="40"/>
  <c r="O416" i="40"/>
  <c r="J416" i="40"/>
  <c r="G416" i="40"/>
  <c r="H416" i="40"/>
  <c r="I416" i="40"/>
  <c r="N416" i="40"/>
  <c r="L416" i="40"/>
  <c r="M416" i="40"/>
  <c r="P416" i="40"/>
  <c r="M383" i="40"/>
  <c r="F383" i="40"/>
  <c r="N383" i="40"/>
  <c r="O383" i="40"/>
  <c r="L383" i="40"/>
  <c r="I383" i="40"/>
  <c r="J383" i="40"/>
  <c r="K383" i="40"/>
  <c r="P383" i="40"/>
  <c r="H431" i="40"/>
  <c r="P431" i="40"/>
  <c r="G431" i="40"/>
  <c r="K431" i="40"/>
  <c r="M431" i="40"/>
  <c r="F431" i="40"/>
  <c r="I431" i="40"/>
  <c r="O431" i="40"/>
  <c r="J431" i="40"/>
  <c r="L431" i="40"/>
  <c r="N431" i="40"/>
  <c r="Q445" i="40"/>
  <c r="J427" i="40"/>
  <c r="G427" i="40"/>
  <c r="P427" i="40"/>
  <c r="M427" i="40"/>
  <c r="N427" i="40"/>
  <c r="H427" i="40"/>
  <c r="K427" i="40"/>
  <c r="F427" i="40"/>
  <c r="I427" i="40"/>
  <c r="L427" i="40"/>
  <c r="O427" i="40"/>
  <c r="Q463" i="40"/>
  <c r="L479" i="40"/>
  <c r="F479" i="40"/>
  <c r="O479" i="40"/>
  <c r="H479" i="40"/>
  <c r="P479" i="40"/>
  <c r="N479" i="40"/>
  <c r="G479" i="40"/>
  <c r="I479" i="40"/>
  <c r="J479" i="40"/>
  <c r="K479" i="40"/>
  <c r="M479" i="40"/>
  <c r="H503" i="40"/>
  <c r="P503" i="40"/>
  <c r="F503" i="40"/>
  <c r="N503" i="40"/>
  <c r="G503" i="40"/>
  <c r="I503" i="40"/>
  <c r="J503" i="40"/>
  <c r="O503" i="40"/>
  <c r="M503" i="40"/>
  <c r="K503" i="40"/>
  <c r="L503" i="40"/>
  <c r="G508" i="40"/>
  <c r="O508" i="40"/>
  <c r="M508" i="40"/>
  <c r="F508" i="40"/>
  <c r="H508" i="40"/>
  <c r="I508" i="40"/>
  <c r="P508" i="40"/>
  <c r="J508" i="40"/>
  <c r="K508" i="40"/>
  <c r="L508" i="40"/>
  <c r="N508" i="40"/>
  <c r="M572" i="40"/>
  <c r="K572" i="40"/>
  <c r="L572" i="40"/>
  <c r="N572" i="40"/>
  <c r="F572" i="40"/>
  <c r="O572" i="40"/>
  <c r="G572" i="40"/>
  <c r="P572" i="40"/>
  <c r="H572" i="40"/>
  <c r="I572" i="40"/>
  <c r="J572" i="40"/>
  <c r="M588" i="40"/>
  <c r="K588" i="40"/>
  <c r="L588" i="40"/>
  <c r="N588" i="40"/>
  <c r="G588" i="40"/>
  <c r="P588" i="40"/>
  <c r="H588" i="40"/>
  <c r="I588" i="40"/>
  <c r="J588" i="40"/>
  <c r="F588" i="40"/>
  <c r="O588" i="40"/>
  <c r="Q539" i="40"/>
  <c r="Q521" i="40"/>
  <c r="L562" i="40"/>
  <c r="K562" i="40"/>
  <c r="H562" i="40"/>
  <c r="I562" i="40"/>
  <c r="J562" i="40"/>
  <c r="M562" i="40"/>
  <c r="N562" i="40"/>
  <c r="O562" i="40"/>
  <c r="F562" i="40"/>
  <c r="P562" i="40"/>
  <c r="G562" i="40"/>
  <c r="Q568" i="40"/>
  <c r="Q495" i="40"/>
  <c r="L507" i="40"/>
  <c r="J507" i="40"/>
  <c r="F507" i="40"/>
  <c r="P507" i="40"/>
  <c r="G507" i="40"/>
  <c r="H507" i="40"/>
  <c r="O507" i="40"/>
  <c r="I507" i="40"/>
  <c r="K507" i="40"/>
  <c r="M507" i="40"/>
  <c r="N507" i="40"/>
  <c r="F544" i="40"/>
  <c r="N544" i="40"/>
  <c r="G544" i="40"/>
  <c r="P544" i="40"/>
  <c r="H544" i="40"/>
  <c r="I544" i="40"/>
  <c r="O544" i="40"/>
  <c r="J544" i="40"/>
  <c r="K544" i="40"/>
  <c r="L544" i="40"/>
  <c r="M544" i="40"/>
  <c r="K594" i="40"/>
  <c r="L594" i="40"/>
  <c r="F594" i="40"/>
  <c r="N594" i="40"/>
  <c r="M594" i="40"/>
  <c r="G594" i="40"/>
  <c r="O594" i="40"/>
  <c r="I594" i="40"/>
  <c r="J594" i="40"/>
  <c r="H594" i="40"/>
  <c r="P594" i="40"/>
  <c r="Q649" i="40"/>
  <c r="Q648" i="40"/>
  <c r="K634" i="40"/>
  <c r="L634" i="40"/>
  <c r="N634" i="40"/>
  <c r="M634" i="40"/>
  <c r="F634" i="40"/>
  <c r="J634" i="40"/>
  <c r="G634" i="40"/>
  <c r="H634" i="40"/>
  <c r="I634" i="40"/>
  <c r="O634" i="40"/>
  <c r="P634" i="40"/>
  <c r="K626" i="40"/>
  <c r="L626" i="40"/>
  <c r="M626" i="40"/>
  <c r="F626" i="40"/>
  <c r="N626" i="40"/>
  <c r="J626" i="40"/>
  <c r="I626" i="40"/>
  <c r="O626" i="40"/>
  <c r="P626" i="40"/>
  <c r="G626" i="40"/>
  <c r="H626" i="40"/>
  <c r="H405" i="40"/>
  <c r="P405" i="40"/>
  <c r="G405" i="40"/>
  <c r="I405" i="40"/>
  <c r="K405" i="40"/>
  <c r="N405" i="40"/>
  <c r="F405" i="40"/>
  <c r="L405" i="40"/>
  <c r="M405" i="40"/>
  <c r="O405" i="40"/>
  <c r="J405" i="40"/>
  <c r="J429" i="40"/>
  <c r="M429" i="40"/>
  <c r="G429" i="40"/>
  <c r="P429" i="40"/>
  <c r="I429" i="40"/>
  <c r="F429" i="40"/>
  <c r="H429" i="40"/>
  <c r="K429" i="40"/>
  <c r="L429" i="40"/>
  <c r="N429" i="40"/>
  <c r="O429" i="40"/>
  <c r="K484" i="40"/>
  <c r="J484" i="40"/>
  <c r="L484" i="40"/>
  <c r="I484" i="40"/>
  <c r="H484" i="40"/>
  <c r="M484" i="40"/>
  <c r="N484" i="40"/>
  <c r="G484" i="40"/>
  <c r="P484" i="40"/>
  <c r="O484" i="40"/>
  <c r="F484" i="40"/>
  <c r="L515" i="40"/>
  <c r="M515" i="40"/>
  <c r="N515" i="40"/>
  <c r="F515" i="40"/>
  <c r="O515" i="40"/>
  <c r="K515" i="40"/>
  <c r="P515" i="40"/>
  <c r="G515" i="40"/>
  <c r="H515" i="40"/>
  <c r="I515" i="40"/>
  <c r="J515" i="40"/>
  <c r="M510" i="40"/>
  <c r="K510" i="40"/>
  <c r="G510" i="40"/>
  <c r="H510" i="40"/>
  <c r="I510" i="40"/>
  <c r="F510" i="40"/>
  <c r="P510" i="40"/>
  <c r="J510" i="40"/>
  <c r="L510" i="40"/>
  <c r="N510" i="40"/>
  <c r="O510" i="40"/>
  <c r="F513" i="40"/>
  <c r="N513" i="40"/>
  <c r="L513" i="40"/>
  <c r="G513" i="40"/>
  <c r="H513" i="40"/>
  <c r="I513" i="40"/>
  <c r="P513" i="40"/>
  <c r="J513" i="40"/>
  <c r="K513" i="40"/>
  <c r="O513" i="40"/>
  <c r="M513" i="40"/>
  <c r="H565" i="40"/>
  <c r="P565" i="40"/>
  <c r="M565" i="40"/>
  <c r="N565" i="40"/>
  <c r="F565" i="40"/>
  <c r="O565" i="40"/>
  <c r="G565" i="40"/>
  <c r="I565" i="40"/>
  <c r="J565" i="40"/>
  <c r="K565" i="40"/>
  <c r="L565" i="40"/>
  <c r="K610" i="40"/>
  <c r="L610" i="40"/>
  <c r="G610" i="40"/>
  <c r="O610" i="40"/>
  <c r="M610" i="40"/>
  <c r="F610" i="40"/>
  <c r="N610" i="40"/>
  <c r="J610" i="40"/>
  <c r="H610" i="40"/>
  <c r="I610" i="40"/>
  <c r="P610" i="40"/>
  <c r="M399" i="40"/>
  <c r="F399" i="40"/>
  <c r="N399" i="40"/>
  <c r="P399" i="40"/>
  <c r="I399" i="40"/>
  <c r="J399" i="40"/>
  <c r="K399" i="40"/>
  <c r="L399" i="40"/>
  <c r="O399" i="40"/>
  <c r="K393" i="40"/>
  <c r="L393" i="40"/>
  <c r="F393" i="40"/>
  <c r="P393" i="40"/>
  <c r="O393" i="40"/>
  <c r="G393" i="40"/>
  <c r="H393" i="40"/>
  <c r="M393" i="40"/>
  <c r="N393" i="40"/>
  <c r="I393" i="40"/>
  <c r="J393" i="40"/>
  <c r="L487" i="40"/>
  <c r="J487" i="40"/>
  <c r="K487" i="40"/>
  <c r="I487" i="40"/>
  <c r="M487" i="40"/>
  <c r="N487" i="40"/>
  <c r="O487" i="40"/>
  <c r="H487" i="40"/>
  <c r="F487" i="40"/>
  <c r="G487" i="40"/>
  <c r="P487" i="40"/>
  <c r="J465" i="40"/>
  <c r="L465" i="40"/>
  <c r="O465" i="40"/>
  <c r="F465" i="40"/>
  <c r="P465" i="40"/>
  <c r="G465" i="40"/>
  <c r="I465" i="40"/>
  <c r="K465" i="40"/>
  <c r="M465" i="40"/>
  <c r="H465" i="40"/>
  <c r="N465" i="40"/>
  <c r="G488" i="40"/>
  <c r="O488" i="40"/>
  <c r="H488" i="40"/>
  <c r="I488" i="40"/>
  <c r="F488" i="40"/>
  <c r="P488" i="40"/>
  <c r="J488" i="40"/>
  <c r="K488" i="40"/>
  <c r="L488" i="40"/>
  <c r="M488" i="40"/>
  <c r="N488" i="40"/>
  <c r="M557" i="40"/>
  <c r="F557" i="40"/>
  <c r="O557" i="40"/>
  <c r="H557" i="40"/>
  <c r="K557" i="40"/>
  <c r="L557" i="40"/>
  <c r="N557" i="40"/>
  <c r="P557" i="40"/>
  <c r="G557" i="40"/>
  <c r="I557" i="40"/>
  <c r="J557" i="40"/>
  <c r="Q587" i="40"/>
  <c r="Q541" i="40"/>
  <c r="H535" i="40"/>
  <c r="P535" i="40"/>
  <c r="K535" i="40"/>
  <c r="F535" i="40"/>
  <c r="G535" i="40"/>
  <c r="I535" i="40"/>
  <c r="O535" i="40"/>
  <c r="J535" i="40"/>
  <c r="L535" i="40"/>
  <c r="M535" i="40"/>
  <c r="N535" i="40"/>
  <c r="F575" i="40"/>
  <c r="N575" i="40"/>
  <c r="L575" i="40"/>
  <c r="M575" i="40"/>
  <c r="O575" i="40"/>
  <c r="G575" i="40"/>
  <c r="P575" i="40"/>
  <c r="H575" i="40"/>
  <c r="I575" i="40"/>
  <c r="J575" i="40"/>
  <c r="K575" i="40"/>
  <c r="G389" i="40"/>
  <c r="O389" i="40"/>
  <c r="H389" i="40"/>
  <c r="P389" i="40"/>
  <c r="N389" i="40"/>
  <c r="J389" i="40"/>
  <c r="K389" i="40"/>
  <c r="F389" i="40"/>
  <c r="M389" i="40"/>
  <c r="I389" i="40"/>
  <c r="L389" i="40"/>
  <c r="M466" i="40"/>
  <c r="I466" i="40"/>
  <c r="O466" i="40"/>
  <c r="F466" i="40"/>
  <c r="P466" i="40"/>
  <c r="G466" i="40"/>
  <c r="H466" i="40"/>
  <c r="J466" i="40"/>
  <c r="K466" i="40"/>
  <c r="L466" i="40"/>
  <c r="N466" i="40"/>
  <c r="J548" i="40"/>
  <c r="M548" i="40"/>
  <c r="F548" i="40"/>
  <c r="O548" i="40"/>
  <c r="L548" i="40"/>
  <c r="G548" i="40"/>
  <c r="H548" i="40"/>
  <c r="I548" i="40"/>
  <c r="K548" i="40"/>
  <c r="N548" i="40"/>
  <c r="P548" i="40"/>
  <c r="H558" i="40"/>
  <c r="P558" i="40"/>
  <c r="L558" i="40"/>
  <c r="N558" i="40"/>
  <c r="O558" i="40"/>
  <c r="F558" i="40"/>
  <c r="G558" i="40"/>
  <c r="I558" i="40"/>
  <c r="J558" i="40"/>
  <c r="K558" i="40"/>
  <c r="M558" i="40"/>
  <c r="K559" i="40"/>
  <c r="I559" i="40"/>
  <c r="L559" i="40"/>
  <c r="F559" i="40"/>
  <c r="G559" i="40"/>
  <c r="H559" i="40"/>
  <c r="J559" i="40"/>
  <c r="M559" i="40"/>
  <c r="N559" i="40"/>
  <c r="O559" i="40"/>
  <c r="P559" i="40"/>
  <c r="L597" i="40"/>
  <c r="M597" i="40"/>
  <c r="H597" i="40"/>
  <c r="P597" i="40"/>
  <c r="F597" i="40"/>
  <c r="N597" i="40"/>
  <c r="J597" i="40"/>
  <c r="K597" i="40"/>
  <c r="G597" i="40"/>
  <c r="O597" i="40"/>
  <c r="I597" i="40"/>
  <c r="K618" i="40"/>
  <c r="G618" i="40"/>
  <c r="L618" i="40"/>
  <c r="M618" i="40"/>
  <c r="F618" i="40"/>
  <c r="N618" i="40"/>
  <c r="O618" i="40"/>
  <c r="J618" i="40"/>
  <c r="P618" i="40"/>
  <c r="H618" i="40"/>
  <c r="I618" i="40"/>
  <c r="Q629" i="40"/>
  <c r="Q451" i="40"/>
  <c r="G496" i="40"/>
  <c r="O496" i="40"/>
  <c r="L496" i="40"/>
  <c r="M496" i="40"/>
  <c r="K496" i="40"/>
  <c r="F496" i="40"/>
  <c r="P496" i="40"/>
  <c r="H496" i="40"/>
  <c r="N496" i="40"/>
  <c r="I496" i="40"/>
  <c r="J496" i="40"/>
  <c r="J489" i="40"/>
  <c r="N489" i="40"/>
  <c r="F489" i="40"/>
  <c r="O489" i="40"/>
  <c r="M489" i="40"/>
  <c r="L489" i="40"/>
  <c r="P489" i="40"/>
  <c r="K489" i="40"/>
  <c r="I489" i="40"/>
  <c r="H489" i="40"/>
  <c r="G489" i="40"/>
  <c r="K543" i="40"/>
  <c r="I543" i="40"/>
  <c r="J543" i="40"/>
  <c r="L543" i="40"/>
  <c r="H543" i="40"/>
  <c r="F543" i="40"/>
  <c r="G543" i="40"/>
  <c r="M543" i="40"/>
  <c r="N543" i="40"/>
  <c r="O543" i="40"/>
  <c r="P543" i="40"/>
  <c r="J509" i="40"/>
  <c r="H509" i="40"/>
  <c r="P509" i="40"/>
  <c r="F509" i="40"/>
  <c r="G509" i="40"/>
  <c r="I509" i="40"/>
  <c r="O509" i="40"/>
  <c r="K509" i="40"/>
  <c r="L509" i="40"/>
  <c r="M509" i="40"/>
  <c r="N509" i="40"/>
  <c r="Q563" i="40"/>
  <c r="Q633" i="40"/>
  <c r="Q665" i="40"/>
  <c r="Q656" i="40"/>
  <c r="Q593" i="40"/>
  <c r="K385" i="40"/>
  <c r="L385" i="40"/>
  <c r="F385" i="40"/>
  <c r="P385" i="40"/>
  <c r="O385" i="40"/>
  <c r="M385" i="40"/>
  <c r="N385" i="40"/>
  <c r="I385" i="40"/>
  <c r="J385" i="40"/>
  <c r="O410" i="40"/>
  <c r="F410" i="40"/>
  <c r="L410" i="40"/>
  <c r="P410" i="40"/>
  <c r="I410" i="40"/>
  <c r="J398" i="40"/>
  <c r="K398" i="40"/>
  <c r="F398" i="40"/>
  <c r="P398" i="40"/>
  <c r="O398" i="40"/>
  <c r="I398" i="40"/>
  <c r="G398" i="40"/>
  <c r="M398" i="40"/>
  <c r="H398" i="40"/>
  <c r="L398" i="40"/>
  <c r="N398" i="40"/>
  <c r="J411" i="40"/>
  <c r="H411" i="40"/>
  <c r="F411" i="40"/>
  <c r="P411" i="40"/>
  <c r="N411" i="40"/>
  <c r="G411" i="40"/>
  <c r="M411" i="40"/>
  <c r="O411" i="40"/>
  <c r="I411" i="40"/>
  <c r="L411" i="40"/>
  <c r="K411" i="40"/>
  <c r="M414" i="40"/>
  <c r="K414" i="40"/>
  <c r="J414" i="40"/>
  <c r="O414" i="40"/>
  <c r="P414" i="40"/>
  <c r="F414" i="40"/>
  <c r="I414" i="40"/>
  <c r="N414" i="40"/>
  <c r="G414" i="40"/>
  <c r="H414" i="40"/>
  <c r="L414" i="40"/>
  <c r="Q396" i="40"/>
  <c r="K500" i="40"/>
  <c r="J500" i="40"/>
  <c r="L500" i="40"/>
  <c r="I500" i="40"/>
  <c r="M500" i="40"/>
  <c r="N500" i="40"/>
  <c r="O500" i="40"/>
  <c r="H500" i="40"/>
  <c r="P500" i="40"/>
  <c r="G500" i="40"/>
  <c r="F500" i="40"/>
  <c r="J457" i="40"/>
  <c r="M457" i="40"/>
  <c r="G457" i="40"/>
  <c r="P457" i="40"/>
  <c r="H457" i="40"/>
  <c r="I457" i="40"/>
  <c r="K457" i="40"/>
  <c r="F457" i="40"/>
  <c r="N457" i="40"/>
  <c r="O457" i="40"/>
  <c r="L457" i="40"/>
  <c r="M474" i="40"/>
  <c r="K474" i="40"/>
  <c r="N474" i="40"/>
  <c r="P474" i="40"/>
  <c r="F474" i="40"/>
  <c r="G474" i="40"/>
  <c r="O474" i="40"/>
  <c r="H474" i="40"/>
  <c r="I474" i="40"/>
  <c r="L474" i="40"/>
  <c r="J474" i="40"/>
  <c r="H475" i="40"/>
  <c r="P475" i="40"/>
  <c r="I475" i="40"/>
  <c r="K475" i="40"/>
  <c r="F475" i="40"/>
  <c r="G475" i="40"/>
  <c r="J475" i="40"/>
  <c r="L475" i="40"/>
  <c r="M475" i="40"/>
  <c r="N475" i="40"/>
  <c r="O475" i="40"/>
  <c r="G448" i="40"/>
  <c r="O448" i="40"/>
  <c r="K448" i="40"/>
  <c r="N448" i="40"/>
  <c r="H448" i="40"/>
  <c r="I448" i="40"/>
  <c r="J448" i="40"/>
  <c r="L448" i="40"/>
  <c r="F448" i="40"/>
  <c r="M448" i="40"/>
  <c r="P448" i="40"/>
  <c r="F485" i="40"/>
  <c r="N485" i="40"/>
  <c r="H485" i="40"/>
  <c r="I485" i="40"/>
  <c r="G485" i="40"/>
  <c r="P485" i="40"/>
  <c r="O485" i="40"/>
  <c r="J485" i="40"/>
  <c r="K485" i="40"/>
  <c r="L485" i="40"/>
  <c r="M485" i="40"/>
  <c r="Q502" i="40"/>
  <c r="Q517" i="40"/>
  <c r="Q519" i="40"/>
  <c r="Q531" i="40"/>
  <c r="Q551" i="40"/>
  <c r="H499" i="40"/>
  <c r="P499" i="40"/>
  <c r="M499" i="40"/>
  <c r="N499" i="40"/>
  <c r="L499" i="40"/>
  <c r="F499" i="40"/>
  <c r="G499" i="40"/>
  <c r="I499" i="40"/>
  <c r="K499" i="40"/>
  <c r="O499" i="40"/>
  <c r="J499" i="40"/>
  <c r="Q583" i="40"/>
  <c r="K642" i="40"/>
  <c r="L642" i="40"/>
  <c r="M642" i="40"/>
  <c r="F642" i="40"/>
  <c r="N642" i="40"/>
  <c r="J642" i="40"/>
  <c r="I642" i="40"/>
  <c r="G642" i="40"/>
  <c r="O642" i="40"/>
  <c r="H642" i="40"/>
  <c r="P642" i="40"/>
  <c r="Q664" i="40"/>
  <c r="K650" i="40"/>
  <c r="L650" i="40"/>
  <c r="M650" i="40"/>
  <c r="J650" i="40"/>
  <c r="F650" i="40"/>
  <c r="N650" i="40"/>
  <c r="P650" i="40"/>
  <c r="G650" i="40"/>
  <c r="I650" i="40"/>
  <c r="H650" i="40"/>
  <c r="O650" i="40"/>
  <c r="K658" i="40"/>
  <c r="L658" i="40"/>
  <c r="M658" i="40"/>
  <c r="N658" i="40"/>
  <c r="J658" i="40"/>
  <c r="F658" i="40"/>
  <c r="O658" i="40"/>
  <c r="H658" i="40"/>
  <c r="G658" i="40"/>
  <c r="I658" i="40"/>
  <c r="P658" i="40"/>
  <c r="Q554" i="40"/>
  <c r="Q536" i="40"/>
  <c r="Q537" i="40"/>
  <c r="J413" i="40"/>
  <c r="N413" i="40"/>
  <c r="K413" i="40"/>
  <c r="L413" i="40"/>
  <c r="M413" i="40"/>
  <c r="O413" i="40"/>
  <c r="G413" i="40"/>
  <c r="I413" i="40"/>
  <c r="F413" i="40"/>
  <c r="H413" i="40"/>
  <c r="P413" i="40"/>
  <c r="M412" i="40"/>
  <c r="F412" i="40"/>
  <c r="O412" i="40"/>
  <c r="G412" i="40"/>
  <c r="J412" i="40"/>
  <c r="H412" i="40"/>
  <c r="I412" i="40"/>
  <c r="K412" i="40"/>
  <c r="P412" i="40"/>
  <c r="L412" i="40"/>
  <c r="N412" i="40"/>
  <c r="M428" i="40"/>
  <c r="N428" i="40"/>
  <c r="L428" i="40"/>
  <c r="O428" i="40"/>
  <c r="H428" i="40"/>
  <c r="J428" i="40"/>
  <c r="G428" i="40"/>
  <c r="I428" i="40"/>
  <c r="K428" i="40"/>
  <c r="P428" i="40"/>
  <c r="F428" i="40"/>
  <c r="J390" i="40"/>
  <c r="K390" i="40"/>
  <c r="F390" i="40"/>
  <c r="P390" i="40"/>
  <c r="O390" i="40"/>
  <c r="M390" i="40"/>
  <c r="N390" i="40"/>
  <c r="H390" i="40"/>
  <c r="G390" i="40"/>
  <c r="I390" i="40"/>
  <c r="L390" i="40"/>
  <c r="O397" i="40"/>
  <c r="P397" i="40"/>
  <c r="N397" i="40"/>
  <c r="K397" i="40"/>
  <c r="F397" i="40"/>
  <c r="I397" i="40"/>
  <c r="J397" i="40"/>
  <c r="L397" i="40"/>
  <c r="M397" i="40"/>
  <c r="M422" i="40"/>
  <c r="G422" i="40"/>
  <c r="P422" i="40"/>
  <c r="I422" i="40"/>
  <c r="L422" i="40"/>
  <c r="N422" i="40"/>
  <c r="F422" i="40"/>
  <c r="J422" i="40"/>
  <c r="H422" i="40"/>
  <c r="K422" i="40"/>
  <c r="O422" i="40"/>
  <c r="Q409" i="40"/>
  <c r="K401" i="40"/>
  <c r="L401" i="40"/>
  <c r="F401" i="40"/>
  <c r="P401" i="40"/>
  <c r="O401" i="40"/>
  <c r="M401" i="40"/>
  <c r="I401" i="40"/>
  <c r="H401" i="40"/>
  <c r="J401" i="40"/>
  <c r="N401" i="40"/>
  <c r="G401" i="40"/>
  <c r="Q402" i="40"/>
  <c r="J421" i="40"/>
  <c r="I421" i="40"/>
  <c r="H421" i="40"/>
  <c r="K421" i="40"/>
  <c r="L421" i="40"/>
  <c r="O421" i="40"/>
  <c r="F421" i="40"/>
  <c r="G421" i="40"/>
  <c r="M421" i="40"/>
  <c r="N421" i="40"/>
  <c r="P421" i="40"/>
  <c r="L455" i="40"/>
  <c r="I455" i="40"/>
  <c r="M455" i="40"/>
  <c r="O455" i="40"/>
  <c r="P455" i="40"/>
  <c r="F455" i="40"/>
  <c r="N455" i="40"/>
  <c r="G455" i="40"/>
  <c r="K455" i="40"/>
  <c r="J455" i="40"/>
  <c r="H455" i="40"/>
  <c r="J473" i="40"/>
  <c r="N473" i="40"/>
  <c r="G473" i="40"/>
  <c r="P473" i="40"/>
  <c r="L473" i="40"/>
  <c r="M473" i="40"/>
  <c r="O473" i="40"/>
  <c r="K473" i="40"/>
  <c r="F473" i="40"/>
  <c r="H473" i="40"/>
  <c r="I473" i="40"/>
  <c r="Q444" i="40"/>
  <c r="L546" i="40"/>
  <c r="I546" i="40"/>
  <c r="K546" i="40"/>
  <c r="H546" i="40"/>
  <c r="O546" i="40"/>
  <c r="P546" i="40"/>
  <c r="F546" i="40"/>
  <c r="G546" i="40"/>
  <c r="J546" i="40"/>
  <c r="M546" i="40"/>
  <c r="N546" i="40"/>
  <c r="Q512" i="40"/>
  <c r="Q518" i="40"/>
  <c r="H542" i="40"/>
  <c r="P542" i="40"/>
  <c r="L542" i="40"/>
  <c r="M542" i="40"/>
  <c r="N542" i="40"/>
  <c r="K542" i="40"/>
  <c r="J542" i="40"/>
  <c r="O542" i="40"/>
  <c r="F542" i="40"/>
  <c r="G542" i="40"/>
  <c r="I542" i="40"/>
  <c r="J533" i="40"/>
  <c r="G533" i="40"/>
  <c r="P533" i="40"/>
  <c r="F533" i="40"/>
  <c r="H533" i="40"/>
  <c r="I533" i="40"/>
  <c r="O533" i="40"/>
  <c r="K533" i="40"/>
  <c r="L533" i="40"/>
  <c r="M533" i="40"/>
  <c r="N533" i="40"/>
  <c r="H581" i="40"/>
  <c r="P581" i="40"/>
  <c r="M581" i="40"/>
  <c r="G581" i="40"/>
  <c r="N581" i="40"/>
  <c r="F581" i="40"/>
  <c r="O581" i="40"/>
  <c r="I581" i="40"/>
  <c r="J581" i="40"/>
  <c r="K581" i="40"/>
  <c r="L581" i="40"/>
  <c r="Q657" i="40"/>
  <c r="L621" i="40"/>
  <c r="M621" i="40"/>
  <c r="G621" i="40"/>
  <c r="O621" i="40"/>
  <c r="F621" i="40"/>
  <c r="N621" i="40"/>
  <c r="H621" i="40"/>
  <c r="P621" i="40"/>
  <c r="K621" i="40"/>
  <c r="I621" i="40"/>
  <c r="J621" i="40"/>
  <c r="K602" i="40"/>
  <c r="L602" i="40"/>
  <c r="F602" i="40"/>
  <c r="N602" i="40"/>
  <c r="G602" i="40"/>
  <c r="M602" i="40"/>
  <c r="O602" i="40"/>
  <c r="J602" i="40"/>
  <c r="H602" i="40"/>
  <c r="I602" i="40"/>
  <c r="P602" i="40"/>
  <c r="F407" i="40"/>
  <c r="N407" i="40"/>
  <c r="K407" i="40"/>
  <c r="H407" i="40"/>
  <c r="P407" i="40"/>
  <c r="I407" i="40"/>
  <c r="G407" i="40"/>
  <c r="J407" i="40"/>
  <c r="L407" i="40"/>
  <c r="O407" i="40"/>
  <c r="M407" i="40"/>
  <c r="M450" i="40"/>
  <c r="F450" i="40"/>
  <c r="O450" i="40"/>
  <c r="I450" i="40"/>
  <c r="N450" i="40"/>
  <c r="P450" i="40"/>
  <c r="L450" i="40"/>
  <c r="K450" i="40"/>
  <c r="J450" i="40"/>
  <c r="H450" i="40"/>
  <c r="G450" i="40"/>
  <c r="Q386" i="40"/>
  <c r="F433" i="40"/>
  <c r="N433" i="40"/>
  <c r="K433" i="40"/>
  <c r="O433" i="40"/>
  <c r="H433" i="40"/>
  <c r="P433" i="40"/>
  <c r="G433" i="40"/>
  <c r="M433" i="40"/>
  <c r="I433" i="40"/>
  <c r="J433" i="40"/>
  <c r="L433" i="40"/>
  <c r="J437" i="40"/>
  <c r="N437" i="40"/>
  <c r="F437" i="40"/>
  <c r="P437" i="40"/>
  <c r="G437" i="40"/>
  <c r="I437" i="40"/>
  <c r="O437" i="40"/>
  <c r="L437" i="40"/>
  <c r="M437" i="40"/>
  <c r="H437" i="40"/>
  <c r="K437" i="40"/>
  <c r="Q403" i="40"/>
  <c r="J441" i="40"/>
  <c r="M441" i="40"/>
  <c r="G441" i="40"/>
  <c r="P441" i="40"/>
  <c r="L441" i="40"/>
  <c r="F441" i="40"/>
  <c r="H441" i="40"/>
  <c r="N441" i="40"/>
  <c r="O441" i="40"/>
  <c r="K441" i="40"/>
  <c r="I441" i="40"/>
  <c r="M482" i="40"/>
  <c r="G482" i="40"/>
  <c r="O482" i="40"/>
  <c r="K482" i="40"/>
  <c r="L482" i="40"/>
  <c r="J482" i="40"/>
  <c r="I482" i="40"/>
  <c r="N482" i="40"/>
  <c r="P482" i="40"/>
  <c r="H482" i="40"/>
  <c r="F482" i="40"/>
  <c r="J481" i="40"/>
  <c r="I481" i="40"/>
  <c r="L481" i="40"/>
  <c r="K481" i="40"/>
  <c r="M481" i="40"/>
  <c r="H481" i="40"/>
  <c r="P481" i="40"/>
  <c r="F481" i="40"/>
  <c r="O481" i="40"/>
  <c r="N481" i="40"/>
  <c r="G481" i="40"/>
  <c r="Q516" i="40"/>
  <c r="F493" i="40"/>
  <c r="N493" i="40"/>
  <c r="L493" i="40"/>
  <c r="M493" i="40"/>
  <c r="K493" i="40"/>
  <c r="I493" i="40"/>
  <c r="J493" i="40"/>
  <c r="O493" i="40"/>
  <c r="H493" i="40"/>
  <c r="G493" i="40"/>
  <c r="P493" i="40"/>
  <c r="Q505" i="40"/>
  <c r="G578" i="40"/>
  <c r="O578" i="40"/>
  <c r="L578" i="40"/>
  <c r="M578" i="40"/>
  <c r="N578" i="40"/>
  <c r="F578" i="40"/>
  <c r="P578" i="40"/>
  <c r="H578" i="40"/>
  <c r="I578" i="40"/>
  <c r="J578" i="40"/>
  <c r="K578" i="40"/>
  <c r="Q609" i="40"/>
  <c r="M624" i="40"/>
  <c r="F624" i="40"/>
  <c r="N624" i="40"/>
  <c r="G624" i="40"/>
  <c r="O624" i="40"/>
  <c r="L624" i="40"/>
  <c r="H624" i="40"/>
  <c r="P624" i="40"/>
  <c r="I624" i="40"/>
  <c r="J624" i="40"/>
  <c r="K624" i="40"/>
  <c r="Q613" i="40"/>
  <c r="Q663" i="40"/>
  <c r="Q637" i="40"/>
  <c r="L378" i="40"/>
  <c r="I378" i="40"/>
  <c r="O378" i="40"/>
  <c r="F378" i="40"/>
  <c r="L7" i="21" a="1"/>
  <c r="L7" i="21" s="1"/>
  <c r="M7" i="21" a="1"/>
  <c r="M7" i="21" s="1"/>
  <c r="L9" i="13" a="1"/>
  <c r="L9" i="13" s="1"/>
  <c r="M9" i="13" a="1"/>
  <c r="M9" i="13" s="1"/>
  <c r="G381" i="40" s="1"/>
  <c r="Q381" i="40" s="1"/>
  <c r="L8" i="13" a="1"/>
  <c r="L8" i="13" s="1"/>
  <c r="M8" i="13" a="1"/>
  <c r="M8" i="13" s="1"/>
  <c r="G380" i="40" s="1"/>
  <c r="Q380" i="40" s="1"/>
  <c r="L7" i="13" a="1"/>
  <c r="L7" i="13" s="1"/>
  <c r="M7" i="13" a="1"/>
  <c r="M7" i="13" s="1"/>
  <c r="G399" i="40" s="1"/>
  <c r="L7" i="20" a="1"/>
  <c r="L7" i="20" s="1"/>
  <c r="L6" i="20" a="1"/>
  <c r="L6" i="20" s="1"/>
  <c r="M6" i="20" a="1"/>
  <c r="M6" i="20" s="1"/>
  <c r="J379" i="40" s="1"/>
  <c r="L7" i="22" a="1"/>
  <c r="L7" i="22" s="1"/>
  <c r="M7" i="22" a="1"/>
  <c r="M7" i="22" s="1"/>
  <c r="M379" i="40" s="1"/>
  <c r="L6" i="22" a="1"/>
  <c r="L6" i="22" s="1"/>
  <c r="M6" i="22" a="1"/>
  <c r="M6" i="22" s="1"/>
  <c r="M410" i="40" s="1"/>
  <c r="L6" i="21" a="1"/>
  <c r="L6" i="21" s="1"/>
  <c r="M6" i="21" a="1"/>
  <c r="M6" i="21" s="1"/>
  <c r="A1" i="27"/>
  <c r="A2" i="27"/>
  <c r="G395" i="40" l="1"/>
  <c r="G394" i="40"/>
  <c r="Q394" i="40" s="1"/>
  <c r="R394" i="40" s="1"/>
  <c r="J378" i="40"/>
  <c r="Q530" i="40"/>
  <c r="R530" i="40" s="1"/>
  <c r="Q662" i="40"/>
  <c r="U662" i="40" s="1"/>
  <c r="Q468" i="40"/>
  <c r="R468" i="40" s="1"/>
  <c r="Q590" i="40"/>
  <c r="T590" i="40" s="1"/>
  <c r="Q616" i="40"/>
  <c r="S616" i="40" s="1"/>
  <c r="Q492" i="40"/>
  <c r="R492" i="40" s="1"/>
  <c r="Q408" i="40"/>
  <c r="S408" i="40" s="1"/>
  <c r="Q547" i="40"/>
  <c r="R547" i="40" s="1"/>
  <c r="Q456" i="40"/>
  <c r="S456" i="40" s="1"/>
  <c r="Q420" i="40"/>
  <c r="U420" i="40" s="1"/>
  <c r="T615" i="40"/>
  <c r="R615" i="40"/>
  <c r="U400" i="40"/>
  <c r="Q561" i="40"/>
  <c r="R561" i="40" s="1"/>
  <c r="Q439" i="40"/>
  <c r="U439" i="40" s="1"/>
  <c r="Q453" i="40"/>
  <c r="S453" i="40" s="1"/>
  <c r="Q483" i="40"/>
  <c r="R483" i="40" s="1"/>
  <c r="Q545" i="40"/>
  <c r="T545" i="40" s="1"/>
  <c r="Q434" i="40"/>
  <c r="T434" i="40" s="1"/>
  <c r="R582" i="40"/>
  <c r="U615" i="40"/>
  <c r="M378" i="40"/>
  <c r="Q617" i="40"/>
  <c r="R617" i="40" s="1"/>
  <c r="Q625" i="40"/>
  <c r="U625" i="40" s="1"/>
  <c r="Q585" i="40"/>
  <c r="R585" i="40" s="1"/>
  <c r="Q404" i="40"/>
  <c r="U404" i="40" s="1"/>
  <c r="Q564" i="40"/>
  <c r="U564" i="40" s="1"/>
  <c r="T460" i="40"/>
  <c r="Q606" i="40"/>
  <c r="S606" i="40" s="1"/>
  <c r="Q573" i="40"/>
  <c r="S573" i="40" s="1"/>
  <c r="Q494" i="40"/>
  <c r="U494" i="40" s="1"/>
  <c r="Q560" i="40"/>
  <c r="S560" i="40" s="1"/>
  <c r="Q435" i="40"/>
  <c r="T435" i="40" s="1"/>
  <c r="Q525" i="40"/>
  <c r="S525" i="40" s="1"/>
  <c r="Q592" i="40"/>
  <c r="U592" i="40" s="1"/>
  <c r="Q580" i="40"/>
  <c r="T580" i="40" s="1"/>
  <c r="Q458" i="40"/>
  <c r="R458" i="40" s="1"/>
  <c r="Q601" i="40"/>
  <c r="T601" i="40" s="1"/>
  <c r="Q595" i="40"/>
  <c r="U595" i="40" s="1"/>
  <c r="Q498" i="40"/>
  <c r="R498" i="40" s="1"/>
  <c r="Q424" i="40"/>
  <c r="T424" i="40" s="1"/>
  <c r="Q452" i="40"/>
  <c r="S452" i="40" s="1"/>
  <c r="Q415" i="40"/>
  <c r="T415" i="40" s="1"/>
  <c r="Q641" i="40"/>
  <c r="U641" i="40" s="1"/>
  <c r="Q532" i="40"/>
  <c r="R532" i="40" s="1"/>
  <c r="U388" i="40"/>
  <c r="Q556" i="40"/>
  <c r="S556" i="40" s="1"/>
  <c r="Q623" i="40"/>
  <c r="S623" i="40" s="1"/>
  <c r="Q608" i="40"/>
  <c r="U608" i="40" s="1"/>
  <c r="Q550" i="40"/>
  <c r="R550" i="40" s="1"/>
  <c r="Q478" i="40"/>
  <c r="T478" i="40" s="1"/>
  <c r="Q520" i="40"/>
  <c r="T520" i="40" s="1"/>
  <c r="Q600" i="40"/>
  <c r="U600" i="40" s="1"/>
  <c r="Q577" i="40"/>
  <c r="T577" i="40" s="1"/>
  <c r="Q506" i="40"/>
  <c r="R506" i="40" s="1"/>
  <c r="Q469" i="40"/>
  <c r="R469" i="40" s="1"/>
  <c r="Q470" i="40"/>
  <c r="U470" i="40" s="1"/>
  <c r="Q659" i="40"/>
  <c r="R659" i="40" s="1"/>
  <c r="S400" i="40"/>
  <c r="T400" i="40"/>
  <c r="T582" i="40"/>
  <c r="R388" i="40"/>
  <c r="S582" i="40"/>
  <c r="S388" i="40"/>
  <c r="Q538" i="40"/>
  <c r="R538" i="40" s="1"/>
  <c r="Q406" i="40"/>
  <c r="T406" i="40" s="1"/>
  <c r="Q549" i="40"/>
  <c r="R549" i="40" s="1"/>
  <c r="Q569" i="40"/>
  <c r="S569" i="40" s="1"/>
  <c r="Q392" i="40"/>
  <c r="T392" i="40" s="1"/>
  <c r="Q591" i="40"/>
  <c r="S591" i="40" s="1"/>
  <c r="Q430" i="40"/>
  <c r="R430" i="40" s="1"/>
  <c r="Q611" i="40"/>
  <c r="U611" i="40" s="1"/>
  <c r="Q438" i="40"/>
  <c r="S438" i="40" s="1"/>
  <c r="Q418" i="40"/>
  <c r="R418" i="40" s="1"/>
  <c r="Q426" i="40"/>
  <c r="T426" i="40" s="1"/>
  <c r="S661" i="40"/>
  <c r="R660" i="40"/>
  <c r="Q480" i="40"/>
  <c r="U480" i="40" s="1"/>
  <c r="Q627" i="40"/>
  <c r="R627" i="40" s="1"/>
  <c r="Q461" i="40"/>
  <c r="S461" i="40" s="1"/>
  <c r="Q419" i="40"/>
  <c r="U419" i="40" s="1"/>
  <c r="Q417" i="40"/>
  <c r="R417" i="40" s="1"/>
  <c r="Q620" i="40"/>
  <c r="S620" i="40" s="1"/>
  <c r="Q476" i="40"/>
  <c r="U476" i="40" s="1"/>
  <c r="S598" i="40"/>
  <c r="U598" i="40"/>
  <c r="Q454" i="40"/>
  <c r="R454" i="40" s="1"/>
  <c r="Q576" i="40"/>
  <c r="T576" i="40" s="1"/>
  <c r="Q491" i="40"/>
  <c r="U491" i="40" s="1"/>
  <c r="Q607" i="40"/>
  <c r="T607" i="40" s="1"/>
  <c r="Q651" i="40"/>
  <c r="S651" i="40" s="1"/>
  <c r="Q472" i="40"/>
  <c r="R472" i="40" s="1"/>
  <c r="U631" i="40"/>
  <c r="U660" i="40"/>
  <c r="Q387" i="40"/>
  <c r="R387" i="40" s="1"/>
  <c r="T660" i="40"/>
  <c r="Q395" i="40"/>
  <c r="Q643" i="40"/>
  <c r="S643" i="40" s="1"/>
  <c r="R598" i="40"/>
  <c r="Q462" i="40"/>
  <c r="T462" i="40" s="1"/>
  <c r="Q514" i="40"/>
  <c r="T514" i="40" s="1"/>
  <c r="Q635" i="40"/>
  <c r="S635" i="40" s="1"/>
  <c r="Q586" i="40"/>
  <c r="T586" i="40" s="1"/>
  <c r="Q486" i="40"/>
  <c r="T486" i="40" s="1"/>
  <c r="Q604" i="40"/>
  <c r="T604" i="40" s="1"/>
  <c r="Q619" i="40"/>
  <c r="S619" i="40" s="1"/>
  <c r="Q553" i="40"/>
  <c r="T553" i="40" s="1"/>
  <c r="Q614" i="40"/>
  <c r="U614" i="40" s="1"/>
  <c r="Q432" i="40"/>
  <c r="R432" i="40" s="1"/>
  <c r="Q442" i="40"/>
  <c r="S442" i="40" s="1"/>
  <c r="Q522" i="40"/>
  <c r="R522" i="40" s="1"/>
  <c r="Q526" i="40"/>
  <c r="U526" i="40" s="1"/>
  <c r="T631" i="40"/>
  <c r="S460" i="40"/>
  <c r="S497" i="40"/>
  <c r="S631" i="40"/>
  <c r="R460" i="40"/>
  <c r="T652" i="40"/>
  <c r="U652" i="40"/>
  <c r="Q529" i="40"/>
  <c r="S652" i="40"/>
  <c r="S596" i="40"/>
  <c r="T467" i="40"/>
  <c r="U540" i="40"/>
  <c r="T628" i="40"/>
  <c r="T644" i="40"/>
  <c r="S644" i="40"/>
  <c r="S628" i="40"/>
  <c r="U467" i="40"/>
  <c r="R540" i="40"/>
  <c r="S447" i="40"/>
  <c r="S639" i="40"/>
  <c r="T384" i="40"/>
  <c r="R384" i="40"/>
  <c r="R639" i="40"/>
  <c r="T612" i="40"/>
  <c r="T425" i="40"/>
  <c r="S645" i="40"/>
  <c r="R628" i="40"/>
  <c r="R644" i="40"/>
  <c r="R645" i="40"/>
  <c r="R467" i="40"/>
  <c r="S540" i="40"/>
  <c r="R579" i="40"/>
  <c r="S612" i="40"/>
  <c r="R640" i="40"/>
  <c r="U567" i="40"/>
  <c r="S490" i="40"/>
  <c r="U446" i="40"/>
  <c r="U612" i="40"/>
  <c r="S640" i="40"/>
  <c r="T567" i="40"/>
  <c r="U490" i="40"/>
  <c r="S446" i="40"/>
  <c r="R425" i="40"/>
  <c r="U640" i="40"/>
  <c r="S567" i="40"/>
  <c r="T490" i="40"/>
  <c r="T446" i="40"/>
  <c r="U639" i="40"/>
  <c r="S425" i="40"/>
  <c r="U645" i="40"/>
  <c r="U622" i="40"/>
  <c r="S599" i="40"/>
  <c r="T571" i="40"/>
  <c r="U523" i="40"/>
  <c r="R528" i="40"/>
  <c r="S622" i="40"/>
  <c r="R599" i="40"/>
  <c r="U599" i="40"/>
  <c r="T622" i="40"/>
  <c r="G397" i="40"/>
  <c r="Q397" i="40" s="1"/>
  <c r="G379" i="40"/>
  <c r="Q379" i="40" s="1"/>
  <c r="S523" i="40"/>
  <c r="R447" i="40"/>
  <c r="U571" i="40"/>
  <c r="R523" i="40"/>
  <c r="U447" i="40"/>
  <c r="S571" i="40"/>
  <c r="U423" i="40"/>
  <c r="S524" i="40"/>
  <c r="U497" i="40"/>
  <c r="S423" i="40"/>
  <c r="U638" i="40"/>
  <c r="S654" i="40"/>
  <c r="T497" i="40"/>
  <c r="R423" i="40"/>
  <c r="T646" i="40"/>
  <c r="R654" i="40"/>
  <c r="S443" i="40"/>
  <c r="U636" i="40"/>
  <c r="U654" i="40"/>
  <c r="R596" i="40"/>
  <c r="U661" i="40"/>
  <c r="S646" i="40"/>
  <c r="T596" i="40"/>
  <c r="T661" i="40"/>
  <c r="R646" i="40"/>
  <c r="U459" i="40"/>
  <c r="T459" i="40"/>
  <c r="U443" i="40"/>
  <c r="S638" i="40"/>
  <c r="R636" i="40"/>
  <c r="S459" i="40"/>
  <c r="T638" i="40"/>
  <c r="T636" i="40"/>
  <c r="R443" i="40"/>
  <c r="S501" i="40"/>
  <c r="T501" i="40"/>
  <c r="T653" i="40"/>
  <c r="S511" i="40"/>
  <c r="R504" i="40"/>
  <c r="S504" i="40"/>
  <c r="U630" i="40"/>
  <c r="T504" i="40"/>
  <c r="T440" i="40"/>
  <c r="S477" i="40"/>
  <c r="R653" i="40"/>
  <c r="S579" i="40"/>
  <c r="T647" i="40"/>
  <c r="U511" i="40"/>
  <c r="U647" i="40"/>
  <c r="R552" i="40"/>
  <c r="R511" i="40"/>
  <c r="S647" i="40"/>
  <c r="S552" i="40"/>
  <c r="R584" i="40"/>
  <c r="U501" i="40"/>
  <c r="U477" i="40"/>
  <c r="T524" i="40"/>
  <c r="T579" i="40"/>
  <c r="R477" i="40"/>
  <c r="R524" i="40"/>
  <c r="T566" i="40"/>
  <c r="Q482" i="40"/>
  <c r="T482" i="40" s="1"/>
  <c r="U527" i="40"/>
  <c r="Q500" i="40"/>
  <c r="U500" i="40" s="1"/>
  <c r="R464" i="40"/>
  <c r="R566" i="40"/>
  <c r="S527" i="40"/>
  <c r="T464" i="40"/>
  <c r="T527" i="40"/>
  <c r="S464" i="40"/>
  <c r="R605" i="40"/>
  <c r="U570" i="40"/>
  <c r="S603" i="40"/>
  <c r="T528" i="40"/>
  <c r="S584" i="40"/>
  <c r="S528" i="40"/>
  <c r="S555" i="40"/>
  <c r="T555" i="40"/>
  <c r="T603" i="40"/>
  <c r="S440" i="40"/>
  <c r="Q450" i="40"/>
  <c r="R450" i="40" s="1"/>
  <c r="T391" i="40"/>
  <c r="U555" i="40"/>
  <c r="T552" i="40"/>
  <c r="U632" i="40"/>
  <c r="U653" i="40"/>
  <c r="T605" i="40"/>
  <c r="T584" i="40"/>
  <c r="S566" i="40"/>
  <c r="U603" i="40"/>
  <c r="U440" i="40"/>
  <c r="Q594" i="40"/>
  <c r="T594" i="40" s="1"/>
  <c r="Q437" i="40"/>
  <c r="S437" i="40" s="1"/>
  <c r="Q499" i="40"/>
  <c r="S499" i="40" s="1"/>
  <c r="Q509" i="40"/>
  <c r="R509" i="40" s="1"/>
  <c r="Q535" i="40"/>
  <c r="R535" i="40" s="1"/>
  <c r="R570" i="40"/>
  <c r="R632" i="40"/>
  <c r="T630" i="40"/>
  <c r="R391" i="40"/>
  <c r="U605" i="40"/>
  <c r="Q422" i="40"/>
  <c r="R422" i="40" s="1"/>
  <c r="S570" i="40"/>
  <c r="T632" i="40"/>
  <c r="S630" i="40"/>
  <c r="U391" i="40"/>
  <c r="Q578" i="40"/>
  <c r="R578" i="40" s="1"/>
  <c r="Q481" i="40"/>
  <c r="U481" i="40" s="1"/>
  <c r="J410" i="40"/>
  <c r="Q416" i="40"/>
  <c r="U416" i="40" s="1"/>
  <c r="G410" i="40"/>
  <c r="S534" i="40"/>
  <c r="T534" i="40"/>
  <c r="U534" i="40"/>
  <c r="R534" i="40"/>
  <c r="U505" i="40"/>
  <c r="R505" i="40"/>
  <c r="S505" i="40"/>
  <c r="T505" i="40"/>
  <c r="R402" i="40"/>
  <c r="S402" i="40"/>
  <c r="T402" i="40"/>
  <c r="U402" i="40"/>
  <c r="S554" i="40"/>
  <c r="R554" i="40"/>
  <c r="T554" i="40"/>
  <c r="U554" i="40"/>
  <c r="T633" i="40"/>
  <c r="S633" i="40"/>
  <c r="R633" i="40"/>
  <c r="U633" i="40"/>
  <c r="R451" i="40"/>
  <c r="S451" i="40"/>
  <c r="T451" i="40"/>
  <c r="U451" i="40"/>
  <c r="U587" i="40"/>
  <c r="R587" i="40"/>
  <c r="S587" i="40"/>
  <c r="T587" i="40"/>
  <c r="T649" i="40"/>
  <c r="R649" i="40"/>
  <c r="S649" i="40"/>
  <c r="U649" i="40"/>
  <c r="U574" i="40"/>
  <c r="T574" i="40"/>
  <c r="R574" i="40"/>
  <c r="S574" i="40"/>
  <c r="U609" i="40"/>
  <c r="R609" i="40"/>
  <c r="S609" i="40"/>
  <c r="T609" i="40"/>
  <c r="R403" i="40"/>
  <c r="S403" i="40"/>
  <c r="T403" i="40"/>
  <c r="U403" i="40"/>
  <c r="R386" i="40"/>
  <c r="S386" i="40"/>
  <c r="T386" i="40"/>
  <c r="U386" i="40"/>
  <c r="S531" i="40"/>
  <c r="T531" i="40"/>
  <c r="R531" i="40"/>
  <c r="U531" i="40"/>
  <c r="T495" i="40"/>
  <c r="U495" i="40"/>
  <c r="R495" i="40"/>
  <c r="S495" i="40"/>
  <c r="S663" i="40"/>
  <c r="U663" i="40"/>
  <c r="R663" i="40"/>
  <c r="T663" i="40"/>
  <c r="R518" i="40"/>
  <c r="S518" i="40"/>
  <c r="T518" i="40"/>
  <c r="U518" i="40"/>
  <c r="R444" i="40"/>
  <c r="S444" i="40"/>
  <c r="T444" i="40"/>
  <c r="U444" i="40"/>
  <c r="R637" i="40"/>
  <c r="S637" i="40"/>
  <c r="T637" i="40"/>
  <c r="U637" i="40"/>
  <c r="R381" i="40"/>
  <c r="T381" i="40"/>
  <c r="R396" i="40"/>
  <c r="S396" i="40"/>
  <c r="T396" i="40"/>
  <c r="U396" i="40"/>
  <c r="R563" i="40"/>
  <c r="S563" i="40"/>
  <c r="T563" i="40"/>
  <c r="U563" i="40"/>
  <c r="U568" i="40"/>
  <c r="R568" i="40"/>
  <c r="T568" i="40"/>
  <c r="S568" i="40"/>
  <c r="R613" i="40"/>
  <c r="S613" i="40"/>
  <c r="T613" i="40"/>
  <c r="U613" i="40"/>
  <c r="R583" i="40"/>
  <c r="T583" i="40"/>
  <c r="S583" i="40"/>
  <c r="U583" i="40"/>
  <c r="S517" i="40"/>
  <c r="R517" i="40"/>
  <c r="T517" i="40"/>
  <c r="U517" i="40"/>
  <c r="U409" i="40"/>
  <c r="S409" i="40"/>
  <c r="T409" i="40"/>
  <c r="R409" i="40"/>
  <c r="U445" i="40"/>
  <c r="R445" i="40"/>
  <c r="S445" i="40"/>
  <c r="T445" i="40"/>
  <c r="R380" i="40"/>
  <c r="T380" i="40"/>
  <c r="R593" i="40"/>
  <c r="S593" i="40"/>
  <c r="U593" i="40"/>
  <c r="T593" i="40"/>
  <c r="R655" i="40"/>
  <c r="S655" i="40"/>
  <c r="T655" i="40"/>
  <c r="U655" i="40"/>
  <c r="R436" i="40"/>
  <c r="T436" i="40"/>
  <c r="U436" i="40"/>
  <c r="S436" i="40"/>
  <c r="R516" i="40"/>
  <c r="T516" i="40"/>
  <c r="U516" i="40"/>
  <c r="S516" i="40"/>
  <c r="R512" i="40"/>
  <c r="U512" i="40"/>
  <c r="S512" i="40"/>
  <c r="T512" i="40"/>
  <c r="S537" i="40"/>
  <c r="U537" i="40"/>
  <c r="R537" i="40"/>
  <c r="T537" i="40"/>
  <c r="R502" i="40"/>
  <c r="S502" i="40"/>
  <c r="T502" i="40"/>
  <c r="U502" i="40"/>
  <c r="U656" i="40"/>
  <c r="S656" i="40"/>
  <c r="R656" i="40"/>
  <c r="T656" i="40"/>
  <c r="T471" i="40"/>
  <c r="U471" i="40"/>
  <c r="R471" i="40"/>
  <c r="S471" i="40"/>
  <c r="R589" i="40"/>
  <c r="T589" i="40"/>
  <c r="U589" i="40"/>
  <c r="S589" i="40"/>
  <c r="T519" i="40"/>
  <c r="R519" i="40"/>
  <c r="S519" i="40"/>
  <c r="U519" i="40"/>
  <c r="T665" i="40"/>
  <c r="R665" i="40"/>
  <c r="S665" i="40"/>
  <c r="U665" i="40"/>
  <c r="T541" i="40"/>
  <c r="R541" i="40"/>
  <c r="S541" i="40"/>
  <c r="U541" i="40"/>
  <c r="U648" i="40"/>
  <c r="R648" i="40"/>
  <c r="S648" i="40"/>
  <c r="T648" i="40"/>
  <c r="U521" i="40"/>
  <c r="T521" i="40"/>
  <c r="S521" i="40"/>
  <c r="R521" i="40"/>
  <c r="U463" i="40"/>
  <c r="R463" i="40"/>
  <c r="S463" i="40"/>
  <c r="T463" i="40"/>
  <c r="S536" i="40"/>
  <c r="R536" i="40"/>
  <c r="T536" i="40"/>
  <c r="U536" i="40"/>
  <c r="U664" i="40"/>
  <c r="R664" i="40"/>
  <c r="T664" i="40"/>
  <c r="S664" i="40"/>
  <c r="R657" i="40"/>
  <c r="S657" i="40"/>
  <c r="T657" i="40"/>
  <c r="U657" i="40"/>
  <c r="R382" i="40"/>
  <c r="T382" i="40"/>
  <c r="U551" i="40"/>
  <c r="T551" i="40"/>
  <c r="R551" i="40"/>
  <c r="S551" i="40"/>
  <c r="T394" i="40"/>
  <c r="R629" i="40"/>
  <c r="S629" i="40"/>
  <c r="T629" i="40"/>
  <c r="U629" i="40"/>
  <c r="R539" i="40"/>
  <c r="S539" i="40"/>
  <c r="T539" i="40"/>
  <c r="U539" i="40"/>
  <c r="Q650" i="40"/>
  <c r="Q642" i="40"/>
  <c r="Q411" i="40"/>
  <c r="Q558" i="40"/>
  <c r="Q513" i="40"/>
  <c r="Q510" i="40"/>
  <c r="Q503" i="40"/>
  <c r="Q385" i="40"/>
  <c r="Q465" i="40"/>
  <c r="Q507" i="40"/>
  <c r="Q427" i="40"/>
  <c r="Q431" i="40"/>
  <c r="Q475" i="40"/>
  <c r="Q493" i="40"/>
  <c r="Q624" i="40"/>
  <c r="Q496" i="40"/>
  <c r="Q618" i="40"/>
  <c r="Q597" i="40"/>
  <c r="Q557" i="40"/>
  <c r="Q610" i="40"/>
  <c r="Q508" i="40"/>
  <c r="Q544" i="40"/>
  <c r="Q562" i="40"/>
  <c r="Q621" i="40"/>
  <c r="Q533" i="40"/>
  <c r="Q485" i="40"/>
  <c r="Q399" i="40"/>
  <c r="Q414" i="40"/>
  <c r="Q398" i="40"/>
  <c r="Q489" i="40"/>
  <c r="Q559" i="40"/>
  <c r="Q488" i="40"/>
  <c r="Q565" i="40"/>
  <c r="Q515" i="40"/>
  <c r="Q546" i="40"/>
  <c r="Q401" i="40"/>
  <c r="Q466" i="40"/>
  <c r="Q389" i="40"/>
  <c r="Q484" i="40"/>
  <c r="Q429" i="40"/>
  <c r="Q407" i="40"/>
  <c r="Q581" i="40"/>
  <c r="Q390" i="40"/>
  <c r="Q457" i="40"/>
  <c r="Q548" i="40"/>
  <c r="Q393" i="40"/>
  <c r="Q634" i="40"/>
  <c r="Q588" i="40"/>
  <c r="Q383" i="40"/>
  <c r="Q433" i="40"/>
  <c r="Q602" i="40"/>
  <c r="Q455" i="40"/>
  <c r="Q412" i="40"/>
  <c r="Q413" i="40"/>
  <c r="Q658" i="40"/>
  <c r="Q543" i="40"/>
  <c r="Q441" i="40"/>
  <c r="Q542" i="40"/>
  <c r="Q473" i="40"/>
  <c r="Q428" i="40"/>
  <c r="Q448" i="40"/>
  <c r="Q487" i="40"/>
  <c r="Q572" i="40"/>
  <c r="Q449" i="40"/>
  <c r="Q421" i="40"/>
  <c r="Q474" i="40"/>
  <c r="Q575" i="40"/>
  <c r="Q405" i="40"/>
  <c r="Q626" i="40"/>
  <c r="Q479" i="40"/>
  <c r="C11" i="26" a="1"/>
  <c r="C10" i="26"/>
  <c r="U492" i="40" l="1"/>
  <c r="U590" i="40"/>
  <c r="T530" i="40"/>
  <c r="U530" i="40"/>
  <c r="S530" i="40"/>
  <c r="T492" i="40"/>
  <c r="R590" i="40"/>
  <c r="S590" i="40"/>
  <c r="S662" i="40"/>
  <c r="T662" i="40"/>
  <c r="R662" i="40"/>
  <c r="T468" i="40"/>
  <c r="U468" i="40"/>
  <c r="S468" i="40"/>
  <c r="U616" i="40"/>
  <c r="R616" i="40"/>
  <c r="T616" i="40"/>
  <c r="S492" i="40"/>
  <c r="R456" i="40"/>
  <c r="U456" i="40"/>
  <c r="T408" i="40"/>
  <c r="T547" i="40"/>
  <c r="S547" i="40"/>
  <c r="R408" i="40"/>
  <c r="U547" i="40"/>
  <c r="U408" i="40"/>
  <c r="T456" i="40"/>
  <c r="R420" i="40"/>
  <c r="T420" i="40"/>
  <c r="S420" i="40"/>
  <c r="S561" i="40"/>
  <c r="U561" i="40"/>
  <c r="T643" i="40"/>
  <c r="R434" i="40"/>
  <c r="U452" i="40"/>
  <c r="R419" i="40"/>
  <c r="R395" i="40"/>
  <c r="R452" i="40"/>
  <c r="T564" i="40"/>
  <c r="U406" i="40"/>
  <c r="T404" i="40"/>
  <c r="T561" i="40"/>
  <c r="T525" i="40"/>
  <c r="R404" i="40"/>
  <c r="R604" i="40"/>
  <c r="T483" i="40"/>
  <c r="U585" i="40"/>
  <c r="S483" i="40"/>
  <c r="U483" i="40"/>
  <c r="U545" i="40"/>
  <c r="U461" i="40"/>
  <c r="S545" i="40"/>
  <c r="S439" i="40"/>
  <c r="S580" i="40"/>
  <c r="S549" i="40"/>
  <c r="S550" i="40"/>
  <c r="S415" i="40"/>
  <c r="U601" i="40"/>
  <c r="R439" i="40"/>
  <c r="U434" i="40"/>
  <c r="T592" i="40"/>
  <c r="T439" i="40"/>
  <c r="U617" i="40"/>
  <c r="R577" i="40"/>
  <c r="S434" i="40"/>
  <c r="U659" i="40"/>
  <c r="T595" i="40"/>
  <c r="S601" i="40"/>
  <c r="R453" i="40"/>
  <c r="R560" i="40"/>
  <c r="S532" i="40"/>
  <c r="U556" i="40"/>
  <c r="U453" i="40"/>
  <c r="U498" i="40"/>
  <c r="U573" i="40"/>
  <c r="S625" i="40"/>
  <c r="T453" i="40"/>
  <c r="T506" i="40"/>
  <c r="R573" i="40"/>
  <c r="S426" i="40"/>
  <c r="R476" i="40"/>
  <c r="R643" i="40"/>
  <c r="T641" i="40"/>
  <c r="U643" i="40"/>
  <c r="S607" i="40"/>
  <c r="R545" i="40"/>
  <c r="U538" i="40"/>
  <c r="R580" i="40"/>
  <c r="T498" i="40"/>
  <c r="S506" i="40"/>
  <c r="U560" i="40"/>
  <c r="R625" i="40"/>
  <c r="T556" i="40"/>
  <c r="R556" i="40"/>
  <c r="U478" i="40"/>
  <c r="U580" i="40"/>
  <c r="S498" i="40"/>
  <c r="T560" i="40"/>
  <c r="R651" i="40"/>
  <c r="T625" i="40"/>
  <c r="U549" i="40"/>
  <c r="U506" i="40"/>
  <c r="T549" i="40"/>
  <c r="S478" i="40"/>
  <c r="R478" i="40"/>
  <c r="S480" i="40"/>
  <c r="T606" i="40"/>
  <c r="T470" i="40"/>
  <c r="T617" i="40"/>
  <c r="S576" i="40"/>
  <c r="S617" i="40"/>
  <c r="U514" i="40"/>
  <c r="T452" i="40"/>
  <c r="T573" i="40"/>
  <c r="S494" i="40"/>
  <c r="S486" i="40"/>
  <c r="T608" i="40"/>
  <c r="R601" i="40"/>
  <c r="R576" i="40"/>
  <c r="R564" i="40"/>
  <c r="T532" i="40"/>
  <c r="U532" i="40"/>
  <c r="R438" i="40"/>
  <c r="T472" i="40"/>
  <c r="U392" i="40"/>
  <c r="S564" i="40"/>
  <c r="U472" i="40"/>
  <c r="S514" i="40"/>
  <c r="R461" i="40"/>
  <c r="S520" i="40"/>
  <c r="T395" i="40"/>
  <c r="T476" i="40"/>
  <c r="U432" i="40"/>
  <c r="R525" i="40"/>
  <c r="U604" i="40"/>
  <c r="S404" i="40"/>
  <c r="U469" i="40"/>
  <c r="S641" i="40"/>
  <c r="R424" i="40"/>
  <c r="U424" i="40"/>
  <c r="U458" i="40"/>
  <c r="S458" i="40"/>
  <c r="U606" i="40"/>
  <c r="T620" i="40"/>
  <c r="U525" i="40"/>
  <c r="T623" i="40"/>
  <c r="T469" i="40"/>
  <c r="R641" i="40"/>
  <c r="U435" i="40"/>
  <c r="R435" i="40"/>
  <c r="T585" i="40"/>
  <c r="S585" i="40"/>
  <c r="S454" i="40"/>
  <c r="S424" i="40"/>
  <c r="T458" i="40"/>
  <c r="U623" i="40"/>
  <c r="U520" i="40"/>
  <c r="S435" i="40"/>
  <c r="R606" i="40"/>
  <c r="S595" i="40"/>
  <c r="T659" i="40"/>
  <c r="T494" i="40"/>
  <c r="R415" i="40"/>
  <c r="R406" i="40"/>
  <c r="U550" i="40"/>
  <c r="U577" i="40"/>
  <c r="S418" i="40"/>
  <c r="U418" i="40"/>
  <c r="R595" i="40"/>
  <c r="S659" i="40"/>
  <c r="R494" i="40"/>
  <c r="U415" i="40"/>
  <c r="S406" i="40"/>
  <c r="T550" i="40"/>
  <c r="S577" i="40"/>
  <c r="U591" i="40"/>
  <c r="S592" i="40"/>
  <c r="R462" i="40"/>
  <c r="T480" i="40"/>
  <c r="T591" i="40"/>
  <c r="R591" i="40"/>
  <c r="R592" i="40"/>
  <c r="T418" i="40"/>
  <c r="R480" i="40"/>
  <c r="S470" i="40"/>
  <c r="U486" i="40"/>
  <c r="R608" i="40"/>
  <c r="R614" i="40"/>
  <c r="S462" i="40"/>
  <c r="S392" i="40"/>
  <c r="R623" i="40"/>
  <c r="R470" i="40"/>
  <c r="T491" i="40"/>
  <c r="S469" i="40"/>
  <c r="R486" i="40"/>
  <c r="T461" i="40"/>
  <c r="S608" i="40"/>
  <c r="U576" i="40"/>
  <c r="R520" i="40"/>
  <c r="S476" i="40"/>
  <c r="T526" i="40"/>
  <c r="S538" i="40"/>
  <c r="R600" i="40"/>
  <c r="U462" i="40"/>
  <c r="T600" i="40"/>
  <c r="R392" i="40"/>
  <c r="S553" i="40"/>
  <c r="U627" i="40"/>
  <c r="T611" i="40"/>
  <c r="U430" i="40"/>
  <c r="S526" i="40"/>
  <c r="R526" i="40"/>
  <c r="T438" i="40"/>
  <c r="U438" i="40"/>
  <c r="T614" i="40"/>
  <c r="T538" i="40"/>
  <c r="S614" i="40"/>
  <c r="U620" i="40"/>
  <c r="S600" i="40"/>
  <c r="T627" i="40"/>
  <c r="S611" i="40"/>
  <c r="U651" i="40"/>
  <c r="U454" i="40"/>
  <c r="T454" i="40"/>
  <c r="R569" i="40"/>
  <c r="T569" i="40"/>
  <c r="U569" i="40"/>
  <c r="R620" i="40"/>
  <c r="S627" i="40"/>
  <c r="R611" i="40"/>
  <c r="T651" i="40"/>
  <c r="T417" i="40"/>
  <c r="R426" i="40"/>
  <c r="S417" i="40"/>
  <c r="S430" i="40"/>
  <c r="U607" i="40"/>
  <c r="U426" i="40"/>
  <c r="U417" i="40"/>
  <c r="T430" i="40"/>
  <c r="R607" i="40"/>
  <c r="R553" i="40"/>
  <c r="S491" i="40"/>
  <c r="T419" i="40"/>
  <c r="R586" i="40"/>
  <c r="U586" i="40"/>
  <c r="S522" i="40"/>
  <c r="T522" i="40"/>
  <c r="U522" i="40"/>
  <c r="U553" i="40"/>
  <c r="R491" i="40"/>
  <c r="S419" i="40"/>
  <c r="S586" i="40"/>
  <c r="S472" i="40"/>
  <c r="T387" i="40"/>
  <c r="T635" i="40"/>
  <c r="S387" i="40"/>
  <c r="U387" i="40"/>
  <c r="U619" i="40"/>
  <c r="R635" i="40"/>
  <c r="T619" i="40"/>
  <c r="R514" i="40"/>
  <c r="U635" i="40"/>
  <c r="S604" i="40"/>
  <c r="U442" i="40"/>
  <c r="T442" i="40"/>
  <c r="R442" i="40"/>
  <c r="S432" i="40"/>
  <c r="T432" i="40"/>
  <c r="R619" i="40"/>
  <c r="S529" i="40"/>
  <c r="U529" i="40"/>
  <c r="T529" i="40"/>
  <c r="R529" i="40"/>
  <c r="R379" i="40"/>
  <c r="T379" i="40"/>
  <c r="R481" i="40"/>
  <c r="T500" i="40"/>
  <c r="R500" i="40"/>
  <c r="T450" i="40"/>
  <c r="U450" i="40"/>
  <c r="S500" i="40"/>
  <c r="R482" i="40"/>
  <c r="U578" i="40"/>
  <c r="T481" i="40"/>
  <c r="S481" i="40"/>
  <c r="T437" i="40"/>
  <c r="S578" i="40"/>
  <c r="R437" i="40"/>
  <c r="S482" i="40"/>
  <c r="U482" i="40"/>
  <c r="U499" i="40"/>
  <c r="S450" i="40"/>
  <c r="R499" i="40"/>
  <c r="U437" i="40"/>
  <c r="T509" i="40"/>
  <c r="U594" i="40"/>
  <c r="S509" i="40"/>
  <c r="T499" i="40"/>
  <c r="T578" i="40"/>
  <c r="U509" i="40"/>
  <c r="U535" i="40"/>
  <c r="R416" i="40"/>
  <c r="T535" i="40"/>
  <c r="S535" i="40"/>
  <c r="S594" i="40"/>
  <c r="Q410" i="40"/>
  <c r="R410" i="40" s="1"/>
  <c r="R594" i="40"/>
  <c r="A281" i="44"/>
  <c r="A106" i="44"/>
  <c r="A671" i="40"/>
  <c r="D41" i="40"/>
  <c r="I31" i="40" s="1"/>
  <c r="I41" i="40" s="1"/>
  <c r="A258" i="44"/>
  <c r="A86" i="44"/>
  <c r="A672" i="40"/>
  <c r="A326" i="42"/>
  <c r="A171" i="42"/>
  <c r="D40" i="40"/>
  <c r="I30" i="40" s="1"/>
  <c r="I40" i="40" s="1"/>
  <c r="A344" i="40"/>
  <c r="A46" i="42"/>
  <c r="A301" i="42"/>
  <c r="A26" i="42"/>
  <c r="A238" i="44"/>
  <c r="A66" i="44"/>
  <c r="A673" i="40"/>
  <c r="A345" i="40"/>
  <c r="A218" i="44"/>
  <c r="A46" i="44"/>
  <c r="A674" i="40"/>
  <c r="A281" i="42"/>
  <c r="A131" i="42"/>
  <c r="D42" i="40"/>
  <c r="I32" i="40" s="1"/>
  <c r="I42" i="40" s="1"/>
  <c r="D31" i="40"/>
  <c r="A346" i="40"/>
  <c r="A238" i="42"/>
  <c r="A366" i="44"/>
  <c r="A26" i="44"/>
  <c r="A675" i="40"/>
  <c r="G675" i="40" s="1"/>
  <c r="M675" i="40" s="1"/>
  <c r="S675" i="40" s="1"/>
  <c r="A258" i="42"/>
  <c r="A106" i="42"/>
  <c r="D43" i="40"/>
  <c r="I33" i="40" s="1"/>
  <c r="I43" i="40" s="1"/>
  <c r="D32" i="40"/>
  <c r="A347" i="40"/>
  <c r="A86" i="42"/>
  <c r="D44" i="40"/>
  <c r="I34" i="40" s="1"/>
  <c r="I44" i="40" s="1"/>
  <c r="D33" i="40"/>
  <c r="A348" i="40"/>
  <c r="A218" i="42"/>
  <c r="A66" i="42"/>
  <c r="D45" i="40"/>
  <c r="I35" i="40" s="1"/>
  <c r="I45" i="40" s="1"/>
  <c r="D34" i="40"/>
  <c r="A349" i="40"/>
  <c r="A346" i="44"/>
  <c r="A171" i="44"/>
  <c r="A668" i="40"/>
  <c r="D30" i="40"/>
  <c r="A326" i="44"/>
  <c r="A151" i="44"/>
  <c r="A669" i="40"/>
  <c r="A151" i="42"/>
  <c r="A301" i="44"/>
  <c r="A131" i="44"/>
  <c r="A670" i="40"/>
  <c r="A366" i="42"/>
  <c r="D46" i="40"/>
  <c r="I36" i="40" s="1"/>
  <c r="I46" i="40" s="1"/>
  <c r="D35" i="40"/>
  <c r="A350" i="40"/>
  <c r="A346" i="42"/>
  <c r="D36" i="40"/>
  <c r="A351" i="40"/>
  <c r="G351" i="40" s="1"/>
  <c r="M351" i="40" s="1"/>
  <c r="S351" i="40" s="1"/>
  <c r="A2" i="43"/>
  <c r="R2" i="44"/>
  <c r="U422" i="40"/>
  <c r="S422" i="40"/>
  <c r="T422" i="40"/>
  <c r="T416" i="40"/>
  <c r="S416" i="40"/>
  <c r="R449" i="40"/>
  <c r="T449" i="40"/>
  <c r="U449" i="40"/>
  <c r="S449" i="40"/>
  <c r="R543" i="40"/>
  <c r="T543" i="40"/>
  <c r="S543" i="40"/>
  <c r="U543" i="40"/>
  <c r="U588" i="40"/>
  <c r="R588" i="40"/>
  <c r="S588" i="40"/>
  <c r="T588" i="40"/>
  <c r="T407" i="40"/>
  <c r="R407" i="40"/>
  <c r="S407" i="40"/>
  <c r="U407" i="40"/>
  <c r="R565" i="40"/>
  <c r="S565" i="40"/>
  <c r="U565" i="40"/>
  <c r="T565" i="40"/>
  <c r="T533" i="40"/>
  <c r="U533" i="40"/>
  <c r="R533" i="40"/>
  <c r="S533" i="40"/>
  <c r="U618" i="40"/>
  <c r="S618" i="40"/>
  <c r="T618" i="40"/>
  <c r="R618" i="40"/>
  <c r="U465" i="40"/>
  <c r="S465" i="40"/>
  <c r="T465" i="40"/>
  <c r="R465" i="40"/>
  <c r="U642" i="40"/>
  <c r="T642" i="40"/>
  <c r="R642" i="40"/>
  <c r="S642" i="40"/>
  <c r="R484" i="40"/>
  <c r="S484" i="40"/>
  <c r="U484" i="40"/>
  <c r="T484" i="40"/>
  <c r="U572" i="40"/>
  <c r="R572" i="40"/>
  <c r="S572" i="40"/>
  <c r="T572" i="40"/>
  <c r="U634" i="40"/>
  <c r="R634" i="40"/>
  <c r="S634" i="40"/>
  <c r="T634" i="40"/>
  <c r="R488" i="40"/>
  <c r="S488" i="40"/>
  <c r="T488" i="40"/>
  <c r="U488" i="40"/>
  <c r="R496" i="40"/>
  <c r="U496" i="40"/>
  <c r="S496" i="40"/>
  <c r="T496" i="40"/>
  <c r="U650" i="40"/>
  <c r="R650" i="40"/>
  <c r="S650" i="40"/>
  <c r="T650" i="40"/>
  <c r="T487" i="40"/>
  <c r="U487" i="40"/>
  <c r="R487" i="40"/>
  <c r="S487" i="40"/>
  <c r="U393" i="40"/>
  <c r="T393" i="40"/>
  <c r="S393" i="40"/>
  <c r="R393" i="40"/>
  <c r="U562" i="40"/>
  <c r="R562" i="40"/>
  <c r="T562" i="40"/>
  <c r="S562" i="40"/>
  <c r="U624" i="40"/>
  <c r="S624" i="40"/>
  <c r="R624" i="40"/>
  <c r="T624" i="40"/>
  <c r="R428" i="40"/>
  <c r="S428" i="40"/>
  <c r="U428" i="40"/>
  <c r="T428" i="40"/>
  <c r="U658" i="40"/>
  <c r="T658" i="40"/>
  <c r="R658" i="40"/>
  <c r="S658" i="40"/>
  <c r="S429" i="40"/>
  <c r="T429" i="40"/>
  <c r="U429" i="40"/>
  <c r="R429" i="40"/>
  <c r="R621" i="40"/>
  <c r="S621" i="40"/>
  <c r="T621" i="40"/>
  <c r="U621" i="40"/>
  <c r="T385" i="40"/>
  <c r="R385" i="40"/>
  <c r="U479" i="40"/>
  <c r="T479" i="40"/>
  <c r="R479" i="40"/>
  <c r="S479" i="40"/>
  <c r="T413" i="40"/>
  <c r="S413" i="40"/>
  <c r="U413" i="40"/>
  <c r="R413" i="40"/>
  <c r="R559" i="40"/>
  <c r="S559" i="40"/>
  <c r="U559" i="40"/>
  <c r="T559" i="40"/>
  <c r="T503" i="40"/>
  <c r="S503" i="40"/>
  <c r="U503" i="40"/>
  <c r="R503" i="40"/>
  <c r="U626" i="40"/>
  <c r="T626" i="40"/>
  <c r="R626" i="40"/>
  <c r="S626" i="40"/>
  <c r="R448" i="40"/>
  <c r="U448" i="40"/>
  <c r="T448" i="40"/>
  <c r="S448" i="40"/>
  <c r="R412" i="40"/>
  <c r="S412" i="40"/>
  <c r="T412" i="40"/>
  <c r="U412" i="40"/>
  <c r="S548" i="40"/>
  <c r="T548" i="40"/>
  <c r="R548" i="40"/>
  <c r="U548" i="40"/>
  <c r="S389" i="40"/>
  <c r="T389" i="40"/>
  <c r="U389" i="40"/>
  <c r="R389" i="40"/>
  <c r="U489" i="40"/>
  <c r="R489" i="40"/>
  <c r="S489" i="40"/>
  <c r="T489" i="40"/>
  <c r="S544" i="40"/>
  <c r="U544" i="40"/>
  <c r="R544" i="40"/>
  <c r="T544" i="40"/>
  <c r="R493" i="40"/>
  <c r="S493" i="40"/>
  <c r="U493" i="40"/>
  <c r="T493" i="40"/>
  <c r="R510" i="40"/>
  <c r="T510" i="40"/>
  <c r="S510" i="40"/>
  <c r="U510" i="40"/>
  <c r="S405" i="40"/>
  <c r="T405" i="40"/>
  <c r="U405" i="40"/>
  <c r="R405" i="40"/>
  <c r="T455" i="40"/>
  <c r="S455" i="40"/>
  <c r="R455" i="40"/>
  <c r="U455" i="40"/>
  <c r="U457" i="40"/>
  <c r="S457" i="40"/>
  <c r="T457" i="40"/>
  <c r="R457" i="40"/>
  <c r="R466" i="40"/>
  <c r="U466" i="40"/>
  <c r="S466" i="40"/>
  <c r="T466" i="40"/>
  <c r="R398" i="40"/>
  <c r="T398" i="40"/>
  <c r="S398" i="40"/>
  <c r="U398" i="40"/>
  <c r="R508" i="40"/>
  <c r="S508" i="40"/>
  <c r="U508" i="40"/>
  <c r="T508" i="40"/>
  <c r="R475" i="40"/>
  <c r="U475" i="40"/>
  <c r="S475" i="40"/>
  <c r="T475" i="40"/>
  <c r="U513" i="40"/>
  <c r="R513" i="40"/>
  <c r="S513" i="40"/>
  <c r="T513" i="40"/>
  <c r="R575" i="40"/>
  <c r="S575" i="40"/>
  <c r="T575" i="40"/>
  <c r="U575" i="40"/>
  <c r="U602" i="40"/>
  <c r="R602" i="40"/>
  <c r="T602" i="40"/>
  <c r="S602" i="40"/>
  <c r="T401" i="40"/>
  <c r="U401" i="40"/>
  <c r="S401" i="40"/>
  <c r="R401" i="40"/>
  <c r="U610" i="40"/>
  <c r="T610" i="40"/>
  <c r="S610" i="40"/>
  <c r="R610" i="40"/>
  <c r="S542" i="40"/>
  <c r="U542" i="40"/>
  <c r="R542" i="40"/>
  <c r="T542" i="40"/>
  <c r="R397" i="40"/>
  <c r="T397" i="40"/>
  <c r="U397" i="40"/>
  <c r="R399" i="40"/>
  <c r="S399" i="40"/>
  <c r="U399" i="40"/>
  <c r="T399" i="40"/>
  <c r="T427" i="40"/>
  <c r="U427" i="40"/>
  <c r="S427" i="40"/>
  <c r="R427" i="40"/>
  <c r="U473" i="40"/>
  <c r="R473" i="40"/>
  <c r="S473" i="40"/>
  <c r="T473" i="40"/>
  <c r="R390" i="40"/>
  <c r="S390" i="40"/>
  <c r="T390" i="40"/>
  <c r="U390" i="40"/>
  <c r="R414" i="40"/>
  <c r="T414" i="40"/>
  <c r="U414" i="40"/>
  <c r="S414" i="40"/>
  <c r="S431" i="40"/>
  <c r="R431" i="40"/>
  <c r="T431" i="40"/>
  <c r="U431" i="40"/>
  <c r="S558" i="40"/>
  <c r="U558" i="40"/>
  <c r="T558" i="40"/>
  <c r="R558" i="40"/>
  <c r="R474" i="40"/>
  <c r="U474" i="40"/>
  <c r="S474" i="40"/>
  <c r="T474" i="40"/>
  <c r="R433" i="40"/>
  <c r="S433" i="40"/>
  <c r="T433" i="40"/>
  <c r="U433" i="40"/>
  <c r="S546" i="40"/>
  <c r="T546" i="40"/>
  <c r="R546" i="40"/>
  <c r="U546" i="40"/>
  <c r="R557" i="40"/>
  <c r="S557" i="40"/>
  <c r="T557" i="40"/>
  <c r="U557" i="40"/>
  <c r="S421" i="40"/>
  <c r="T421" i="40"/>
  <c r="U421" i="40"/>
  <c r="R421" i="40"/>
  <c r="U441" i="40"/>
  <c r="R441" i="40"/>
  <c r="T441" i="40"/>
  <c r="S441" i="40"/>
  <c r="T383" i="40"/>
  <c r="R383" i="40"/>
  <c r="R581" i="40"/>
  <c r="S581" i="40"/>
  <c r="T581" i="40"/>
  <c r="U581" i="40"/>
  <c r="R515" i="40"/>
  <c r="U515" i="40"/>
  <c r="S515" i="40"/>
  <c r="T515" i="40"/>
  <c r="S485" i="40"/>
  <c r="R485" i="40"/>
  <c r="T485" i="40"/>
  <c r="U485" i="40"/>
  <c r="R597" i="40"/>
  <c r="T597" i="40"/>
  <c r="U597" i="40"/>
  <c r="S597" i="40"/>
  <c r="T507" i="40"/>
  <c r="U507" i="40"/>
  <c r="R507" i="40"/>
  <c r="S507" i="40"/>
  <c r="U411" i="40"/>
  <c r="R411" i="40"/>
  <c r="S411" i="40"/>
  <c r="T411" i="40"/>
  <c r="C11" i="26"/>
  <c r="A20" i="33"/>
  <c r="A12" i="33"/>
  <c r="A11" i="33"/>
  <c r="A15" i="33"/>
  <c r="A7" i="33"/>
  <c r="A14" i="33"/>
  <c r="A6" i="33"/>
  <c r="A13" i="33"/>
  <c r="A5" i="33"/>
  <c r="A19" i="33"/>
  <c r="A18" i="33"/>
  <c r="A10" i="33"/>
  <c r="A17" i="33"/>
  <c r="A9" i="33"/>
  <c r="A16" i="33"/>
  <c r="A8" i="33"/>
  <c r="D5" i="33" a="1"/>
  <c r="D5" i="33" s="1"/>
  <c r="D6" i="33" a="1"/>
  <c r="D6" i="33" s="1"/>
  <c r="D7" i="33" a="1"/>
  <c r="D7" i="33" s="1"/>
  <c r="D8" i="33" a="1"/>
  <c r="D8" i="33" s="1"/>
  <c r="D9" i="33" a="1"/>
  <c r="D9" i="33" s="1"/>
  <c r="D10" i="33" a="1"/>
  <c r="D10" i="33" s="1"/>
  <c r="D13" i="33" a="1"/>
  <c r="D13" i="33" s="1"/>
  <c r="D14" i="33" a="1"/>
  <c r="D14" i="33" s="1"/>
  <c r="D15" i="33" a="1"/>
  <c r="D15" i="33" s="1"/>
  <c r="D16" i="33" a="1"/>
  <c r="D16" i="33" s="1"/>
  <c r="D17" i="33" a="1"/>
  <c r="D17" i="33" s="1"/>
  <c r="R2" i="42"/>
  <c r="A1" i="43"/>
  <c r="T410" i="40" l="1"/>
  <c r="G670" i="40"/>
  <c r="M670" i="40" s="1"/>
  <c r="B691" i="40"/>
  <c r="B689" i="40"/>
  <c r="G668" i="40"/>
  <c r="M668" i="40" s="1"/>
  <c r="B369" i="40"/>
  <c r="G348" i="40"/>
  <c r="M348" i="40" s="1"/>
  <c r="G672" i="40"/>
  <c r="M672" i="40" s="1"/>
  <c r="B693" i="40"/>
  <c r="G674" i="40"/>
  <c r="M674" i="40" s="1"/>
  <c r="B695" i="40"/>
  <c r="B370" i="40"/>
  <c r="G349" i="40"/>
  <c r="M349" i="40" s="1"/>
  <c r="G350" i="40"/>
  <c r="M350" i="40" s="1"/>
  <c r="B371" i="40"/>
  <c r="G669" i="40"/>
  <c r="M669" i="40" s="1"/>
  <c r="B690" i="40"/>
  <c r="B368" i="40"/>
  <c r="G347" i="40"/>
  <c r="M347" i="40" s="1"/>
  <c r="G344" i="40"/>
  <c r="M344" i="40" s="1"/>
  <c r="B365" i="40"/>
  <c r="B692" i="40"/>
  <c r="G671" i="40"/>
  <c r="M671" i="40" s="1"/>
  <c r="D29" i="40"/>
  <c r="A198" i="44"/>
  <c r="A6" i="44"/>
  <c r="A667" i="40"/>
  <c r="A343" i="40"/>
  <c r="A198" i="42"/>
  <c r="A6" i="42"/>
  <c r="D39" i="40"/>
  <c r="I29" i="40" s="1"/>
  <c r="I39" i="40" s="1"/>
  <c r="G346" i="40"/>
  <c r="M346" i="40" s="1"/>
  <c r="B367" i="40"/>
  <c r="G345" i="40"/>
  <c r="M345" i="40" s="1"/>
  <c r="B366" i="40"/>
  <c r="G673" i="40"/>
  <c r="M673" i="40" s="1"/>
  <c r="B694" i="40"/>
  <c r="A4" i="33"/>
  <c r="A3" i="33"/>
  <c r="G50" i="36" a="1"/>
  <c r="G50" i="36" s="1"/>
  <c r="G49" i="36" a="1"/>
  <c r="G49" i="36" s="1"/>
  <c r="G48" i="36" a="1"/>
  <c r="G48" i="36" s="1"/>
  <c r="G47" i="36" a="1"/>
  <c r="G47" i="36" s="1"/>
  <c r="G46" i="36" a="1"/>
  <c r="G46" i="36" s="1"/>
  <c r="G45" i="36" a="1"/>
  <c r="G45" i="36" s="1"/>
  <c r="G44" i="36" a="1"/>
  <c r="G44" i="36" s="1"/>
  <c r="G43" i="36" a="1"/>
  <c r="G43" i="36" s="1"/>
  <c r="G42" i="36" a="1"/>
  <c r="G42" i="36" s="1"/>
  <c r="G41" i="36" a="1"/>
  <c r="G41" i="36" s="1"/>
  <c r="G40" i="36" a="1"/>
  <c r="G40" i="36" s="1"/>
  <c r="G39" i="36" a="1"/>
  <c r="G39" i="36" s="1"/>
  <c r="G38" i="36" a="1"/>
  <c r="G38" i="36" s="1"/>
  <c r="G37" i="36" a="1"/>
  <c r="G37" i="36" s="1"/>
  <c r="G36" i="36" a="1"/>
  <c r="G36" i="36" s="1"/>
  <c r="G35" i="36" a="1"/>
  <c r="G35" i="36" s="1"/>
  <c r="G34" i="36" a="1"/>
  <c r="G34" i="36" s="1"/>
  <c r="G33" i="36" a="1"/>
  <c r="G33" i="36" s="1"/>
  <c r="G32" i="36" a="1"/>
  <c r="G32" i="36" s="1"/>
  <c r="G31" i="36" a="1"/>
  <c r="G31" i="36" s="1"/>
  <c r="G30" i="36" a="1"/>
  <c r="G30" i="36" s="1"/>
  <c r="G29" i="36" a="1"/>
  <c r="G29" i="36" s="1"/>
  <c r="G28" i="36" a="1"/>
  <c r="G28" i="36" s="1"/>
  <c r="G27" i="36" a="1"/>
  <c r="G27" i="36" s="1"/>
  <c r="I5" i="33" l="1" a="1"/>
  <c r="I5" i="33" s="1"/>
  <c r="S346" i="40"/>
  <c r="N367" i="40"/>
  <c r="N690" i="40"/>
  <c r="S669" i="40"/>
  <c r="S671" i="40"/>
  <c r="N692" i="40"/>
  <c r="N693" i="40"/>
  <c r="S672" i="40"/>
  <c r="S350" i="40"/>
  <c r="N371" i="40"/>
  <c r="N369" i="40"/>
  <c r="S348" i="40"/>
  <c r="N689" i="40"/>
  <c r="S668" i="40"/>
  <c r="N694" i="40"/>
  <c r="S673" i="40"/>
  <c r="S344" i="40"/>
  <c r="N365" i="40"/>
  <c r="G667" i="40"/>
  <c r="M667" i="40" s="1"/>
  <c r="B688" i="40"/>
  <c r="S347" i="40"/>
  <c r="N368" i="40"/>
  <c r="S345" i="40"/>
  <c r="N366" i="40"/>
  <c r="G343" i="40"/>
  <c r="M343" i="40" s="1"/>
  <c r="B364" i="40"/>
  <c r="S349" i="40"/>
  <c r="N370" i="40"/>
  <c r="N695" i="40"/>
  <c r="S674" i="40"/>
  <c r="N691" i="40"/>
  <c r="S670" i="40"/>
  <c r="G405" i="42"/>
  <c r="E405" i="42"/>
  <c r="D405" i="42"/>
  <c r="N688" i="40" l="1"/>
  <c r="S667" i="40"/>
  <c r="S343" i="40"/>
  <c r="N364" i="40"/>
  <c r="K404" i="42"/>
  <c r="P404" i="42"/>
  <c r="R404" i="42"/>
  <c r="T404" i="42"/>
  <c r="K405" i="42"/>
  <c r="P405" i="42"/>
  <c r="R405" i="42"/>
  <c r="T405" i="42"/>
  <c r="B405" i="42"/>
  <c r="A1" i="42"/>
  <c r="Q6" i="20" l="1"/>
  <c r="R6" i="20" s="1"/>
  <c r="S6" i="20" s="1"/>
  <c r="T6" i="20" s="1"/>
  <c r="A54" i="40" l="1"/>
  <c r="D20" i="33" a="1"/>
  <c r="D20" i="33" s="1"/>
  <c r="D19" i="33" a="1"/>
  <c r="D19" i="33" s="1"/>
  <c r="D18" i="33" a="1"/>
  <c r="D18" i="33" s="1"/>
  <c r="E54" i="40" l="1"/>
  <c r="B54" i="40"/>
  <c r="A761" i="29"/>
  <c r="A721" i="29"/>
  <c r="A681" i="29"/>
  <c r="A641" i="29"/>
  <c r="A601" i="29"/>
  <c r="A561" i="29"/>
  <c r="A521" i="29"/>
  <c r="A481" i="29"/>
  <c r="A441" i="29"/>
  <c r="A401" i="29"/>
  <c r="A361" i="29"/>
  <c r="A321" i="29"/>
  <c r="A281" i="29"/>
  <c r="A241" i="29"/>
  <c r="A201" i="29"/>
  <c r="A161" i="29"/>
  <c r="A121" i="29"/>
  <c r="A81" i="29"/>
  <c r="A41" i="29"/>
  <c r="A1" i="29"/>
  <c r="N54" i="40" l="1"/>
  <c r="K54" i="40"/>
  <c r="P54" i="40"/>
  <c r="M54" i="40"/>
  <c r="G54" i="40"/>
  <c r="I54" i="40"/>
  <c r="L54" i="40"/>
  <c r="O54" i="40"/>
  <c r="F54" i="40"/>
  <c r="A1" i="36"/>
  <c r="A1" i="21"/>
  <c r="A1" i="22"/>
  <c r="A1" i="20"/>
  <c r="A1" i="13"/>
  <c r="B7" i="21" l="1"/>
  <c r="C7" i="21"/>
  <c r="B8" i="21"/>
  <c r="C8" i="21"/>
  <c r="B9" i="21"/>
  <c r="C9" i="21"/>
  <c r="B10" i="21"/>
  <c r="C10" i="21"/>
  <c r="B11" i="21"/>
  <c r="C11" i="21"/>
  <c r="B12" i="21"/>
  <c r="C12" i="21"/>
  <c r="B13" i="21"/>
  <c r="C13" i="21"/>
  <c r="B14" i="21"/>
  <c r="C14" i="21"/>
  <c r="B15" i="21"/>
  <c r="C15" i="21"/>
  <c r="B16" i="21"/>
  <c r="C16" i="21"/>
  <c r="B17" i="21"/>
  <c r="C17" i="21"/>
  <c r="B18" i="21"/>
  <c r="C18" i="21"/>
  <c r="B19" i="21"/>
  <c r="C19" i="21"/>
  <c r="B20" i="21"/>
  <c r="C20" i="21"/>
  <c r="B21" i="21"/>
  <c r="C21" i="21"/>
  <c r="B22" i="21"/>
  <c r="C22" i="21"/>
  <c r="B23" i="21"/>
  <c r="C23" i="21"/>
  <c r="B24" i="21"/>
  <c r="C24" i="21"/>
  <c r="B25" i="21"/>
  <c r="C25" i="21"/>
  <c r="B26" i="21"/>
  <c r="C26" i="21"/>
  <c r="B27" i="21"/>
  <c r="C27" i="21"/>
  <c r="B28" i="21"/>
  <c r="C28" i="21"/>
  <c r="B29" i="21"/>
  <c r="C29" i="21"/>
  <c r="B30" i="21"/>
  <c r="C30" i="21"/>
  <c r="B31" i="21"/>
  <c r="C31" i="21"/>
  <c r="B32" i="21"/>
  <c r="C32" i="21"/>
  <c r="B33" i="21"/>
  <c r="C33" i="21"/>
  <c r="B34" i="21"/>
  <c r="C34" i="21"/>
  <c r="B35" i="21"/>
  <c r="C35" i="21"/>
  <c r="B36" i="21"/>
  <c r="C36" i="21"/>
  <c r="B37" i="21"/>
  <c r="C37" i="21"/>
  <c r="B38" i="21"/>
  <c r="C38" i="21"/>
  <c r="B39" i="21"/>
  <c r="C39" i="21"/>
  <c r="B40" i="21"/>
  <c r="C40" i="21"/>
  <c r="B41" i="21"/>
  <c r="C41" i="21"/>
  <c r="B42" i="21"/>
  <c r="C42" i="21"/>
  <c r="B43" i="21"/>
  <c r="C43" i="21"/>
  <c r="B44" i="21"/>
  <c r="C44" i="21"/>
  <c r="B45" i="21"/>
  <c r="C45" i="21"/>
  <c r="B46" i="21"/>
  <c r="C46" i="21"/>
  <c r="B47" i="21"/>
  <c r="C47" i="21"/>
  <c r="B48" i="21"/>
  <c r="C48" i="21"/>
  <c r="B49" i="21"/>
  <c r="C49" i="21"/>
  <c r="B50" i="21"/>
  <c r="C50" i="21"/>
  <c r="B51" i="21"/>
  <c r="C51" i="21"/>
  <c r="B52" i="21"/>
  <c r="C52" i="21"/>
  <c r="B53" i="21"/>
  <c r="C53" i="21"/>
  <c r="B54" i="21"/>
  <c r="C54" i="21"/>
  <c r="B55" i="21"/>
  <c r="C55" i="21"/>
  <c r="B56" i="21"/>
  <c r="C56" i="21"/>
  <c r="B57" i="21"/>
  <c r="C57" i="21"/>
  <c r="B58" i="21"/>
  <c r="C58" i="21"/>
  <c r="B59" i="21"/>
  <c r="C59" i="21"/>
  <c r="B60" i="21"/>
  <c r="C60" i="21"/>
  <c r="B61" i="21"/>
  <c r="C61" i="21"/>
  <c r="B62" i="21"/>
  <c r="C62" i="21"/>
  <c r="B63" i="21"/>
  <c r="C63" i="21"/>
  <c r="B64" i="21"/>
  <c r="C64" i="21"/>
  <c r="B65" i="21"/>
  <c r="C65" i="21"/>
  <c r="B66" i="21"/>
  <c r="C66" i="21"/>
  <c r="B67" i="21"/>
  <c r="C67" i="21"/>
  <c r="B68" i="21"/>
  <c r="C68" i="21"/>
  <c r="B69" i="21"/>
  <c r="C69" i="21"/>
  <c r="B70" i="21"/>
  <c r="C70" i="21"/>
  <c r="B71" i="21"/>
  <c r="C71" i="21"/>
  <c r="B72" i="21"/>
  <c r="C72" i="21"/>
  <c r="B73" i="21"/>
  <c r="C73" i="21"/>
  <c r="B74" i="21"/>
  <c r="C74" i="21"/>
  <c r="B75" i="21"/>
  <c r="C75" i="21"/>
  <c r="B76" i="21"/>
  <c r="C76" i="21"/>
  <c r="B77" i="21"/>
  <c r="C77" i="21"/>
  <c r="B78" i="21"/>
  <c r="C78" i="21"/>
  <c r="B79" i="21"/>
  <c r="C79" i="21"/>
  <c r="B80" i="21"/>
  <c r="C80" i="21"/>
  <c r="B81" i="21"/>
  <c r="C81" i="21"/>
  <c r="B82" i="21"/>
  <c r="C82" i="21"/>
  <c r="B83" i="21"/>
  <c r="C83" i="21"/>
  <c r="B84" i="21"/>
  <c r="C84" i="21"/>
  <c r="B85" i="21"/>
  <c r="C85" i="21"/>
  <c r="B86" i="21"/>
  <c r="C86" i="21"/>
  <c r="B87" i="21"/>
  <c r="C87" i="21"/>
  <c r="B88" i="21"/>
  <c r="C88" i="21"/>
  <c r="B89" i="21"/>
  <c r="C89" i="21"/>
  <c r="B90" i="21"/>
  <c r="C90" i="21"/>
  <c r="B91" i="21"/>
  <c r="C91" i="21"/>
  <c r="B92" i="21"/>
  <c r="C92" i="21"/>
  <c r="B93" i="21"/>
  <c r="C93" i="21"/>
  <c r="B94" i="21"/>
  <c r="C94" i="21"/>
  <c r="B95" i="21"/>
  <c r="C95" i="21"/>
  <c r="B96" i="21"/>
  <c r="C96" i="21"/>
  <c r="B97" i="21"/>
  <c r="C97" i="21"/>
  <c r="B98" i="21"/>
  <c r="C98" i="21"/>
  <c r="B99" i="21"/>
  <c r="C99" i="21"/>
  <c r="B100" i="21"/>
  <c r="C100" i="21"/>
  <c r="B101" i="21"/>
  <c r="C101" i="21"/>
  <c r="B102" i="21"/>
  <c r="C102" i="21"/>
  <c r="B103" i="21"/>
  <c r="C103" i="21"/>
  <c r="B104" i="21"/>
  <c r="C104" i="21"/>
  <c r="B105" i="21"/>
  <c r="C105" i="21"/>
  <c r="B106" i="21"/>
  <c r="C106" i="21"/>
  <c r="B107" i="21"/>
  <c r="C107" i="21"/>
  <c r="B108" i="21"/>
  <c r="C108" i="21"/>
  <c r="B109" i="21"/>
  <c r="C109" i="21"/>
  <c r="B110" i="21"/>
  <c r="C110" i="21"/>
  <c r="B111" i="21"/>
  <c r="C111" i="21"/>
  <c r="B112" i="21"/>
  <c r="C112" i="21"/>
  <c r="B113" i="21"/>
  <c r="C113" i="21"/>
  <c r="B114" i="21"/>
  <c r="C114" i="21"/>
  <c r="B115" i="21"/>
  <c r="C115" i="21"/>
  <c r="B116" i="21"/>
  <c r="C116" i="21"/>
  <c r="B117" i="21"/>
  <c r="C117" i="21"/>
  <c r="B118" i="21"/>
  <c r="C118" i="21"/>
  <c r="B119" i="21"/>
  <c r="C119" i="21"/>
  <c r="B120" i="21"/>
  <c r="C120" i="21"/>
  <c r="B121" i="21"/>
  <c r="C121" i="21"/>
  <c r="B122" i="21"/>
  <c r="C122" i="21"/>
  <c r="B123" i="21"/>
  <c r="C123" i="21"/>
  <c r="B124" i="21"/>
  <c r="C124" i="21"/>
  <c r="B125" i="21"/>
  <c r="C125" i="21"/>
  <c r="B126" i="21"/>
  <c r="C126" i="21"/>
  <c r="B127" i="21"/>
  <c r="C127" i="21"/>
  <c r="B128" i="21"/>
  <c r="C128" i="21"/>
  <c r="B129" i="21"/>
  <c r="C129" i="21"/>
  <c r="B130" i="21"/>
  <c r="C130" i="21"/>
  <c r="B131" i="21"/>
  <c r="C131" i="21"/>
  <c r="B132" i="21"/>
  <c r="C132" i="21"/>
  <c r="B133" i="21"/>
  <c r="C133" i="21"/>
  <c r="B134" i="21"/>
  <c r="C134" i="21"/>
  <c r="B135" i="21"/>
  <c r="C135" i="21"/>
  <c r="B136" i="21"/>
  <c r="C136" i="21"/>
  <c r="B137" i="21"/>
  <c r="C137" i="21"/>
  <c r="B138" i="21"/>
  <c r="C138" i="21"/>
  <c r="B139" i="21"/>
  <c r="C139" i="21"/>
  <c r="B140" i="21"/>
  <c r="C140" i="21"/>
  <c r="B141" i="21"/>
  <c r="C141" i="21"/>
  <c r="B142" i="21"/>
  <c r="C142" i="21"/>
  <c r="B143" i="21"/>
  <c r="C143" i="21"/>
  <c r="B144" i="21"/>
  <c r="C144" i="21"/>
  <c r="B145" i="21"/>
  <c r="C145" i="21"/>
  <c r="B146" i="21"/>
  <c r="C146" i="21"/>
  <c r="B147" i="21"/>
  <c r="C147" i="21"/>
  <c r="B148" i="21"/>
  <c r="C148" i="21"/>
  <c r="D148" i="21"/>
  <c r="B149" i="21"/>
  <c r="C149" i="21"/>
  <c r="D149" i="21"/>
  <c r="B150" i="21"/>
  <c r="C150" i="21"/>
  <c r="D150" i="21"/>
  <c r="B151" i="21"/>
  <c r="C151" i="21"/>
  <c r="D151" i="21"/>
  <c r="B152" i="21"/>
  <c r="C152" i="21"/>
  <c r="D152" i="21"/>
  <c r="B153" i="21"/>
  <c r="C153" i="21"/>
  <c r="D153" i="21"/>
  <c r="B154" i="21"/>
  <c r="C154" i="21"/>
  <c r="D154" i="21"/>
  <c r="B155" i="21"/>
  <c r="C155" i="21"/>
  <c r="D155" i="21"/>
  <c r="B156" i="21"/>
  <c r="C156" i="21"/>
  <c r="D156" i="21"/>
  <c r="B157" i="21"/>
  <c r="C157" i="21"/>
  <c r="D157" i="21"/>
  <c r="B158" i="21"/>
  <c r="C158" i="21"/>
  <c r="D158" i="21"/>
  <c r="B159" i="21"/>
  <c r="C159" i="21"/>
  <c r="D159" i="21"/>
  <c r="B160" i="21"/>
  <c r="C160" i="21"/>
  <c r="D160" i="21"/>
  <c r="B161" i="21"/>
  <c r="C161" i="21"/>
  <c r="D161" i="21"/>
  <c r="B162" i="21"/>
  <c r="C162" i="21"/>
  <c r="D162" i="21"/>
  <c r="B163" i="21"/>
  <c r="C163" i="21"/>
  <c r="D163" i="21"/>
  <c r="B164" i="21"/>
  <c r="C164" i="21"/>
  <c r="D164" i="21"/>
  <c r="B165" i="21"/>
  <c r="C165" i="21"/>
  <c r="D165" i="21"/>
  <c r="B166" i="21"/>
  <c r="C166" i="21"/>
  <c r="D166" i="21"/>
  <c r="B167" i="21"/>
  <c r="C167" i="21"/>
  <c r="D167" i="21"/>
  <c r="B168" i="21"/>
  <c r="C168" i="21"/>
  <c r="D168" i="21"/>
  <c r="B169" i="21"/>
  <c r="C169" i="21"/>
  <c r="D169" i="21"/>
  <c r="B170" i="21"/>
  <c r="C170" i="21"/>
  <c r="D170" i="21"/>
  <c r="B171" i="21"/>
  <c r="C171" i="21"/>
  <c r="D171" i="21"/>
  <c r="B172" i="21"/>
  <c r="C172" i="21"/>
  <c r="D172" i="21"/>
  <c r="B173" i="21"/>
  <c r="C173" i="21"/>
  <c r="D173" i="21"/>
  <c r="B174" i="21"/>
  <c r="C174" i="21"/>
  <c r="D174" i="21"/>
  <c r="B175" i="21"/>
  <c r="C175" i="21"/>
  <c r="D175" i="21"/>
  <c r="B176" i="21"/>
  <c r="C176" i="21"/>
  <c r="D176" i="21"/>
  <c r="B177" i="21"/>
  <c r="C177" i="21"/>
  <c r="D177" i="21"/>
  <c r="B178" i="21"/>
  <c r="C178" i="21"/>
  <c r="D178" i="21"/>
  <c r="B179" i="21"/>
  <c r="C179" i="21"/>
  <c r="D179" i="21"/>
  <c r="B180" i="21"/>
  <c r="C180" i="21"/>
  <c r="D180" i="21"/>
  <c r="B181" i="21"/>
  <c r="C181" i="21"/>
  <c r="D181" i="21"/>
  <c r="B182" i="21"/>
  <c r="C182" i="21"/>
  <c r="D182" i="21"/>
  <c r="B183" i="21"/>
  <c r="C183" i="21"/>
  <c r="D183" i="21"/>
  <c r="B184" i="21"/>
  <c r="C184" i="21"/>
  <c r="D184" i="21"/>
  <c r="B185" i="21"/>
  <c r="C185" i="21"/>
  <c r="D185" i="21"/>
  <c r="B186" i="21"/>
  <c r="C186" i="21"/>
  <c r="D186" i="21"/>
  <c r="B187" i="21"/>
  <c r="C187" i="21"/>
  <c r="D187" i="21"/>
  <c r="B188" i="21"/>
  <c r="C188" i="21"/>
  <c r="D188" i="21"/>
  <c r="B189" i="21"/>
  <c r="C189" i="21"/>
  <c r="D189" i="21"/>
  <c r="B190" i="21"/>
  <c r="C190" i="21"/>
  <c r="D190" i="21"/>
  <c r="B191" i="21"/>
  <c r="C191" i="21"/>
  <c r="D191" i="21"/>
  <c r="B192" i="21"/>
  <c r="C192" i="21"/>
  <c r="D192" i="21"/>
  <c r="B193" i="21"/>
  <c r="C193" i="21"/>
  <c r="D193" i="21"/>
  <c r="B194" i="21"/>
  <c r="C194" i="21"/>
  <c r="D194" i="21"/>
  <c r="B195" i="21"/>
  <c r="C195" i="21"/>
  <c r="D195" i="21"/>
  <c r="B196" i="21"/>
  <c r="C196" i="21"/>
  <c r="D196" i="21"/>
  <c r="B197" i="21"/>
  <c r="C197" i="21"/>
  <c r="D197" i="21"/>
  <c r="B198" i="21"/>
  <c r="C198" i="21"/>
  <c r="D198" i="21"/>
  <c r="B199" i="21"/>
  <c r="C199" i="21"/>
  <c r="D199" i="21"/>
  <c r="B200" i="21"/>
  <c r="C200" i="21"/>
  <c r="D200" i="21"/>
  <c r="B201" i="21"/>
  <c r="C201" i="21"/>
  <c r="D201" i="21"/>
  <c r="B202" i="21"/>
  <c r="C202" i="21"/>
  <c r="D202" i="21"/>
  <c r="B203" i="21"/>
  <c r="C203" i="21"/>
  <c r="D203" i="21"/>
  <c r="B204" i="21"/>
  <c r="C204" i="21"/>
  <c r="D204" i="21"/>
  <c r="B205" i="21"/>
  <c r="C205" i="21"/>
  <c r="D205" i="21"/>
  <c r="B206" i="21"/>
  <c r="C206" i="21"/>
  <c r="D206" i="21"/>
  <c r="B207" i="21"/>
  <c r="C207" i="21"/>
  <c r="D207" i="21"/>
  <c r="B208" i="21"/>
  <c r="C208" i="21"/>
  <c r="D208" i="21"/>
  <c r="B209" i="21"/>
  <c r="C209" i="21"/>
  <c r="D209" i="21"/>
  <c r="B210" i="21"/>
  <c r="C210" i="21"/>
  <c r="D210" i="21"/>
  <c r="B211" i="21"/>
  <c r="C211" i="21"/>
  <c r="D211" i="21"/>
  <c r="B212" i="21"/>
  <c r="C212" i="21"/>
  <c r="D212" i="21"/>
  <c r="B213" i="21"/>
  <c r="C213" i="21"/>
  <c r="D213" i="21"/>
  <c r="B214" i="21"/>
  <c r="C214" i="21"/>
  <c r="D214" i="21"/>
  <c r="B215" i="21"/>
  <c r="C215" i="21"/>
  <c r="D215" i="21"/>
  <c r="B216" i="21"/>
  <c r="C216" i="21"/>
  <c r="D216" i="21"/>
  <c r="B217" i="21"/>
  <c r="C217" i="21"/>
  <c r="D217" i="21"/>
  <c r="B218" i="21"/>
  <c r="C218" i="21"/>
  <c r="D218" i="21"/>
  <c r="B219" i="21"/>
  <c r="C219" i="21"/>
  <c r="D219" i="21"/>
  <c r="B220" i="21"/>
  <c r="C220" i="21"/>
  <c r="D220" i="21"/>
  <c r="B221" i="21"/>
  <c r="C221" i="21"/>
  <c r="D221" i="21"/>
  <c r="B222" i="21"/>
  <c r="C222" i="21"/>
  <c r="D222" i="21"/>
  <c r="B223" i="21"/>
  <c r="C223" i="21"/>
  <c r="D223" i="21"/>
  <c r="B224" i="21"/>
  <c r="C224" i="21"/>
  <c r="D224" i="21"/>
  <c r="B225" i="21"/>
  <c r="C225" i="21"/>
  <c r="D225" i="21"/>
  <c r="B226" i="21"/>
  <c r="C226" i="21"/>
  <c r="D226" i="21"/>
  <c r="B227" i="21"/>
  <c r="C227" i="21"/>
  <c r="D227" i="21"/>
  <c r="B228" i="21"/>
  <c r="C228" i="21"/>
  <c r="D228" i="21"/>
  <c r="B229" i="21"/>
  <c r="C229" i="21"/>
  <c r="D229" i="21"/>
  <c r="B230" i="21"/>
  <c r="C230" i="21"/>
  <c r="D230" i="21"/>
  <c r="B231" i="21"/>
  <c r="C231" i="21"/>
  <c r="D231" i="21"/>
  <c r="B232" i="21"/>
  <c r="C232" i="21"/>
  <c r="D232" i="21"/>
  <c r="B233" i="21"/>
  <c r="C233" i="21"/>
  <c r="D233" i="21"/>
  <c r="B234" i="21"/>
  <c r="C234" i="21"/>
  <c r="D234" i="21"/>
  <c r="B235" i="21"/>
  <c r="C235" i="21"/>
  <c r="D235" i="21"/>
  <c r="B236" i="21"/>
  <c r="C236" i="21"/>
  <c r="D236" i="21"/>
  <c r="B237" i="21"/>
  <c r="C237" i="21"/>
  <c r="D237" i="21"/>
  <c r="B238" i="21"/>
  <c r="C238" i="21"/>
  <c r="D238" i="21"/>
  <c r="B239" i="21"/>
  <c r="C239" i="21"/>
  <c r="D239" i="21"/>
  <c r="B240" i="21"/>
  <c r="C240" i="21"/>
  <c r="D240" i="21"/>
  <c r="B241" i="21"/>
  <c r="C241" i="21"/>
  <c r="D241" i="21"/>
  <c r="B242" i="21"/>
  <c r="C242" i="21"/>
  <c r="D242" i="21"/>
  <c r="B243" i="21"/>
  <c r="C243" i="21"/>
  <c r="D243" i="21"/>
  <c r="B244" i="21"/>
  <c r="C244" i="21"/>
  <c r="D244" i="21"/>
  <c r="B245" i="21"/>
  <c r="C245" i="21"/>
  <c r="D245" i="21"/>
  <c r="B246" i="21"/>
  <c r="C246" i="21"/>
  <c r="D246" i="21"/>
  <c r="B247" i="21"/>
  <c r="C247" i="21"/>
  <c r="D247" i="21"/>
  <c r="B248" i="21"/>
  <c r="C248" i="21"/>
  <c r="D248" i="21"/>
  <c r="B249" i="21"/>
  <c r="C249" i="21"/>
  <c r="D249" i="21"/>
  <c r="B250" i="21"/>
  <c r="C250" i="21"/>
  <c r="D250" i="21"/>
  <c r="B251" i="21"/>
  <c r="C251" i="21"/>
  <c r="D251" i="21"/>
  <c r="B252" i="21"/>
  <c r="C252" i="21"/>
  <c r="D252" i="21"/>
  <c r="B253" i="21"/>
  <c r="C253" i="21"/>
  <c r="D253" i="21"/>
  <c r="B254" i="21"/>
  <c r="C254" i="21"/>
  <c r="D254" i="21"/>
  <c r="B255" i="21"/>
  <c r="C255" i="21"/>
  <c r="D255" i="21"/>
  <c r="B256" i="21"/>
  <c r="C256" i="21"/>
  <c r="D256" i="21"/>
  <c r="B257" i="21"/>
  <c r="C257" i="21"/>
  <c r="D257" i="21"/>
  <c r="B258" i="21"/>
  <c r="C258" i="21"/>
  <c r="D258" i="21"/>
  <c r="B259" i="21"/>
  <c r="C259" i="21"/>
  <c r="D259" i="21"/>
  <c r="B260" i="21"/>
  <c r="C260" i="21"/>
  <c r="D260" i="21"/>
  <c r="B261" i="21"/>
  <c r="C261" i="21"/>
  <c r="D261" i="21"/>
  <c r="B262" i="21"/>
  <c r="C262" i="21"/>
  <c r="D262" i="21"/>
  <c r="B263" i="21"/>
  <c r="C263" i="21"/>
  <c r="D263" i="21"/>
  <c r="B264" i="21"/>
  <c r="C264" i="21"/>
  <c r="D264" i="21"/>
  <c r="B265" i="21"/>
  <c r="C265" i="21"/>
  <c r="D265" i="21"/>
  <c r="B266" i="21"/>
  <c r="C266" i="21"/>
  <c r="D266" i="21"/>
  <c r="B267" i="21"/>
  <c r="C267" i="21"/>
  <c r="D267" i="21"/>
  <c r="B268" i="21"/>
  <c r="C268" i="21"/>
  <c r="D268" i="21"/>
  <c r="B269" i="21"/>
  <c r="C269" i="21"/>
  <c r="D269" i="21"/>
  <c r="B270" i="21"/>
  <c r="C270" i="21"/>
  <c r="D270" i="21"/>
  <c r="B271" i="21"/>
  <c r="C271" i="21"/>
  <c r="D271" i="21"/>
  <c r="B272" i="21"/>
  <c r="C272" i="21"/>
  <c r="D272" i="21"/>
  <c r="B273" i="21"/>
  <c r="C273" i="21"/>
  <c r="D273" i="21"/>
  <c r="B274" i="21"/>
  <c r="C274" i="21"/>
  <c r="D274" i="21"/>
  <c r="B275" i="21"/>
  <c r="C275" i="21"/>
  <c r="D275" i="21"/>
  <c r="B276" i="21"/>
  <c r="C276" i="21"/>
  <c r="D276" i="21"/>
  <c r="B277" i="21"/>
  <c r="C277" i="21"/>
  <c r="D277" i="21"/>
  <c r="B278" i="21"/>
  <c r="C278" i="21"/>
  <c r="D278" i="21"/>
  <c r="B279" i="21"/>
  <c r="C279" i="21"/>
  <c r="D279" i="21"/>
  <c r="B280" i="21"/>
  <c r="C280" i="21"/>
  <c r="D280" i="21"/>
  <c r="B281" i="21"/>
  <c r="C281" i="21"/>
  <c r="D281" i="21"/>
  <c r="B282" i="21"/>
  <c r="C282" i="21"/>
  <c r="D282" i="21"/>
  <c r="B283" i="21"/>
  <c r="C283" i="21"/>
  <c r="D283" i="21"/>
  <c r="B284" i="21"/>
  <c r="C284" i="21"/>
  <c r="D284" i="21"/>
  <c r="B285" i="21"/>
  <c r="C285" i="21"/>
  <c r="D285" i="21"/>
  <c r="B286" i="21"/>
  <c r="C286" i="21"/>
  <c r="D286" i="21"/>
  <c r="B287" i="21"/>
  <c r="C287" i="21"/>
  <c r="D287" i="21"/>
  <c r="B288" i="21"/>
  <c r="C288" i="21"/>
  <c r="D288" i="21"/>
  <c r="B289" i="21"/>
  <c r="C289" i="21"/>
  <c r="D289" i="21"/>
  <c r="B290" i="21"/>
  <c r="C290" i="21"/>
  <c r="D290" i="21"/>
  <c r="B291" i="21"/>
  <c r="C291" i="21"/>
  <c r="D291" i="21"/>
  <c r="B292" i="21"/>
  <c r="C292" i="21"/>
  <c r="D292" i="21"/>
  <c r="B293" i="21"/>
  <c r="C293" i="21"/>
  <c r="D293" i="21"/>
  <c r="C6" i="21"/>
  <c r="B6" i="21"/>
  <c r="B7" i="22"/>
  <c r="C7" i="22"/>
  <c r="B8" i="22"/>
  <c r="C8" i="22"/>
  <c r="B9" i="22"/>
  <c r="C9" i="22"/>
  <c r="B10" i="22"/>
  <c r="C10" i="22"/>
  <c r="B11" i="22"/>
  <c r="C11" i="22"/>
  <c r="B12" i="22"/>
  <c r="C12" i="22"/>
  <c r="B13" i="22"/>
  <c r="C13" i="22"/>
  <c r="B14" i="22"/>
  <c r="C14" i="22"/>
  <c r="B15" i="22"/>
  <c r="C15" i="22"/>
  <c r="B16" i="22"/>
  <c r="C16" i="22"/>
  <c r="B17" i="22"/>
  <c r="C17" i="22"/>
  <c r="B18" i="22"/>
  <c r="C18" i="22"/>
  <c r="B19" i="22"/>
  <c r="C19" i="22"/>
  <c r="B20" i="22"/>
  <c r="C20" i="22"/>
  <c r="B21" i="22"/>
  <c r="C21" i="22"/>
  <c r="B22" i="22"/>
  <c r="C22" i="22"/>
  <c r="B23" i="22"/>
  <c r="C23" i="22"/>
  <c r="B24" i="22"/>
  <c r="C24" i="22"/>
  <c r="B25" i="22"/>
  <c r="C25" i="22"/>
  <c r="B26" i="22"/>
  <c r="C26" i="22"/>
  <c r="B27" i="22"/>
  <c r="C27" i="22"/>
  <c r="B28" i="22"/>
  <c r="C28" i="22"/>
  <c r="B29" i="22"/>
  <c r="C29" i="22"/>
  <c r="B30" i="22"/>
  <c r="C30" i="22"/>
  <c r="B31" i="22"/>
  <c r="C31" i="22"/>
  <c r="B32" i="22"/>
  <c r="C32" i="22"/>
  <c r="B33" i="22"/>
  <c r="C33" i="22"/>
  <c r="B34" i="22"/>
  <c r="C34" i="22"/>
  <c r="B35" i="22"/>
  <c r="C35" i="22"/>
  <c r="B36" i="22"/>
  <c r="C36" i="22"/>
  <c r="B37" i="22"/>
  <c r="C37" i="22"/>
  <c r="B38" i="22"/>
  <c r="C38" i="22"/>
  <c r="B39" i="22"/>
  <c r="C39" i="22"/>
  <c r="B40" i="22"/>
  <c r="C40" i="22"/>
  <c r="B41" i="22"/>
  <c r="C41" i="22"/>
  <c r="B42" i="22"/>
  <c r="C42" i="22"/>
  <c r="B43" i="22"/>
  <c r="C43" i="22"/>
  <c r="B44" i="22"/>
  <c r="C44" i="22"/>
  <c r="B45" i="22"/>
  <c r="C45" i="22"/>
  <c r="B46" i="22"/>
  <c r="C46" i="22"/>
  <c r="B47" i="22"/>
  <c r="C47" i="22"/>
  <c r="B48" i="22"/>
  <c r="C48" i="22"/>
  <c r="B49" i="22"/>
  <c r="C49" i="22"/>
  <c r="B50" i="22"/>
  <c r="C50" i="22"/>
  <c r="B51" i="22"/>
  <c r="C51" i="22"/>
  <c r="B52" i="22"/>
  <c r="C52" i="22"/>
  <c r="B53" i="22"/>
  <c r="C53" i="22"/>
  <c r="B54" i="22"/>
  <c r="C54" i="22"/>
  <c r="B55" i="22"/>
  <c r="C55" i="22"/>
  <c r="B56" i="22"/>
  <c r="C56" i="22"/>
  <c r="B57" i="22"/>
  <c r="C57" i="22"/>
  <c r="B58" i="22"/>
  <c r="C58" i="22"/>
  <c r="B59" i="22"/>
  <c r="C59" i="22"/>
  <c r="B60" i="22"/>
  <c r="C60" i="22"/>
  <c r="B61" i="22"/>
  <c r="C61" i="22"/>
  <c r="B62" i="22"/>
  <c r="C62" i="22"/>
  <c r="B63" i="22"/>
  <c r="C63" i="22"/>
  <c r="B64" i="22"/>
  <c r="C64" i="22"/>
  <c r="B65" i="22"/>
  <c r="C65" i="22"/>
  <c r="B66" i="22"/>
  <c r="C66" i="22"/>
  <c r="B67" i="22"/>
  <c r="C67" i="22"/>
  <c r="B68" i="22"/>
  <c r="C68" i="22"/>
  <c r="B69" i="22"/>
  <c r="C69" i="22"/>
  <c r="B70" i="22"/>
  <c r="C70" i="22"/>
  <c r="B71" i="22"/>
  <c r="C71" i="22"/>
  <c r="B72" i="22"/>
  <c r="C72" i="22"/>
  <c r="B73" i="22"/>
  <c r="C73" i="22"/>
  <c r="B74" i="22"/>
  <c r="C74" i="22"/>
  <c r="B75" i="22"/>
  <c r="C75" i="22"/>
  <c r="B76" i="22"/>
  <c r="C76" i="22"/>
  <c r="B77" i="22"/>
  <c r="C77" i="22"/>
  <c r="B78" i="22"/>
  <c r="C78" i="22"/>
  <c r="B79" i="22"/>
  <c r="C79" i="22"/>
  <c r="B80" i="22"/>
  <c r="C80" i="22"/>
  <c r="B81" i="22"/>
  <c r="C81" i="22"/>
  <c r="B82" i="22"/>
  <c r="C82" i="22"/>
  <c r="B83" i="22"/>
  <c r="C83" i="22"/>
  <c r="B84" i="22"/>
  <c r="C84" i="22"/>
  <c r="B85" i="22"/>
  <c r="C85" i="22"/>
  <c r="B86" i="22"/>
  <c r="C86" i="22"/>
  <c r="B87" i="22"/>
  <c r="C87" i="22"/>
  <c r="B88" i="22"/>
  <c r="C88" i="22"/>
  <c r="B89" i="22"/>
  <c r="C89" i="22"/>
  <c r="B90" i="22"/>
  <c r="C90" i="22"/>
  <c r="B91" i="22"/>
  <c r="C91" i="22"/>
  <c r="B92" i="22"/>
  <c r="C92" i="22"/>
  <c r="B93" i="22"/>
  <c r="C93" i="22"/>
  <c r="B94" i="22"/>
  <c r="C94" i="22"/>
  <c r="B95" i="22"/>
  <c r="C95" i="22"/>
  <c r="B96" i="22"/>
  <c r="C96" i="22"/>
  <c r="B97" i="22"/>
  <c r="C97" i="22"/>
  <c r="B98" i="22"/>
  <c r="C98" i="22"/>
  <c r="B99" i="22"/>
  <c r="C99" i="22"/>
  <c r="B100" i="22"/>
  <c r="C100" i="22"/>
  <c r="B101" i="22"/>
  <c r="C101" i="22"/>
  <c r="B102" i="22"/>
  <c r="C102" i="22"/>
  <c r="B103" i="22"/>
  <c r="C103" i="22"/>
  <c r="B104" i="22"/>
  <c r="C104" i="22"/>
  <c r="B105" i="22"/>
  <c r="C105" i="22"/>
  <c r="B106" i="22"/>
  <c r="C106" i="22"/>
  <c r="B107" i="22"/>
  <c r="C107" i="22"/>
  <c r="B108" i="22"/>
  <c r="C108" i="22"/>
  <c r="B109" i="22"/>
  <c r="C109" i="22"/>
  <c r="B110" i="22"/>
  <c r="C110" i="22"/>
  <c r="B111" i="22"/>
  <c r="C111" i="22"/>
  <c r="B112" i="22"/>
  <c r="C112" i="22"/>
  <c r="B113" i="22"/>
  <c r="C113" i="22"/>
  <c r="B114" i="22"/>
  <c r="C114" i="22"/>
  <c r="B115" i="22"/>
  <c r="C115" i="22"/>
  <c r="B116" i="22"/>
  <c r="C116" i="22"/>
  <c r="B117" i="22"/>
  <c r="C117" i="22"/>
  <c r="B118" i="22"/>
  <c r="C118" i="22"/>
  <c r="B119" i="22"/>
  <c r="C119" i="22"/>
  <c r="B120" i="22"/>
  <c r="C120" i="22"/>
  <c r="B121" i="22"/>
  <c r="C121" i="22"/>
  <c r="B122" i="22"/>
  <c r="C122" i="22"/>
  <c r="B123" i="22"/>
  <c r="C123" i="22"/>
  <c r="B124" i="22"/>
  <c r="C124" i="22"/>
  <c r="B125" i="22"/>
  <c r="C125" i="22"/>
  <c r="B126" i="22"/>
  <c r="C126" i="22"/>
  <c r="B127" i="22"/>
  <c r="C127" i="22"/>
  <c r="B128" i="22"/>
  <c r="C128" i="22"/>
  <c r="B129" i="22"/>
  <c r="C129" i="22"/>
  <c r="B130" i="22"/>
  <c r="C130" i="22"/>
  <c r="B131" i="22"/>
  <c r="C131" i="22"/>
  <c r="B132" i="22"/>
  <c r="C132" i="22"/>
  <c r="B133" i="22"/>
  <c r="C133" i="22"/>
  <c r="B134" i="22"/>
  <c r="C134" i="22"/>
  <c r="B135" i="22"/>
  <c r="C135" i="22"/>
  <c r="B136" i="22"/>
  <c r="C136" i="22"/>
  <c r="B137" i="22"/>
  <c r="C137" i="22"/>
  <c r="B138" i="22"/>
  <c r="C138" i="22"/>
  <c r="B139" i="22"/>
  <c r="C139" i="22"/>
  <c r="B140" i="22"/>
  <c r="C140" i="22"/>
  <c r="B141" i="22"/>
  <c r="C141" i="22"/>
  <c r="B142" i="22"/>
  <c r="C142" i="22"/>
  <c r="B143" i="22"/>
  <c r="C143" i="22"/>
  <c r="B144" i="22"/>
  <c r="C144" i="22"/>
  <c r="B145" i="22"/>
  <c r="C145" i="22"/>
  <c r="B146" i="22"/>
  <c r="C146" i="22"/>
  <c r="B147" i="22"/>
  <c r="C147" i="22"/>
  <c r="D147" i="22"/>
  <c r="B148" i="22"/>
  <c r="C148" i="22"/>
  <c r="D148" i="22"/>
  <c r="B149" i="22"/>
  <c r="C149" i="22"/>
  <c r="D149" i="22"/>
  <c r="B150" i="22"/>
  <c r="C150" i="22"/>
  <c r="D150" i="22"/>
  <c r="B151" i="22"/>
  <c r="C151" i="22"/>
  <c r="D151" i="22"/>
  <c r="B152" i="22"/>
  <c r="C152" i="22"/>
  <c r="D152" i="22"/>
  <c r="B153" i="22"/>
  <c r="C153" i="22"/>
  <c r="D153" i="22"/>
  <c r="B154" i="22"/>
  <c r="C154" i="22"/>
  <c r="D154" i="22"/>
  <c r="B155" i="22"/>
  <c r="C155" i="22"/>
  <c r="D155" i="22"/>
  <c r="B156" i="22"/>
  <c r="C156" i="22"/>
  <c r="D156" i="22"/>
  <c r="B157" i="22"/>
  <c r="C157" i="22"/>
  <c r="D157" i="22"/>
  <c r="B158" i="22"/>
  <c r="C158" i="22"/>
  <c r="D158" i="22"/>
  <c r="B159" i="22"/>
  <c r="C159" i="22"/>
  <c r="D159" i="22"/>
  <c r="B160" i="22"/>
  <c r="C160" i="22"/>
  <c r="D160" i="22"/>
  <c r="B161" i="22"/>
  <c r="C161" i="22"/>
  <c r="D161" i="22"/>
  <c r="B162" i="22"/>
  <c r="C162" i="22"/>
  <c r="D162" i="22"/>
  <c r="B163" i="22"/>
  <c r="C163" i="22"/>
  <c r="D163" i="22"/>
  <c r="B164" i="22"/>
  <c r="C164" i="22"/>
  <c r="D164" i="22"/>
  <c r="B165" i="22"/>
  <c r="C165" i="22"/>
  <c r="D165" i="22"/>
  <c r="B166" i="22"/>
  <c r="C166" i="22"/>
  <c r="D166" i="22"/>
  <c r="B167" i="22"/>
  <c r="C167" i="22"/>
  <c r="D167" i="22"/>
  <c r="B168" i="22"/>
  <c r="C168" i="22"/>
  <c r="D168" i="22"/>
  <c r="B169" i="22"/>
  <c r="C169" i="22"/>
  <c r="D169" i="22"/>
  <c r="B170" i="22"/>
  <c r="C170" i="22"/>
  <c r="D170" i="22"/>
  <c r="B171" i="22"/>
  <c r="C171" i="22"/>
  <c r="D171" i="22"/>
  <c r="B172" i="22"/>
  <c r="C172" i="22"/>
  <c r="D172" i="22"/>
  <c r="B173" i="22"/>
  <c r="C173" i="22"/>
  <c r="D173" i="22"/>
  <c r="B174" i="22"/>
  <c r="C174" i="22"/>
  <c r="D174" i="22"/>
  <c r="B175" i="22"/>
  <c r="C175" i="22"/>
  <c r="D175" i="22"/>
  <c r="B176" i="22"/>
  <c r="C176" i="22"/>
  <c r="D176" i="22"/>
  <c r="B177" i="22"/>
  <c r="C177" i="22"/>
  <c r="D177" i="22"/>
  <c r="B178" i="22"/>
  <c r="C178" i="22"/>
  <c r="D178" i="22"/>
  <c r="B179" i="22"/>
  <c r="C179" i="22"/>
  <c r="D179" i="22"/>
  <c r="B180" i="22"/>
  <c r="C180" i="22"/>
  <c r="D180" i="22"/>
  <c r="B181" i="22"/>
  <c r="C181" i="22"/>
  <c r="D181" i="22"/>
  <c r="B182" i="22"/>
  <c r="C182" i="22"/>
  <c r="D182" i="22"/>
  <c r="B183" i="22"/>
  <c r="C183" i="22"/>
  <c r="D183" i="22"/>
  <c r="B184" i="22"/>
  <c r="C184" i="22"/>
  <c r="D184" i="22"/>
  <c r="B185" i="22"/>
  <c r="C185" i="22"/>
  <c r="D185" i="22"/>
  <c r="B186" i="22"/>
  <c r="C186" i="22"/>
  <c r="D186" i="22"/>
  <c r="B187" i="22"/>
  <c r="C187" i="22"/>
  <c r="D187" i="22"/>
  <c r="B188" i="22"/>
  <c r="C188" i="22"/>
  <c r="D188" i="22"/>
  <c r="B189" i="22"/>
  <c r="C189" i="22"/>
  <c r="D189" i="22"/>
  <c r="B190" i="22"/>
  <c r="C190" i="22"/>
  <c r="D190" i="22"/>
  <c r="B191" i="22"/>
  <c r="C191" i="22"/>
  <c r="D191" i="22"/>
  <c r="B192" i="22"/>
  <c r="C192" i="22"/>
  <c r="D192" i="22"/>
  <c r="B193" i="22"/>
  <c r="C193" i="22"/>
  <c r="D193" i="22"/>
  <c r="B194" i="22"/>
  <c r="C194" i="22"/>
  <c r="D194" i="22"/>
  <c r="B195" i="22"/>
  <c r="C195" i="22"/>
  <c r="D195" i="22"/>
  <c r="B196" i="22"/>
  <c r="C196" i="22"/>
  <c r="D196" i="22"/>
  <c r="B197" i="22"/>
  <c r="C197" i="22"/>
  <c r="D197" i="22"/>
  <c r="B198" i="22"/>
  <c r="C198" i="22"/>
  <c r="D198" i="22"/>
  <c r="B199" i="22"/>
  <c r="C199" i="22"/>
  <c r="D199" i="22"/>
  <c r="B200" i="22"/>
  <c r="C200" i="22"/>
  <c r="D200" i="22"/>
  <c r="B201" i="22"/>
  <c r="C201" i="22"/>
  <c r="D201" i="22"/>
  <c r="B202" i="22"/>
  <c r="C202" i="22"/>
  <c r="D202" i="22"/>
  <c r="B203" i="22"/>
  <c r="C203" i="22"/>
  <c r="D203" i="22"/>
  <c r="B204" i="22"/>
  <c r="C204" i="22"/>
  <c r="D204" i="22"/>
  <c r="B205" i="22"/>
  <c r="C205" i="22"/>
  <c r="D205" i="22"/>
  <c r="B206" i="22"/>
  <c r="C206" i="22"/>
  <c r="D206" i="22"/>
  <c r="B207" i="22"/>
  <c r="C207" i="22"/>
  <c r="D207" i="22"/>
  <c r="B208" i="22"/>
  <c r="C208" i="22"/>
  <c r="D208" i="22"/>
  <c r="B209" i="22"/>
  <c r="C209" i="22"/>
  <c r="D209" i="22"/>
  <c r="B210" i="22"/>
  <c r="C210" i="22"/>
  <c r="D210" i="22"/>
  <c r="B211" i="22"/>
  <c r="C211" i="22"/>
  <c r="D211" i="22"/>
  <c r="B212" i="22"/>
  <c r="C212" i="22"/>
  <c r="D212" i="22"/>
  <c r="B213" i="22"/>
  <c r="C213" i="22"/>
  <c r="D213" i="22"/>
  <c r="B214" i="22"/>
  <c r="C214" i="22"/>
  <c r="D214" i="22"/>
  <c r="B215" i="22"/>
  <c r="C215" i="22"/>
  <c r="D215" i="22"/>
  <c r="B216" i="22"/>
  <c r="C216" i="22"/>
  <c r="D216" i="22"/>
  <c r="B217" i="22"/>
  <c r="C217" i="22"/>
  <c r="D217" i="22"/>
  <c r="B218" i="22"/>
  <c r="C218" i="22"/>
  <c r="D218" i="22"/>
  <c r="B219" i="22"/>
  <c r="C219" i="22"/>
  <c r="D219" i="22"/>
  <c r="B220" i="22"/>
  <c r="C220" i="22"/>
  <c r="D220" i="22"/>
  <c r="B221" i="22"/>
  <c r="C221" i="22"/>
  <c r="D221" i="22"/>
  <c r="B222" i="22"/>
  <c r="C222" i="22"/>
  <c r="D222" i="22"/>
  <c r="B223" i="22"/>
  <c r="C223" i="22"/>
  <c r="D223" i="22"/>
  <c r="B224" i="22"/>
  <c r="C224" i="22"/>
  <c r="D224" i="22"/>
  <c r="B225" i="22"/>
  <c r="C225" i="22"/>
  <c r="D225" i="22"/>
  <c r="B226" i="22"/>
  <c r="C226" i="22"/>
  <c r="D226" i="22"/>
  <c r="B227" i="22"/>
  <c r="C227" i="22"/>
  <c r="D227" i="22"/>
  <c r="B228" i="22"/>
  <c r="C228" i="22"/>
  <c r="D228" i="22"/>
  <c r="B229" i="22"/>
  <c r="C229" i="22"/>
  <c r="D229" i="22"/>
  <c r="B230" i="22"/>
  <c r="C230" i="22"/>
  <c r="D230" i="22"/>
  <c r="B231" i="22"/>
  <c r="C231" i="22"/>
  <c r="D231" i="22"/>
  <c r="B232" i="22"/>
  <c r="C232" i="22"/>
  <c r="D232" i="22"/>
  <c r="B233" i="22"/>
  <c r="C233" i="22"/>
  <c r="D233" i="22"/>
  <c r="B234" i="22"/>
  <c r="C234" i="22"/>
  <c r="D234" i="22"/>
  <c r="B235" i="22"/>
  <c r="C235" i="22"/>
  <c r="D235" i="22"/>
  <c r="B236" i="22"/>
  <c r="C236" i="22"/>
  <c r="D236" i="22"/>
  <c r="B237" i="22"/>
  <c r="C237" i="22"/>
  <c r="D237" i="22"/>
  <c r="B238" i="22"/>
  <c r="C238" i="22"/>
  <c r="D238" i="22"/>
  <c r="B239" i="22"/>
  <c r="C239" i="22"/>
  <c r="D239" i="22"/>
  <c r="B240" i="22"/>
  <c r="C240" i="22"/>
  <c r="D240" i="22"/>
  <c r="B241" i="22"/>
  <c r="C241" i="22"/>
  <c r="D241" i="22"/>
  <c r="B242" i="22"/>
  <c r="C242" i="22"/>
  <c r="D242" i="22"/>
  <c r="B243" i="22"/>
  <c r="C243" i="22"/>
  <c r="D243" i="22"/>
  <c r="B244" i="22"/>
  <c r="C244" i="22"/>
  <c r="D244" i="22"/>
  <c r="B245" i="22"/>
  <c r="C245" i="22"/>
  <c r="D245" i="22"/>
  <c r="B246" i="22"/>
  <c r="C246" i="22"/>
  <c r="D246" i="22"/>
  <c r="B247" i="22"/>
  <c r="C247" i="22"/>
  <c r="D247" i="22"/>
  <c r="B248" i="22"/>
  <c r="C248" i="22"/>
  <c r="D248" i="22"/>
  <c r="B249" i="22"/>
  <c r="C249" i="22"/>
  <c r="D249" i="22"/>
  <c r="B250" i="22"/>
  <c r="C250" i="22"/>
  <c r="D250" i="22"/>
  <c r="B251" i="22"/>
  <c r="C251" i="22"/>
  <c r="D251" i="22"/>
  <c r="B252" i="22"/>
  <c r="C252" i="22"/>
  <c r="D252" i="22"/>
  <c r="B253" i="22"/>
  <c r="C253" i="22"/>
  <c r="D253" i="22"/>
  <c r="B254" i="22"/>
  <c r="C254" i="22"/>
  <c r="D254" i="22"/>
  <c r="B255" i="22"/>
  <c r="C255" i="22"/>
  <c r="D255" i="22"/>
  <c r="B256" i="22"/>
  <c r="C256" i="22"/>
  <c r="D256" i="22"/>
  <c r="B257" i="22"/>
  <c r="C257" i="22"/>
  <c r="D257" i="22"/>
  <c r="B258" i="22"/>
  <c r="C258" i="22"/>
  <c r="D258" i="22"/>
  <c r="B259" i="22"/>
  <c r="C259" i="22"/>
  <c r="D259" i="22"/>
  <c r="B260" i="22"/>
  <c r="C260" i="22"/>
  <c r="D260" i="22"/>
  <c r="B261" i="22"/>
  <c r="C261" i="22"/>
  <c r="D261" i="22"/>
  <c r="B262" i="22"/>
  <c r="C262" i="22"/>
  <c r="D262" i="22"/>
  <c r="B263" i="22"/>
  <c r="C263" i="22"/>
  <c r="D263" i="22"/>
  <c r="B264" i="22"/>
  <c r="C264" i="22"/>
  <c r="D264" i="22"/>
  <c r="B265" i="22"/>
  <c r="C265" i="22"/>
  <c r="D265" i="22"/>
  <c r="B266" i="22"/>
  <c r="C266" i="22"/>
  <c r="D266" i="22"/>
  <c r="B267" i="22"/>
  <c r="C267" i="22"/>
  <c r="D267" i="22"/>
  <c r="B268" i="22"/>
  <c r="C268" i="22"/>
  <c r="D268" i="22"/>
  <c r="B269" i="22"/>
  <c r="C269" i="22"/>
  <c r="D269" i="22"/>
  <c r="B270" i="22"/>
  <c r="C270" i="22"/>
  <c r="D270" i="22"/>
  <c r="B271" i="22"/>
  <c r="C271" i="22"/>
  <c r="D271" i="22"/>
  <c r="B272" i="22"/>
  <c r="C272" i="22"/>
  <c r="D272" i="22"/>
  <c r="B273" i="22"/>
  <c r="C273" i="22"/>
  <c r="D273" i="22"/>
  <c r="B274" i="22"/>
  <c r="C274" i="22"/>
  <c r="D274" i="22"/>
  <c r="B275" i="22"/>
  <c r="C275" i="22"/>
  <c r="D275" i="22"/>
  <c r="B276" i="22"/>
  <c r="C276" i="22"/>
  <c r="D276" i="22"/>
  <c r="B277" i="22"/>
  <c r="C277" i="22"/>
  <c r="D277" i="22"/>
  <c r="B278" i="22"/>
  <c r="C278" i="22"/>
  <c r="D278" i="22"/>
  <c r="B279" i="22"/>
  <c r="C279" i="22"/>
  <c r="D279" i="22"/>
  <c r="B280" i="22"/>
  <c r="C280" i="22"/>
  <c r="D280" i="22"/>
  <c r="B281" i="22"/>
  <c r="C281" i="22"/>
  <c r="D281" i="22"/>
  <c r="B282" i="22"/>
  <c r="C282" i="22"/>
  <c r="D282" i="22"/>
  <c r="B283" i="22"/>
  <c r="C283" i="22"/>
  <c r="D283" i="22"/>
  <c r="B284" i="22"/>
  <c r="C284" i="22"/>
  <c r="D284" i="22"/>
  <c r="B285" i="22"/>
  <c r="C285" i="22"/>
  <c r="D285" i="22"/>
  <c r="B286" i="22"/>
  <c r="C286" i="22"/>
  <c r="D286" i="22"/>
  <c r="B287" i="22"/>
  <c r="C287" i="22"/>
  <c r="D287" i="22"/>
  <c r="B288" i="22"/>
  <c r="C288" i="22"/>
  <c r="D288" i="22"/>
  <c r="B289" i="22"/>
  <c r="C289" i="22"/>
  <c r="D289" i="22"/>
  <c r="B290" i="22"/>
  <c r="C290" i="22"/>
  <c r="D290" i="22"/>
  <c r="B291" i="22"/>
  <c r="C291" i="22"/>
  <c r="D291" i="22"/>
  <c r="B292" i="22"/>
  <c r="C292" i="22"/>
  <c r="D292" i="22"/>
  <c r="B293" i="22"/>
  <c r="C293" i="22"/>
  <c r="D293" i="22"/>
  <c r="C6" i="22"/>
  <c r="B6" i="22"/>
  <c r="B7" i="20"/>
  <c r="C7" i="20"/>
  <c r="B8" i="20"/>
  <c r="C8" i="20"/>
  <c r="B9" i="20"/>
  <c r="C9" i="20"/>
  <c r="B10" i="20"/>
  <c r="C10" i="20"/>
  <c r="B11" i="20"/>
  <c r="C11" i="20"/>
  <c r="B12" i="20"/>
  <c r="C12" i="20"/>
  <c r="B13" i="20"/>
  <c r="C13" i="20"/>
  <c r="B14" i="20"/>
  <c r="C14" i="20"/>
  <c r="B15" i="20"/>
  <c r="C15" i="20"/>
  <c r="B16" i="20"/>
  <c r="C16" i="20"/>
  <c r="B17" i="20"/>
  <c r="C17" i="20"/>
  <c r="B18" i="20"/>
  <c r="C18" i="20"/>
  <c r="B19" i="20"/>
  <c r="C19" i="20"/>
  <c r="B20" i="20"/>
  <c r="C20" i="20"/>
  <c r="B21" i="20"/>
  <c r="C21" i="20"/>
  <c r="B22" i="20"/>
  <c r="C22" i="20"/>
  <c r="B23" i="20"/>
  <c r="C23" i="20"/>
  <c r="B24" i="20"/>
  <c r="C24" i="20"/>
  <c r="B25" i="20"/>
  <c r="C25" i="20"/>
  <c r="B26" i="20"/>
  <c r="C26" i="20"/>
  <c r="B27" i="20"/>
  <c r="C27" i="20"/>
  <c r="B28" i="20"/>
  <c r="C28" i="20"/>
  <c r="B29" i="20"/>
  <c r="C29" i="20"/>
  <c r="B30" i="20"/>
  <c r="C30" i="20"/>
  <c r="B31" i="20"/>
  <c r="C31" i="20"/>
  <c r="B32" i="20"/>
  <c r="C32" i="20"/>
  <c r="B33" i="20"/>
  <c r="C33" i="20"/>
  <c r="B34" i="20"/>
  <c r="C34" i="20"/>
  <c r="B35" i="20"/>
  <c r="C35" i="20"/>
  <c r="B36" i="20"/>
  <c r="C36" i="20"/>
  <c r="B37" i="20"/>
  <c r="C37" i="20"/>
  <c r="B38" i="20"/>
  <c r="C38" i="20"/>
  <c r="B39" i="20"/>
  <c r="C39" i="20"/>
  <c r="B40" i="20"/>
  <c r="C40" i="20"/>
  <c r="B41" i="20"/>
  <c r="C41" i="20"/>
  <c r="B42" i="20"/>
  <c r="C42" i="20"/>
  <c r="B43" i="20"/>
  <c r="C43" i="20"/>
  <c r="B44" i="20"/>
  <c r="C44" i="20"/>
  <c r="B45" i="20"/>
  <c r="C45" i="20"/>
  <c r="B46" i="20"/>
  <c r="C46" i="20"/>
  <c r="B47" i="20"/>
  <c r="C47" i="20"/>
  <c r="B48" i="20"/>
  <c r="C48" i="20"/>
  <c r="B49" i="20"/>
  <c r="C49" i="20"/>
  <c r="B50" i="20"/>
  <c r="C50" i="20"/>
  <c r="B51" i="20"/>
  <c r="C51" i="20"/>
  <c r="B52" i="20"/>
  <c r="C52" i="20"/>
  <c r="B53" i="20"/>
  <c r="C53" i="20"/>
  <c r="B54" i="20"/>
  <c r="C54" i="20"/>
  <c r="B55" i="20"/>
  <c r="C55" i="20"/>
  <c r="B56" i="20"/>
  <c r="C56" i="20"/>
  <c r="B57" i="20"/>
  <c r="C57" i="20"/>
  <c r="B58" i="20"/>
  <c r="C58" i="20"/>
  <c r="B59" i="20"/>
  <c r="C59" i="20"/>
  <c r="B60" i="20"/>
  <c r="C60" i="20"/>
  <c r="B61" i="20"/>
  <c r="C61" i="20"/>
  <c r="B62" i="20"/>
  <c r="C62" i="20"/>
  <c r="B63" i="20"/>
  <c r="C63" i="20"/>
  <c r="B64" i="20"/>
  <c r="C64" i="20"/>
  <c r="B65" i="20"/>
  <c r="C65" i="20"/>
  <c r="B66" i="20"/>
  <c r="C66" i="20"/>
  <c r="B67" i="20"/>
  <c r="C67" i="20"/>
  <c r="B68" i="20"/>
  <c r="C68" i="20"/>
  <c r="B69" i="20"/>
  <c r="C69" i="20"/>
  <c r="B70" i="20"/>
  <c r="C70" i="20"/>
  <c r="B71" i="20"/>
  <c r="C71" i="20"/>
  <c r="B72" i="20"/>
  <c r="C72" i="20"/>
  <c r="B73" i="20"/>
  <c r="C73" i="20"/>
  <c r="B74" i="20"/>
  <c r="C74" i="20"/>
  <c r="B75" i="20"/>
  <c r="C75" i="20"/>
  <c r="B76" i="20"/>
  <c r="C76" i="20"/>
  <c r="B77" i="20"/>
  <c r="C77" i="20"/>
  <c r="B78" i="20"/>
  <c r="C78" i="20"/>
  <c r="B79" i="20"/>
  <c r="C79" i="20"/>
  <c r="B80" i="20"/>
  <c r="C80" i="20"/>
  <c r="B81" i="20"/>
  <c r="C81" i="20"/>
  <c r="B82" i="20"/>
  <c r="C82" i="20"/>
  <c r="B83" i="20"/>
  <c r="C83" i="20"/>
  <c r="B84" i="20"/>
  <c r="C84" i="20"/>
  <c r="B85" i="20"/>
  <c r="C85" i="20"/>
  <c r="B86" i="20"/>
  <c r="C86" i="20"/>
  <c r="B87" i="20"/>
  <c r="C87" i="20"/>
  <c r="B88" i="20"/>
  <c r="C88" i="20"/>
  <c r="B89" i="20"/>
  <c r="C89" i="20"/>
  <c r="B90" i="20"/>
  <c r="C90" i="20"/>
  <c r="B91" i="20"/>
  <c r="C91" i="20"/>
  <c r="B92" i="20"/>
  <c r="C92" i="20"/>
  <c r="B93" i="20"/>
  <c r="C93" i="20"/>
  <c r="B94" i="20"/>
  <c r="C94" i="20"/>
  <c r="B95" i="20"/>
  <c r="C95" i="20"/>
  <c r="B96" i="20"/>
  <c r="C96" i="20"/>
  <c r="B97" i="20"/>
  <c r="C97" i="20"/>
  <c r="B98" i="20"/>
  <c r="C98" i="20"/>
  <c r="B99" i="20"/>
  <c r="C99" i="20"/>
  <c r="B100" i="20"/>
  <c r="C100" i="20"/>
  <c r="B101" i="20"/>
  <c r="C101" i="20"/>
  <c r="B102" i="20"/>
  <c r="C102" i="20"/>
  <c r="B103" i="20"/>
  <c r="C103" i="20"/>
  <c r="B104" i="20"/>
  <c r="C104" i="20"/>
  <c r="B105" i="20"/>
  <c r="C105" i="20"/>
  <c r="B106" i="20"/>
  <c r="C106" i="20"/>
  <c r="B107" i="20"/>
  <c r="C107" i="20"/>
  <c r="B108" i="20"/>
  <c r="C108" i="20"/>
  <c r="B109" i="20"/>
  <c r="C109" i="20"/>
  <c r="B110" i="20"/>
  <c r="C110" i="20"/>
  <c r="B111" i="20"/>
  <c r="C111" i="20"/>
  <c r="B112" i="20"/>
  <c r="C112" i="20"/>
  <c r="B113" i="20"/>
  <c r="C113" i="20"/>
  <c r="B114" i="20"/>
  <c r="C114" i="20"/>
  <c r="B115" i="20"/>
  <c r="C115" i="20"/>
  <c r="B116" i="20"/>
  <c r="C116" i="20"/>
  <c r="B117" i="20"/>
  <c r="C117" i="20"/>
  <c r="B118" i="20"/>
  <c r="C118" i="20"/>
  <c r="B119" i="20"/>
  <c r="C119" i="20"/>
  <c r="B120" i="20"/>
  <c r="C120" i="20"/>
  <c r="B121" i="20"/>
  <c r="C121" i="20"/>
  <c r="B122" i="20"/>
  <c r="C122" i="20"/>
  <c r="B123" i="20"/>
  <c r="C123" i="20"/>
  <c r="B124" i="20"/>
  <c r="C124" i="20"/>
  <c r="B125" i="20"/>
  <c r="C125" i="20"/>
  <c r="B126" i="20"/>
  <c r="C126" i="20"/>
  <c r="B127" i="20"/>
  <c r="C127" i="20"/>
  <c r="B128" i="20"/>
  <c r="C128" i="20"/>
  <c r="B129" i="20"/>
  <c r="C129" i="20"/>
  <c r="B130" i="20"/>
  <c r="C130" i="20"/>
  <c r="B131" i="20"/>
  <c r="C131" i="20"/>
  <c r="B132" i="20"/>
  <c r="C132" i="20"/>
  <c r="B133" i="20"/>
  <c r="C133" i="20"/>
  <c r="B134" i="20"/>
  <c r="C134" i="20"/>
  <c r="B135" i="20"/>
  <c r="C135" i="20"/>
  <c r="B136" i="20"/>
  <c r="C136" i="20"/>
  <c r="B137" i="20"/>
  <c r="C137" i="20"/>
  <c r="B138" i="20"/>
  <c r="C138" i="20"/>
  <c r="B139" i="20"/>
  <c r="C139" i="20"/>
  <c r="B140" i="20"/>
  <c r="C140" i="20"/>
  <c r="B141" i="20"/>
  <c r="C141" i="20"/>
  <c r="B142" i="20"/>
  <c r="C142" i="20"/>
  <c r="B143" i="20"/>
  <c r="C143" i="20"/>
  <c r="B144" i="20"/>
  <c r="C144" i="20"/>
  <c r="D144" i="20"/>
  <c r="B145" i="20"/>
  <c r="C145" i="20"/>
  <c r="D145" i="20"/>
  <c r="B146" i="20"/>
  <c r="C146" i="20"/>
  <c r="D146" i="20"/>
  <c r="B147" i="20"/>
  <c r="C147" i="20"/>
  <c r="D147" i="20"/>
  <c r="B148" i="20"/>
  <c r="C148" i="20"/>
  <c r="D148" i="20"/>
  <c r="B149" i="20"/>
  <c r="C149" i="20"/>
  <c r="D149" i="20"/>
  <c r="B150" i="20"/>
  <c r="C150" i="20"/>
  <c r="D150" i="20"/>
  <c r="B151" i="20"/>
  <c r="C151" i="20"/>
  <c r="D151" i="20"/>
  <c r="B152" i="20"/>
  <c r="C152" i="20"/>
  <c r="D152" i="20"/>
  <c r="B153" i="20"/>
  <c r="C153" i="20"/>
  <c r="D153" i="20"/>
  <c r="B154" i="20"/>
  <c r="C154" i="20"/>
  <c r="D154" i="20"/>
  <c r="B155" i="20"/>
  <c r="C155" i="20"/>
  <c r="D155" i="20"/>
  <c r="B156" i="20"/>
  <c r="C156" i="20"/>
  <c r="D156" i="20"/>
  <c r="B157" i="20"/>
  <c r="C157" i="20"/>
  <c r="D157" i="20"/>
  <c r="B158" i="20"/>
  <c r="C158" i="20"/>
  <c r="D158" i="20"/>
  <c r="B159" i="20"/>
  <c r="C159" i="20"/>
  <c r="D159" i="20"/>
  <c r="B160" i="20"/>
  <c r="C160" i="20"/>
  <c r="D160" i="20"/>
  <c r="B161" i="20"/>
  <c r="C161" i="20"/>
  <c r="D161" i="20"/>
  <c r="B162" i="20"/>
  <c r="C162" i="20"/>
  <c r="D162" i="20"/>
  <c r="B163" i="20"/>
  <c r="C163" i="20"/>
  <c r="D163" i="20"/>
  <c r="B164" i="20"/>
  <c r="C164" i="20"/>
  <c r="D164" i="20"/>
  <c r="B165" i="20"/>
  <c r="C165" i="20"/>
  <c r="D165" i="20"/>
  <c r="B166" i="20"/>
  <c r="C166" i="20"/>
  <c r="D166" i="20"/>
  <c r="B167" i="20"/>
  <c r="C167" i="20"/>
  <c r="D167" i="20"/>
  <c r="B168" i="20"/>
  <c r="C168" i="20"/>
  <c r="D168" i="20"/>
  <c r="B169" i="20"/>
  <c r="C169" i="20"/>
  <c r="D169" i="20"/>
  <c r="B170" i="20"/>
  <c r="C170" i="20"/>
  <c r="D170" i="20"/>
  <c r="B171" i="20"/>
  <c r="C171" i="20"/>
  <c r="D171" i="20"/>
  <c r="B172" i="20"/>
  <c r="C172" i="20"/>
  <c r="D172" i="20"/>
  <c r="B173" i="20"/>
  <c r="C173" i="20"/>
  <c r="D173" i="20"/>
  <c r="B174" i="20"/>
  <c r="C174" i="20"/>
  <c r="D174" i="20"/>
  <c r="B175" i="20"/>
  <c r="C175" i="20"/>
  <c r="D175" i="20"/>
  <c r="B176" i="20"/>
  <c r="C176" i="20"/>
  <c r="D176" i="20"/>
  <c r="B177" i="20"/>
  <c r="C177" i="20"/>
  <c r="D177" i="20"/>
  <c r="B178" i="20"/>
  <c r="C178" i="20"/>
  <c r="D178" i="20"/>
  <c r="B179" i="20"/>
  <c r="C179" i="20"/>
  <c r="D179" i="20"/>
  <c r="B180" i="20"/>
  <c r="C180" i="20"/>
  <c r="D180" i="20"/>
  <c r="B181" i="20"/>
  <c r="C181" i="20"/>
  <c r="D181" i="20"/>
  <c r="B182" i="20"/>
  <c r="C182" i="20"/>
  <c r="D182" i="20"/>
  <c r="B183" i="20"/>
  <c r="C183" i="20"/>
  <c r="D183" i="20"/>
  <c r="B184" i="20"/>
  <c r="C184" i="20"/>
  <c r="D184" i="20"/>
  <c r="B185" i="20"/>
  <c r="C185" i="20"/>
  <c r="D185" i="20"/>
  <c r="B186" i="20"/>
  <c r="C186" i="20"/>
  <c r="D186" i="20"/>
  <c r="B187" i="20"/>
  <c r="C187" i="20"/>
  <c r="D187" i="20"/>
  <c r="B188" i="20"/>
  <c r="C188" i="20"/>
  <c r="D188" i="20"/>
  <c r="B189" i="20"/>
  <c r="C189" i="20"/>
  <c r="D189" i="20"/>
  <c r="B190" i="20"/>
  <c r="C190" i="20"/>
  <c r="D190" i="20"/>
  <c r="B191" i="20"/>
  <c r="C191" i="20"/>
  <c r="D191" i="20"/>
  <c r="B192" i="20"/>
  <c r="C192" i="20"/>
  <c r="D192" i="20"/>
  <c r="B193" i="20"/>
  <c r="C193" i="20"/>
  <c r="D193" i="20"/>
  <c r="B194" i="20"/>
  <c r="C194" i="20"/>
  <c r="D194" i="20"/>
  <c r="B195" i="20"/>
  <c r="C195" i="20"/>
  <c r="D195" i="20"/>
  <c r="B196" i="20"/>
  <c r="C196" i="20"/>
  <c r="D196" i="20"/>
  <c r="B197" i="20"/>
  <c r="C197" i="20"/>
  <c r="D197" i="20"/>
  <c r="B198" i="20"/>
  <c r="C198" i="20"/>
  <c r="D198" i="20"/>
  <c r="B199" i="20"/>
  <c r="C199" i="20"/>
  <c r="D199" i="20"/>
  <c r="B200" i="20"/>
  <c r="C200" i="20"/>
  <c r="D200" i="20"/>
  <c r="B201" i="20"/>
  <c r="C201" i="20"/>
  <c r="D201" i="20"/>
  <c r="B202" i="20"/>
  <c r="C202" i="20"/>
  <c r="D202" i="20"/>
  <c r="B203" i="20"/>
  <c r="C203" i="20"/>
  <c r="D203" i="20"/>
  <c r="B204" i="20"/>
  <c r="C204" i="20"/>
  <c r="D204" i="20"/>
  <c r="B205" i="20"/>
  <c r="C205" i="20"/>
  <c r="D205" i="20"/>
  <c r="B206" i="20"/>
  <c r="C206" i="20"/>
  <c r="D206" i="20"/>
  <c r="B207" i="20"/>
  <c r="C207" i="20"/>
  <c r="D207" i="20"/>
  <c r="B208" i="20"/>
  <c r="C208" i="20"/>
  <c r="D208" i="20"/>
  <c r="B209" i="20"/>
  <c r="C209" i="20"/>
  <c r="D209" i="20"/>
  <c r="B210" i="20"/>
  <c r="C210" i="20"/>
  <c r="D210" i="20"/>
  <c r="B211" i="20"/>
  <c r="C211" i="20"/>
  <c r="D211" i="20"/>
  <c r="B212" i="20"/>
  <c r="C212" i="20"/>
  <c r="D212" i="20"/>
  <c r="B213" i="20"/>
  <c r="C213" i="20"/>
  <c r="D213" i="20"/>
  <c r="B214" i="20"/>
  <c r="C214" i="20"/>
  <c r="D214" i="20"/>
  <c r="B215" i="20"/>
  <c r="C215" i="20"/>
  <c r="D215" i="20"/>
  <c r="B216" i="20"/>
  <c r="C216" i="20"/>
  <c r="D216" i="20"/>
  <c r="B217" i="20"/>
  <c r="C217" i="20"/>
  <c r="D217" i="20"/>
  <c r="B218" i="20"/>
  <c r="C218" i="20"/>
  <c r="D218" i="20"/>
  <c r="B219" i="20"/>
  <c r="C219" i="20"/>
  <c r="D219" i="20"/>
  <c r="B220" i="20"/>
  <c r="C220" i="20"/>
  <c r="D220" i="20"/>
  <c r="B221" i="20"/>
  <c r="C221" i="20"/>
  <c r="D221" i="20"/>
  <c r="B222" i="20"/>
  <c r="C222" i="20"/>
  <c r="D222" i="20"/>
  <c r="B223" i="20"/>
  <c r="C223" i="20"/>
  <c r="D223" i="20"/>
  <c r="B224" i="20"/>
  <c r="C224" i="20"/>
  <c r="D224" i="20"/>
  <c r="B225" i="20"/>
  <c r="C225" i="20"/>
  <c r="D225" i="20"/>
  <c r="B226" i="20"/>
  <c r="C226" i="20"/>
  <c r="D226" i="20"/>
  <c r="B227" i="20"/>
  <c r="C227" i="20"/>
  <c r="D227" i="20"/>
  <c r="B228" i="20"/>
  <c r="C228" i="20"/>
  <c r="D228" i="20"/>
  <c r="B229" i="20"/>
  <c r="C229" i="20"/>
  <c r="D229" i="20"/>
  <c r="B230" i="20"/>
  <c r="C230" i="20"/>
  <c r="D230" i="20"/>
  <c r="B231" i="20"/>
  <c r="C231" i="20"/>
  <c r="D231" i="20"/>
  <c r="B232" i="20"/>
  <c r="C232" i="20"/>
  <c r="D232" i="20"/>
  <c r="B233" i="20"/>
  <c r="C233" i="20"/>
  <c r="D233" i="20"/>
  <c r="B234" i="20"/>
  <c r="C234" i="20"/>
  <c r="D234" i="20"/>
  <c r="B235" i="20"/>
  <c r="C235" i="20"/>
  <c r="D235" i="20"/>
  <c r="B236" i="20"/>
  <c r="C236" i="20"/>
  <c r="D236" i="20"/>
  <c r="B237" i="20"/>
  <c r="C237" i="20"/>
  <c r="D237" i="20"/>
  <c r="B238" i="20"/>
  <c r="C238" i="20"/>
  <c r="D238" i="20"/>
  <c r="B239" i="20"/>
  <c r="C239" i="20"/>
  <c r="D239" i="20"/>
  <c r="B240" i="20"/>
  <c r="C240" i="20"/>
  <c r="D240" i="20"/>
  <c r="B241" i="20"/>
  <c r="C241" i="20"/>
  <c r="D241" i="20"/>
  <c r="B242" i="20"/>
  <c r="C242" i="20"/>
  <c r="D242" i="20"/>
  <c r="B243" i="20"/>
  <c r="C243" i="20"/>
  <c r="D243" i="20"/>
  <c r="B244" i="20"/>
  <c r="C244" i="20"/>
  <c r="D244" i="20"/>
  <c r="B245" i="20"/>
  <c r="C245" i="20"/>
  <c r="D245" i="20"/>
  <c r="B246" i="20"/>
  <c r="C246" i="20"/>
  <c r="D246" i="20"/>
  <c r="B247" i="20"/>
  <c r="C247" i="20"/>
  <c r="D247" i="20"/>
  <c r="B248" i="20"/>
  <c r="C248" i="20"/>
  <c r="D248" i="20"/>
  <c r="B249" i="20"/>
  <c r="C249" i="20"/>
  <c r="D249" i="20"/>
  <c r="B250" i="20"/>
  <c r="C250" i="20"/>
  <c r="D250" i="20"/>
  <c r="B251" i="20"/>
  <c r="C251" i="20"/>
  <c r="D251" i="20"/>
  <c r="B252" i="20"/>
  <c r="C252" i="20"/>
  <c r="D252" i="20"/>
  <c r="B253" i="20"/>
  <c r="C253" i="20"/>
  <c r="D253" i="20"/>
  <c r="B254" i="20"/>
  <c r="C254" i="20"/>
  <c r="D254" i="20"/>
  <c r="B255" i="20"/>
  <c r="C255" i="20"/>
  <c r="D255" i="20"/>
  <c r="B256" i="20"/>
  <c r="C256" i="20"/>
  <c r="D256" i="20"/>
  <c r="B257" i="20"/>
  <c r="C257" i="20"/>
  <c r="D257" i="20"/>
  <c r="B258" i="20"/>
  <c r="C258" i="20"/>
  <c r="D258" i="20"/>
  <c r="B259" i="20"/>
  <c r="C259" i="20"/>
  <c r="D259" i="20"/>
  <c r="B260" i="20"/>
  <c r="C260" i="20"/>
  <c r="D260" i="20"/>
  <c r="B261" i="20"/>
  <c r="C261" i="20"/>
  <c r="D261" i="20"/>
  <c r="B262" i="20"/>
  <c r="C262" i="20"/>
  <c r="D262" i="20"/>
  <c r="B263" i="20"/>
  <c r="C263" i="20"/>
  <c r="D263" i="20"/>
  <c r="B264" i="20"/>
  <c r="C264" i="20"/>
  <c r="D264" i="20"/>
  <c r="B265" i="20"/>
  <c r="C265" i="20"/>
  <c r="D265" i="20"/>
  <c r="B266" i="20"/>
  <c r="C266" i="20"/>
  <c r="D266" i="20"/>
  <c r="B267" i="20"/>
  <c r="C267" i="20"/>
  <c r="D267" i="20"/>
  <c r="B268" i="20"/>
  <c r="C268" i="20"/>
  <c r="D268" i="20"/>
  <c r="B269" i="20"/>
  <c r="C269" i="20"/>
  <c r="D269" i="20"/>
  <c r="B270" i="20"/>
  <c r="C270" i="20"/>
  <c r="D270" i="20"/>
  <c r="B271" i="20"/>
  <c r="C271" i="20"/>
  <c r="D271" i="20"/>
  <c r="B272" i="20"/>
  <c r="C272" i="20"/>
  <c r="D272" i="20"/>
  <c r="B273" i="20"/>
  <c r="C273" i="20"/>
  <c r="D273" i="20"/>
  <c r="B274" i="20"/>
  <c r="C274" i="20"/>
  <c r="D274" i="20"/>
  <c r="B275" i="20"/>
  <c r="C275" i="20"/>
  <c r="D275" i="20"/>
  <c r="B276" i="20"/>
  <c r="C276" i="20"/>
  <c r="D276" i="20"/>
  <c r="B277" i="20"/>
  <c r="C277" i="20"/>
  <c r="D277" i="20"/>
  <c r="B278" i="20"/>
  <c r="C278" i="20"/>
  <c r="D278" i="20"/>
  <c r="B279" i="20"/>
  <c r="C279" i="20"/>
  <c r="D279" i="20"/>
  <c r="B280" i="20"/>
  <c r="C280" i="20"/>
  <c r="D280" i="20"/>
  <c r="B281" i="20"/>
  <c r="C281" i="20"/>
  <c r="D281" i="20"/>
  <c r="B282" i="20"/>
  <c r="C282" i="20"/>
  <c r="D282" i="20"/>
  <c r="B283" i="20"/>
  <c r="C283" i="20"/>
  <c r="D283" i="20"/>
  <c r="B284" i="20"/>
  <c r="C284" i="20"/>
  <c r="D284" i="20"/>
  <c r="B285" i="20"/>
  <c r="C285" i="20"/>
  <c r="D285" i="20"/>
  <c r="B286" i="20"/>
  <c r="C286" i="20"/>
  <c r="D286" i="20"/>
  <c r="B287" i="20"/>
  <c r="C287" i="20"/>
  <c r="D287" i="20"/>
  <c r="B288" i="20"/>
  <c r="C288" i="20"/>
  <c r="D288" i="20"/>
  <c r="B289" i="20"/>
  <c r="C289" i="20"/>
  <c r="D289" i="20"/>
  <c r="B290" i="20"/>
  <c r="C290" i="20"/>
  <c r="D290" i="20"/>
  <c r="B291" i="20"/>
  <c r="C291" i="20"/>
  <c r="D291" i="20"/>
  <c r="B292" i="20"/>
  <c r="C292" i="20"/>
  <c r="D292" i="20"/>
  <c r="B293" i="20"/>
  <c r="C293" i="20"/>
  <c r="D293" i="20"/>
  <c r="C6" i="20"/>
  <c r="B6" i="20"/>
  <c r="B45" i="13"/>
  <c r="B46" i="13"/>
  <c r="B47" i="13"/>
  <c r="B48" i="13"/>
  <c r="B49" i="13"/>
  <c r="B50" i="13"/>
  <c r="B51" i="13"/>
  <c r="B52" i="13"/>
  <c r="B53" i="13"/>
  <c r="B54" i="13"/>
  <c r="B55" i="13"/>
  <c r="B56" i="13"/>
  <c r="B57" i="13"/>
  <c r="B58" i="13"/>
  <c r="B59" i="13"/>
  <c r="B60" i="13"/>
  <c r="B61" i="13"/>
  <c r="B62" i="13"/>
  <c r="B63" i="13"/>
  <c r="B64" i="13"/>
  <c r="B65" i="13"/>
  <c r="B66" i="13"/>
  <c r="B67" i="13"/>
  <c r="B68" i="13"/>
  <c r="B69" i="13"/>
  <c r="B70" i="13"/>
  <c r="B71" i="13"/>
  <c r="B72" i="13"/>
  <c r="B73" i="13"/>
  <c r="B74" i="13"/>
  <c r="B75" i="13"/>
  <c r="B76" i="13"/>
  <c r="B77" i="13"/>
  <c r="B78" i="13"/>
  <c r="B79" i="13"/>
  <c r="B80" i="13"/>
  <c r="B81" i="13"/>
  <c r="B82" i="13"/>
  <c r="B7" i="13"/>
  <c r="C7" i="13"/>
  <c r="B8" i="13"/>
  <c r="C8" i="13"/>
  <c r="B9" i="13"/>
  <c r="C9" i="13"/>
  <c r="B10" i="13"/>
  <c r="C10" i="13"/>
  <c r="B11" i="13"/>
  <c r="C11" i="13"/>
  <c r="B12" i="13"/>
  <c r="C12" i="13"/>
  <c r="B13" i="13"/>
  <c r="C13" i="13"/>
  <c r="B14" i="13"/>
  <c r="C14" i="13"/>
  <c r="B15" i="13"/>
  <c r="C15" i="13"/>
  <c r="B16" i="13"/>
  <c r="C16" i="13"/>
  <c r="B17" i="13"/>
  <c r="C17" i="13"/>
  <c r="B18" i="13"/>
  <c r="C18" i="13"/>
  <c r="B19" i="13"/>
  <c r="C19" i="13"/>
  <c r="B20" i="13"/>
  <c r="C20" i="13"/>
  <c r="B21" i="13"/>
  <c r="C21" i="13"/>
  <c r="B22" i="13"/>
  <c r="C22" i="13"/>
  <c r="B23" i="13"/>
  <c r="C23" i="13"/>
  <c r="B24" i="13"/>
  <c r="C24" i="13"/>
  <c r="B25" i="13"/>
  <c r="C25" i="13"/>
  <c r="B26" i="13"/>
  <c r="C26" i="13"/>
  <c r="B27" i="13"/>
  <c r="C27" i="13"/>
  <c r="B28" i="13"/>
  <c r="C28" i="13"/>
  <c r="B29" i="13"/>
  <c r="C29" i="13"/>
  <c r="B30" i="13"/>
  <c r="C30" i="13"/>
  <c r="B31" i="13"/>
  <c r="C31" i="13"/>
  <c r="B32" i="13"/>
  <c r="C32" i="13"/>
  <c r="B33" i="13"/>
  <c r="C33" i="13"/>
  <c r="B34" i="13"/>
  <c r="C34" i="13"/>
  <c r="B35" i="13"/>
  <c r="C35" i="13"/>
  <c r="B36" i="13"/>
  <c r="C36" i="13"/>
  <c r="B37" i="13"/>
  <c r="C37" i="13"/>
  <c r="B38" i="13"/>
  <c r="C38" i="13"/>
  <c r="B39" i="13"/>
  <c r="C39" i="13"/>
  <c r="B40" i="13"/>
  <c r="C40" i="13"/>
  <c r="B41" i="13"/>
  <c r="C41" i="13"/>
  <c r="B42" i="13"/>
  <c r="C42" i="13"/>
  <c r="B43" i="13"/>
  <c r="C43" i="13"/>
  <c r="B44" i="13"/>
  <c r="C44" i="13"/>
  <c r="C45" i="13"/>
  <c r="C46" i="13"/>
  <c r="C47" i="13"/>
  <c r="C48" i="13"/>
  <c r="C49" i="13"/>
  <c r="C50" i="13"/>
  <c r="C51" i="13"/>
  <c r="C52" i="13"/>
  <c r="C53" i="13"/>
  <c r="C54" i="13"/>
  <c r="C55" i="13"/>
  <c r="C56" i="13"/>
  <c r="C57" i="13"/>
  <c r="C58" i="13"/>
  <c r="C59" i="13"/>
  <c r="C60" i="13"/>
  <c r="C61" i="13"/>
  <c r="C62" i="13"/>
  <c r="C63" i="13"/>
  <c r="C64" i="13"/>
  <c r="C65" i="13"/>
  <c r="C66" i="13"/>
  <c r="C67" i="13"/>
  <c r="C68" i="13"/>
  <c r="C69" i="13"/>
  <c r="C70" i="13"/>
  <c r="C71" i="13"/>
  <c r="C72" i="13"/>
  <c r="C73" i="13"/>
  <c r="C74" i="13"/>
  <c r="C75" i="13"/>
  <c r="C76" i="13"/>
  <c r="C77" i="13"/>
  <c r="C78" i="13"/>
  <c r="C79" i="13"/>
  <c r="C80" i="13"/>
  <c r="C81" i="13"/>
  <c r="C82" i="13"/>
  <c r="B83" i="13"/>
  <c r="C83" i="13"/>
  <c r="B84" i="13"/>
  <c r="C84" i="13"/>
  <c r="B85" i="13"/>
  <c r="C85" i="13"/>
  <c r="B86" i="13"/>
  <c r="C86" i="13"/>
  <c r="B87" i="13"/>
  <c r="C87" i="13"/>
  <c r="B88" i="13"/>
  <c r="C88" i="13"/>
  <c r="B89" i="13"/>
  <c r="C89" i="13"/>
  <c r="B90" i="13"/>
  <c r="C90" i="13"/>
  <c r="B91" i="13"/>
  <c r="C91" i="13"/>
  <c r="B92" i="13"/>
  <c r="C92" i="13"/>
  <c r="B93" i="13"/>
  <c r="C93" i="13"/>
  <c r="B94" i="13"/>
  <c r="C94" i="13"/>
  <c r="B95" i="13"/>
  <c r="C95" i="13"/>
  <c r="B96" i="13"/>
  <c r="C96" i="13"/>
  <c r="B97" i="13"/>
  <c r="C97" i="13"/>
  <c r="B98" i="13"/>
  <c r="C98" i="13"/>
  <c r="B99" i="13"/>
  <c r="C99" i="13"/>
  <c r="B100" i="13"/>
  <c r="C100" i="13"/>
  <c r="B101" i="13"/>
  <c r="C101" i="13"/>
  <c r="B102" i="13"/>
  <c r="C102" i="13"/>
  <c r="B103" i="13"/>
  <c r="C103" i="13"/>
  <c r="B104" i="13"/>
  <c r="C104" i="13"/>
  <c r="B105" i="13"/>
  <c r="C105" i="13"/>
  <c r="B106" i="13"/>
  <c r="C106" i="13"/>
  <c r="B107" i="13"/>
  <c r="C107" i="13"/>
  <c r="B108" i="13"/>
  <c r="C108" i="13"/>
  <c r="B109" i="13"/>
  <c r="C109" i="13"/>
  <c r="B110" i="13"/>
  <c r="C110" i="13"/>
  <c r="B111" i="13"/>
  <c r="C111" i="13"/>
  <c r="B112" i="13"/>
  <c r="C112" i="13"/>
  <c r="B113" i="13"/>
  <c r="C113" i="13"/>
  <c r="B114" i="13"/>
  <c r="C114" i="13"/>
  <c r="B115" i="13"/>
  <c r="C115" i="13"/>
  <c r="B116" i="13"/>
  <c r="C116" i="13"/>
  <c r="B117" i="13"/>
  <c r="C117" i="13"/>
  <c r="B118" i="13"/>
  <c r="C118" i="13"/>
  <c r="B119" i="13"/>
  <c r="C119" i="13"/>
  <c r="B120" i="13"/>
  <c r="C120" i="13"/>
  <c r="B121" i="13"/>
  <c r="C121" i="13"/>
  <c r="B122" i="13"/>
  <c r="C122" i="13"/>
  <c r="B123" i="13"/>
  <c r="C123" i="13"/>
  <c r="B124" i="13"/>
  <c r="C124" i="13"/>
  <c r="B125" i="13"/>
  <c r="C125" i="13"/>
  <c r="B126" i="13"/>
  <c r="C126" i="13"/>
  <c r="B127" i="13"/>
  <c r="C127" i="13"/>
  <c r="B128" i="13"/>
  <c r="C128" i="13"/>
  <c r="B129" i="13"/>
  <c r="C129" i="13"/>
  <c r="B130" i="13"/>
  <c r="C130" i="13"/>
  <c r="B131" i="13"/>
  <c r="C131" i="13"/>
  <c r="B132" i="13"/>
  <c r="C132" i="13"/>
  <c r="B133" i="13"/>
  <c r="C133" i="13"/>
  <c r="B134" i="13"/>
  <c r="C134" i="13"/>
  <c r="B135" i="13"/>
  <c r="C135" i="13"/>
  <c r="B136" i="13"/>
  <c r="C136" i="13"/>
  <c r="B137" i="13"/>
  <c r="C137" i="13"/>
  <c r="B138" i="13"/>
  <c r="C138" i="13"/>
  <c r="B139" i="13"/>
  <c r="C139" i="13"/>
  <c r="B140" i="13"/>
  <c r="C140" i="13"/>
  <c r="B141" i="13"/>
  <c r="C141" i="13"/>
  <c r="B142" i="13"/>
  <c r="C142" i="13"/>
  <c r="B143" i="13"/>
  <c r="C143" i="13"/>
  <c r="B144" i="13"/>
  <c r="C144" i="13"/>
  <c r="B145" i="13"/>
  <c r="C145" i="13"/>
  <c r="B146" i="13"/>
  <c r="C146" i="13"/>
  <c r="B147" i="13"/>
  <c r="C147" i="13"/>
  <c r="B148" i="13"/>
  <c r="C148" i="13"/>
  <c r="B149" i="13"/>
  <c r="C149" i="13"/>
  <c r="D149" i="13"/>
  <c r="B150" i="13"/>
  <c r="C150" i="13"/>
  <c r="D150" i="13"/>
  <c r="B151" i="13"/>
  <c r="C151" i="13"/>
  <c r="D151" i="13"/>
  <c r="B152" i="13"/>
  <c r="C152" i="13"/>
  <c r="D152" i="13"/>
  <c r="B153" i="13"/>
  <c r="C153" i="13"/>
  <c r="D153" i="13"/>
  <c r="B154" i="13"/>
  <c r="C154" i="13"/>
  <c r="D154" i="13"/>
  <c r="B155" i="13"/>
  <c r="C155" i="13"/>
  <c r="D155" i="13"/>
  <c r="B156" i="13"/>
  <c r="C156" i="13"/>
  <c r="D156" i="13"/>
  <c r="B157" i="13"/>
  <c r="C157" i="13"/>
  <c r="D157" i="13"/>
  <c r="B158" i="13"/>
  <c r="C158" i="13"/>
  <c r="D158" i="13"/>
  <c r="B159" i="13"/>
  <c r="C159" i="13"/>
  <c r="D159" i="13"/>
  <c r="B160" i="13"/>
  <c r="C160" i="13"/>
  <c r="D160" i="13"/>
  <c r="B161" i="13"/>
  <c r="C161" i="13"/>
  <c r="D161" i="13"/>
  <c r="B162" i="13"/>
  <c r="C162" i="13"/>
  <c r="D162" i="13"/>
  <c r="B163" i="13"/>
  <c r="C163" i="13"/>
  <c r="D163" i="13"/>
  <c r="B164" i="13"/>
  <c r="C164" i="13"/>
  <c r="D164" i="13"/>
  <c r="B165" i="13"/>
  <c r="C165" i="13"/>
  <c r="D165" i="13"/>
  <c r="B166" i="13"/>
  <c r="C166" i="13"/>
  <c r="D166" i="13"/>
  <c r="B167" i="13"/>
  <c r="C167" i="13"/>
  <c r="D167" i="13"/>
  <c r="B168" i="13"/>
  <c r="C168" i="13"/>
  <c r="D168" i="13"/>
  <c r="B169" i="13"/>
  <c r="C169" i="13"/>
  <c r="D169" i="13"/>
  <c r="B170" i="13"/>
  <c r="C170" i="13"/>
  <c r="D170" i="13"/>
  <c r="B171" i="13"/>
  <c r="C171" i="13"/>
  <c r="D171" i="13"/>
  <c r="B172" i="13"/>
  <c r="C172" i="13"/>
  <c r="D172" i="13"/>
  <c r="B173" i="13"/>
  <c r="C173" i="13"/>
  <c r="D173" i="13"/>
  <c r="B174" i="13"/>
  <c r="C174" i="13"/>
  <c r="D174" i="13"/>
  <c r="B175" i="13"/>
  <c r="C175" i="13"/>
  <c r="D175" i="13"/>
  <c r="B176" i="13"/>
  <c r="C176" i="13"/>
  <c r="D176" i="13"/>
  <c r="B177" i="13"/>
  <c r="C177" i="13"/>
  <c r="D177" i="13"/>
  <c r="B178" i="13"/>
  <c r="C178" i="13"/>
  <c r="D178" i="13"/>
  <c r="B179" i="13"/>
  <c r="C179" i="13"/>
  <c r="D179" i="13"/>
  <c r="B180" i="13"/>
  <c r="C180" i="13"/>
  <c r="D180" i="13"/>
  <c r="B181" i="13"/>
  <c r="C181" i="13"/>
  <c r="D181" i="13"/>
  <c r="B182" i="13"/>
  <c r="C182" i="13"/>
  <c r="D182" i="13"/>
  <c r="B183" i="13"/>
  <c r="C183" i="13"/>
  <c r="D183" i="13"/>
  <c r="B184" i="13"/>
  <c r="C184" i="13"/>
  <c r="D184" i="13"/>
  <c r="B185" i="13"/>
  <c r="C185" i="13"/>
  <c r="D185" i="13"/>
  <c r="B186" i="13"/>
  <c r="C186" i="13"/>
  <c r="D186" i="13"/>
  <c r="B187" i="13"/>
  <c r="C187" i="13"/>
  <c r="D187" i="13"/>
  <c r="B188" i="13"/>
  <c r="C188" i="13"/>
  <c r="D188" i="13"/>
  <c r="B189" i="13"/>
  <c r="C189" i="13"/>
  <c r="D189" i="13"/>
  <c r="B190" i="13"/>
  <c r="C190" i="13"/>
  <c r="D190" i="13"/>
  <c r="B191" i="13"/>
  <c r="C191" i="13"/>
  <c r="D191" i="13"/>
  <c r="B192" i="13"/>
  <c r="C192" i="13"/>
  <c r="D192" i="13"/>
  <c r="B193" i="13"/>
  <c r="C193" i="13"/>
  <c r="D193" i="13"/>
  <c r="B194" i="13"/>
  <c r="C194" i="13"/>
  <c r="D194" i="13"/>
  <c r="B195" i="13"/>
  <c r="C195" i="13"/>
  <c r="D195" i="13"/>
  <c r="B196" i="13"/>
  <c r="C196" i="13"/>
  <c r="D196" i="13"/>
  <c r="B197" i="13"/>
  <c r="C197" i="13"/>
  <c r="D197" i="13"/>
  <c r="B198" i="13"/>
  <c r="C198" i="13"/>
  <c r="D198" i="13"/>
  <c r="B199" i="13"/>
  <c r="C199" i="13"/>
  <c r="D199" i="13"/>
  <c r="B200" i="13"/>
  <c r="C200" i="13"/>
  <c r="D200" i="13"/>
  <c r="B201" i="13"/>
  <c r="C201" i="13"/>
  <c r="D201" i="13"/>
  <c r="B202" i="13"/>
  <c r="C202" i="13"/>
  <c r="D202" i="13"/>
  <c r="B203" i="13"/>
  <c r="C203" i="13"/>
  <c r="D203" i="13"/>
  <c r="B204" i="13"/>
  <c r="C204" i="13"/>
  <c r="D204" i="13"/>
  <c r="B205" i="13"/>
  <c r="C205" i="13"/>
  <c r="D205" i="13"/>
  <c r="B206" i="13"/>
  <c r="C206" i="13"/>
  <c r="D206" i="13"/>
  <c r="B207" i="13"/>
  <c r="C207" i="13"/>
  <c r="D207" i="13"/>
  <c r="B208" i="13"/>
  <c r="C208" i="13"/>
  <c r="D208" i="13"/>
  <c r="B209" i="13"/>
  <c r="C209" i="13"/>
  <c r="D209" i="13"/>
  <c r="B210" i="13"/>
  <c r="C210" i="13"/>
  <c r="D210" i="13"/>
  <c r="B211" i="13"/>
  <c r="C211" i="13"/>
  <c r="D211" i="13"/>
  <c r="B212" i="13"/>
  <c r="C212" i="13"/>
  <c r="D212" i="13"/>
  <c r="B213" i="13"/>
  <c r="C213" i="13"/>
  <c r="D213" i="13"/>
  <c r="B214" i="13"/>
  <c r="C214" i="13"/>
  <c r="D214" i="13"/>
  <c r="B215" i="13"/>
  <c r="C215" i="13"/>
  <c r="D215" i="13"/>
  <c r="B216" i="13"/>
  <c r="C216" i="13"/>
  <c r="D216" i="13"/>
  <c r="B217" i="13"/>
  <c r="C217" i="13"/>
  <c r="D217" i="13"/>
  <c r="B218" i="13"/>
  <c r="C218" i="13"/>
  <c r="D218" i="13"/>
  <c r="B219" i="13"/>
  <c r="C219" i="13"/>
  <c r="D219" i="13"/>
  <c r="B220" i="13"/>
  <c r="C220" i="13"/>
  <c r="D220" i="13"/>
  <c r="B221" i="13"/>
  <c r="C221" i="13"/>
  <c r="D221" i="13"/>
  <c r="B222" i="13"/>
  <c r="C222" i="13"/>
  <c r="D222" i="13"/>
  <c r="B223" i="13"/>
  <c r="C223" i="13"/>
  <c r="D223" i="13"/>
  <c r="B224" i="13"/>
  <c r="C224" i="13"/>
  <c r="D224" i="13"/>
  <c r="B225" i="13"/>
  <c r="C225" i="13"/>
  <c r="D225" i="13"/>
  <c r="B226" i="13"/>
  <c r="C226" i="13"/>
  <c r="D226" i="13"/>
  <c r="B227" i="13"/>
  <c r="C227" i="13"/>
  <c r="D227" i="13"/>
  <c r="B228" i="13"/>
  <c r="C228" i="13"/>
  <c r="D228" i="13"/>
  <c r="B229" i="13"/>
  <c r="C229" i="13"/>
  <c r="D229" i="13"/>
  <c r="B230" i="13"/>
  <c r="C230" i="13"/>
  <c r="D230" i="13"/>
  <c r="B231" i="13"/>
  <c r="C231" i="13"/>
  <c r="D231" i="13"/>
  <c r="B232" i="13"/>
  <c r="C232" i="13"/>
  <c r="D232" i="13"/>
  <c r="B233" i="13"/>
  <c r="C233" i="13"/>
  <c r="D233" i="13"/>
  <c r="B234" i="13"/>
  <c r="C234" i="13"/>
  <c r="D234" i="13"/>
  <c r="B235" i="13"/>
  <c r="C235" i="13"/>
  <c r="D235" i="13"/>
  <c r="B236" i="13"/>
  <c r="C236" i="13"/>
  <c r="D236" i="13"/>
  <c r="B237" i="13"/>
  <c r="C237" i="13"/>
  <c r="D237" i="13"/>
  <c r="B238" i="13"/>
  <c r="C238" i="13"/>
  <c r="D238" i="13"/>
  <c r="B239" i="13"/>
  <c r="C239" i="13"/>
  <c r="D239" i="13"/>
  <c r="B240" i="13"/>
  <c r="C240" i="13"/>
  <c r="D240" i="13"/>
  <c r="B241" i="13"/>
  <c r="C241" i="13"/>
  <c r="D241" i="13"/>
  <c r="B242" i="13"/>
  <c r="C242" i="13"/>
  <c r="D242" i="13"/>
  <c r="B243" i="13"/>
  <c r="C243" i="13"/>
  <c r="D243" i="13"/>
  <c r="B244" i="13"/>
  <c r="C244" i="13"/>
  <c r="D244" i="13"/>
  <c r="B245" i="13"/>
  <c r="C245" i="13"/>
  <c r="D245" i="13"/>
  <c r="B246" i="13"/>
  <c r="C246" i="13"/>
  <c r="D246" i="13"/>
  <c r="B247" i="13"/>
  <c r="C247" i="13"/>
  <c r="D247" i="13"/>
  <c r="B248" i="13"/>
  <c r="C248" i="13"/>
  <c r="D248" i="13"/>
  <c r="B249" i="13"/>
  <c r="C249" i="13"/>
  <c r="D249" i="13"/>
  <c r="B250" i="13"/>
  <c r="C250" i="13"/>
  <c r="D250" i="13"/>
  <c r="B251" i="13"/>
  <c r="C251" i="13"/>
  <c r="D251" i="13"/>
  <c r="B252" i="13"/>
  <c r="C252" i="13"/>
  <c r="D252" i="13"/>
  <c r="B253" i="13"/>
  <c r="C253" i="13"/>
  <c r="D253" i="13"/>
  <c r="B254" i="13"/>
  <c r="C254" i="13"/>
  <c r="D254" i="13"/>
  <c r="B255" i="13"/>
  <c r="C255" i="13"/>
  <c r="D255" i="13"/>
  <c r="B256" i="13"/>
  <c r="C256" i="13"/>
  <c r="D256" i="13"/>
  <c r="B257" i="13"/>
  <c r="C257" i="13"/>
  <c r="D257" i="13"/>
  <c r="B258" i="13"/>
  <c r="C258" i="13"/>
  <c r="D258" i="13"/>
  <c r="B259" i="13"/>
  <c r="C259" i="13"/>
  <c r="D259" i="13"/>
  <c r="B260" i="13"/>
  <c r="C260" i="13"/>
  <c r="D260" i="13"/>
  <c r="B261" i="13"/>
  <c r="C261" i="13"/>
  <c r="D261" i="13"/>
  <c r="B262" i="13"/>
  <c r="C262" i="13"/>
  <c r="D262" i="13"/>
  <c r="B263" i="13"/>
  <c r="C263" i="13"/>
  <c r="D263" i="13"/>
  <c r="B264" i="13"/>
  <c r="C264" i="13"/>
  <c r="D264" i="13"/>
  <c r="B265" i="13"/>
  <c r="C265" i="13"/>
  <c r="D265" i="13"/>
  <c r="B266" i="13"/>
  <c r="C266" i="13"/>
  <c r="D266" i="13"/>
  <c r="B267" i="13"/>
  <c r="C267" i="13"/>
  <c r="D267" i="13"/>
  <c r="B268" i="13"/>
  <c r="C268" i="13"/>
  <c r="D268" i="13"/>
  <c r="B269" i="13"/>
  <c r="C269" i="13"/>
  <c r="D269" i="13"/>
  <c r="B270" i="13"/>
  <c r="C270" i="13"/>
  <c r="D270" i="13"/>
  <c r="B271" i="13"/>
  <c r="C271" i="13"/>
  <c r="D271" i="13"/>
  <c r="B272" i="13"/>
  <c r="C272" i="13"/>
  <c r="D272" i="13"/>
  <c r="B273" i="13"/>
  <c r="C273" i="13"/>
  <c r="D273" i="13"/>
  <c r="B274" i="13"/>
  <c r="C274" i="13"/>
  <c r="D274" i="13"/>
  <c r="B275" i="13"/>
  <c r="C275" i="13"/>
  <c r="D275" i="13"/>
  <c r="B276" i="13"/>
  <c r="C276" i="13"/>
  <c r="D276" i="13"/>
  <c r="B277" i="13"/>
  <c r="C277" i="13"/>
  <c r="D277" i="13"/>
  <c r="B278" i="13"/>
  <c r="C278" i="13"/>
  <c r="D278" i="13"/>
  <c r="B279" i="13"/>
  <c r="C279" i="13"/>
  <c r="D279" i="13"/>
  <c r="B280" i="13"/>
  <c r="C280" i="13"/>
  <c r="D280" i="13"/>
  <c r="B281" i="13"/>
  <c r="C281" i="13"/>
  <c r="D281" i="13"/>
  <c r="B282" i="13"/>
  <c r="C282" i="13"/>
  <c r="D282" i="13"/>
  <c r="B283" i="13"/>
  <c r="C283" i="13"/>
  <c r="D283" i="13"/>
  <c r="B284" i="13"/>
  <c r="C284" i="13"/>
  <c r="D284" i="13"/>
  <c r="B285" i="13"/>
  <c r="C285" i="13"/>
  <c r="D285" i="13"/>
  <c r="B286" i="13"/>
  <c r="C286" i="13"/>
  <c r="D286" i="13"/>
  <c r="B287" i="13"/>
  <c r="C287" i="13"/>
  <c r="D287" i="13"/>
  <c r="B288" i="13"/>
  <c r="C288" i="13"/>
  <c r="D288" i="13"/>
  <c r="B289" i="13"/>
  <c r="C289" i="13"/>
  <c r="D289" i="13"/>
  <c r="B290" i="13"/>
  <c r="C290" i="13"/>
  <c r="D290" i="13"/>
  <c r="B291" i="13"/>
  <c r="C291" i="13"/>
  <c r="D291" i="13"/>
  <c r="B292" i="13"/>
  <c r="C292" i="13"/>
  <c r="D292" i="13"/>
  <c r="B293" i="13"/>
  <c r="C293" i="13"/>
  <c r="D293" i="13"/>
  <c r="C6" i="13"/>
  <c r="B6" i="13"/>
  <c r="I6" i="13"/>
  <c r="I7" i="13"/>
  <c r="I8" i="13"/>
  <c r="I9" i="13"/>
  <c r="I10" i="13"/>
  <c r="I11" i="13"/>
  <c r="I12" i="13"/>
  <c r="I13" i="13"/>
  <c r="I14" i="13"/>
  <c r="I15" i="13"/>
  <c r="I16" i="13"/>
  <c r="I17" i="13"/>
  <c r="I18" i="13"/>
  <c r="I19" i="13"/>
  <c r="I20" i="13"/>
  <c r="I21" i="13"/>
  <c r="I22" i="13"/>
  <c r="I23" i="13"/>
  <c r="I24" i="13"/>
  <c r="I25" i="13"/>
  <c r="I26" i="13"/>
  <c r="I27" i="13"/>
  <c r="I28" i="13"/>
  <c r="I29" i="13"/>
  <c r="I30" i="13"/>
  <c r="I31" i="13"/>
  <c r="I32" i="13"/>
  <c r="I33" i="13"/>
  <c r="I34" i="13"/>
  <c r="I35" i="13"/>
  <c r="I36" i="13"/>
  <c r="I37" i="13"/>
  <c r="I38" i="13"/>
  <c r="I39" i="13"/>
  <c r="I40" i="13"/>
  <c r="I41" i="13"/>
  <c r="I42" i="13"/>
  <c r="I43" i="13"/>
  <c r="I44" i="13"/>
  <c r="I45" i="13"/>
  <c r="I46" i="13"/>
  <c r="I47" i="13"/>
  <c r="I48" i="13"/>
  <c r="I49" i="13"/>
  <c r="I50" i="13"/>
  <c r="I51" i="13"/>
  <c r="I52" i="13"/>
  <c r="I53" i="13"/>
  <c r="I54" i="13"/>
  <c r="I55" i="13"/>
  <c r="I56" i="13"/>
  <c r="I57" i="13"/>
  <c r="I58" i="13"/>
  <c r="I59" i="13"/>
  <c r="I60" i="13"/>
  <c r="I61" i="13"/>
  <c r="I62" i="13"/>
  <c r="I63" i="13"/>
  <c r="I64" i="13"/>
  <c r="I65" i="13"/>
  <c r="I66" i="13"/>
  <c r="I67" i="13"/>
  <c r="I68" i="13"/>
  <c r="I69" i="13"/>
  <c r="I70" i="13"/>
  <c r="I71" i="13"/>
  <c r="I72" i="13"/>
  <c r="I73" i="13"/>
  <c r="I74" i="13"/>
  <c r="I75" i="13"/>
  <c r="I76" i="13"/>
  <c r="I77" i="13"/>
  <c r="I78" i="13"/>
  <c r="I79" i="13"/>
  <c r="I80" i="13"/>
  <c r="I81" i="13"/>
  <c r="I82" i="13"/>
  <c r="I83" i="13"/>
  <c r="I84" i="13"/>
  <c r="I85" i="13"/>
  <c r="I86" i="13"/>
  <c r="I87" i="13"/>
  <c r="I88" i="13"/>
  <c r="I89" i="13"/>
  <c r="I90" i="13"/>
  <c r="I91" i="13"/>
  <c r="I92" i="13"/>
  <c r="I93" i="13"/>
  <c r="I94" i="13"/>
  <c r="I95" i="13"/>
  <c r="I96" i="13"/>
  <c r="I97" i="13"/>
  <c r="I98" i="13"/>
  <c r="I99" i="13"/>
  <c r="I100" i="13"/>
  <c r="I101" i="13"/>
  <c r="I102" i="13"/>
  <c r="I103" i="13"/>
  <c r="I104" i="13"/>
  <c r="I105" i="13"/>
  <c r="I106" i="13"/>
  <c r="I107" i="13"/>
  <c r="I108" i="13"/>
  <c r="I109" i="13"/>
  <c r="I110" i="13"/>
  <c r="I111" i="13"/>
  <c r="I112" i="13"/>
  <c r="I113" i="13"/>
  <c r="I114" i="13"/>
  <c r="I115" i="13"/>
  <c r="I116" i="13"/>
  <c r="I117" i="13"/>
  <c r="I118" i="13"/>
  <c r="I119" i="13"/>
  <c r="I120" i="13"/>
  <c r="I121" i="13"/>
  <c r="I122" i="13"/>
  <c r="I123" i="13"/>
  <c r="I124" i="13"/>
  <c r="I125" i="13"/>
  <c r="I126" i="13"/>
  <c r="I127" i="13"/>
  <c r="I128" i="13"/>
  <c r="I129" i="13"/>
  <c r="I130" i="13"/>
  <c r="I131" i="13"/>
  <c r="I132" i="13"/>
  <c r="I133" i="13"/>
  <c r="I134" i="13"/>
  <c r="I135" i="13"/>
  <c r="I136" i="13"/>
  <c r="I137" i="13"/>
  <c r="I138" i="13"/>
  <c r="I139" i="13"/>
  <c r="I140" i="13"/>
  <c r="I141" i="13"/>
  <c r="I142" i="13"/>
  <c r="I143" i="13"/>
  <c r="I144" i="13"/>
  <c r="I145" i="13"/>
  <c r="I146" i="13"/>
  <c r="I147" i="13"/>
  <c r="I148" i="13"/>
  <c r="I149" i="13"/>
  <c r="I150" i="13"/>
  <c r="I151" i="13"/>
  <c r="I152" i="13"/>
  <c r="I153" i="13"/>
  <c r="I154" i="13"/>
  <c r="I155" i="13"/>
  <c r="I156" i="13"/>
  <c r="I157" i="13"/>
  <c r="I158" i="13"/>
  <c r="I159" i="13"/>
  <c r="I160" i="13"/>
  <c r="I161" i="13"/>
  <c r="I162" i="13"/>
  <c r="I163" i="13"/>
  <c r="I164" i="13"/>
  <c r="I165" i="13"/>
  <c r="I166" i="13"/>
  <c r="I167" i="13"/>
  <c r="I168" i="13"/>
  <c r="I169" i="13"/>
  <c r="I170" i="13"/>
  <c r="I171" i="13"/>
  <c r="I172" i="13"/>
  <c r="I173" i="13"/>
  <c r="I174" i="13"/>
  <c r="I175" i="13"/>
  <c r="I176" i="13"/>
  <c r="I177" i="13"/>
  <c r="I178" i="13"/>
  <c r="I179" i="13"/>
  <c r="I180" i="13"/>
  <c r="I181" i="13"/>
  <c r="I182" i="13"/>
  <c r="I183" i="13"/>
  <c r="I184" i="13"/>
  <c r="I185" i="13"/>
  <c r="I186" i="13"/>
  <c r="I187" i="13"/>
  <c r="I188" i="13"/>
  <c r="I189" i="13"/>
  <c r="I190" i="13"/>
  <c r="I191" i="13"/>
  <c r="I192" i="13"/>
  <c r="I193" i="13"/>
  <c r="I194" i="13"/>
  <c r="I195" i="13"/>
  <c r="I196" i="13"/>
  <c r="I197" i="13"/>
  <c r="I198" i="13"/>
  <c r="I199" i="13"/>
  <c r="I200" i="13"/>
  <c r="I201" i="13"/>
  <c r="I202" i="13"/>
  <c r="I203" i="13"/>
  <c r="I204" i="13"/>
  <c r="I205" i="13"/>
  <c r="I206" i="13"/>
  <c r="I207" i="13"/>
  <c r="I208" i="13"/>
  <c r="I209" i="13"/>
  <c r="I210" i="13"/>
  <c r="I211" i="13"/>
  <c r="I212" i="13"/>
  <c r="I213" i="13"/>
  <c r="I214" i="13"/>
  <c r="I215" i="13"/>
  <c r="I216" i="13"/>
  <c r="I217" i="13"/>
  <c r="I218" i="13"/>
  <c r="I219" i="13"/>
  <c r="I220" i="13"/>
  <c r="I221" i="13"/>
  <c r="I222" i="13"/>
  <c r="I223" i="13"/>
  <c r="I224" i="13"/>
  <c r="I225" i="13"/>
  <c r="I226" i="13"/>
  <c r="I227" i="13"/>
  <c r="I228" i="13"/>
  <c r="I229" i="13"/>
  <c r="I230" i="13"/>
  <c r="I231" i="13"/>
  <c r="I232" i="13"/>
  <c r="I233" i="13"/>
  <c r="I234" i="13"/>
  <c r="I235" i="13"/>
  <c r="I236" i="13"/>
  <c r="I237" i="13"/>
  <c r="I238" i="13"/>
  <c r="I239" i="13"/>
  <c r="I240" i="13"/>
  <c r="I241" i="13"/>
  <c r="I242" i="13"/>
  <c r="I243" i="13"/>
  <c r="I244" i="13"/>
  <c r="I245" i="13"/>
  <c r="I246" i="13"/>
  <c r="I247" i="13"/>
  <c r="I248" i="13"/>
  <c r="I249" i="13"/>
  <c r="I250" i="13"/>
  <c r="I251" i="13"/>
  <c r="I252" i="13"/>
  <c r="I253" i="13"/>
  <c r="I254" i="13"/>
  <c r="I255" i="13"/>
  <c r="I256" i="13"/>
  <c r="I257" i="13"/>
  <c r="I258" i="13"/>
  <c r="I259" i="13"/>
  <c r="I260" i="13"/>
  <c r="I261" i="13"/>
  <c r="I262" i="13"/>
  <c r="I263" i="13"/>
  <c r="I264" i="13"/>
  <c r="I265" i="13"/>
  <c r="I266" i="13"/>
  <c r="I267" i="13"/>
  <c r="I268" i="13"/>
  <c r="I269" i="13"/>
  <c r="I270" i="13"/>
  <c r="I271" i="13"/>
  <c r="I272" i="13"/>
  <c r="I273" i="13"/>
  <c r="I274" i="13"/>
  <c r="I275" i="13"/>
  <c r="I276" i="13"/>
  <c r="I277" i="13"/>
  <c r="I278" i="13"/>
  <c r="I279" i="13"/>
  <c r="I280" i="13"/>
  <c r="I281" i="13"/>
  <c r="I282" i="13"/>
  <c r="I283" i="13"/>
  <c r="I284" i="13"/>
  <c r="I285" i="13"/>
  <c r="I286" i="13"/>
  <c r="I287" i="13"/>
  <c r="I288" i="13"/>
  <c r="I289" i="13"/>
  <c r="I290" i="13"/>
  <c r="I291" i="13"/>
  <c r="I292" i="13"/>
  <c r="I293" i="13"/>
  <c r="C794" i="29"/>
  <c r="C793" i="29"/>
  <c r="C792" i="29"/>
  <c r="C791" i="29"/>
  <c r="C790" i="29"/>
  <c r="C789" i="29"/>
  <c r="C754" i="29"/>
  <c r="C753" i="29"/>
  <c r="C752" i="29"/>
  <c r="C751" i="29"/>
  <c r="C750" i="29"/>
  <c r="C749" i="29"/>
  <c r="C748" i="29"/>
  <c r="C747" i="29"/>
  <c r="C746" i="29"/>
  <c r="C714" i="29"/>
  <c r="C713" i="29"/>
  <c r="C712" i="29"/>
  <c r="C711" i="29"/>
  <c r="C710" i="29"/>
  <c r="C709" i="29"/>
  <c r="C708" i="29"/>
  <c r="C707" i="29"/>
  <c r="C706" i="29"/>
  <c r="C705" i="29"/>
  <c r="C674" i="29"/>
  <c r="C673" i="29"/>
  <c r="C672" i="29"/>
  <c r="C671" i="29"/>
  <c r="C670" i="29"/>
  <c r="C669" i="29"/>
  <c r="C668" i="29"/>
  <c r="C667" i="29"/>
  <c r="C666" i="29"/>
  <c r="C665" i="29"/>
  <c r="C594" i="29"/>
  <c r="C593" i="29"/>
  <c r="C592" i="29"/>
  <c r="C591" i="29"/>
  <c r="C590" i="29"/>
  <c r="C589" i="29"/>
  <c r="C588" i="29"/>
  <c r="C587" i="29"/>
  <c r="C586" i="29"/>
  <c r="C585" i="29"/>
  <c r="C584" i="29"/>
  <c r="C583" i="29"/>
  <c r="C582" i="29"/>
  <c r="C554" i="29"/>
  <c r="C553" i="29"/>
  <c r="C552" i="29"/>
  <c r="C551" i="29"/>
  <c r="C550" i="29"/>
  <c r="C549" i="29"/>
  <c r="C514" i="29"/>
  <c r="C513" i="29"/>
  <c r="C512" i="29"/>
  <c r="C511" i="29"/>
  <c r="C510" i="29"/>
  <c r="C509" i="29"/>
  <c r="C508" i="29"/>
  <c r="C507" i="29"/>
  <c r="C506" i="29"/>
  <c r="C474" i="29"/>
  <c r="C473" i="29"/>
  <c r="C472" i="29"/>
  <c r="C471" i="29"/>
  <c r="C470" i="29"/>
  <c r="C469" i="29"/>
  <c r="C468" i="29"/>
  <c r="C467" i="29"/>
  <c r="C466" i="29"/>
  <c r="C465" i="29"/>
  <c r="C464" i="29"/>
  <c r="C463" i="29"/>
  <c r="C394" i="29"/>
  <c r="C393" i="29"/>
  <c r="C392" i="29"/>
  <c r="C391" i="29"/>
  <c r="C390" i="29"/>
  <c r="C389" i="29"/>
  <c r="C354" i="29"/>
  <c r="C353" i="29"/>
  <c r="C352" i="29"/>
  <c r="C351" i="29"/>
  <c r="C350" i="29"/>
  <c r="C349" i="29"/>
  <c r="C348" i="29"/>
  <c r="C347" i="29"/>
  <c r="C346" i="29"/>
  <c r="C314" i="29"/>
  <c r="C313" i="29"/>
  <c r="C312" i="29"/>
  <c r="C311" i="29"/>
  <c r="C310" i="29"/>
  <c r="C309" i="29"/>
  <c r="C308" i="29"/>
  <c r="C307" i="29"/>
  <c r="C306" i="29"/>
  <c r="C305" i="29"/>
  <c r="C274" i="29"/>
  <c r="C273" i="29"/>
  <c r="C272" i="29"/>
  <c r="C271" i="29"/>
  <c r="C270" i="29"/>
  <c r="C269" i="29"/>
  <c r="C268" i="29"/>
  <c r="C267" i="29"/>
  <c r="C266" i="29"/>
  <c r="C265" i="29"/>
  <c r="C194" i="29"/>
  <c r="C193" i="29"/>
  <c r="C192" i="29"/>
  <c r="C191" i="29"/>
  <c r="C190" i="29"/>
  <c r="C189" i="29"/>
  <c r="C188" i="29"/>
  <c r="C187" i="29"/>
  <c r="C186" i="29"/>
  <c r="C185" i="29"/>
  <c r="C184" i="29"/>
  <c r="C183" i="29"/>
  <c r="C182" i="29"/>
  <c r="C154" i="29"/>
  <c r="C153" i="29"/>
  <c r="C152" i="29"/>
  <c r="C151" i="29"/>
  <c r="C150" i="29"/>
  <c r="C149" i="29"/>
  <c r="C114" i="29"/>
  <c r="C113" i="29"/>
  <c r="C112" i="29"/>
  <c r="C111" i="29"/>
  <c r="C110" i="29"/>
  <c r="C109" i="29"/>
  <c r="C108" i="29"/>
  <c r="C107" i="29"/>
  <c r="C106" i="29"/>
  <c r="C63" i="29"/>
  <c r="C64" i="29"/>
  <c r="C65" i="29"/>
  <c r="C66" i="29"/>
  <c r="C67" i="29"/>
  <c r="C68" i="29"/>
  <c r="C69" i="29"/>
  <c r="C70" i="29"/>
  <c r="C71" i="29"/>
  <c r="C72" i="29"/>
  <c r="C73" i="29"/>
  <c r="C74" i="29"/>
  <c r="D474" i="29"/>
  <c r="B474" i="29"/>
  <c r="D473" i="29"/>
  <c r="B473" i="29"/>
  <c r="D472" i="29"/>
  <c r="B472" i="29"/>
  <c r="D471" i="29"/>
  <c r="B471" i="29"/>
  <c r="D470" i="29"/>
  <c r="B470" i="29"/>
  <c r="D469" i="29"/>
  <c r="B469" i="29"/>
  <c r="D468" i="29"/>
  <c r="B468" i="29"/>
  <c r="D467" i="29"/>
  <c r="B467" i="29"/>
  <c r="D466" i="29"/>
  <c r="B466" i="29"/>
  <c r="D465" i="29"/>
  <c r="B465" i="29"/>
  <c r="D464" i="29"/>
  <c r="B464" i="29"/>
  <c r="D463" i="29"/>
  <c r="B463" i="29"/>
  <c r="D74" i="29"/>
  <c r="B74" i="29"/>
  <c r="D73" i="29"/>
  <c r="B73" i="29"/>
  <c r="D72" i="29"/>
  <c r="B72" i="29"/>
  <c r="D71" i="29"/>
  <c r="B71" i="29"/>
  <c r="D70" i="29"/>
  <c r="B70" i="29"/>
  <c r="D69" i="29"/>
  <c r="B69" i="29"/>
  <c r="D68" i="29"/>
  <c r="B68" i="29"/>
  <c r="D67" i="29"/>
  <c r="B67" i="29"/>
  <c r="D66" i="29"/>
  <c r="B66" i="29"/>
  <c r="D65" i="29"/>
  <c r="B65" i="29"/>
  <c r="D64" i="29"/>
  <c r="B64" i="29"/>
  <c r="D63" i="29"/>
  <c r="B63" i="29"/>
  <c r="I7" i="33" a="1"/>
  <c r="I7" i="33" s="1"/>
  <c r="I8" i="33" a="1"/>
  <c r="I8" i="33" s="1"/>
  <c r="N378" i="40" l="1"/>
  <c r="N410" i="40"/>
  <c r="K410" i="40"/>
  <c r="H399" i="40"/>
  <c r="K379" i="40"/>
  <c r="H397" i="40"/>
  <c r="F19" i="26"/>
  <c r="F18" i="26"/>
  <c r="F17" i="26"/>
  <c r="F16" i="26"/>
  <c r="F15" i="26"/>
  <c r="F14" i="26"/>
  <c r="F13" i="26"/>
  <c r="F12" i="26"/>
  <c r="F11" i="26"/>
  <c r="E19" i="26"/>
  <c r="E18" i="26"/>
  <c r="E17" i="26"/>
  <c r="E16" i="26"/>
  <c r="E15" i="26"/>
  <c r="E14" i="26"/>
  <c r="E11" i="26"/>
  <c r="E12" i="26"/>
  <c r="E13" i="26"/>
  <c r="I9" i="33" a="1"/>
  <c r="I9" i="33" s="1"/>
  <c r="I10" i="33" a="1"/>
  <c r="I10" i="33" s="1"/>
  <c r="I11" i="33" a="1"/>
  <c r="I11" i="33" s="1"/>
  <c r="I12" i="33" a="1"/>
  <c r="I12" i="33" s="1"/>
  <c r="I13" i="33" a="1"/>
  <c r="I13" i="33" s="1"/>
  <c r="I14" i="33" a="1"/>
  <c r="I14" i="33" s="1"/>
  <c r="I15" i="33" a="1"/>
  <c r="I15" i="33" s="1"/>
  <c r="D754" i="29"/>
  <c r="B754" i="29"/>
  <c r="D753" i="29"/>
  <c r="B753" i="29"/>
  <c r="D752" i="29"/>
  <c r="B752" i="29"/>
  <c r="D751" i="29"/>
  <c r="B751" i="29"/>
  <c r="D750" i="29"/>
  <c r="B750" i="29"/>
  <c r="D749" i="29"/>
  <c r="B749" i="29"/>
  <c r="D674" i="29"/>
  <c r="B674" i="29"/>
  <c r="D673" i="29"/>
  <c r="B673" i="29"/>
  <c r="D672" i="29"/>
  <c r="B672" i="29"/>
  <c r="D671" i="29"/>
  <c r="B671" i="29"/>
  <c r="D670" i="29"/>
  <c r="B670" i="29"/>
  <c r="D669" i="29"/>
  <c r="B669" i="29"/>
  <c r="D668" i="29"/>
  <c r="B668" i="29"/>
  <c r="D667" i="29"/>
  <c r="B667" i="29"/>
  <c r="D666" i="29"/>
  <c r="B666" i="29"/>
  <c r="D665" i="29"/>
  <c r="B665" i="29"/>
  <c r="D354" i="29"/>
  <c r="B354" i="29"/>
  <c r="D353" i="29"/>
  <c r="B353" i="29"/>
  <c r="D352" i="29"/>
  <c r="B352" i="29"/>
  <c r="D351" i="29"/>
  <c r="B351" i="29"/>
  <c r="D350" i="29"/>
  <c r="B350" i="29"/>
  <c r="D349" i="29"/>
  <c r="B349" i="29"/>
  <c r="D274" i="29"/>
  <c r="B274" i="29"/>
  <c r="D273" i="29"/>
  <c r="B273" i="29"/>
  <c r="D272" i="29"/>
  <c r="B272" i="29"/>
  <c r="D271" i="29"/>
  <c r="B271" i="29"/>
  <c r="D270" i="29"/>
  <c r="B270" i="29"/>
  <c r="D269" i="29"/>
  <c r="B269" i="29"/>
  <c r="D268" i="29"/>
  <c r="B268" i="29"/>
  <c r="D267" i="29"/>
  <c r="B267" i="29"/>
  <c r="D266" i="29"/>
  <c r="B266" i="29"/>
  <c r="D265" i="29"/>
  <c r="B265" i="29"/>
  <c r="H9" i="33" l="1" a="1"/>
  <c r="H9" i="33" s="1"/>
  <c r="H8" i="33" a="1"/>
  <c r="H8" i="33" s="1"/>
  <c r="I41" i="21"/>
  <c r="E13" i="43" l="1"/>
  <c r="I9" i="43"/>
  <c r="I11" i="43"/>
  <c r="E15" i="43"/>
  <c r="H7" i="33" a="1"/>
  <c r="H7" i="33" s="1"/>
  <c r="E11" i="43" s="1"/>
  <c r="H10" i="33" a="1"/>
  <c r="H10" i="33" s="1"/>
  <c r="H11" i="33" a="1"/>
  <c r="H11" i="33" s="1"/>
  <c r="B9" i="33" a="1"/>
  <c r="B9" i="33" s="1"/>
  <c r="B19" i="33" a="1"/>
  <c r="B19" i="33" s="1"/>
  <c r="B7" i="33" a="1"/>
  <c r="B7" i="33" s="1"/>
  <c r="B15" i="33" a="1"/>
  <c r="B15" i="33" s="1"/>
  <c r="B5" i="33" a="1"/>
  <c r="B5" i="33" s="1"/>
  <c r="B13" i="33" a="1"/>
  <c r="B13" i="33" s="1"/>
  <c r="B17" i="33" a="1"/>
  <c r="B17" i="33" s="1"/>
  <c r="I6" i="43" l="1"/>
  <c r="E10" i="43"/>
  <c r="E8" i="43"/>
  <c r="I13" i="43"/>
  <c r="I7" i="43"/>
  <c r="C9" i="26" l="1"/>
  <c r="G2" i="44" s="1"/>
  <c r="Q7" i="20"/>
  <c r="R7" i="20" s="1"/>
  <c r="S7" i="20" s="1"/>
  <c r="T7" i="20" s="1"/>
  <c r="Q8" i="20"/>
  <c r="R8" i="20" s="1"/>
  <c r="S8" i="20" s="1"/>
  <c r="Q9" i="20"/>
  <c r="R9" i="20" s="1"/>
  <c r="S9" i="20" s="1"/>
  <c r="Q10" i="20"/>
  <c r="Q11" i="20"/>
  <c r="R11" i="20" s="1"/>
  <c r="S11" i="20" s="1"/>
  <c r="Q12" i="20"/>
  <c r="R12" i="20" s="1"/>
  <c r="S12" i="20" s="1"/>
  <c r="Q13" i="20"/>
  <c r="R13" i="20" s="1"/>
  <c r="S13" i="20" s="1"/>
  <c r="Q14" i="20"/>
  <c r="R14" i="20" s="1"/>
  <c r="S14" i="20" s="1"/>
  <c r="Q15" i="20"/>
  <c r="R15" i="20" s="1"/>
  <c r="S15" i="20" s="1"/>
  <c r="T15" i="20" s="1"/>
  <c r="U15" i="20" s="1"/>
  <c r="Q16" i="20"/>
  <c r="Q17" i="20"/>
  <c r="R17" i="20" s="1"/>
  <c r="S17" i="20" s="1"/>
  <c r="Q18" i="20"/>
  <c r="Q19" i="20"/>
  <c r="R19" i="20" s="1"/>
  <c r="S19" i="20" s="1"/>
  <c r="Q20" i="20"/>
  <c r="R20" i="20" s="1"/>
  <c r="S20" i="20" s="1"/>
  <c r="Q21" i="20"/>
  <c r="R21" i="20" s="1"/>
  <c r="S21" i="20" s="1"/>
  <c r="Q22" i="20"/>
  <c r="R22" i="20" s="1"/>
  <c r="S22" i="20" s="1"/>
  <c r="Q23" i="20"/>
  <c r="R23" i="20" s="1"/>
  <c r="S23" i="20" s="1"/>
  <c r="Q24" i="20"/>
  <c r="Q25" i="20"/>
  <c r="R25" i="20" s="1"/>
  <c r="S25" i="20" s="1"/>
  <c r="T25" i="20" s="1"/>
  <c r="Q26" i="20"/>
  <c r="Q27" i="20"/>
  <c r="R27" i="20" s="1"/>
  <c r="S27" i="20" s="1"/>
  <c r="Q28" i="20"/>
  <c r="R28" i="20" s="1"/>
  <c r="S28" i="20" s="1"/>
  <c r="T28" i="20" s="1"/>
  <c r="Q29" i="20"/>
  <c r="Q30" i="20"/>
  <c r="R30" i="20" s="1"/>
  <c r="S30" i="20" s="1"/>
  <c r="Q31" i="20"/>
  <c r="R31" i="20" s="1"/>
  <c r="S31" i="20" s="1"/>
  <c r="Q32" i="20"/>
  <c r="R32" i="20" s="1"/>
  <c r="S32" i="20" s="1"/>
  <c r="Q33" i="20"/>
  <c r="R33" i="20" s="1"/>
  <c r="S33" i="20" s="1"/>
  <c r="T33" i="20" s="1"/>
  <c r="Q34" i="20"/>
  <c r="Q35" i="20"/>
  <c r="R35" i="20" s="1"/>
  <c r="S35" i="20" s="1"/>
  <c r="Q36" i="20"/>
  <c r="R36" i="20" s="1"/>
  <c r="S36" i="20" s="1"/>
  <c r="Q37" i="20"/>
  <c r="Q38" i="20"/>
  <c r="R38" i="20" s="1"/>
  <c r="S38" i="20" s="1"/>
  <c r="Q39" i="20"/>
  <c r="R39" i="20" s="1"/>
  <c r="S39" i="20" s="1"/>
  <c r="Q40" i="20"/>
  <c r="R40" i="20" s="1"/>
  <c r="S40" i="20" s="1"/>
  <c r="Q41" i="20"/>
  <c r="R41" i="20" s="1"/>
  <c r="S41" i="20" s="1"/>
  <c r="T41" i="20" s="1"/>
  <c r="Q42" i="20"/>
  <c r="Q43" i="20"/>
  <c r="R43" i="20" s="1"/>
  <c r="S43" i="20" s="1"/>
  <c r="T43" i="20" s="1"/>
  <c r="Q44" i="20"/>
  <c r="R44" i="20" s="1"/>
  <c r="S44" i="20" s="1"/>
  <c r="T44" i="20" s="1"/>
  <c r="Q45" i="20"/>
  <c r="R45" i="20" s="1"/>
  <c r="S45" i="20" s="1"/>
  <c r="Q46" i="20"/>
  <c r="R46" i="20" s="1"/>
  <c r="S46" i="20" s="1"/>
  <c r="Q47" i="20"/>
  <c r="R47" i="20" s="1"/>
  <c r="S47" i="20" s="1"/>
  <c r="T47" i="20" s="1"/>
  <c r="U47" i="20" s="1"/>
  <c r="Q48" i="20"/>
  <c r="Q49" i="20"/>
  <c r="R49" i="20" s="1"/>
  <c r="S49" i="20" s="1"/>
  <c r="Q50" i="20"/>
  <c r="Q51" i="20"/>
  <c r="R51" i="20" s="1"/>
  <c r="S51" i="20" s="1"/>
  <c r="Q52" i="20"/>
  <c r="R52" i="20" s="1"/>
  <c r="S52" i="20" s="1"/>
  <c r="T52" i="20" s="1"/>
  <c r="Q53" i="20"/>
  <c r="R53" i="20" s="1"/>
  <c r="S53" i="20" s="1"/>
  <c r="Q54" i="20"/>
  <c r="R54" i="20" s="1"/>
  <c r="S54" i="20" s="1"/>
  <c r="T54" i="20" s="1"/>
  <c r="Q55" i="20"/>
  <c r="R55" i="20" s="1"/>
  <c r="S55" i="20" s="1"/>
  <c r="Q56" i="20"/>
  <c r="R56" i="20" s="1"/>
  <c r="S56" i="20" s="1"/>
  <c r="Q57" i="20"/>
  <c r="R57" i="20" s="1"/>
  <c r="S57" i="20" s="1"/>
  <c r="Q58" i="20"/>
  <c r="Q59" i="20"/>
  <c r="R59" i="20" s="1"/>
  <c r="S59" i="20" s="1"/>
  <c r="Q60" i="20"/>
  <c r="R60" i="20" s="1"/>
  <c r="S60" i="20" s="1"/>
  <c r="T60" i="20" s="1"/>
  <c r="Q61" i="20"/>
  <c r="R61" i="20" s="1"/>
  <c r="S61" i="20" s="1"/>
  <c r="Q62" i="20"/>
  <c r="R62" i="20" s="1"/>
  <c r="S62" i="20" s="1"/>
  <c r="Q63" i="20"/>
  <c r="R63" i="20" s="1"/>
  <c r="S63" i="20" s="1"/>
  <c r="Q64" i="20"/>
  <c r="R64" i="20" s="1"/>
  <c r="S64" i="20" s="1"/>
  <c r="Q65" i="20"/>
  <c r="R65" i="20" s="1"/>
  <c r="S65" i="20" s="1"/>
  <c r="Q66" i="20"/>
  <c r="Q67" i="20"/>
  <c r="Q68" i="20"/>
  <c r="R68" i="20" s="1"/>
  <c r="S68" i="20" s="1"/>
  <c r="Q69" i="20"/>
  <c r="R69" i="20" s="1"/>
  <c r="S69" i="20" s="1"/>
  <c r="Q70" i="20"/>
  <c r="R70" i="20" s="1"/>
  <c r="S70" i="20" s="1"/>
  <c r="T70" i="20" s="1"/>
  <c r="Q71" i="20"/>
  <c r="R71" i="20" s="1"/>
  <c r="S71" i="20" s="1"/>
  <c r="Q72" i="20"/>
  <c r="R72" i="20" s="1"/>
  <c r="S72" i="20" s="1"/>
  <c r="Q73" i="20"/>
  <c r="R73" i="20" s="1"/>
  <c r="S73" i="20" s="1"/>
  <c r="Q74" i="20"/>
  <c r="Q75" i="20"/>
  <c r="Q76" i="20"/>
  <c r="R76" i="20" s="1"/>
  <c r="S76" i="20" s="1"/>
  <c r="T76" i="20" s="1"/>
  <c r="U76" i="20" s="1"/>
  <c r="Q77" i="20"/>
  <c r="R77" i="20" s="1"/>
  <c r="S77" i="20" s="1"/>
  <c r="Q78" i="20"/>
  <c r="Q79" i="20"/>
  <c r="R79" i="20" s="1"/>
  <c r="S79" i="20" s="1"/>
  <c r="T79" i="20" s="1"/>
  <c r="Q80" i="20"/>
  <c r="Q81" i="20"/>
  <c r="R81" i="20" s="1"/>
  <c r="S81" i="20" s="1"/>
  <c r="Q82" i="20"/>
  <c r="Q83" i="20"/>
  <c r="Q84" i="20"/>
  <c r="R84" i="20" s="1"/>
  <c r="S84" i="20" s="1"/>
  <c r="Q85" i="20"/>
  <c r="R85" i="20" s="1"/>
  <c r="S85" i="20" s="1"/>
  <c r="Q86" i="20"/>
  <c r="R86" i="20" s="1"/>
  <c r="S86" i="20" s="1"/>
  <c r="Q87" i="20"/>
  <c r="R87" i="20" s="1"/>
  <c r="S87" i="20" s="1"/>
  <c r="Q88" i="20"/>
  <c r="Q89" i="20"/>
  <c r="R89" i="20" s="1"/>
  <c r="S89" i="20" s="1"/>
  <c r="Q90" i="20"/>
  <c r="Q91" i="20"/>
  <c r="Q92" i="20"/>
  <c r="R92" i="20" s="1"/>
  <c r="S92" i="20" s="1"/>
  <c r="Q93" i="20"/>
  <c r="Q94" i="20"/>
  <c r="R94" i="20" s="1"/>
  <c r="S94" i="20" s="1"/>
  <c r="T94" i="20" s="1"/>
  <c r="Q95" i="20"/>
  <c r="R95" i="20" s="1"/>
  <c r="S95" i="20" s="1"/>
  <c r="T95" i="20" s="1"/>
  <c r="Q96" i="20"/>
  <c r="R96" i="20" s="1"/>
  <c r="S96" i="20" s="1"/>
  <c r="Q97" i="20"/>
  <c r="R97" i="20" s="1"/>
  <c r="S97" i="20" s="1"/>
  <c r="T97" i="20" s="1"/>
  <c r="Q98" i="20"/>
  <c r="Q99" i="20"/>
  <c r="R99" i="20" s="1"/>
  <c r="S99" i="20" s="1"/>
  <c r="Q100" i="20"/>
  <c r="Q101" i="20"/>
  <c r="Q102" i="20"/>
  <c r="R102" i="20" s="1"/>
  <c r="S102" i="20" s="1"/>
  <c r="Q103" i="20"/>
  <c r="R103" i="20" s="1"/>
  <c r="S103" i="20" s="1"/>
  <c r="Q104" i="20"/>
  <c r="R104" i="20" s="1"/>
  <c r="S104" i="20" s="1"/>
  <c r="Q105" i="20"/>
  <c r="R105" i="20" s="1"/>
  <c r="S105" i="20" s="1"/>
  <c r="T105" i="20" s="1"/>
  <c r="Q106" i="20"/>
  <c r="Q107" i="20"/>
  <c r="R107" i="20" s="1"/>
  <c r="S107" i="20" s="1"/>
  <c r="T107" i="20" s="1"/>
  <c r="Q108" i="20"/>
  <c r="R108" i="20" s="1"/>
  <c r="S108" i="20" s="1"/>
  <c r="T108" i="20" s="1"/>
  <c r="Q109" i="20"/>
  <c r="R109" i="20" s="1"/>
  <c r="S109" i="20" s="1"/>
  <c r="Q110" i="20"/>
  <c r="R110" i="20" s="1"/>
  <c r="S110" i="20" s="1"/>
  <c r="T110" i="20" s="1"/>
  <c r="Q111" i="20"/>
  <c r="R111" i="20" s="1"/>
  <c r="S111" i="20" s="1"/>
  <c r="T111" i="20" s="1"/>
  <c r="U111" i="20" s="1"/>
  <c r="Q112" i="20"/>
  <c r="R112" i="20" s="1"/>
  <c r="S112" i="20" s="1"/>
  <c r="Q113" i="20"/>
  <c r="R113" i="20" s="1"/>
  <c r="S113" i="20" s="1"/>
  <c r="T113" i="20" s="1"/>
  <c r="Q114" i="20"/>
  <c r="Q115" i="20"/>
  <c r="Q116" i="20"/>
  <c r="R116" i="20" s="1"/>
  <c r="S116" i="20" s="1"/>
  <c r="T116" i="20" s="1"/>
  <c r="Q117" i="20"/>
  <c r="R117" i="20" s="1"/>
  <c r="S117" i="20" s="1"/>
  <c r="Q118" i="20"/>
  <c r="R118" i="20" s="1"/>
  <c r="S118" i="20" s="1"/>
  <c r="Q119" i="20"/>
  <c r="R119" i="20" s="1"/>
  <c r="S119" i="20" s="1"/>
  <c r="Q120" i="20"/>
  <c r="R120" i="20" s="1"/>
  <c r="S120" i="20" s="1"/>
  <c r="Q121" i="20"/>
  <c r="R121" i="20" s="1"/>
  <c r="S121" i="20" s="1"/>
  <c r="Q122" i="20"/>
  <c r="Q123" i="20"/>
  <c r="R123" i="20" s="1"/>
  <c r="S123" i="20" s="1"/>
  <c r="Q124" i="20"/>
  <c r="R124" i="20" s="1"/>
  <c r="S124" i="20" s="1"/>
  <c r="Q125" i="20"/>
  <c r="R125" i="20" s="1"/>
  <c r="S125" i="20" s="1"/>
  <c r="Q126" i="20"/>
  <c r="Q127" i="20"/>
  <c r="Q128" i="20"/>
  <c r="R128" i="20" s="1"/>
  <c r="S128" i="20" s="1"/>
  <c r="Q129" i="20"/>
  <c r="R129" i="20" s="1"/>
  <c r="S129" i="20" s="1"/>
  <c r="Q130" i="20"/>
  <c r="R130" i="20" s="1"/>
  <c r="S130" i="20" s="1"/>
  <c r="Q131" i="20"/>
  <c r="Q132" i="20"/>
  <c r="R132" i="20" s="1"/>
  <c r="S132" i="20" s="1"/>
  <c r="T132" i="20" s="1"/>
  <c r="Q133" i="20"/>
  <c r="R133" i="20" s="1"/>
  <c r="S133" i="20" s="1"/>
  <c r="Q134" i="20"/>
  <c r="R134" i="20" s="1"/>
  <c r="S134" i="20" s="1"/>
  <c r="Q135" i="20"/>
  <c r="R135" i="20" s="1"/>
  <c r="S135" i="20" s="1"/>
  <c r="T135" i="20" s="1"/>
  <c r="Q136" i="20"/>
  <c r="Q137" i="20"/>
  <c r="R137" i="20" s="1"/>
  <c r="S137" i="20" s="1"/>
  <c r="Q138" i="20"/>
  <c r="Q139" i="20"/>
  <c r="R139" i="20" s="1"/>
  <c r="S139" i="20" s="1"/>
  <c r="Q140" i="20"/>
  <c r="R140" i="20" s="1"/>
  <c r="S140" i="20" s="1"/>
  <c r="Q141" i="20"/>
  <c r="R141" i="20" s="1"/>
  <c r="S141" i="20" s="1"/>
  <c r="Q142" i="20"/>
  <c r="R142" i="20" s="1"/>
  <c r="S142" i="20" s="1"/>
  <c r="T142" i="20" s="1"/>
  <c r="Q143" i="20"/>
  <c r="Q144" i="20"/>
  <c r="R144" i="20" s="1"/>
  <c r="S144" i="20" s="1"/>
  <c r="Q145" i="20"/>
  <c r="R145" i="20" s="1"/>
  <c r="S145" i="20" s="1"/>
  <c r="Q146" i="20"/>
  <c r="R146" i="20" s="1"/>
  <c r="S146" i="20" s="1"/>
  <c r="Q147" i="20"/>
  <c r="Q148" i="20"/>
  <c r="R148" i="20" s="1"/>
  <c r="S148" i="20" s="1"/>
  <c r="T148" i="20" s="1"/>
  <c r="Q149" i="20"/>
  <c r="R149" i="20" s="1"/>
  <c r="S149" i="20" s="1"/>
  <c r="Q150" i="20"/>
  <c r="R150" i="20" s="1"/>
  <c r="S150" i="20" s="1"/>
  <c r="Q151" i="20"/>
  <c r="R151" i="20" s="1"/>
  <c r="S151" i="20" s="1"/>
  <c r="T151" i="20" s="1"/>
  <c r="Q152" i="20"/>
  <c r="R152" i="20" s="1"/>
  <c r="S152" i="20" s="1"/>
  <c r="Q153" i="20"/>
  <c r="R153" i="20" s="1"/>
  <c r="S153" i="20" s="1"/>
  <c r="Q154" i="20"/>
  <c r="Q155" i="20"/>
  <c r="Q156" i="20"/>
  <c r="R156" i="20" s="1"/>
  <c r="S156" i="20" s="1"/>
  <c r="Q157" i="20"/>
  <c r="R157" i="20" s="1"/>
  <c r="S157" i="20" s="1"/>
  <c r="Q158" i="20"/>
  <c r="R158" i="20" s="1"/>
  <c r="S158" i="20" s="1"/>
  <c r="Q159" i="20"/>
  <c r="Q160" i="20"/>
  <c r="R160" i="20" s="1"/>
  <c r="S160" i="20" s="1"/>
  <c r="Q161" i="20"/>
  <c r="R161" i="20" s="1"/>
  <c r="S161" i="20" s="1"/>
  <c r="Q162" i="20"/>
  <c r="Q163" i="20"/>
  <c r="Q164" i="20"/>
  <c r="R164" i="20" s="1"/>
  <c r="S164" i="20" s="1"/>
  <c r="Q165" i="20"/>
  <c r="R165" i="20" s="1"/>
  <c r="S165" i="20" s="1"/>
  <c r="Q166" i="20"/>
  <c r="R166" i="20" s="1"/>
  <c r="S166" i="20" s="1"/>
  <c r="Q167" i="20"/>
  <c r="R167" i="20" s="1"/>
  <c r="S167" i="20" s="1"/>
  <c r="Q168" i="20"/>
  <c r="R168" i="20" s="1"/>
  <c r="S168" i="20" s="1"/>
  <c r="Q169" i="20"/>
  <c r="R169" i="20" s="1"/>
  <c r="S169" i="20" s="1"/>
  <c r="Q170" i="20"/>
  <c r="Q171" i="20"/>
  <c r="R171" i="20" s="1"/>
  <c r="S171" i="20" s="1"/>
  <c r="T171" i="20" s="1"/>
  <c r="U171" i="20" s="1"/>
  <c r="Q172" i="20"/>
  <c r="R172" i="20" s="1"/>
  <c r="S172" i="20" s="1"/>
  <c r="Q173" i="20"/>
  <c r="R173" i="20" s="1"/>
  <c r="S173" i="20" s="1"/>
  <c r="Q174" i="20"/>
  <c r="R174" i="20" s="1"/>
  <c r="S174" i="20" s="1"/>
  <c r="Q175" i="20"/>
  <c r="Q176" i="20"/>
  <c r="Q177" i="20"/>
  <c r="R177" i="20" s="1"/>
  <c r="S177" i="20" s="1"/>
  <c r="T177" i="20" s="1"/>
  <c r="Q178" i="20"/>
  <c r="R178" i="20" s="1"/>
  <c r="S178" i="20" s="1"/>
  <c r="Q179" i="20"/>
  <c r="R179" i="20" s="1"/>
  <c r="S179" i="20" s="1"/>
  <c r="Q180" i="20"/>
  <c r="R180" i="20" s="1"/>
  <c r="S180" i="20" s="1"/>
  <c r="Q181" i="20"/>
  <c r="R181" i="20" s="1"/>
  <c r="S181" i="20" s="1"/>
  <c r="T181" i="20" s="1"/>
  <c r="U181" i="20" s="1"/>
  <c r="Q182" i="20"/>
  <c r="R182" i="20" s="1"/>
  <c r="S182" i="20" s="1"/>
  <c r="Q183" i="20"/>
  <c r="R183" i="20" s="1"/>
  <c r="S183" i="20" s="1"/>
  <c r="Q184" i="20"/>
  <c r="Q185" i="20"/>
  <c r="R185" i="20" s="1"/>
  <c r="S185" i="20" s="1"/>
  <c r="Q186" i="20"/>
  <c r="Q187" i="20"/>
  <c r="R187" i="20" s="1"/>
  <c r="S187" i="20" s="1"/>
  <c r="Q188" i="20"/>
  <c r="R188" i="20" s="1"/>
  <c r="S188" i="20" s="1"/>
  <c r="Q189" i="20"/>
  <c r="R189" i="20" s="1"/>
  <c r="S189" i="20" s="1"/>
  <c r="Q190" i="20"/>
  <c r="R190" i="20" s="1"/>
  <c r="S190" i="20" s="1"/>
  <c r="Q191" i="20"/>
  <c r="R191" i="20" s="1"/>
  <c r="S191" i="20" s="1"/>
  <c r="Q192" i="20"/>
  <c r="R192" i="20" s="1"/>
  <c r="S192" i="20" s="1"/>
  <c r="T192" i="20" s="1"/>
  <c r="Q193" i="20"/>
  <c r="R193" i="20" s="1"/>
  <c r="S193" i="20" s="1"/>
  <c r="Q194" i="20"/>
  <c r="Q195" i="20"/>
  <c r="R195" i="20" s="1"/>
  <c r="S195" i="20" s="1"/>
  <c r="T195" i="20" s="1"/>
  <c r="U195" i="20" s="1"/>
  <c r="Q196" i="20"/>
  <c r="R196" i="20" s="1"/>
  <c r="S196" i="20" s="1"/>
  <c r="Q197" i="20"/>
  <c r="R197" i="20" s="1"/>
  <c r="S197" i="20" s="1"/>
  <c r="T197" i="20" s="1"/>
  <c r="U197" i="20" s="1"/>
  <c r="Q198" i="20"/>
  <c r="R198" i="20" s="1"/>
  <c r="S198" i="20" s="1"/>
  <c r="T198" i="20" s="1"/>
  <c r="Q199" i="20"/>
  <c r="R199" i="20" s="1"/>
  <c r="S199" i="20" s="1"/>
  <c r="Q200" i="20"/>
  <c r="R200" i="20" s="1"/>
  <c r="S200" i="20" s="1"/>
  <c r="Q201" i="20"/>
  <c r="R201" i="20" s="1"/>
  <c r="S201" i="20" s="1"/>
  <c r="Q202" i="20"/>
  <c r="R202" i="20" s="1"/>
  <c r="S202" i="20" s="1"/>
  <c r="Q203" i="20"/>
  <c r="R203" i="20" s="1"/>
  <c r="S203" i="20" s="1"/>
  <c r="T203" i="20" s="1"/>
  <c r="Q204" i="20"/>
  <c r="R204" i="20" s="1"/>
  <c r="S204" i="20" s="1"/>
  <c r="Q205" i="20"/>
  <c r="R205" i="20" s="1"/>
  <c r="S205" i="20" s="1"/>
  <c r="Q206" i="20"/>
  <c r="R206" i="20" s="1"/>
  <c r="S206" i="20" s="1"/>
  <c r="Q207" i="20"/>
  <c r="R207" i="20" s="1"/>
  <c r="S207" i="20" s="1"/>
  <c r="Q208" i="20"/>
  <c r="R208" i="20" s="1"/>
  <c r="S208" i="20" s="1"/>
  <c r="Q209" i="20"/>
  <c r="R209" i="20" s="1"/>
  <c r="S209" i="20" s="1"/>
  <c r="Q210" i="20"/>
  <c r="R210" i="20" s="1"/>
  <c r="S210" i="20" s="1"/>
  <c r="Q211" i="20"/>
  <c r="R211" i="20" s="1"/>
  <c r="S211" i="20" s="1"/>
  <c r="Q212" i="20"/>
  <c r="R212" i="20" s="1"/>
  <c r="S212" i="20" s="1"/>
  <c r="Q213" i="20"/>
  <c r="R213" i="20" s="1"/>
  <c r="S213" i="20" s="1"/>
  <c r="T213" i="20" s="1"/>
  <c r="Q214" i="20"/>
  <c r="R214" i="20" s="1"/>
  <c r="S214" i="20" s="1"/>
  <c r="Q215" i="20"/>
  <c r="R215" i="20" s="1"/>
  <c r="S215" i="20" s="1"/>
  <c r="Q216" i="20"/>
  <c r="Q217" i="20"/>
  <c r="R217" i="20" s="1"/>
  <c r="S217" i="20" s="1"/>
  <c r="Q218" i="20"/>
  <c r="R218" i="20" s="1"/>
  <c r="S218" i="20" s="1"/>
  <c r="Q219" i="20"/>
  <c r="R219" i="20" s="1"/>
  <c r="S219" i="20" s="1"/>
  <c r="T219" i="20" s="1"/>
  <c r="U219" i="20" s="1"/>
  <c r="Q220" i="20"/>
  <c r="Q221" i="20"/>
  <c r="R221" i="20" s="1"/>
  <c r="S221" i="20" s="1"/>
  <c r="Q222" i="20"/>
  <c r="R222" i="20" s="1"/>
  <c r="S222" i="20" s="1"/>
  <c r="T222" i="20" s="1"/>
  <c r="Q223" i="20"/>
  <c r="R223" i="20" s="1"/>
  <c r="S223" i="20" s="1"/>
  <c r="Q224" i="20"/>
  <c r="R224" i="20" s="1"/>
  <c r="S224" i="20" s="1"/>
  <c r="Q225" i="20"/>
  <c r="R225" i="20" s="1"/>
  <c r="S225" i="20" s="1"/>
  <c r="Q226" i="20"/>
  <c r="R226" i="20" s="1"/>
  <c r="S226" i="20" s="1"/>
  <c r="T226" i="20" s="1"/>
  <c r="Q227" i="20"/>
  <c r="R227" i="20" s="1"/>
  <c r="S227" i="20" s="1"/>
  <c r="T227" i="20" s="1"/>
  <c r="Q228" i="20"/>
  <c r="R228" i="20" s="1"/>
  <c r="S228" i="20" s="1"/>
  <c r="Q229" i="20"/>
  <c r="R229" i="20" s="1"/>
  <c r="S229" i="20" s="1"/>
  <c r="Q230" i="20"/>
  <c r="R230" i="20" s="1"/>
  <c r="S230" i="20" s="1"/>
  <c r="Q231" i="20"/>
  <c r="R231" i="20" s="1"/>
  <c r="S231" i="20" s="1"/>
  <c r="Q232" i="20"/>
  <c r="Q233" i="20"/>
  <c r="R233" i="20" s="1"/>
  <c r="S233" i="20" s="1"/>
  <c r="Q234" i="20"/>
  <c r="R234" i="20" s="1"/>
  <c r="S234" i="20" s="1"/>
  <c r="Q235" i="20"/>
  <c r="R235" i="20" s="1"/>
  <c r="S235" i="20" s="1"/>
  <c r="Q236" i="20"/>
  <c r="Q237" i="20"/>
  <c r="R237" i="20" s="1"/>
  <c r="S237" i="20" s="1"/>
  <c r="T237" i="20" s="1"/>
  <c r="Q238" i="20"/>
  <c r="R238" i="20" s="1"/>
  <c r="S238" i="20" s="1"/>
  <c r="Q239" i="20"/>
  <c r="R239" i="20" s="1"/>
  <c r="S239" i="20" s="1"/>
  <c r="Q240" i="20"/>
  <c r="R240" i="20" s="1"/>
  <c r="S240" i="20" s="1"/>
  <c r="Q241" i="20"/>
  <c r="R241" i="20" s="1"/>
  <c r="S241" i="20" s="1"/>
  <c r="Q242" i="20"/>
  <c r="R242" i="20" s="1"/>
  <c r="S242" i="20" s="1"/>
  <c r="T242" i="20" s="1"/>
  <c r="Q243" i="20"/>
  <c r="R243" i="20" s="1"/>
  <c r="S243" i="20" s="1"/>
  <c r="T243" i="20" s="1"/>
  <c r="Q244" i="20"/>
  <c r="R244" i="20" s="1"/>
  <c r="S244" i="20" s="1"/>
  <c r="Q245" i="20"/>
  <c r="R245" i="20" s="1"/>
  <c r="S245" i="20" s="1"/>
  <c r="Q246" i="20"/>
  <c r="R246" i="20" s="1"/>
  <c r="S246" i="20" s="1"/>
  <c r="Q247" i="20"/>
  <c r="R247" i="20" s="1"/>
  <c r="S247" i="20" s="1"/>
  <c r="Q248" i="20"/>
  <c r="Q249" i="20"/>
  <c r="R249" i="20" s="1"/>
  <c r="S249" i="20" s="1"/>
  <c r="Q250" i="20"/>
  <c r="R250" i="20" s="1"/>
  <c r="S250" i="20" s="1"/>
  <c r="Q251" i="20"/>
  <c r="R251" i="20" s="1"/>
  <c r="S251" i="20" s="1"/>
  <c r="T251" i="20" s="1"/>
  <c r="U251" i="20" s="1"/>
  <c r="Q252" i="20"/>
  <c r="Q253" i="20"/>
  <c r="Q254" i="20"/>
  <c r="R254" i="20" s="1"/>
  <c r="S254" i="20" s="1"/>
  <c r="Q255" i="20"/>
  <c r="R255" i="20" s="1"/>
  <c r="S255" i="20" s="1"/>
  <c r="Q256" i="20"/>
  <c r="R256" i="20" s="1"/>
  <c r="S256" i="20" s="1"/>
  <c r="Q257" i="20"/>
  <c r="Q258" i="20"/>
  <c r="R258" i="20" s="1"/>
  <c r="S258" i="20" s="1"/>
  <c r="T258" i="20" s="1"/>
  <c r="Q259" i="20"/>
  <c r="R259" i="20" s="1"/>
  <c r="S259" i="20" s="1"/>
  <c r="Q260" i="20"/>
  <c r="R260" i="20" s="1"/>
  <c r="S260" i="20" s="1"/>
  <c r="T260" i="20" s="1"/>
  <c r="Q261" i="20"/>
  <c r="R261" i="20" s="1"/>
  <c r="S261" i="20" s="1"/>
  <c r="Q262" i="20"/>
  <c r="R262" i="20" s="1"/>
  <c r="S262" i="20" s="1"/>
  <c r="Q263" i="20"/>
  <c r="R263" i="20" s="1"/>
  <c r="S263" i="20" s="1"/>
  <c r="Q264" i="20"/>
  <c r="R264" i="20" s="1"/>
  <c r="S264" i="20" s="1"/>
  <c r="Q265" i="20"/>
  <c r="R265" i="20" s="1"/>
  <c r="S265" i="20" s="1"/>
  <c r="Q266" i="20"/>
  <c r="R266" i="20" s="1"/>
  <c r="S266" i="20" s="1"/>
  <c r="Q267" i="20"/>
  <c r="R267" i="20" s="1"/>
  <c r="S267" i="20" s="1"/>
  <c r="Q268" i="20"/>
  <c r="R268" i="20" s="1"/>
  <c r="S268" i="20" s="1"/>
  <c r="Q269" i="20"/>
  <c r="R269" i="20" s="1"/>
  <c r="S269" i="20" s="1"/>
  <c r="Q270" i="20"/>
  <c r="R270" i="20" s="1"/>
  <c r="S270" i="20" s="1"/>
  <c r="Q271" i="20"/>
  <c r="R271" i="20" s="1"/>
  <c r="S271" i="20" s="1"/>
  <c r="Q272" i="20"/>
  <c r="R272" i="20" s="1"/>
  <c r="S272" i="20" s="1"/>
  <c r="T272" i="20" s="1"/>
  <c r="Q273" i="20"/>
  <c r="R273" i="20" s="1"/>
  <c r="S273" i="20" s="1"/>
  <c r="Q274" i="20"/>
  <c r="R274" i="20" s="1"/>
  <c r="S274" i="20" s="1"/>
  <c r="Q275" i="20"/>
  <c r="R275" i="20" s="1"/>
  <c r="S275" i="20" s="1"/>
  <c r="Q276" i="20"/>
  <c r="R276" i="20" s="1"/>
  <c r="S276" i="20" s="1"/>
  <c r="Q277" i="20"/>
  <c r="Q278" i="20"/>
  <c r="R278" i="20" s="1"/>
  <c r="S278" i="20" s="1"/>
  <c r="T278" i="20" s="1"/>
  <c r="Q279" i="20"/>
  <c r="R279" i="20" s="1"/>
  <c r="S279" i="20" s="1"/>
  <c r="Q280" i="20"/>
  <c r="R280" i="20" s="1"/>
  <c r="S280" i="20" s="1"/>
  <c r="Q281" i="20"/>
  <c r="Q282" i="20"/>
  <c r="R282" i="20" s="1"/>
  <c r="S282" i="20" s="1"/>
  <c r="Q283" i="20"/>
  <c r="R283" i="20" s="1"/>
  <c r="S283" i="20" s="1"/>
  <c r="Q284" i="20"/>
  <c r="R284" i="20" s="1"/>
  <c r="S284" i="20" s="1"/>
  <c r="Q285" i="20"/>
  <c r="Q286" i="20"/>
  <c r="R286" i="20" s="1"/>
  <c r="S286" i="20" s="1"/>
  <c r="T286" i="20" s="1"/>
  <c r="Q287" i="20"/>
  <c r="R287" i="20" s="1"/>
  <c r="S287" i="20" s="1"/>
  <c r="Q288" i="20"/>
  <c r="R288" i="20" s="1"/>
  <c r="S288" i="20" s="1"/>
  <c r="Q289" i="20"/>
  <c r="Q290" i="20"/>
  <c r="R290" i="20" s="1"/>
  <c r="S290" i="20" s="1"/>
  <c r="Q291" i="20"/>
  <c r="R291" i="20" s="1"/>
  <c r="S291" i="20" s="1"/>
  <c r="Q292" i="20"/>
  <c r="R292" i="20" s="1"/>
  <c r="S292" i="20" s="1"/>
  <c r="Q293" i="20"/>
  <c r="J7" i="22"/>
  <c r="J8" i="22"/>
  <c r="J9" i="22"/>
  <c r="J10" i="22"/>
  <c r="J11" i="22"/>
  <c r="J12" i="22"/>
  <c r="J13" i="22"/>
  <c r="J14" i="22"/>
  <c r="J15" i="22"/>
  <c r="J16" i="22"/>
  <c r="J17" i="22"/>
  <c r="J18" i="22"/>
  <c r="J19" i="22"/>
  <c r="J20" i="22"/>
  <c r="J21" i="22"/>
  <c r="J22" i="22"/>
  <c r="J23" i="22"/>
  <c r="J24" i="22"/>
  <c r="J25" i="22"/>
  <c r="J26" i="22"/>
  <c r="J27" i="22"/>
  <c r="J28" i="22"/>
  <c r="J29" i="22"/>
  <c r="J30" i="22"/>
  <c r="J31" i="22"/>
  <c r="J32" i="22"/>
  <c r="J33" i="22"/>
  <c r="J34" i="22"/>
  <c r="J35" i="22"/>
  <c r="J36" i="22"/>
  <c r="J37" i="22"/>
  <c r="J38" i="22"/>
  <c r="J39" i="22"/>
  <c r="J40" i="22"/>
  <c r="J41" i="22"/>
  <c r="J42" i="22"/>
  <c r="J43" i="22"/>
  <c r="J44" i="22"/>
  <c r="J45" i="22"/>
  <c r="J46" i="22"/>
  <c r="J47" i="22"/>
  <c r="J48" i="22"/>
  <c r="J49" i="22"/>
  <c r="J50" i="22"/>
  <c r="J51" i="22"/>
  <c r="J52" i="22"/>
  <c r="J53" i="22"/>
  <c r="J54" i="22"/>
  <c r="J55" i="22"/>
  <c r="J56" i="22"/>
  <c r="J57" i="22"/>
  <c r="J58" i="22"/>
  <c r="J59" i="22"/>
  <c r="J60" i="22"/>
  <c r="J61" i="22"/>
  <c r="J62" i="22"/>
  <c r="J63" i="22"/>
  <c r="J64" i="22"/>
  <c r="J65" i="22"/>
  <c r="J66" i="22"/>
  <c r="J67" i="22"/>
  <c r="J68" i="22"/>
  <c r="J69" i="22"/>
  <c r="J70" i="22"/>
  <c r="J71" i="22"/>
  <c r="J72" i="22"/>
  <c r="J73" i="22"/>
  <c r="J74" i="22"/>
  <c r="J75" i="22"/>
  <c r="J76" i="22"/>
  <c r="J77" i="22"/>
  <c r="J78" i="22"/>
  <c r="J79" i="22"/>
  <c r="J80" i="22"/>
  <c r="J81" i="22"/>
  <c r="J82" i="22"/>
  <c r="J83" i="22"/>
  <c r="J84" i="22"/>
  <c r="J85" i="22"/>
  <c r="J86" i="22"/>
  <c r="J87" i="22"/>
  <c r="J88" i="22"/>
  <c r="J89" i="22"/>
  <c r="J90" i="22"/>
  <c r="J91" i="22"/>
  <c r="J92" i="22"/>
  <c r="J93" i="22"/>
  <c r="J94" i="22"/>
  <c r="J95" i="22"/>
  <c r="J96" i="22"/>
  <c r="J97" i="22"/>
  <c r="J98" i="22"/>
  <c r="J99" i="22"/>
  <c r="J100" i="22"/>
  <c r="J101" i="22"/>
  <c r="J102" i="22"/>
  <c r="J103" i="22"/>
  <c r="J104" i="22"/>
  <c r="J105" i="22"/>
  <c r="J106" i="22"/>
  <c r="J107" i="22"/>
  <c r="J108" i="22"/>
  <c r="J109" i="22"/>
  <c r="J110" i="22"/>
  <c r="J111" i="22"/>
  <c r="J112" i="22"/>
  <c r="J113" i="22"/>
  <c r="J114" i="22"/>
  <c r="J115" i="22"/>
  <c r="J116" i="22"/>
  <c r="J117" i="22"/>
  <c r="J118" i="22"/>
  <c r="J119" i="22"/>
  <c r="J120" i="22"/>
  <c r="J121" i="22"/>
  <c r="J122" i="22"/>
  <c r="J123" i="22"/>
  <c r="J124" i="22"/>
  <c r="J125" i="22"/>
  <c r="J126" i="22"/>
  <c r="J127" i="22"/>
  <c r="J128" i="22"/>
  <c r="J129" i="22"/>
  <c r="J130" i="22"/>
  <c r="J131" i="22"/>
  <c r="J132" i="22"/>
  <c r="J133" i="22"/>
  <c r="J134" i="22"/>
  <c r="J135" i="22"/>
  <c r="J136" i="22"/>
  <c r="J137" i="22"/>
  <c r="J138" i="22"/>
  <c r="J139" i="22"/>
  <c r="J140" i="22"/>
  <c r="J141" i="22"/>
  <c r="J142" i="22"/>
  <c r="J143" i="22"/>
  <c r="J144" i="22"/>
  <c r="J145" i="22"/>
  <c r="J146" i="22"/>
  <c r="J147" i="22"/>
  <c r="J148" i="22"/>
  <c r="J149" i="22"/>
  <c r="J150" i="22"/>
  <c r="J151" i="22"/>
  <c r="J152" i="22"/>
  <c r="J153" i="22"/>
  <c r="J154" i="22"/>
  <c r="J155" i="22"/>
  <c r="J156" i="22"/>
  <c r="J157" i="22"/>
  <c r="J158" i="22"/>
  <c r="J159" i="22"/>
  <c r="J160" i="22"/>
  <c r="J161" i="22"/>
  <c r="J162" i="22"/>
  <c r="J163" i="22"/>
  <c r="J164" i="22"/>
  <c r="J165" i="22"/>
  <c r="J166" i="22"/>
  <c r="J167" i="22"/>
  <c r="J168" i="22"/>
  <c r="J169" i="22"/>
  <c r="J170" i="22"/>
  <c r="J171" i="22"/>
  <c r="J172" i="22"/>
  <c r="J173" i="22"/>
  <c r="J174" i="22"/>
  <c r="J175" i="22"/>
  <c r="J176" i="22"/>
  <c r="J177" i="22"/>
  <c r="J178" i="22"/>
  <c r="J179" i="22"/>
  <c r="J180" i="22"/>
  <c r="J181" i="22"/>
  <c r="J182" i="22"/>
  <c r="J183" i="22"/>
  <c r="J184" i="22"/>
  <c r="J185" i="22"/>
  <c r="J186" i="22"/>
  <c r="J187" i="22"/>
  <c r="J188" i="22"/>
  <c r="J189" i="22"/>
  <c r="J190" i="22"/>
  <c r="J191" i="22"/>
  <c r="J192" i="22"/>
  <c r="J193" i="22"/>
  <c r="J194" i="22"/>
  <c r="J195" i="22"/>
  <c r="J196" i="22"/>
  <c r="J197" i="22"/>
  <c r="J198" i="22"/>
  <c r="J199" i="22"/>
  <c r="J200" i="22"/>
  <c r="J201" i="22"/>
  <c r="J202" i="22"/>
  <c r="J203" i="22"/>
  <c r="J204" i="22"/>
  <c r="J205" i="22"/>
  <c r="J206" i="22"/>
  <c r="J207" i="22"/>
  <c r="J208" i="22"/>
  <c r="J209" i="22"/>
  <c r="J210" i="22"/>
  <c r="J211" i="22"/>
  <c r="J212" i="22"/>
  <c r="J213" i="22"/>
  <c r="J214" i="22"/>
  <c r="J215" i="22"/>
  <c r="J216" i="22"/>
  <c r="J217" i="22"/>
  <c r="J218" i="22"/>
  <c r="J219" i="22"/>
  <c r="J220" i="22"/>
  <c r="J221" i="22"/>
  <c r="J222" i="22"/>
  <c r="J223" i="22"/>
  <c r="J224" i="22"/>
  <c r="J225" i="22"/>
  <c r="J226" i="22"/>
  <c r="J227" i="22"/>
  <c r="J228" i="22"/>
  <c r="J229" i="22"/>
  <c r="J230" i="22"/>
  <c r="J231" i="22"/>
  <c r="J232" i="22"/>
  <c r="J233" i="22"/>
  <c r="J234" i="22"/>
  <c r="J235" i="22"/>
  <c r="J236" i="22"/>
  <c r="J237" i="22"/>
  <c r="J238" i="22"/>
  <c r="J239" i="22"/>
  <c r="J240" i="22"/>
  <c r="J241" i="22"/>
  <c r="J242" i="22"/>
  <c r="J243" i="22"/>
  <c r="J244" i="22"/>
  <c r="J245" i="22"/>
  <c r="J246" i="22"/>
  <c r="J247" i="22"/>
  <c r="J248" i="22"/>
  <c r="J249" i="22"/>
  <c r="J250" i="22"/>
  <c r="J251" i="22"/>
  <c r="J252" i="22"/>
  <c r="J253" i="22"/>
  <c r="J254" i="22"/>
  <c r="J255" i="22"/>
  <c r="J256" i="22"/>
  <c r="J257" i="22"/>
  <c r="J258" i="22"/>
  <c r="J259" i="22"/>
  <c r="J260" i="22"/>
  <c r="J261" i="22"/>
  <c r="J262" i="22"/>
  <c r="J263" i="22"/>
  <c r="J264" i="22"/>
  <c r="J265" i="22"/>
  <c r="J266" i="22"/>
  <c r="J267" i="22"/>
  <c r="J268" i="22"/>
  <c r="J269" i="22"/>
  <c r="J270" i="22"/>
  <c r="J271" i="22"/>
  <c r="J272" i="22"/>
  <c r="J273" i="22"/>
  <c r="J274" i="22"/>
  <c r="J275" i="22"/>
  <c r="J276" i="22"/>
  <c r="J277" i="22"/>
  <c r="J278" i="22"/>
  <c r="J279" i="22"/>
  <c r="J280" i="22"/>
  <c r="J281" i="22"/>
  <c r="J282" i="22"/>
  <c r="J283" i="22"/>
  <c r="J284" i="22"/>
  <c r="J285" i="22"/>
  <c r="J286" i="22"/>
  <c r="J287" i="22"/>
  <c r="J288" i="22"/>
  <c r="J289" i="22"/>
  <c r="J290" i="22"/>
  <c r="J291" i="22"/>
  <c r="J292" i="22"/>
  <c r="J293" i="22"/>
  <c r="J7" i="21"/>
  <c r="J8" i="21"/>
  <c r="J9" i="21"/>
  <c r="J10" i="21"/>
  <c r="J11" i="21"/>
  <c r="J12" i="21"/>
  <c r="J13" i="21"/>
  <c r="J14" i="21"/>
  <c r="J15" i="21"/>
  <c r="J16" i="21"/>
  <c r="J17" i="21"/>
  <c r="J18" i="21"/>
  <c r="J19" i="21"/>
  <c r="J20" i="21"/>
  <c r="J21" i="21"/>
  <c r="J22" i="21"/>
  <c r="J23" i="21"/>
  <c r="J24" i="21"/>
  <c r="J25" i="21"/>
  <c r="J26" i="21"/>
  <c r="J27" i="21"/>
  <c r="J28" i="21"/>
  <c r="J29" i="21"/>
  <c r="J30" i="21"/>
  <c r="J31" i="21"/>
  <c r="J32" i="21"/>
  <c r="J33" i="21"/>
  <c r="J34" i="21"/>
  <c r="J35" i="21"/>
  <c r="J36" i="21"/>
  <c r="J37" i="21"/>
  <c r="J38" i="21"/>
  <c r="J39" i="21"/>
  <c r="J40" i="21"/>
  <c r="J41" i="21"/>
  <c r="J42" i="21"/>
  <c r="J43" i="21"/>
  <c r="J44" i="21"/>
  <c r="J45" i="21"/>
  <c r="J46" i="21"/>
  <c r="J47" i="21"/>
  <c r="J48" i="21"/>
  <c r="J49" i="21"/>
  <c r="J50" i="21"/>
  <c r="J51" i="21"/>
  <c r="J52" i="21"/>
  <c r="J53" i="21"/>
  <c r="J54" i="21"/>
  <c r="J55" i="21"/>
  <c r="J56" i="21"/>
  <c r="J57" i="21"/>
  <c r="J58" i="21"/>
  <c r="J59" i="21"/>
  <c r="J60" i="21"/>
  <c r="J61" i="21"/>
  <c r="J62" i="21"/>
  <c r="J63" i="21"/>
  <c r="J64" i="21"/>
  <c r="J65" i="21"/>
  <c r="J66" i="21"/>
  <c r="J67" i="21"/>
  <c r="J68" i="21"/>
  <c r="J69" i="21"/>
  <c r="J70" i="21"/>
  <c r="J71" i="21"/>
  <c r="J72" i="21"/>
  <c r="J73" i="21"/>
  <c r="J74" i="21"/>
  <c r="J75" i="21"/>
  <c r="J76" i="21"/>
  <c r="J77" i="21"/>
  <c r="J78" i="21"/>
  <c r="J79" i="21"/>
  <c r="J80" i="21"/>
  <c r="J81" i="21"/>
  <c r="J82" i="21"/>
  <c r="J83" i="21"/>
  <c r="J84" i="21"/>
  <c r="J85" i="21"/>
  <c r="J86" i="21"/>
  <c r="J87" i="21"/>
  <c r="J88" i="21"/>
  <c r="J89" i="21"/>
  <c r="J90" i="21"/>
  <c r="J91" i="21"/>
  <c r="J92" i="21"/>
  <c r="J93" i="21"/>
  <c r="J94" i="21"/>
  <c r="J95" i="21"/>
  <c r="J96" i="21"/>
  <c r="J97" i="21"/>
  <c r="J98" i="21"/>
  <c r="J99" i="21"/>
  <c r="J100" i="21"/>
  <c r="J101" i="21"/>
  <c r="J102" i="21"/>
  <c r="J103" i="21"/>
  <c r="J104" i="21"/>
  <c r="J105" i="21"/>
  <c r="J106" i="21"/>
  <c r="J107" i="21"/>
  <c r="J108" i="21"/>
  <c r="J109" i="21"/>
  <c r="J110" i="21"/>
  <c r="J111" i="21"/>
  <c r="J112" i="21"/>
  <c r="J113" i="21"/>
  <c r="J114" i="21"/>
  <c r="J115" i="21"/>
  <c r="J116" i="21"/>
  <c r="J117" i="21"/>
  <c r="J118" i="21"/>
  <c r="J119" i="21"/>
  <c r="J120" i="21"/>
  <c r="J121" i="21"/>
  <c r="J122" i="21"/>
  <c r="J123" i="21"/>
  <c r="J124" i="21"/>
  <c r="J125" i="21"/>
  <c r="J126" i="21"/>
  <c r="J127" i="21"/>
  <c r="J128" i="21"/>
  <c r="J129" i="21"/>
  <c r="J130" i="21"/>
  <c r="J131" i="21"/>
  <c r="J132" i="21"/>
  <c r="J133" i="21"/>
  <c r="J134" i="21"/>
  <c r="J135" i="21"/>
  <c r="J136" i="21"/>
  <c r="J137" i="21"/>
  <c r="J138" i="21"/>
  <c r="J139" i="21"/>
  <c r="J140" i="21"/>
  <c r="J141" i="21"/>
  <c r="J142" i="21"/>
  <c r="J143" i="21"/>
  <c r="J144" i="21"/>
  <c r="J145" i="21"/>
  <c r="J146" i="21"/>
  <c r="J147" i="21"/>
  <c r="J148" i="21"/>
  <c r="J149" i="21"/>
  <c r="J150" i="21"/>
  <c r="J151" i="21"/>
  <c r="J152" i="21"/>
  <c r="J153" i="21"/>
  <c r="J154" i="21"/>
  <c r="J155" i="21"/>
  <c r="J156" i="21"/>
  <c r="J157" i="21"/>
  <c r="J158" i="21"/>
  <c r="J159" i="21"/>
  <c r="J160" i="21"/>
  <c r="J161" i="21"/>
  <c r="J162" i="21"/>
  <c r="J163" i="21"/>
  <c r="J164" i="21"/>
  <c r="J165" i="21"/>
  <c r="J166" i="21"/>
  <c r="J167" i="21"/>
  <c r="J168" i="21"/>
  <c r="J169" i="21"/>
  <c r="J170" i="21"/>
  <c r="J171" i="21"/>
  <c r="J172" i="21"/>
  <c r="J173" i="21"/>
  <c r="J174" i="21"/>
  <c r="J175" i="21"/>
  <c r="J176" i="21"/>
  <c r="J177" i="21"/>
  <c r="J178" i="21"/>
  <c r="J179" i="21"/>
  <c r="J180" i="21"/>
  <c r="J181" i="21"/>
  <c r="J182" i="21"/>
  <c r="J183" i="21"/>
  <c r="J184" i="21"/>
  <c r="J185" i="21"/>
  <c r="J186" i="21"/>
  <c r="J187" i="21"/>
  <c r="J188" i="21"/>
  <c r="J189" i="21"/>
  <c r="J190" i="21"/>
  <c r="J191" i="21"/>
  <c r="J192" i="21"/>
  <c r="J193" i="21"/>
  <c r="J194" i="21"/>
  <c r="J195" i="21"/>
  <c r="J196" i="21"/>
  <c r="J197" i="21"/>
  <c r="J198" i="21"/>
  <c r="J199" i="21"/>
  <c r="J200" i="21"/>
  <c r="J201" i="21"/>
  <c r="J202" i="21"/>
  <c r="J203" i="21"/>
  <c r="J204" i="21"/>
  <c r="J205" i="21"/>
  <c r="J206" i="21"/>
  <c r="J207" i="21"/>
  <c r="J208" i="21"/>
  <c r="J209" i="21"/>
  <c r="J210" i="21"/>
  <c r="J211" i="21"/>
  <c r="J212" i="21"/>
  <c r="J213" i="21"/>
  <c r="J214" i="21"/>
  <c r="J215" i="21"/>
  <c r="J216" i="21"/>
  <c r="J217" i="21"/>
  <c r="J218" i="21"/>
  <c r="J219" i="21"/>
  <c r="J220" i="21"/>
  <c r="J221" i="21"/>
  <c r="J222" i="21"/>
  <c r="J223" i="21"/>
  <c r="J224" i="21"/>
  <c r="J225" i="21"/>
  <c r="J226" i="21"/>
  <c r="J227" i="21"/>
  <c r="J228" i="21"/>
  <c r="J229" i="21"/>
  <c r="J230" i="21"/>
  <c r="J231" i="21"/>
  <c r="J232" i="21"/>
  <c r="J233" i="21"/>
  <c r="J234" i="21"/>
  <c r="J235" i="21"/>
  <c r="J236" i="21"/>
  <c r="J237" i="21"/>
  <c r="J238" i="21"/>
  <c r="J239" i="21"/>
  <c r="J240" i="21"/>
  <c r="J241" i="21"/>
  <c r="J242" i="21"/>
  <c r="J243" i="21"/>
  <c r="J244" i="21"/>
  <c r="J245" i="21"/>
  <c r="J246" i="21"/>
  <c r="J247" i="21"/>
  <c r="J248" i="21"/>
  <c r="J249" i="21"/>
  <c r="J250" i="21"/>
  <c r="J251" i="21"/>
  <c r="J252" i="21"/>
  <c r="J253" i="21"/>
  <c r="J254" i="21"/>
  <c r="J255" i="21"/>
  <c r="J256" i="21"/>
  <c r="J257" i="21"/>
  <c r="J258" i="21"/>
  <c r="J259" i="21"/>
  <c r="J260" i="21"/>
  <c r="J261" i="21"/>
  <c r="J262" i="21"/>
  <c r="J263" i="21"/>
  <c r="J264" i="21"/>
  <c r="J265" i="21"/>
  <c r="J266" i="21"/>
  <c r="J267" i="21"/>
  <c r="J268" i="21"/>
  <c r="J269" i="21"/>
  <c r="J270" i="21"/>
  <c r="J271" i="21"/>
  <c r="J272" i="21"/>
  <c r="J273" i="21"/>
  <c r="J274" i="21"/>
  <c r="J275" i="21"/>
  <c r="J276" i="21"/>
  <c r="J277" i="21"/>
  <c r="J278" i="21"/>
  <c r="J279" i="21"/>
  <c r="J280" i="21"/>
  <c r="J281" i="21"/>
  <c r="J282" i="21"/>
  <c r="J283" i="21"/>
  <c r="J284" i="21"/>
  <c r="J285" i="21"/>
  <c r="J286" i="21"/>
  <c r="J287" i="21"/>
  <c r="J288" i="21"/>
  <c r="J289" i="21"/>
  <c r="J290" i="21"/>
  <c r="J291" i="21"/>
  <c r="J292" i="21"/>
  <c r="J293" i="21"/>
  <c r="J6" i="21"/>
  <c r="I7" i="21"/>
  <c r="I8" i="21"/>
  <c r="I9" i="21"/>
  <c r="I10" i="21"/>
  <c r="I11" i="21"/>
  <c r="I12" i="21"/>
  <c r="I13" i="21"/>
  <c r="I14" i="21"/>
  <c r="I15" i="21"/>
  <c r="I16" i="21"/>
  <c r="I17" i="21"/>
  <c r="I18" i="21"/>
  <c r="I19" i="21"/>
  <c r="I20" i="21"/>
  <c r="I21" i="21"/>
  <c r="I22" i="21"/>
  <c r="I23" i="21"/>
  <c r="I24" i="21"/>
  <c r="I25" i="21"/>
  <c r="I26" i="21"/>
  <c r="I27" i="21"/>
  <c r="I28" i="21"/>
  <c r="I29" i="21"/>
  <c r="I30" i="21"/>
  <c r="I31" i="21"/>
  <c r="I32" i="21"/>
  <c r="I33" i="21"/>
  <c r="I34" i="21"/>
  <c r="I35" i="21"/>
  <c r="I36" i="21"/>
  <c r="I37" i="21"/>
  <c r="I38" i="21"/>
  <c r="I39" i="21"/>
  <c r="I40" i="21"/>
  <c r="I42" i="21"/>
  <c r="I43" i="21"/>
  <c r="I44" i="21"/>
  <c r="I45" i="21"/>
  <c r="I46" i="21"/>
  <c r="I47" i="21"/>
  <c r="I48" i="21"/>
  <c r="I49" i="21"/>
  <c r="I50" i="21"/>
  <c r="I51" i="21"/>
  <c r="I52" i="21"/>
  <c r="I53" i="21"/>
  <c r="I54" i="21"/>
  <c r="I55" i="21"/>
  <c r="I56" i="21"/>
  <c r="I57" i="21"/>
  <c r="I58" i="21"/>
  <c r="I59" i="21"/>
  <c r="I60" i="21"/>
  <c r="I61" i="21"/>
  <c r="I62" i="21"/>
  <c r="I63" i="21"/>
  <c r="I64" i="21"/>
  <c r="I65" i="21"/>
  <c r="I66" i="21"/>
  <c r="I67" i="21"/>
  <c r="I68" i="21"/>
  <c r="I69" i="21"/>
  <c r="I70" i="21"/>
  <c r="I71" i="21"/>
  <c r="I72" i="21"/>
  <c r="I73" i="21"/>
  <c r="I74" i="21"/>
  <c r="I75" i="21"/>
  <c r="I76" i="21"/>
  <c r="I77" i="21"/>
  <c r="I78" i="21"/>
  <c r="I79" i="21"/>
  <c r="I80" i="21"/>
  <c r="I81" i="21"/>
  <c r="I82" i="21"/>
  <c r="I83" i="21"/>
  <c r="I84" i="21"/>
  <c r="I85" i="21"/>
  <c r="I86" i="21"/>
  <c r="I87" i="21"/>
  <c r="I88" i="21"/>
  <c r="I89" i="21"/>
  <c r="I90" i="21"/>
  <c r="I91" i="21"/>
  <c r="I92" i="21"/>
  <c r="I93" i="21"/>
  <c r="I94" i="21"/>
  <c r="I95" i="21"/>
  <c r="I96" i="21"/>
  <c r="I97" i="21"/>
  <c r="I98" i="21"/>
  <c r="I99" i="21"/>
  <c r="I100" i="21"/>
  <c r="I101" i="21"/>
  <c r="I102" i="21"/>
  <c r="I103" i="21"/>
  <c r="I104" i="21"/>
  <c r="I105" i="21"/>
  <c r="I106" i="21"/>
  <c r="I107" i="21"/>
  <c r="I108" i="21"/>
  <c r="I109" i="21"/>
  <c r="I110" i="21"/>
  <c r="I111" i="21"/>
  <c r="I112" i="21"/>
  <c r="I113" i="21"/>
  <c r="I114" i="21"/>
  <c r="I115" i="21"/>
  <c r="I116" i="21"/>
  <c r="I117" i="21"/>
  <c r="I118" i="21"/>
  <c r="I119" i="21"/>
  <c r="I120" i="21"/>
  <c r="I121" i="21"/>
  <c r="I122" i="21"/>
  <c r="I123" i="21"/>
  <c r="I124" i="21"/>
  <c r="I125" i="21"/>
  <c r="I126" i="21"/>
  <c r="I127" i="21"/>
  <c r="I128" i="21"/>
  <c r="I129" i="21"/>
  <c r="I130" i="21"/>
  <c r="I131" i="21"/>
  <c r="I132" i="21"/>
  <c r="I133" i="21"/>
  <c r="I134" i="21"/>
  <c r="I135" i="21"/>
  <c r="I136" i="21"/>
  <c r="I137" i="21"/>
  <c r="I138" i="21"/>
  <c r="I139" i="21"/>
  <c r="I140" i="21"/>
  <c r="I141" i="21"/>
  <c r="I142" i="21"/>
  <c r="I143" i="21"/>
  <c r="I144" i="21"/>
  <c r="I145" i="21"/>
  <c r="I146" i="21"/>
  <c r="I147" i="21"/>
  <c r="I148" i="21"/>
  <c r="I149" i="21"/>
  <c r="I150" i="21"/>
  <c r="I151" i="21"/>
  <c r="I152" i="21"/>
  <c r="I153" i="21"/>
  <c r="I154" i="21"/>
  <c r="I155" i="21"/>
  <c r="I156" i="21"/>
  <c r="I157" i="21"/>
  <c r="I158" i="21"/>
  <c r="I159" i="21"/>
  <c r="I160" i="21"/>
  <c r="I161" i="21"/>
  <c r="I162" i="21"/>
  <c r="I163" i="21"/>
  <c r="I164" i="21"/>
  <c r="I165" i="21"/>
  <c r="I166" i="21"/>
  <c r="I167" i="21"/>
  <c r="I168" i="21"/>
  <c r="I169" i="21"/>
  <c r="I170" i="21"/>
  <c r="I171" i="21"/>
  <c r="I172" i="21"/>
  <c r="I173" i="21"/>
  <c r="I174" i="21"/>
  <c r="I175" i="21"/>
  <c r="I176" i="21"/>
  <c r="I177" i="21"/>
  <c r="I178" i="21"/>
  <c r="I179" i="21"/>
  <c r="I180" i="21"/>
  <c r="I181" i="21"/>
  <c r="I182" i="21"/>
  <c r="I183" i="21"/>
  <c r="I184" i="21"/>
  <c r="I185" i="21"/>
  <c r="I186" i="21"/>
  <c r="I187" i="21"/>
  <c r="I188" i="21"/>
  <c r="I189" i="21"/>
  <c r="I190" i="21"/>
  <c r="I191" i="21"/>
  <c r="I192" i="21"/>
  <c r="I193" i="21"/>
  <c r="I194" i="21"/>
  <c r="I195" i="21"/>
  <c r="I196" i="21"/>
  <c r="I197" i="21"/>
  <c r="I198" i="21"/>
  <c r="I199" i="21"/>
  <c r="I200" i="21"/>
  <c r="I201" i="21"/>
  <c r="I202" i="21"/>
  <c r="I203" i="21"/>
  <c r="I204" i="21"/>
  <c r="I205" i="21"/>
  <c r="I206" i="21"/>
  <c r="I207" i="21"/>
  <c r="I208" i="21"/>
  <c r="I209" i="21"/>
  <c r="I210" i="21"/>
  <c r="I211" i="21"/>
  <c r="I212" i="21"/>
  <c r="I213" i="21"/>
  <c r="I214" i="21"/>
  <c r="I215" i="21"/>
  <c r="I216" i="21"/>
  <c r="I217" i="21"/>
  <c r="I218" i="21"/>
  <c r="I219" i="21"/>
  <c r="I220" i="21"/>
  <c r="I221" i="21"/>
  <c r="I222" i="21"/>
  <c r="I223" i="21"/>
  <c r="I224" i="21"/>
  <c r="I225" i="21"/>
  <c r="I226" i="21"/>
  <c r="I227" i="21"/>
  <c r="I228" i="21"/>
  <c r="I229" i="21"/>
  <c r="I230" i="21"/>
  <c r="I231" i="21"/>
  <c r="I232" i="21"/>
  <c r="I233" i="21"/>
  <c r="I234" i="21"/>
  <c r="I235" i="21"/>
  <c r="I236" i="21"/>
  <c r="I237" i="21"/>
  <c r="I238" i="21"/>
  <c r="I239" i="21"/>
  <c r="I240" i="21"/>
  <c r="I241" i="21"/>
  <c r="I242" i="21"/>
  <c r="I243" i="21"/>
  <c r="I244" i="21"/>
  <c r="I245" i="21"/>
  <c r="I246" i="21"/>
  <c r="I247" i="21"/>
  <c r="I248" i="21"/>
  <c r="I249" i="21"/>
  <c r="I250" i="21"/>
  <c r="I251" i="21"/>
  <c r="I252" i="21"/>
  <c r="I253" i="21"/>
  <c r="I254" i="21"/>
  <c r="I255" i="21"/>
  <c r="I256" i="21"/>
  <c r="I257" i="21"/>
  <c r="I258" i="21"/>
  <c r="I259" i="21"/>
  <c r="I260" i="21"/>
  <c r="I261" i="21"/>
  <c r="I262" i="21"/>
  <c r="I263" i="21"/>
  <c r="I264" i="21"/>
  <c r="I265" i="21"/>
  <c r="I266" i="21"/>
  <c r="I267" i="21"/>
  <c r="I268" i="21"/>
  <c r="I269" i="21"/>
  <c r="I270" i="21"/>
  <c r="I271" i="21"/>
  <c r="I272" i="21"/>
  <c r="I273" i="21"/>
  <c r="I274" i="21"/>
  <c r="I275" i="21"/>
  <c r="I276" i="21"/>
  <c r="I277" i="21"/>
  <c r="I278" i="21"/>
  <c r="I279" i="21"/>
  <c r="I280" i="21"/>
  <c r="I281" i="21"/>
  <c r="I282" i="21"/>
  <c r="I283" i="21"/>
  <c r="I284" i="21"/>
  <c r="I285" i="21"/>
  <c r="I286" i="21"/>
  <c r="I287" i="21"/>
  <c r="I288" i="21"/>
  <c r="I289" i="21"/>
  <c r="I290" i="21"/>
  <c r="I291" i="21"/>
  <c r="I292" i="21"/>
  <c r="I293" i="21"/>
  <c r="I6" i="21"/>
  <c r="I7" i="22"/>
  <c r="I8" i="22"/>
  <c r="I9" i="22"/>
  <c r="I10" i="22"/>
  <c r="I11" i="22"/>
  <c r="I12" i="22"/>
  <c r="I13" i="22"/>
  <c r="I14" i="22"/>
  <c r="I15" i="22"/>
  <c r="I16" i="22"/>
  <c r="I17" i="22"/>
  <c r="I18" i="22"/>
  <c r="I19" i="22"/>
  <c r="I20" i="22"/>
  <c r="I21" i="22"/>
  <c r="I22" i="22"/>
  <c r="I23" i="22"/>
  <c r="I24" i="22"/>
  <c r="I25" i="22"/>
  <c r="I26" i="22"/>
  <c r="I27" i="22"/>
  <c r="I28" i="22"/>
  <c r="I29" i="22"/>
  <c r="I30" i="22"/>
  <c r="I31" i="22"/>
  <c r="I32" i="22"/>
  <c r="I33" i="22"/>
  <c r="I34" i="22"/>
  <c r="I35" i="22"/>
  <c r="I36" i="22"/>
  <c r="I37" i="22"/>
  <c r="I38" i="22"/>
  <c r="I39" i="22"/>
  <c r="I40" i="22"/>
  <c r="I41" i="22"/>
  <c r="I42" i="22"/>
  <c r="I43" i="22"/>
  <c r="I44" i="22"/>
  <c r="I45" i="22"/>
  <c r="I46" i="22"/>
  <c r="I47" i="22"/>
  <c r="I48" i="22"/>
  <c r="I49" i="22"/>
  <c r="I50" i="22"/>
  <c r="I51" i="22"/>
  <c r="I52" i="22"/>
  <c r="I53" i="22"/>
  <c r="I54" i="22"/>
  <c r="I55" i="22"/>
  <c r="I56" i="22"/>
  <c r="I57" i="22"/>
  <c r="I58" i="22"/>
  <c r="I59" i="22"/>
  <c r="I60" i="22"/>
  <c r="I61" i="22"/>
  <c r="I62" i="22"/>
  <c r="I63" i="22"/>
  <c r="I64" i="22"/>
  <c r="I65" i="22"/>
  <c r="I66" i="22"/>
  <c r="I67" i="22"/>
  <c r="I68" i="22"/>
  <c r="I69" i="22"/>
  <c r="I70" i="22"/>
  <c r="I71" i="22"/>
  <c r="I72" i="22"/>
  <c r="I73" i="22"/>
  <c r="I74" i="22"/>
  <c r="I75" i="22"/>
  <c r="I76" i="22"/>
  <c r="I77" i="22"/>
  <c r="I78" i="22"/>
  <c r="I79" i="22"/>
  <c r="I80" i="22"/>
  <c r="I81" i="22"/>
  <c r="I82" i="22"/>
  <c r="I83" i="22"/>
  <c r="I84" i="22"/>
  <c r="I85" i="22"/>
  <c r="I86" i="22"/>
  <c r="I87" i="22"/>
  <c r="I88" i="22"/>
  <c r="I89" i="22"/>
  <c r="I90" i="22"/>
  <c r="I91" i="22"/>
  <c r="I92" i="22"/>
  <c r="I93" i="22"/>
  <c r="I94" i="22"/>
  <c r="I95" i="22"/>
  <c r="I96" i="22"/>
  <c r="I97" i="22"/>
  <c r="I98" i="22"/>
  <c r="I99" i="22"/>
  <c r="I100" i="22"/>
  <c r="I101" i="22"/>
  <c r="I102" i="22"/>
  <c r="I103" i="22"/>
  <c r="I104" i="22"/>
  <c r="I105" i="22"/>
  <c r="I106" i="22"/>
  <c r="I107" i="22"/>
  <c r="I108" i="22"/>
  <c r="I109" i="22"/>
  <c r="I110" i="22"/>
  <c r="I111" i="22"/>
  <c r="I112" i="22"/>
  <c r="I113" i="22"/>
  <c r="I114" i="22"/>
  <c r="I115" i="22"/>
  <c r="I116" i="22"/>
  <c r="I117" i="22"/>
  <c r="I118" i="22"/>
  <c r="I119" i="22"/>
  <c r="I120" i="22"/>
  <c r="I121" i="22"/>
  <c r="I122" i="22"/>
  <c r="I123" i="22"/>
  <c r="I124" i="22"/>
  <c r="I125" i="22"/>
  <c r="I126" i="22"/>
  <c r="I127" i="22"/>
  <c r="I128" i="22"/>
  <c r="I129" i="22"/>
  <c r="I130" i="22"/>
  <c r="I131" i="22"/>
  <c r="I132" i="22"/>
  <c r="I133" i="22"/>
  <c r="I134" i="22"/>
  <c r="I135" i="22"/>
  <c r="I136" i="22"/>
  <c r="I137" i="22"/>
  <c r="I138" i="22"/>
  <c r="I139" i="22"/>
  <c r="I140" i="22"/>
  <c r="I141" i="22"/>
  <c r="I142" i="22"/>
  <c r="I143" i="22"/>
  <c r="I144" i="22"/>
  <c r="I145" i="22"/>
  <c r="I146" i="22"/>
  <c r="I147" i="22"/>
  <c r="I148" i="22"/>
  <c r="I149" i="22"/>
  <c r="I150" i="22"/>
  <c r="I151" i="22"/>
  <c r="I152" i="22"/>
  <c r="I153" i="22"/>
  <c r="I154" i="22"/>
  <c r="I155" i="22"/>
  <c r="I156" i="22"/>
  <c r="I157" i="22"/>
  <c r="I158" i="22"/>
  <c r="I159" i="22"/>
  <c r="I160" i="22"/>
  <c r="I161" i="22"/>
  <c r="I162" i="22"/>
  <c r="I163" i="22"/>
  <c r="I164" i="22"/>
  <c r="I165" i="22"/>
  <c r="I166" i="22"/>
  <c r="I167" i="22"/>
  <c r="I168" i="22"/>
  <c r="I169" i="22"/>
  <c r="I170" i="22"/>
  <c r="I171" i="22"/>
  <c r="I172" i="22"/>
  <c r="I173" i="22"/>
  <c r="I174" i="22"/>
  <c r="I175" i="22"/>
  <c r="I176" i="22"/>
  <c r="I177" i="22"/>
  <c r="I178" i="22"/>
  <c r="I179" i="22"/>
  <c r="I180" i="22"/>
  <c r="I181" i="22"/>
  <c r="I182" i="22"/>
  <c r="I183" i="22"/>
  <c r="I184" i="22"/>
  <c r="I185" i="22"/>
  <c r="I186" i="22"/>
  <c r="I187" i="22"/>
  <c r="I188" i="22"/>
  <c r="I189" i="22"/>
  <c r="I190" i="22"/>
  <c r="I191" i="22"/>
  <c r="I192" i="22"/>
  <c r="I193" i="22"/>
  <c r="I194" i="22"/>
  <c r="I195" i="22"/>
  <c r="I196" i="22"/>
  <c r="I197" i="22"/>
  <c r="I198" i="22"/>
  <c r="I199" i="22"/>
  <c r="I200" i="22"/>
  <c r="I201" i="22"/>
  <c r="I202" i="22"/>
  <c r="I203" i="22"/>
  <c r="I204" i="22"/>
  <c r="I205" i="22"/>
  <c r="I206" i="22"/>
  <c r="I207" i="22"/>
  <c r="I208" i="22"/>
  <c r="I209" i="22"/>
  <c r="I210" i="22"/>
  <c r="I211" i="22"/>
  <c r="I212" i="22"/>
  <c r="I213" i="22"/>
  <c r="I214" i="22"/>
  <c r="I215" i="22"/>
  <c r="I216" i="22"/>
  <c r="I217" i="22"/>
  <c r="I218" i="22"/>
  <c r="I219" i="22"/>
  <c r="I220" i="22"/>
  <c r="I221" i="22"/>
  <c r="I222" i="22"/>
  <c r="I223" i="22"/>
  <c r="I224" i="22"/>
  <c r="I225" i="22"/>
  <c r="I226" i="22"/>
  <c r="I227" i="22"/>
  <c r="I228" i="22"/>
  <c r="I229" i="22"/>
  <c r="I230" i="22"/>
  <c r="I231" i="22"/>
  <c r="I232" i="22"/>
  <c r="I233" i="22"/>
  <c r="I234" i="22"/>
  <c r="I235" i="22"/>
  <c r="I236" i="22"/>
  <c r="I237" i="22"/>
  <c r="I238" i="22"/>
  <c r="I239" i="22"/>
  <c r="I240" i="22"/>
  <c r="I241" i="22"/>
  <c r="I242" i="22"/>
  <c r="I243" i="22"/>
  <c r="I244" i="22"/>
  <c r="I245" i="22"/>
  <c r="I246" i="22"/>
  <c r="I247" i="22"/>
  <c r="I248" i="22"/>
  <c r="I249" i="22"/>
  <c r="I250" i="22"/>
  <c r="I251" i="22"/>
  <c r="I252" i="22"/>
  <c r="I253" i="22"/>
  <c r="I254" i="22"/>
  <c r="I255" i="22"/>
  <c r="I256" i="22"/>
  <c r="I257" i="22"/>
  <c r="I258" i="22"/>
  <c r="I259" i="22"/>
  <c r="I260" i="22"/>
  <c r="I261" i="22"/>
  <c r="I262" i="22"/>
  <c r="I263" i="22"/>
  <c r="I264" i="22"/>
  <c r="I265" i="22"/>
  <c r="I266" i="22"/>
  <c r="I267" i="22"/>
  <c r="I268" i="22"/>
  <c r="I269" i="22"/>
  <c r="I270" i="22"/>
  <c r="I271" i="22"/>
  <c r="I272" i="22"/>
  <c r="I273" i="22"/>
  <c r="I274" i="22"/>
  <c r="I275" i="22"/>
  <c r="I276" i="22"/>
  <c r="I277" i="22"/>
  <c r="I278" i="22"/>
  <c r="I279" i="22"/>
  <c r="I280" i="22"/>
  <c r="I281" i="22"/>
  <c r="I282" i="22"/>
  <c r="I283" i="22"/>
  <c r="I284" i="22"/>
  <c r="I285" i="22"/>
  <c r="I286" i="22"/>
  <c r="I287" i="22"/>
  <c r="I288" i="22"/>
  <c r="I289" i="22"/>
  <c r="I290" i="22"/>
  <c r="I291" i="22"/>
  <c r="I292" i="22"/>
  <c r="I293" i="22"/>
  <c r="I6" i="22"/>
  <c r="I7" i="20"/>
  <c r="I8" i="20"/>
  <c r="I9" i="20"/>
  <c r="I10" i="20"/>
  <c r="I11" i="20"/>
  <c r="I12" i="20"/>
  <c r="I13" i="20"/>
  <c r="I14" i="20"/>
  <c r="I15" i="20"/>
  <c r="I16" i="20"/>
  <c r="I17" i="20"/>
  <c r="I18" i="20"/>
  <c r="I19" i="20"/>
  <c r="I20" i="20"/>
  <c r="I21" i="20"/>
  <c r="I22" i="20"/>
  <c r="I23" i="20"/>
  <c r="I24" i="20"/>
  <c r="I25" i="20"/>
  <c r="I26" i="20"/>
  <c r="I27" i="20"/>
  <c r="I28" i="20"/>
  <c r="I29" i="20"/>
  <c r="I30" i="20"/>
  <c r="I31" i="20"/>
  <c r="I32" i="20"/>
  <c r="I33" i="20"/>
  <c r="I34" i="20"/>
  <c r="I35" i="20"/>
  <c r="I36" i="20"/>
  <c r="I37" i="20"/>
  <c r="I38" i="20"/>
  <c r="I39" i="20"/>
  <c r="I40" i="20"/>
  <c r="I41" i="20"/>
  <c r="I42" i="20"/>
  <c r="I43" i="20"/>
  <c r="I44" i="20"/>
  <c r="I45" i="20"/>
  <c r="I46" i="20"/>
  <c r="I47" i="20"/>
  <c r="I48" i="20"/>
  <c r="I49" i="20"/>
  <c r="I50" i="20"/>
  <c r="I51" i="20"/>
  <c r="I52" i="20"/>
  <c r="I53" i="20"/>
  <c r="I54" i="20"/>
  <c r="I55" i="20"/>
  <c r="I56" i="20"/>
  <c r="I57" i="20"/>
  <c r="I58" i="20"/>
  <c r="I59" i="20"/>
  <c r="I60" i="20"/>
  <c r="I61" i="20"/>
  <c r="I62" i="20"/>
  <c r="I63" i="20"/>
  <c r="I64" i="20"/>
  <c r="I65" i="20"/>
  <c r="I66" i="20"/>
  <c r="I67" i="20"/>
  <c r="I68" i="20"/>
  <c r="I69" i="20"/>
  <c r="I70" i="20"/>
  <c r="I71" i="20"/>
  <c r="I72" i="20"/>
  <c r="I73" i="20"/>
  <c r="I74" i="20"/>
  <c r="I75" i="20"/>
  <c r="I76" i="20"/>
  <c r="I77" i="20"/>
  <c r="I78" i="20"/>
  <c r="I79" i="20"/>
  <c r="I80" i="20"/>
  <c r="I81" i="20"/>
  <c r="I82" i="20"/>
  <c r="I83" i="20"/>
  <c r="I84" i="20"/>
  <c r="I85" i="20"/>
  <c r="I86" i="20"/>
  <c r="I87" i="20"/>
  <c r="I88" i="20"/>
  <c r="I89" i="20"/>
  <c r="I90" i="20"/>
  <c r="I91" i="20"/>
  <c r="I92" i="20"/>
  <c r="I93" i="20"/>
  <c r="I94" i="20"/>
  <c r="I95" i="20"/>
  <c r="I96" i="20"/>
  <c r="I97" i="20"/>
  <c r="I98" i="20"/>
  <c r="I99" i="20"/>
  <c r="I100" i="20"/>
  <c r="I101" i="20"/>
  <c r="I102" i="20"/>
  <c r="I103" i="20"/>
  <c r="I104" i="20"/>
  <c r="I105" i="20"/>
  <c r="I106" i="20"/>
  <c r="I107" i="20"/>
  <c r="I108" i="20"/>
  <c r="I109" i="20"/>
  <c r="I110" i="20"/>
  <c r="I111" i="20"/>
  <c r="I112" i="20"/>
  <c r="I113" i="20"/>
  <c r="I114" i="20"/>
  <c r="I115" i="20"/>
  <c r="I116" i="20"/>
  <c r="I117" i="20"/>
  <c r="I118" i="20"/>
  <c r="I119" i="20"/>
  <c r="I120" i="20"/>
  <c r="I121" i="20"/>
  <c r="I122" i="20"/>
  <c r="I123" i="20"/>
  <c r="I124" i="20"/>
  <c r="I125" i="20"/>
  <c r="I126" i="20"/>
  <c r="I127" i="20"/>
  <c r="I128" i="20"/>
  <c r="I129" i="20"/>
  <c r="I130" i="20"/>
  <c r="I131" i="20"/>
  <c r="I132" i="20"/>
  <c r="I133" i="20"/>
  <c r="I134" i="20"/>
  <c r="I135" i="20"/>
  <c r="I136" i="20"/>
  <c r="I137" i="20"/>
  <c r="I138" i="20"/>
  <c r="I139" i="20"/>
  <c r="I140" i="20"/>
  <c r="I141" i="20"/>
  <c r="I142" i="20"/>
  <c r="I143" i="20"/>
  <c r="I144" i="20"/>
  <c r="I145" i="20"/>
  <c r="I146" i="20"/>
  <c r="I147" i="20"/>
  <c r="I148" i="20"/>
  <c r="I149" i="20"/>
  <c r="I150" i="20"/>
  <c r="I151" i="20"/>
  <c r="I152" i="20"/>
  <c r="I153" i="20"/>
  <c r="I154" i="20"/>
  <c r="I155" i="20"/>
  <c r="I156" i="20"/>
  <c r="I157" i="20"/>
  <c r="I158" i="20"/>
  <c r="I159" i="20"/>
  <c r="I160" i="20"/>
  <c r="I161" i="20"/>
  <c r="I162" i="20"/>
  <c r="I163" i="20"/>
  <c r="I164" i="20"/>
  <c r="I165" i="20"/>
  <c r="I166" i="20"/>
  <c r="I167" i="20"/>
  <c r="I168" i="20"/>
  <c r="I169" i="20"/>
  <c r="I170" i="20"/>
  <c r="I171" i="20"/>
  <c r="I172" i="20"/>
  <c r="I173" i="20"/>
  <c r="I174" i="20"/>
  <c r="I175" i="20"/>
  <c r="I176" i="20"/>
  <c r="I177" i="20"/>
  <c r="I178" i="20"/>
  <c r="I179" i="20"/>
  <c r="I180" i="20"/>
  <c r="I181" i="20"/>
  <c r="I182" i="20"/>
  <c r="I183" i="20"/>
  <c r="I184" i="20"/>
  <c r="I185" i="20"/>
  <c r="I186" i="20"/>
  <c r="I187" i="20"/>
  <c r="I188" i="20"/>
  <c r="I189" i="20"/>
  <c r="I190" i="20"/>
  <c r="I191" i="20"/>
  <c r="I192" i="20"/>
  <c r="I193" i="20"/>
  <c r="I194" i="20"/>
  <c r="I195" i="20"/>
  <c r="I196" i="20"/>
  <c r="I197" i="20"/>
  <c r="I198" i="20"/>
  <c r="I199" i="20"/>
  <c r="I200" i="20"/>
  <c r="I201" i="20"/>
  <c r="I202" i="20"/>
  <c r="I203" i="20"/>
  <c r="I204" i="20"/>
  <c r="I205" i="20"/>
  <c r="I206" i="20"/>
  <c r="I207" i="20"/>
  <c r="I208" i="20"/>
  <c r="I209" i="20"/>
  <c r="I210" i="20"/>
  <c r="I211" i="20"/>
  <c r="I212" i="20"/>
  <c r="I213" i="20"/>
  <c r="I214" i="20"/>
  <c r="I215" i="20"/>
  <c r="I216" i="20"/>
  <c r="I217" i="20"/>
  <c r="I218" i="20"/>
  <c r="I219" i="20"/>
  <c r="I220" i="20"/>
  <c r="I221" i="20"/>
  <c r="I222" i="20"/>
  <c r="I223" i="20"/>
  <c r="I224" i="20"/>
  <c r="I225" i="20"/>
  <c r="I226" i="20"/>
  <c r="I227" i="20"/>
  <c r="I228" i="20"/>
  <c r="I229" i="20"/>
  <c r="I230" i="20"/>
  <c r="I231" i="20"/>
  <c r="I232" i="20"/>
  <c r="I233" i="20"/>
  <c r="I234" i="20"/>
  <c r="I235" i="20"/>
  <c r="I236" i="20"/>
  <c r="I237" i="20"/>
  <c r="I238" i="20"/>
  <c r="I239" i="20"/>
  <c r="I240" i="20"/>
  <c r="I241" i="20"/>
  <c r="I242" i="20"/>
  <c r="I243" i="20"/>
  <c r="I244" i="20"/>
  <c r="I245" i="20"/>
  <c r="I246" i="20"/>
  <c r="I247" i="20"/>
  <c r="I248" i="20"/>
  <c r="I249" i="20"/>
  <c r="I250" i="20"/>
  <c r="I251" i="20"/>
  <c r="I252" i="20"/>
  <c r="I253" i="20"/>
  <c r="I254" i="20"/>
  <c r="I255" i="20"/>
  <c r="I256" i="20"/>
  <c r="I257" i="20"/>
  <c r="I258" i="20"/>
  <c r="I259" i="20"/>
  <c r="I260" i="20"/>
  <c r="I261" i="20"/>
  <c r="I262" i="20"/>
  <c r="I263" i="20"/>
  <c r="I264" i="20"/>
  <c r="I265" i="20"/>
  <c r="I266" i="20"/>
  <c r="I267" i="20"/>
  <c r="I268" i="20"/>
  <c r="I269" i="20"/>
  <c r="I270" i="20"/>
  <c r="I271" i="20"/>
  <c r="I272" i="20"/>
  <c r="I273" i="20"/>
  <c r="I274" i="20"/>
  <c r="I275" i="20"/>
  <c r="I276" i="20"/>
  <c r="I277" i="20"/>
  <c r="I278" i="20"/>
  <c r="I279" i="20"/>
  <c r="I280" i="20"/>
  <c r="I281" i="20"/>
  <c r="I282" i="20"/>
  <c r="I283" i="20"/>
  <c r="I284" i="20"/>
  <c r="I285" i="20"/>
  <c r="I286" i="20"/>
  <c r="I287" i="20"/>
  <c r="I288" i="20"/>
  <c r="I289" i="20"/>
  <c r="I290" i="20"/>
  <c r="I291" i="20"/>
  <c r="I292" i="20"/>
  <c r="I293" i="20"/>
  <c r="I6" i="20"/>
  <c r="J7" i="13"/>
  <c r="J8" i="13"/>
  <c r="J9" i="13"/>
  <c r="J10" i="13"/>
  <c r="J11" i="13"/>
  <c r="J12" i="13"/>
  <c r="J13" i="13"/>
  <c r="J14" i="13"/>
  <c r="J15" i="13"/>
  <c r="J16" i="13"/>
  <c r="J17" i="13"/>
  <c r="J18" i="13"/>
  <c r="J19" i="13"/>
  <c r="J20" i="13"/>
  <c r="J21" i="13"/>
  <c r="J22" i="13"/>
  <c r="J23" i="13"/>
  <c r="J24" i="13"/>
  <c r="J25" i="13"/>
  <c r="J26" i="13"/>
  <c r="J27" i="13"/>
  <c r="J28" i="13"/>
  <c r="J29" i="13"/>
  <c r="J30" i="13"/>
  <c r="J31" i="13"/>
  <c r="J32" i="13"/>
  <c r="J33" i="13"/>
  <c r="J34" i="13"/>
  <c r="J35" i="13"/>
  <c r="J36" i="13"/>
  <c r="J37" i="13"/>
  <c r="J38" i="13"/>
  <c r="J39" i="13"/>
  <c r="J40" i="13"/>
  <c r="J41" i="13"/>
  <c r="J42" i="13"/>
  <c r="J43" i="13"/>
  <c r="J44" i="13"/>
  <c r="J45" i="13"/>
  <c r="J46" i="13"/>
  <c r="J47" i="13"/>
  <c r="J48" i="13"/>
  <c r="J49" i="13"/>
  <c r="J50" i="13"/>
  <c r="J51" i="13"/>
  <c r="J52" i="13"/>
  <c r="J53" i="13"/>
  <c r="J54" i="13"/>
  <c r="J55" i="13"/>
  <c r="J56" i="13"/>
  <c r="J57" i="13"/>
  <c r="J58" i="13"/>
  <c r="J59" i="13"/>
  <c r="J60" i="13"/>
  <c r="J61" i="13"/>
  <c r="J62" i="13"/>
  <c r="J63" i="13"/>
  <c r="J64" i="13"/>
  <c r="J65" i="13"/>
  <c r="J66" i="13"/>
  <c r="J67" i="13"/>
  <c r="J68" i="13"/>
  <c r="J69" i="13"/>
  <c r="J70" i="13"/>
  <c r="J71" i="13"/>
  <c r="J72" i="13"/>
  <c r="J73" i="13"/>
  <c r="J74" i="13"/>
  <c r="J75" i="13"/>
  <c r="J76" i="13"/>
  <c r="J77" i="13"/>
  <c r="J78" i="13"/>
  <c r="J79" i="13"/>
  <c r="J80" i="13"/>
  <c r="J81" i="13"/>
  <c r="J82" i="13"/>
  <c r="J83" i="13"/>
  <c r="J84" i="13"/>
  <c r="J85" i="13"/>
  <c r="J86" i="13"/>
  <c r="J87" i="13"/>
  <c r="J88" i="13"/>
  <c r="J89" i="13"/>
  <c r="J90" i="13"/>
  <c r="J91" i="13"/>
  <c r="J92" i="13"/>
  <c r="J93" i="13"/>
  <c r="J94" i="13"/>
  <c r="J95" i="13"/>
  <c r="J96" i="13"/>
  <c r="J97" i="13"/>
  <c r="J98" i="13"/>
  <c r="J99" i="13"/>
  <c r="J100" i="13"/>
  <c r="J101" i="13"/>
  <c r="J102" i="13"/>
  <c r="J103" i="13"/>
  <c r="J104" i="13"/>
  <c r="J105" i="13"/>
  <c r="J106" i="13"/>
  <c r="J107" i="13"/>
  <c r="J108" i="13"/>
  <c r="J109" i="13"/>
  <c r="J110" i="13"/>
  <c r="J111" i="13"/>
  <c r="J112" i="13"/>
  <c r="J113" i="13"/>
  <c r="J114" i="13"/>
  <c r="J115" i="13"/>
  <c r="J116" i="13"/>
  <c r="J117" i="13"/>
  <c r="J118" i="13"/>
  <c r="J119" i="13"/>
  <c r="J120" i="13"/>
  <c r="J121" i="13"/>
  <c r="J122" i="13"/>
  <c r="J123" i="13"/>
  <c r="J124" i="13"/>
  <c r="J125" i="13"/>
  <c r="J126" i="13"/>
  <c r="J127" i="13"/>
  <c r="J128" i="13"/>
  <c r="J129" i="13"/>
  <c r="J130" i="13"/>
  <c r="J131" i="13"/>
  <c r="J132" i="13"/>
  <c r="J133" i="13"/>
  <c r="J134" i="13"/>
  <c r="J135" i="13"/>
  <c r="J136" i="13"/>
  <c r="J137" i="13"/>
  <c r="J138" i="13"/>
  <c r="J139" i="13"/>
  <c r="J140" i="13"/>
  <c r="J141" i="13"/>
  <c r="J142" i="13"/>
  <c r="J143" i="13"/>
  <c r="J144" i="13"/>
  <c r="J145" i="13"/>
  <c r="J146" i="13"/>
  <c r="J147" i="13"/>
  <c r="J148" i="13"/>
  <c r="J149" i="13"/>
  <c r="J150" i="13"/>
  <c r="J151" i="13"/>
  <c r="J152" i="13"/>
  <c r="J153" i="13"/>
  <c r="J154" i="13"/>
  <c r="J155" i="13"/>
  <c r="J156" i="13"/>
  <c r="J157" i="13"/>
  <c r="J158" i="13"/>
  <c r="J159" i="13"/>
  <c r="J160" i="13"/>
  <c r="J161" i="13"/>
  <c r="J162" i="13"/>
  <c r="J163" i="13"/>
  <c r="J164" i="13"/>
  <c r="J165" i="13"/>
  <c r="J166" i="13"/>
  <c r="J167" i="13"/>
  <c r="J168" i="13"/>
  <c r="J169" i="13"/>
  <c r="J170" i="13"/>
  <c r="J171" i="13"/>
  <c r="J172" i="13"/>
  <c r="J173" i="13"/>
  <c r="J174" i="13"/>
  <c r="J175" i="13"/>
  <c r="J176" i="13"/>
  <c r="J177" i="13"/>
  <c r="J178" i="13"/>
  <c r="J179" i="13"/>
  <c r="J180" i="13"/>
  <c r="J181" i="13"/>
  <c r="J182" i="13"/>
  <c r="J183" i="13"/>
  <c r="J184" i="13"/>
  <c r="J185" i="13"/>
  <c r="J186" i="13"/>
  <c r="J187" i="13"/>
  <c r="J188" i="13"/>
  <c r="J189" i="13"/>
  <c r="J190" i="13"/>
  <c r="J191" i="13"/>
  <c r="J192" i="13"/>
  <c r="J193" i="13"/>
  <c r="J194" i="13"/>
  <c r="J195" i="13"/>
  <c r="J196" i="13"/>
  <c r="J197" i="13"/>
  <c r="J198" i="13"/>
  <c r="J199" i="13"/>
  <c r="J200" i="13"/>
  <c r="J201" i="13"/>
  <c r="J202" i="13"/>
  <c r="J203" i="13"/>
  <c r="J204" i="13"/>
  <c r="J205" i="13"/>
  <c r="J206" i="13"/>
  <c r="J207" i="13"/>
  <c r="J208" i="13"/>
  <c r="J209" i="13"/>
  <c r="J210" i="13"/>
  <c r="J211" i="13"/>
  <c r="J212" i="13"/>
  <c r="J213" i="13"/>
  <c r="J214" i="13"/>
  <c r="J215" i="13"/>
  <c r="J216" i="13"/>
  <c r="J217" i="13"/>
  <c r="J218" i="13"/>
  <c r="J219" i="13"/>
  <c r="J220" i="13"/>
  <c r="J221" i="13"/>
  <c r="J222" i="13"/>
  <c r="J223" i="13"/>
  <c r="J224" i="13"/>
  <c r="J225" i="13"/>
  <c r="J226" i="13"/>
  <c r="J227" i="13"/>
  <c r="J228" i="13"/>
  <c r="J229" i="13"/>
  <c r="J230" i="13"/>
  <c r="J231" i="13"/>
  <c r="J232" i="13"/>
  <c r="J233" i="13"/>
  <c r="J234" i="13"/>
  <c r="J235" i="13"/>
  <c r="J236" i="13"/>
  <c r="J237" i="13"/>
  <c r="J238" i="13"/>
  <c r="J239" i="13"/>
  <c r="J240" i="13"/>
  <c r="J241" i="13"/>
  <c r="J242" i="13"/>
  <c r="J243" i="13"/>
  <c r="J244" i="13"/>
  <c r="J245" i="13"/>
  <c r="J246" i="13"/>
  <c r="J247" i="13"/>
  <c r="J248" i="13"/>
  <c r="J249" i="13"/>
  <c r="J250" i="13"/>
  <c r="J251" i="13"/>
  <c r="J252" i="13"/>
  <c r="J253" i="13"/>
  <c r="J254" i="13"/>
  <c r="J255" i="13"/>
  <c r="J256" i="13"/>
  <c r="J257" i="13"/>
  <c r="J258" i="13"/>
  <c r="J259" i="13"/>
  <c r="J260" i="13"/>
  <c r="J261" i="13"/>
  <c r="J262" i="13"/>
  <c r="J263" i="13"/>
  <c r="J264" i="13"/>
  <c r="J265" i="13"/>
  <c r="J266" i="13"/>
  <c r="J267" i="13"/>
  <c r="J268" i="13"/>
  <c r="J269" i="13"/>
  <c r="J270" i="13"/>
  <c r="J271" i="13"/>
  <c r="J272" i="13"/>
  <c r="J273" i="13"/>
  <c r="J274" i="13"/>
  <c r="J275" i="13"/>
  <c r="J276" i="13"/>
  <c r="J277" i="13"/>
  <c r="J278" i="13"/>
  <c r="J279" i="13"/>
  <c r="J280" i="13"/>
  <c r="J281" i="13"/>
  <c r="J282" i="13"/>
  <c r="J283" i="13"/>
  <c r="J284" i="13"/>
  <c r="J285" i="13"/>
  <c r="J286" i="13"/>
  <c r="J287" i="13"/>
  <c r="J288" i="13"/>
  <c r="J289" i="13"/>
  <c r="J290" i="13"/>
  <c r="J291" i="13"/>
  <c r="J292" i="13"/>
  <c r="J293" i="13"/>
  <c r="A262" i="27"/>
  <c r="A230" i="27"/>
  <c r="A198" i="27"/>
  <c r="A166" i="27"/>
  <c r="A134" i="27"/>
  <c r="A102" i="27"/>
  <c r="F129" i="27" s="1"/>
  <c r="C501" i="40" s="1"/>
  <c r="A70" i="27"/>
  <c r="A38" i="27"/>
  <c r="F43" i="27" s="1"/>
  <c r="M71" i="40" l="1"/>
  <c r="Q71" i="40" s="1"/>
  <c r="N395" i="40"/>
  <c r="M70" i="40"/>
  <c r="Q70" i="40" s="1"/>
  <c r="N394" i="40"/>
  <c r="M55" i="40"/>
  <c r="Q55" i="40" s="1"/>
  <c r="N379" i="40"/>
  <c r="H394" i="40"/>
  <c r="H383" i="40"/>
  <c r="H379" i="40"/>
  <c r="H410" i="40"/>
  <c r="H382" i="40"/>
  <c r="H385" i="40"/>
  <c r="H381" i="40"/>
  <c r="H384" i="40"/>
  <c r="H380" i="40"/>
  <c r="C415" i="40"/>
  <c r="G2" i="42"/>
  <c r="A4" i="27"/>
  <c r="D64" i="21"/>
  <c r="D35" i="22"/>
  <c r="D34" i="20"/>
  <c r="D23" i="13"/>
  <c r="C2" i="36"/>
  <c r="E2" i="21"/>
  <c r="E2" i="22"/>
  <c r="E2" i="20"/>
  <c r="E2" i="13"/>
  <c r="I2" i="20"/>
  <c r="F2" i="36"/>
  <c r="I2" i="22"/>
  <c r="I2" i="13"/>
  <c r="I2" i="21"/>
  <c r="T55" i="20"/>
  <c r="U55" i="20" s="1"/>
  <c r="J55" i="20" s="1"/>
  <c r="T46" i="20"/>
  <c r="U46" i="20" s="1"/>
  <c r="T229" i="20"/>
  <c r="U229" i="20" s="1"/>
  <c r="J229" i="20" s="1"/>
  <c r="T39" i="20"/>
  <c r="U39" i="20" s="1"/>
  <c r="J39" i="20" s="1"/>
  <c r="T275" i="20"/>
  <c r="U275" i="20" s="1"/>
  <c r="J275" i="20" s="1"/>
  <c r="T269" i="20"/>
  <c r="U269" i="20" s="1"/>
  <c r="J269" i="20" s="1"/>
  <c r="T185" i="20"/>
  <c r="U185" i="20" s="1"/>
  <c r="J185" i="20" s="1"/>
  <c r="T87" i="20"/>
  <c r="U87" i="20" s="1"/>
  <c r="J87" i="20" s="1"/>
  <c r="T65" i="20"/>
  <c r="U65" i="20" s="1"/>
  <c r="T57" i="20"/>
  <c r="U57" i="20" s="1"/>
  <c r="J57" i="20" s="1"/>
  <c r="B442" i="29"/>
  <c r="B2" i="29"/>
  <c r="B402" i="29"/>
  <c r="B42" i="29"/>
  <c r="T30" i="20"/>
  <c r="U30" i="20" s="1"/>
  <c r="J30" i="20" s="1"/>
  <c r="T23" i="20"/>
  <c r="U23" i="20" s="1"/>
  <c r="J23" i="20" s="1"/>
  <c r="T153" i="20"/>
  <c r="U153" i="20" s="1"/>
  <c r="T36" i="20"/>
  <c r="U36" i="20" s="1"/>
  <c r="J36" i="20" s="1"/>
  <c r="T224" i="20"/>
  <c r="U224" i="20" s="1"/>
  <c r="J224" i="20" s="1"/>
  <c r="T179" i="20"/>
  <c r="U179" i="20" s="1"/>
  <c r="J179" i="20" s="1"/>
  <c r="T164" i="20"/>
  <c r="U164" i="20" s="1"/>
  <c r="J164" i="20" s="1"/>
  <c r="T140" i="20"/>
  <c r="U140" i="20" s="1"/>
  <c r="T202" i="20"/>
  <c r="U202" i="20" s="1"/>
  <c r="J202" i="20" s="1"/>
  <c r="T92" i="20"/>
  <c r="U92" i="20" s="1"/>
  <c r="J92" i="20" s="1"/>
  <c r="T205" i="20"/>
  <c r="U205" i="20" s="1"/>
  <c r="T189" i="20"/>
  <c r="U189" i="20" s="1"/>
  <c r="T172" i="20"/>
  <c r="U172" i="20" s="1"/>
  <c r="T68" i="20"/>
  <c r="U68" i="20" s="1"/>
  <c r="J68" i="20" s="1"/>
  <c r="T264" i="20"/>
  <c r="U264" i="20" s="1"/>
  <c r="J264" i="20" s="1"/>
  <c r="T240" i="20"/>
  <c r="U240" i="20" s="1"/>
  <c r="J240" i="20" s="1"/>
  <c r="T263" i="20"/>
  <c r="U263" i="20" s="1"/>
  <c r="J263" i="20" s="1"/>
  <c r="T256" i="20"/>
  <c r="U256" i="20" s="1"/>
  <c r="J256" i="20" s="1"/>
  <c r="T288" i="20"/>
  <c r="U288" i="20" s="1"/>
  <c r="J288" i="20" s="1"/>
  <c r="T187" i="20"/>
  <c r="U187" i="20" s="1"/>
  <c r="J187" i="20" s="1"/>
  <c r="T169" i="20"/>
  <c r="U169" i="20" s="1"/>
  <c r="T211" i="20"/>
  <c r="U211" i="20" s="1"/>
  <c r="J211" i="20" s="1"/>
  <c r="T280" i="20"/>
  <c r="U280" i="20" s="1"/>
  <c r="J280" i="20" s="1"/>
  <c r="T89" i="20"/>
  <c r="U89" i="20" s="1"/>
  <c r="J89" i="20" s="1"/>
  <c r="T17" i="20"/>
  <c r="U17" i="20" s="1"/>
  <c r="T271" i="20"/>
  <c r="U271" i="20" s="1"/>
  <c r="J271" i="20" s="1"/>
  <c r="R253" i="20"/>
  <c r="S253" i="20" s="1"/>
  <c r="T245" i="20"/>
  <c r="U245" i="20" s="1"/>
  <c r="J245" i="20" s="1"/>
  <c r="T235" i="20"/>
  <c r="U235" i="20" s="1"/>
  <c r="J235" i="20" s="1"/>
  <c r="T221" i="20"/>
  <c r="U221" i="20" s="1"/>
  <c r="J221" i="20" s="1"/>
  <c r="T214" i="20"/>
  <c r="U214" i="20" s="1"/>
  <c r="J214" i="20" s="1"/>
  <c r="T158" i="20"/>
  <c r="U158" i="20" s="1"/>
  <c r="J158" i="20" s="1"/>
  <c r="T156" i="20"/>
  <c r="U156" i="20" s="1"/>
  <c r="R126" i="20"/>
  <c r="S126" i="20" s="1"/>
  <c r="T126" i="20" s="1"/>
  <c r="U126" i="20" s="1"/>
  <c r="J126" i="20" s="1"/>
  <c r="R100" i="20"/>
  <c r="S100" i="20" s="1"/>
  <c r="T100" i="20" s="1"/>
  <c r="R83" i="20"/>
  <c r="S83" i="20" s="1"/>
  <c r="T83" i="20" s="1"/>
  <c r="U83" i="20" s="1"/>
  <c r="J83" i="20" s="1"/>
  <c r="T63" i="20"/>
  <c r="U63" i="20" s="1"/>
  <c r="J63" i="20" s="1"/>
  <c r="T31" i="20"/>
  <c r="U31" i="20" s="1"/>
  <c r="J31" i="20" s="1"/>
  <c r="U110" i="20"/>
  <c r="T261" i="20"/>
  <c r="U261" i="20" s="1"/>
  <c r="J261" i="20" s="1"/>
  <c r="T254" i="20"/>
  <c r="U254" i="20" s="1"/>
  <c r="J254" i="20" s="1"/>
  <c r="U237" i="20"/>
  <c r="J237" i="20" s="1"/>
  <c r="T208" i="20"/>
  <c r="U208" i="20" s="1"/>
  <c r="J208" i="20" s="1"/>
  <c r="T201" i="20"/>
  <c r="U201" i="20" s="1"/>
  <c r="J201" i="20" s="1"/>
  <c r="T193" i="20"/>
  <c r="U193" i="20" s="1"/>
  <c r="J193" i="20" s="1"/>
  <c r="T99" i="20"/>
  <c r="U99" i="20" s="1"/>
  <c r="J99" i="20" s="1"/>
  <c r="T128" i="20"/>
  <c r="U128" i="20" s="1"/>
  <c r="U177" i="20"/>
  <c r="J177" i="20" s="1"/>
  <c r="T124" i="20"/>
  <c r="U124" i="20" s="1"/>
  <c r="T209" i="20"/>
  <c r="U209" i="20" s="1"/>
  <c r="J209" i="20" s="1"/>
  <c r="T182" i="20"/>
  <c r="U182" i="20" s="1"/>
  <c r="J182" i="20" s="1"/>
  <c r="T86" i="20"/>
  <c r="U86" i="20" s="1"/>
  <c r="J86" i="20" s="1"/>
  <c r="T274" i="20"/>
  <c r="U274" i="20" s="1"/>
  <c r="T238" i="20"/>
  <c r="U238" i="20" s="1"/>
  <c r="J238" i="20" s="1"/>
  <c r="R186" i="20"/>
  <c r="S186" i="20" s="1"/>
  <c r="R176" i="20"/>
  <c r="S176" i="20" s="1"/>
  <c r="T176" i="20" s="1"/>
  <c r="U176" i="20" s="1"/>
  <c r="T12" i="20"/>
  <c r="U12" i="20" s="1"/>
  <c r="J12" i="20" s="1"/>
  <c r="B362" i="29"/>
  <c r="B722" i="29"/>
  <c r="B522" i="29"/>
  <c r="B642" i="29"/>
  <c r="B482" i="29"/>
  <c r="B242" i="29"/>
  <c r="B602" i="29"/>
  <c r="B202" i="29"/>
  <c r="B322" i="29"/>
  <c r="B282" i="29"/>
  <c r="B82" i="29"/>
  <c r="B762" i="29"/>
  <c r="B562" i="29"/>
  <c r="B162" i="29"/>
  <c r="B682" i="29"/>
  <c r="B122" i="29"/>
  <c r="T287" i="20"/>
  <c r="U287" i="20" s="1"/>
  <c r="J287" i="20" s="1"/>
  <c r="T268" i="20"/>
  <c r="U268" i="20" s="1"/>
  <c r="T178" i="20"/>
  <c r="U178" i="20" s="1"/>
  <c r="J178" i="20" s="1"/>
  <c r="T276" i="20"/>
  <c r="U276" i="20" s="1"/>
  <c r="J276" i="20" s="1"/>
  <c r="T190" i="20"/>
  <c r="U190" i="20" s="1"/>
  <c r="T81" i="20"/>
  <c r="U81" i="20" s="1"/>
  <c r="J81" i="20" s="1"/>
  <c r="T22" i="20"/>
  <c r="U22" i="20" s="1"/>
  <c r="J22" i="20" s="1"/>
  <c r="T210" i="20"/>
  <c r="U210" i="20" s="1"/>
  <c r="J210" i="20" s="1"/>
  <c r="T284" i="20"/>
  <c r="U284" i="20" s="1"/>
  <c r="J284" i="20" s="1"/>
  <c r="T206" i="20"/>
  <c r="U206" i="20" s="1"/>
  <c r="T200" i="20"/>
  <c r="U200" i="20" s="1"/>
  <c r="J200" i="20" s="1"/>
  <c r="T279" i="20"/>
  <c r="U279" i="20" s="1"/>
  <c r="J279" i="20" s="1"/>
  <c r="T292" i="20"/>
  <c r="U292" i="20" s="1"/>
  <c r="J292" i="20" s="1"/>
  <c r="R293" i="20"/>
  <c r="S293" i="20" s="1"/>
  <c r="T293" i="20" s="1"/>
  <c r="R285" i="20"/>
  <c r="S285" i="20" s="1"/>
  <c r="R277" i="20"/>
  <c r="S277" i="20" s="1"/>
  <c r="T259" i="20"/>
  <c r="U259" i="20" s="1"/>
  <c r="J259" i="20" s="1"/>
  <c r="R248" i="20"/>
  <c r="S248" i="20" s="1"/>
  <c r="R232" i="20"/>
  <c r="S232" i="20" s="1"/>
  <c r="T232" i="20" s="1"/>
  <c r="R216" i="20"/>
  <c r="S216" i="20" s="1"/>
  <c r="T216" i="20" s="1"/>
  <c r="U203" i="20"/>
  <c r="J203" i="20" s="1"/>
  <c r="R194" i="20"/>
  <c r="S194" i="20" s="1"/>
  <c r="R184" i="20"/>
  <c r="S184" i="20" s="1"/>
  <c r="T184" i="20" s="1"/>
  <c r="R138" i="20"/>
  <c r="S138" i="20" s="1"/>
  <c r="T138" i="20" s="1"/>
  <c r="R106" i="20"/>
  <c r="S106" i="20" s="1"/>
  <c r="T106" i="20" s="1"/>
  <c r="R75" i="20"/>
  <c r="S75" i="20" s="1"/>
  <c r="T75" i="20" s="1"/>
  <c r="U70" i="20"/>
  <c r="J70" i="20" s="1"/>
  <c r="U198" i="20"/>
  <c r="J198" i="20" s="1"/>
  <c r="T196" i="20"/>
  <c r="U196" i="20" s="1"/>
  <c r="J196" i="20" s="1"/>
  <c r="R143" i="20"/>
  <c r="S143" i="20" s="1"/>
  <c r="T143" i="20" s="1"/>
  <c r="R131" i="20"/>
  <c r="S131" i="20" s="1"/>
  <c r="R122" i="20"/>
  <c r="S122" i="20" s="1"/>
  <c r="T122" i="20" s="1"/>
  <c r="T102" i="20"/>
  <c r="U102" i="20" s="1"/>
  <c r="U54" i="20"/>
  <c r="J54" i="20" s="1"/>
  <c r="T51" i="20"/>
  <c r="U51" i="20" s="1"/>
  <c r="R26" i="20"/>
  <c r="S26" i="20" s="1"/>
  <c r="T26" i="20" s="1"/>
  <c r="T290" i="20"/>
  <c r="U290" i="20" s="1"/>
  <c r="U286" i="20"/>
  <c r="J286" i="20" s="1"/>
  <c r="T282" i="20"/>
  <c r="U282" i="20" s="1"/>
  <c r="J282" i="20" s="1"/>
  <c r="U278" i="20"/>
  <c r="J278" i="20" s="1"/>
  <c r="T270" i="20"/>
  <c r="U270" i="20" s="1"/>
  <c r="J270" i="20" s="1"/>
  <c r="U258" i="20"/>
  <c r="J258" i="20" s="1"/>
  <c r="R252" i="20"/>
  <c r="S252" i="20" s="1"/>
  <c r="T250" i="20"/>
  <c r="U250" i="20" s="1"/>
  <c r="J250" i="20" s="1"/>
  <c r="T247" i="20"/>
  <c r="U247" i="20" s="1"/>
  <c r="J247" i="20" s="1"/>
  <c r="U242" i="20"/>
  <c r="J242" i="20" s="1"/>
  <c r="R236" i="20"/>
  <c r="S236" i="20" s="1"/>
  <c r="T234" i="20"/>
  <c r="U234" i="20" s="1"/>
  <c r="J234" i="20" s="1"/>
  <c r="T231" i="20"/>
  <c r="U231" i="20" s="1"/>
  <c r="J231" i="20" s="1"/>
  <c r="U226" i="20"/>
  <c r="J226" i="20" s="1"/>
  <c r="U222" i="20"/>
  <c r="J222" i="20" s="1"/>
  <c r="R220" i="20"/>
  <c r="S220" i="20" s="1"/>
  <c r="T218" i="20"/>
  <c r="U218" i="20" s="1"/>
  <c r="J218" i="20" s="1"/>
  <c r="T167" i="20"/>
  <c r="U167" i="20" s="1"/>
  <c r="T161" i="20"/>
  <c r="U161" i="20" s="1"/>
  <c r="J161" i="20" s="1"/>
  <c r="R155" i="20"/>
  <c r="S155" i="20" s="1"/>
  <c r="T155" i="20" s="1"/>
  <c r="T146" i="20"/>
  <c r="U146" i="20" s="1"/>
  <c r="J146" i="20" s="1"/>
  <c r="R127" i="20"/>
  <c r="S127" i="20" s="1"/>
  <c r="T127" i="20" s="1"/>
  <c r="U105" i="20"/>
  <c r="J105" i="20" s="1"/>
  <c r="R101" i="20"/>
  <c r="S101" i="20" s="1"/>
  <c r="T35" i="20"/>
  <c r="U35" i="20" s="1"/>
  <c r="J35" i="20" s="1"/>
  <c r="R29" i="20"/>
  <c r="S29" i="20" s="1"/>
  <c r="T29" i="20" s="1"/>
  <c r="U25" i="20"/>
  <c r="J25" i="20" s="1"/>
  <c r="T267" i="20"/>
  <c r="U267" i="20" s="1"/>
  <c r="T265" i="20"/>
  <c r="U265" i="20" s="1"/>
  <c r="T188" i="20"/>
  <c r="U188" i="20" s="1"/>
  <c r="J188" i="20" s="1"/>
  <c r="R170" i="20"/>
  <c r="S170" i="20" s="1"/>
  <c r="T170" i="20" s="1"/>
  <c r="T160" i="20"/>
  <c r="U160" i="20" s="1"/>
  <c r="R154" i="20"/>
  <c r="S154" i="20" s="1"/>
  <c r="T154" i="20" s="1"/>
  <c r="U151" i="20"/>
  <c r="U142" i="20"/>
  <c r="J142" i="20" s="1"/>
  <c r="T112" i="20"/>
  <c r="U112" i="20" s="1"/>
  <c r="U108" i="20"/>
  <c r="J108" i="20" s="1"/>
  <c r="T73" i="20"/>
  <c r="U73" i="20" s="1"/>
  <c r="J73" i="20" s="1"/>
  <c r="T53" i="20"/>
  <c r="U53" i="20" s="1"/>
  <c r="J53" i="20" s="1"/>
  <c r="T38" i="20"/>
  <c r="U38" i="20" s="1"/>
  <c r="J38" i="20" s="1"/>
  <c r="U28" i="20"/>
  <c r="J28" i="20" s="1"/>
  <c r="U148" i="20"/>
  <c r="J148" i="20" s="1"/>
  <c r="R136" i="20"/>
  <c r="S136" i="20" s="1"/>
  <c r="T130" i="20"/>
  <c r="U130" i="20" s="1"/>
  <c r="J130" i="20" s="1"/>
  <c r="R91" i="20"/>
  <c r="S91" i="20" s="1"/>
  <c r="T91" i="20" s="1"/>
  <c r="U41" i="20"/>
  <c r="J41" i="20" s="1"/>
  <c r="R37" i="20"/>
  <c r="S37" i="20" s="1"/>
  <c r="U260" i="20"/>
  <c r="J260" i="20" s="1"/>
  <c r="T255" i="20"/>
  <c r="U255" i="20" s="1"/>
  <c r="J255" i="20" s="1"/>
  <c r="T249" i="20"/>
  <c r="U249" i="20" s="1"/>
  <c r="T239" i="20"/>
  <c r="U239" i="20" s="1"/>
  <c r="J239" i="20" s="1"/>
  <c r="T233" i="20"/>
  <c r="U233" i="20" s="1"/>
  <c r="T223" i="20"/>
  <c r="U223" i="20" s="1"/>
  <c r="J223" i="20" s="1"/>
  <c r="T217" i="20"/>
  <c r="U217" i="20" s="1"/>
  <c r="J217" i="20" s="1"/>
  <c r="T212" i="20"/>
  <c r="U212" i="20" s="1"/>
  <c r="J212" i="20" s="1"/>
  <c r="U192" i="20"/>
  <c r="J192" i="20" s="1"/>
  <c r="T180" i="20"/>
  <c r="U180" i="20" s="1"/>
  <c r="J180" i="20" s="1"/>
  <c r="T174" i="20"/>
  <c r="U174" i="20" s="1"/>
  <c r="J174" i="20" s="1"/>
  <c r="R159" i="20"/>
  <c r="S159" i="20" s="1"/>
  <c r="T159" i="20" s="1"/>
  <c r="R115" i="20"/>
  <c r="S115" i="20" s="1"/>
  <c r="T115" i="20" s="1"/>
  <c r="R90" i="20"/>
  <c r="S90" i="20" s="1"/>
  <c r="T90" i="20" s="1"/>
  <c r="R80" i="20"/>
  <c r="S80" i="20" s="1"/>
  <c r="T291" i="20"/>
  <c r="U291" i="20" s="1"/>
  <c r="J291" i="20" s="1"/>
  <c r="T283" i="20"/>
  <c r="U283" i="20" s="1"/>
  <c r="J283" i="20" s="1"/>
  <c r="T273" i="20"/>
  <c r="U273" i="20" s="1"/>
  <c r="J273" i="20" s="1"/>
  <c r="T266" i="20"/>
  <c r="U266" i="20" s="1"/>
  <c r="T246" i="20"/>
  <c r="U246" i="20" s="1"/>
  <c r="J246" i="20" s="1"/>
  <c r="T241" i="20"/>
  <c r="U241" i="20" s="1"/>
  <c r="T230" i="20"/>
  <c r="U230" i="20" s="1"/>
  <c r="J230" i="20" s="1"/>
  <c r="T225" i="20"/>
  <c r="U225" i="20" s="1"/>
  <c r="U135" i="20"/>
  <c r="T123" i="20"/>
  <c r="U123" i="20" s="1"/>
  <c r="J123" i="20" s="1"/>
  <c r="T120" i="20"/>
  <c r="U120" i="20" s="1"/>
  <c r="T59" i="20"/>
  <c r="U59" i="20" s="1"/>
  <c r="R48" i="20"/>
  <c r="S48" i="20" s="1"/>
  <c r="U44" i="20"/>
  <c r="J44" i="20" s="1"/>
  <c r="R289" i="20"/>
  <c r="S289" i="20" s="1"/>
  <c r="T289" i="20" s="1"/>
  <c r="R281" i="20"/>
  <c r="S281" i="20" s="1"/>
  <c r="T281" i="20" s="1"/>
  <c r="U272" i="20"/>
  <c r="J272" i="20" s="1"/>
  <c r="T262" i="20"/>
  <c r="U262" i="20" s="1"/>
  <c r="J262" i="20" s="1"/>
  <c r="R257" i="20"/>
  <c r="S257" i="20" s="1"/>
  <c r="T257" i="20" s="1"/>
  <c r="U243" i="20"/>
  <c r="J243" i="20" s="1"/>
  <c r="U227" i="20"/>
  <c r="J227" i="20" s="1"/>
  <c r="U213" i="20"/>
  <c r="T204" i="20"/>
  <c r="U204" i="20" s="1"/>
  <c r="J204" i="20" s="1"/>
  <c r="R162" i="20"/>
  <c r="S162" i="20" s="1"/>
  <c r="T139" i="20"/>
  <c r="U139" i="20" s="1"/>
  <c r="T119" i="20"/>
  <c r="U119" i="20" s="1"/>
  <c r="J119" i="20" s="1"/>
  <c r="R114" i="20"/>
  <c r="S114" i="20" s="1"/>
  <c r="T103" i="20"/>
  <c r="U103" i="20" s="1"/>
  <c r="J103" i="20" s="1"/>
  <c r="R93" i="20"/>
  <c r="S93" i="20" s="1"/>
  <c r="T93" i="20" s="1"/>
  <c r="T71" i="20"/>
  <c r="U71" i="20" s="1"/>
  <c r="J71" i="20" s="1"/>
  <c r="R16" i="20"/>
  <c r="S16" i="20" s="1"/>
  <c r="T11" i="20"/>
  <c r="U11" i="20" s="1"/>
  <c r="J11" i="20" s="1"/>
  <c r="T9" i="20"/>
  <c r="U9" i="20" s="1"/>
  <c r="J9" i="20" s="1"/>
  <c r="T244" i="20"/>
  <c r="U244" i="20" s="1"/>
  <c r="J244" i="20" s="1"/>
  <c r="T228" i="20"/>
  <c r="U228" i="20" s="1"/>
  <c r="J228" i="20" s="1"/>
  <c r="T166" i="20"/>
  <c r="U166" i="20" s="1"/>
  <c r="J166" i="20" s="1"/>
  <c r="T145" i="20"/>
  <c r="U145" i="20" s="1"/>
  <c r="J145" i="20" s="1"/>
  <c r="U132" i="20"/>
  <c r="J132" i="20" s="1"/>
  <c r="U113" i="20"/>
  <c r="U79" i="20"/>
  <c r="J79" i="20" s="1"/>
  <c r="R50" i="20"/>
  <c r="S50" i="20" s="1"/>
  <c r="T50" i="20" s="1"/>
  <c r="R18" i="20"/>
  <c r="S18" i="20" s="1"/>
  <c r="R175" i="20"/>
  <c r="S175" i="20" s="1"/>
  <c r="T175" i="20" s="1"/>
  <c r="T173" i="20"/>
  <c r="U173" i="20" s="1"/>
  <c r="T150" i="20"/>
  <c r="U150" i="20" s="1"/>
  <c r="J150" i="20" s="1"/>
  <c r="T129" i="20"/>
  <c r="U129" i="20" s="1"/>
  <c r="J129" i="20" s="1"/>
  <c r="U116" i="20"/>
  <c r="J116" i="20" s="1"/>
  <c r="U95" i="20"/>
  <c r="J95" i="20" s="1"/>
  <c r="R67" i="20"/>
  <c r="S67" i="20" s="1"/>
  <c r="T67" i="20" s="1"/>
  <c r="T62" i="20"/>
  <c r="U62" i="20" s="1"/>
  <c r="J62" i="20" s="1"/>
  <c r="U52" i="20"/>
  <c r="J52" i="20" s="1"/>
  <c r="T49" i="20"/>
  <c r="U49" i="20" s="1"/>
  <c r="J49" i="20" s="1"/>
  <c r="U43" i="20"/>
  <c r="J43" i="20" s="1"/>
  <c r="T40" i="20"/>
  <c r="U40" i="20" s="1"/>
  <c r="U33" i="20"/>
  <c r="J33" i="20" s="1"/>
  <c r="R24" i="20"/>
  <c r="S24" i="20" s="1"/>
  <c r="T215" i="20"/>
  <c r="U215" i="20" s="1"/>
  <c r="J215" i="20" s="1"/>
  <c r="T207" i="20"/>
  <c r="U207" i="20" s="1"/>
  <c r="J207" i="20" s="1"/>
  <c r="T199" i="20"/>
  <c r="U199" i="20" s="1"/>
  <c r="J199" i="20" s="1"/>
  <c r="T191" i="20"/>
  <c r="U191" i="20" s="1"/>
  <c r="J191" i="20" s="1"/>
  <c r="T183" i="20"/>
  <c r="U183" i="20" s="1"/>
  <c r="J183" i="20" s="1"/>
  <c r="T168" i="20"/>
  <c r="U168" i="20" s="1"/>
  <c r="J168" i="20" s="1"/>
  <c r="R163" i="20"/>
  <c r="S163" i="20" s="1"/>
  <c r="T163" i="20" s="1"/>
  <c r="T137" i="20"/>
  <c r="U137" i="20" s="1"/>
  <c r="T134" i="20"/>
  <c r="U134" i="20" s="1"/>
  <c r="J134" i="20" s="1"/>
  <c r="U107" i="20"/>
  <c r="J107" i="20" s="1"/>
  <c r="T104" i="20"/>
  <c r="U104" i="20" s="1"/>
  <c r="U97" i="20"/>
  <c r="R88" i="20"/>
  <c r="S88" i="20" s="1"/>
  <c r="R82" i="20"/>
  <c r="S82" i="20" s="1"/>
  <c r="T82" i="20" s="1"/>
  <c r="T20" i="20"/>
  <c r="U20" i="20" s="1"/>
  <c r="J20" i="20" s="1"/>
  <c r="T152" i="20"/>
  <c r="U152" i="20" s="1"/>
  <c r="J152" i="20" s="1"/>
  <c r="R147" i="20"/>
  <c r="S147" i="20" s="1"/>
  <c r="T147" i="20" s="1"/>
  <c r="T144" i="20"/>
  <c r="U144" i="20" s="1"/>
  <c r="T121" i="20"/>
  <c r="U121" i="20" s="1"/>
  <c r="J121" i="20" s="1"/>
  <c r="T118" i="20"/>
  <c r="U118" i="20" s="1"/>
  <c r="J118" i="20" s="1"/>
  <c r="U94" i="20"/>
  <c r="J94" i="20" s="1"/>
  <c r="T84" i="20"/>
  <c r="U84" i="20" s="1"/>
  <c r="J84" i="20" s="1"/>
  <c r="R78" i="20"/>
  <c r="S78" i="20" s="1"/>
  <c r="T78" i="20" s="1"/>
  <c r="T61" i="20"/>
  <c r="U61" i="20" s="1"/>
  <c r="J61" i="20" s="1"/>
  <c r="R42" i="20"/>
  <c r="S42" i="20" s="1"/>
  <c r="T42" i="20" s="1"/>
  <c r="T27" i="20"/>
  <c r="U27" i="20" s="1"/>
  <c r="T157" i="20"/>
  <c r="U157" i="20" s="1"/>
  <c r="T141" i="20"/>
  <c r="U141" i="20" s="1"/>
  <c r="T125" i="20"/>
  <c r="U125" i="20" s="1"/>
  <c r="J125" i="20" s="1"/>
  <c r="T77" i="20"/>
  <c r="U77" i="20" s="1"/>
  <c r="J77" i="20" s="1"/>
  <c r="R66" i="20"/>
  <c r="S66" i="20" s="1"/>
  <c r="T66" i="20" s="1"/>
  <c r="T64" i="20"/>
  <c r="U64" i="20" s="1"/>
  <c r="T13" i="20"/>
  <c r="U13" i="20" s="1"/>
  <c r="J13" i="20" s="1"/>
  <c r="T19" i="20"/>
  <c r="U19" i="20" s="1"/>
  <c r="T85" i="20"/>
  <c r="U85" i="20" s="1"/>
  <c r="J85" i="20" s="1"/>
  <c r="R74" i="20"/>
  <c r="S74" i="20" s="1"/>
  <c r="T74" i="20" s="1"/>
  <c r="T72" i="20"/>
  <c r="U72" i="20" s="1"/>
  <c r="U60" i="20"/>
  <c r="J60" i="20" s="1"/>
  <c r="T21" i="20"/>
  <c r="U21" i="20" s="1"/>
  <c r="J21" i="20" s="1"/>
  <c r="T14" i="20"/>
  <c r="U14" i="20" s="1"/>
  <c r="J14" i="20" s="1"/>
  <c r="R10" i="20"/>
  <c r="S10" i="20" s="1"/>
  <c r="T10" i="20" s="1"/>
  <c r="T8" i="20"/>
  <c r="U8" i="20" s="1"/>
  <c r="J8" i="20" s="1"/>
  <c r="T165" i="20"/>
  <c r="U165" i="20" s="1"/>
  <c r="T149" i="20"/>
  <c r="U149" i="20" s="1"/>
  <c r="T133" i="20"/>
  <c r="U133" i="20" s="1"/>
  <c r="T117" i="20"/>
  <c r="U117" i="20" s="1"/>
  <c r="J117" i="20" s="1"/>
  <c r="T109" i="20"/>
  <c r="U109" i="20" s="1"/>
  <c r="J109" i="20" s="1"/>
  <c r="R98" i="20"/>
  <c r="S98" i="20" s="1"/>
  <c r="T98" i="20" s="1"/>
  <c r="T96" i="20"/>
  <c r="U96" i="20" s="1"/>
  <c r="T45" i="20"/>
  <c r="U45" i="20" s="1"/>
  <c r="J45" i="20" s="1"/>
  <c r="R34" i="20"/>
  <c r="S34" i="20" s="1"/>
  <c r="T34" i="20" s="1"/>
  <c r="T32" i="20"/>
  <c r="U32" i="20" s="1"/>
  <c r="T69" i="20"/>
  <c r="U69" i="20" s="1"/>
  <c r="J69" i="20" s="1"/>
  <c r="R58" i="20"/>
  <c r="S58" i="20" s="1"/>
  <c r="T58" i="20" s="1"/>
  <c r="T56" i="20"/>
  <c r="U56" i="20" s="1"/>
  <c r="U7" i="20"/>
  <c r="J7" i="20" s="1"/>
  <c r="J251" i="20"/>
  <c r="J219" i="20"/>
  <c r="J195" i="20"/>
  <c r="J111" i="20"/>
  <c r="J47" i="20"/>
  <c r="J15" i="20"/>
  <c r="F67" i="27"/>
  <c r="F59" i="27"/>
  <c r="C431" i="40" s="1"/>
  <c r="F51" i="27"/>
  <c r="F76" i="27"/>
  <c r="C448" i="40" s="1"/>
  <c r="F84" i="27"/>
  <c r="F92" i="27"/>
  <c r="C464" i="40" s="1"/>
  <c r="F100" i="27"/>
  <c r="F95" i="27"/>
  <c r="F80" i="27"/>
  <c r="F89" i="27"/>
  <c r="F74" i="27"/>
  <c r="C446" i="40" s="1"/>
  <c r="F77" i="27"/>
  <c r="C449" i="40" s="1"/>
  <c r="F85" i="27"/>
  <c r="F93" i="27"/>
  <c r="C465" i="40" s="1"/>
  <c r="F101" i="27"/>
  <c r="F79" i="27"/>
  <c r="C451" i="40" s="1"/>
  <c r="F78" i="27"/>
  <c r="C450" i="40" s="1"/>
  <c r="F86" i="27"/>
  <c r="F94" i="27"/>
  <c r="C466" i="40" s="1"/>
  <c r="F72" i="27"/>
  <c r="C444" i="40" s="1"/>
  <c r="F96" i="27"/>
  <c r="F81" i="27"/>
  <c r="F97" i="27"/>
  <c r="F82" i="27"/>
  <c r="F75" i="27"/>
  <c r="C447" i="40" s="1"/>
  <c r="F83" i="27"/>
  <c r="F91" i="27"/>
  <c r="C463" i="40" s="1"/>
  <c r="F99" i="27"/>
  <c r="F71" i="27"/>
  <c r="C443" i="40" s="1"/>
  <c r="F87" i="27"/>
  <c r="F88" i="27"/>
  <c r="C460" i="40" s="1"/>
  <c r="F73" i="27"/>
  <c r="C445" i="40" s="1"/>
  <c r="F90" i="27"/>
  <c r="C462" i="40" s="1"/>
  <c r="F98" i="27"/>
  <c r="F138" i="27"/>
  <c r="C510" i="40" s="1"/>
  <c r="F146" i="27"/>
  <c r="F154" i="27"/>
  <c r="C526" i="40" s="1"/>
  <c r="F162" i="27"/>
  <c r="F150" i="27"/>
  <c r="F151" i="27"/>
  <c r="C523" i="40" s="1"/>
  <c r="F160" i="27"/>
  <c r="C532" i="40" s="1"/>
  <c r="F139" i="27"/>
  <c r="C511" i="40" s="1"/>
  <c r="F147" i="27"/>
  <c r="F155" i="27"/>
  <c r="C527" i="40" s="1"/>
  <c r="F163" i="27"/>
  <c r="F149" i="27"/>
  <c r="F158" i="27"/>
  <c r="C530" i="40" s="1"/>
  <c r="F159" i="27"/>
  <c r="C531" i="40" s="1"/>
  <c r="F152" i="27"/>
  <c r="C524" i="40" s="1"/>
  <c r="F140" i="27"/>
  <c r="F148" i="27"/>
  <c r="F156" i="27"/>
  <c r="F164" i="27"/>
  <c r="F143" i="27"/>
  <c r="F144" i="27"/>
  <c r="F137" i="27"/>
  <c r="C509" i="40" s="1"/>
  <c r="F145" i="27"/>
  <c r="F153" i="27"/>
  <c r="C525" i="40" s="1"/>
  <c r="F161" i="27"/>
  <c r="F141" i="27"/>
  <c r="F157" i="27"/>
  <c r="C529" i="40" s="1"/>
  <c r="F165" i="27"/>
  <c r="F142" i="27"/>
  <c r="F135" i="27"/>
  <c r="C507" i="40" s="1"/>
  <c r="F136" i="27"/>
  <c r="C508" i="40" s="1"/>
  <c r="F232" i="27"/>
  <c r="C604" i="40" s="1"/>
  <c r="F240" i="27"/>
  <c r="F248" i="27"/>
  <c r="C620" i="40" s="1"/>
  <c r="F256" i="27"/>
  <c r="F252" i="27"/>
  <c r="C624" i="40" s="1"/>
  <c r="F245" i="27"/>
  <c r="F233" i="27"/>
  <c r="C605" i="40" s="1"/>
  <c r="F241" i="27"/>
  <c r="F249" i="27"/>
  <c r="C621" i="40" s="1"/>
  <c r="F257" i="27"/>
  <c r="F236" i="27"/>
  <c r="F260" i="27"/>
  <c r="F253" i="27"/>
  <c r="F246" i="27"/>
  <c r="C618" i="40" s="1"/>
  <c r="F234" i="27"/>
  <c r="C606" i="40" s="1"/>
  <c r="F242" i="27"/>
  <c r="F250" i="27"/>
  <c r="C622" i="40" s="1"/>
  <c r="F258" i="27"/>
  <c r="F244" i="27"/>
  <c r="F261" i="27"/>
  <c r="F230" i="27"/>
  <c r="C602" i="40" s="1"/>
  <c r="F231" i="27"/>
  <c r="C603" i="40" s="1"/>
  <c r="F239" i="27"/>
  <c r="F247" i="27"/>
  <c r="C619" i="40" s="1"/>
  <c r="F255" i="27"/>
  <c r="F235" i="27"/>
  <c r="F243" i="27"/>
  <c r="F251" i="27"/>
  <c r="C623" i="40" s="1"/>
  <c r="F259" i="27"/>
  <c r="F237" i="27"/>
  <c r="F238" i="27"/>
  <c r="F254" i="27"/>
  <c r="F169" i="27"/>
  <c r="C541" i="40" s="1"/>
  <c r="F177" i="27"/>
  <c r="F185" i="27"/>
  <c r="C557" i="40" s="1"/>
  <c r="F193" i="27"/>
  <c r="C565" i="40" s="1"/>
  <c r="F173" i="27"/>
  <c r="C545" i="40" s="1"/>
  <c r="F182" i="27"/>
  <c r="C554" i="40" s="1"/>
  <c r="F167" i="27"/>
  <c r="C539" i="40" s="1"/>
  <c r="F170" i="27"/>
  <c r="C542" i="40" s="1"/>
  <c r="F178" i="27"/>
  <c r="C550" i="40" s="1"/>
  <c r="F186" i="27"/>
  <c r="C558" i="40" s="1"/>
  <c r="F194" i="27"/>
  <c r="C566" i="40" s="1"/>
  <c r="F190" i="27"/>
  <c r="C562" i="40" s="1"/>
  <c r="F183" i="27"/>
  <c r="C555" i="40" s="1"/>
  <c r="F171" i="27"/>
  <c r="C543" i="40" s="1"/>
  <c r="F179" i="27"/>
  <c r="C551" i="40" s="1"/>
  <c r="F187" i="27"/>
  <c r="F195" i="27"/>
  <c r="C567" i="40" s="1"/>
  <c r="F181" i="27"/>
  <c r="F197" i="27"/>
  <c r="C569" i="40" s="1"/>
  <c r="F175" i="27"/>
  <c r="C547" i="40" s="1"/>
  <c r="F174" i="27"/>
  <c r="C546" i="40" s="1"/>
  <c r="F168" i="27"/>
  <c r="C540" i="40" s="1"/>
  <c r="F176" i="27"/>
  <c r="C548" i="40" s="1"/>
  <c r="F184" i="27"/>
  <c r="C556" i="40" s="1"/>
  <c r="F192" i="27"/>
  <c r="C564" i="40" s="1"/>
  <c r="F172" i="27"/>
  <c r="C544" i="40" s="1"/>
  <c r="F180" i="27"/>
  <c r="C552" i="40" s="1"/>
  <c r="F188" i="27"/>
  <c r="C560" i="40" s="1"/>
  <c r="F196" i="27"/>
  <c r="F189" i="27"/>
  <c r="C561" i="40" s="1"/>
  <c r="F191" i="27"/>
  <c r="C563" i="40" s="1"/>
  <c r="F264" i="27"/>
  <c r="F272" i="27"/>
  <c r="F280" i="27"/>
  <c r="F288" i="27"/>
  <c r="F283" i="27"/>
  <c r="F292" i="27"/>
  <c r="F285" i="27"/>
  <c r="F270" i="27"/>
  <c r="F265" i="27"/>
  <c r="F273" i="27"/>
  <c r="F281" i="27"/>
  <c r="F289" i="27"/>
  <c r="F275" i="27"/>
  <c r="F268" i="27"/>
  <c r="F286" i="27"/>
  <c r="F266" i="27"/>
  <c r="F274" i="27"/>
  <c r="F282" i="27"/>
  <c r="F290" i="27"/>
  <c r="F291" i="27"/>
  <c r="F284" i="27"/>
  <c r="F269" i="27"/>
  <c r="F293" i="27"/>
  <c r="F262" i="27"/>
  <c r="F263" i="27"/>
  <c r="F271" i="27"/>
  <c r="F279" i="27"/>
  <c r="F287" i="27"/>
  <c r="F267" i="27"/>
  <c r="F276" i="27"/>
  <c r="F277" i="27"/>
  <c r="F278" i="27"/>
  <c r="F200" i="27"/>
  <c r="F208" i="27"/>
  <c r="F216" i="27"/>
  <c r="C588" i="40" s="1"/>
  <c r="F224" i="27"/>
  <c r="F204" i="27"/>
  <c r="F213" i="27"/>
  <c r="F201" i="27"/>
  <c r="F209" i="27"/>
  <c r="F217" i="27"/>
  <c r="F225" i="27"/>
  <c r="F228" i="27"/>
  <c r="F206" i="27"/>
  <c r="F214" i="27"/>
  <c r="C586" i="40" s="1"/>
  <c r="F202" i="27"/>
  <c r="F210" i="27"/>
  <c r="F218" i="27"/>
  <c r="F226" i="27"/>
  <c r="F220" i="27"/>
  <c r="F229" i="27"/>
  <c r="F199" i="27"/>
  <c r="F207" i="27"/>
  <c r="F215" i="27"/>
  <c r="C587" i="40" s="1"/>
  <c r="F223" i="27"/>
  <c r="F203" i="27"/>
  <c r="F211" i="27"/>
  <c r="F219" i="27"/>
  <c r="C591" i="40" s="1"/>
  <c r="F227" i="27"/>
  <c r="F212" i="27"/>
  <c r="F205" i="27"/>
  <c r="F221" i="27"/>
  <c r="F222" i="27"/>
  <c r="F45" i="27"/>
  <c r="C417" i="40" s="1"/>
  <c r="F53" i="27"/>
  <c r="F61" i="27"/>
  <c r="C433" i="40" s="1"/>
  <c r="F69" i="27"/>
  <c r="F65" i="27"/>
  <c r="C437" i="40" s="1"/>
  <c r="F58" i="27"/>
  <c r="C430" i="40" s="1"/>
  <c r="F46" i="27"/>
  <c r="C418" i="40" s="1"/>
  <c r="F54" i="27"/>
  <c r="F62" i="27"/>
  <c r="F48" i="27"/>
  <c r="F41" i="27"/>
  <c r="C413" i="40" s="1"/>
  <c r="F42" i="27"/>
  <c r="C414" i="40" s="1"/>
  <c r="F39" i="27"/>
  <c r="C411" i="40" s="1"/>
  <c r="F47" i="27"/>
  <c r="C419" i="40" s="1"/>
  <c r="F55" i="27"/>
  <c r="C427" i="40" s="1"/>
  <c r="F63" i="27"/>
  <c r="C435" i="40" s="1"/>
  <c r="F64" i="27"/>
  <c r="F49" i="27"/>
  <c r="F57" i="27"/>
  <c r="C429" i="40" s="1"/>
  <c r="F66" i="27"/>
  <c r="F44" i="27"/>
  <c r="C416" i="40" s="1"/>
  <c r="F52" i="27"/>
  <c r="F60" i="27"/>
  <c r="C432" i="40" s="1"/>
  <c r="F68" i="27"/>
  <c r="F40" i="27"/>
  <c r="C412" i="40" s="1"/>
  <c r="F56" i="27"/>
  <c r="C428" i="40" s="1"/>
  <c r="F50" i="27"/>
  <c r="F107" i="27"/>
  <c r="C479" i="40" s="1"/>
  <c r="F115" i="27"/>
  <c r="C487" i="40" s="1"/>
  <c r="F123" i="27"/>
  <c r="C495" i="40" s="1"/>
  <c r="F131" i="27"/>
  <c r="C503" i="40" s="1"/>
  <c r="F119" i="27"/>
  <c r="C491" i="40" s="1"/>
  <c r="F120" i="27"/>
  <c r="C492" i="40" s="1"/>
  <c r="F108" i="27"/>
  <c r="C480" i="40" s="1"/>
  <c r="F116" i="27"/>
  <c r="C488" i="40" s="1"/>
  <c r="F124" i="27"/>
  <c r="C496" i="40" s="1"/>
  <c r="F132" i="27"/>
  <c r="C504" i="40" s="1"/>
  <c r="F127" i="27"/>
  <c r="C499" i="40" s="1"/>
  <c r="F128" i="27"/>
  <c r="C500" i="40" s="1"/>
  <c r="F121" i="27"/>
  <c r="C493" i="40" s="1"/>
  <c r="F109" i="27"/>
  <c r="C481" i="40" s="1"/>
  <c r="F117" i="27"/>
  <c r="C489" i="40" s="1"/>
  <c r="F125" i="27"/>
  <c r="C497" i="40" s="1"/>
  <c r="F133" i="27"/>
  <c r="C505" i="40" s="1"/>
  <c r="F126" i="27"/>
  <c r="C498" i="40" s="1"/>
  <c r="F103" i="27"/>
  <c r="C475" i="40" s="1"/>
  <c r="F112" i="27"/>
  <c r="C484" i="40" s="1"/>
  <c r="F113" i="27"/>
  <c r="C485" i="40" s="1"/>
  <c r="F106" i="27"/>
  <c r="C478" i="40" s="1"/>
  <c r="F114" i="27"/>
  <c r="C486" i="40" s="1"/>
  <c r="F122" i="27"/>
  <c r="C494" i="40" s="1"/>
  <c r="F130" i="27"/>
  <c r="C502" i="40" s="1"/>
  <c r="F110" i="27"/>
  <c r="C482" i="40" s="1"/>
  <c r="F118" i="27"/>
  <c r="F111" i="27"/>
  <c r="C483" i="40" s="1"/>
  <c r="F104" i="27"/>
  <c r="C476" i="40" s="1"/>
  <c r="F105" i="27"/>
  <c r="C477" i="40" s="1"/>
  <c r="C426" i="40" l="1"/>
  <c r="C102" i="40"/>
  <c r="C522" i="40"/>
  <c r="C198" i="40"/>
  <c r="C490" i="40"/>
  <c r="C166" i="40"/>
  <c r="C458" i="40"/>
  <c r="C134" i="40"/>
  <c r="R71" i="40"/>
  <c r="T71" i="40"/>
  <c r="R70" i="40"/>
  <c r="T70" i="40"/>
  <c r="R55" i="40"/>
  <c r="T55" i="40"/>
  <c r="C635" i="40"/>
  <c r="C597" i="40"/>
  <c r="C643" i="40"/>
  <c r="C654" i="40"/>
  <c r="C644" i="40"/>
  <c r="C421" i="40"/>
  <c r="C420" i="40"/>
  <c r="C425" i="40"/>
  <c r="C583" i="40"/>
  <c r="C589" i="40"/>
  <c r="C572" i="40"/>
  <c r="C440" i="40"/>
  <c r="C594" i="40"/>
  <c r="C595" i="40"/>
  <c r="C582" i="40"/>
  <c r="C573" i="40"/>
  <c r="C649" i="40"/>
  <c r="C665" i="40"/>
  <c r="C658" i="40"/>
  <c r="C657" i="40"/>
  <c r="C424" i="40"/>
  <c r="C577" i="40"/>
  <c r="C579" i="40"/>
  <c r="C576" i="40"/>
  <c r="C639" i="40"/>
  <c r="C656" i="40"/>
  <c r="C647" i="40"/>
  <c r="C655" i="40"/>
  <c r="C633" i="40"/>
  <c r="C632" i="40"/>
  <c r="C628" i="40"/>
  <c r="C536" i="40"/>
  <c r="C535" i="40"/>
  <c r="C468" i="40"/>
  <c r="C457" i="40"/>
  <c r="C456" i="40"/>
  <c r="C584" i="40"/>
  <c r="C571" i="40"/>
  <c r="C578" i="40"/>
  <c r="C596" i="40"/>
  <c r="C659" i="40"/>
  <c r="C663" i="40"/>
  <c r="C661" i="40"/>
  <c r="C660" i="40"/>
  <c r="C615" i="40"/>
  <c r="C616" i="40"/>
  <c r="C608" i="40"/>
  <c r="C513" i="40"/>
  <c r="C528" i="40"/>
  <c r="C518" i="40"/>
  <c r="C471" i="40"/>
  <c r="C438" i="40"/>
  <c r="C441" i="40"/>
  <c r="C599" i="40"/>
  <c r="C601" i="40"/>
  <c r="C600" i="40"/>
  <c r="C651" i="40"/>
  <c r="C662" i="40"/>
  <c r="C653" i="40"/>
  <c r="C652" i="40"/>
  <c r="C553" i="40"/>
  <c r="C549" i="40"/>
  <c r="C607" i="40"/>
  <c r="C630" i="40"/>
  <c r="C629" i="40"/>
  <c r="C612" i="40"/>
  <c r="C533" i="40"/>
  <c r="C520" i="40"/>
  <c r="C519" i="40"/>
  <c r="C423" i="40"/>
  <c r="C627" i="40"/>
  <c r="C512" i="40"/>
  <c r="C470" i="40"/>
  <c r="C455" i="40"/>
  <c r="C461" i="40"/>
  <c r="C559" i="40"/>
  <c r="C626" i="40"/>
  <c r="C614" i="40"/>
  <c r="C613" i="40"/>
  <c r="C517" i="40"/>
  <c r="C452" i="40"/>
  <c r="C439" i="40"/>
  <c r="C436" i="40"/>
  <c r="C434" i="40"/>
  <c r="C575" i="40"/>
  <c r="C590" i="40"/>
  <c r="C581" i="40"/>
  <c r="C650" i="40"/>
  <c r="C634" i="40"/>
  <c r="C638" i="40"/>
  <c r="C642" i="40"/>
  <c r="C610" i="40"/>
  <c r="C611" i="40"/>
  <c r="C454" i="40"/>
  <c r="C467" i="40"/>
  <c r="C580" i="40"/>
  <c r="C598" i="40"/>
  <c r="C609" i="40"/>
  <c r="C617" i="40"/>
  <c r="C514" i="40"/>
  <c r="C516" i="40"/>
  <c r="C469" i="40"/>
  <c r="C473" i="40"/>
  <c r="C472" i="40"/>
  <c r="C422" i="40"/>
  <c r="C592" i="40"/>
  <c r="C645" i="40"/>
  <c r="C646" i="40"/>
  <c r="C637" i="40"/>
  <c r="C636" i="40"/>
  <c r="C593" i="40"/>
  <c r="C574" i="40"/>
  <c r="C585" i="40"/>
  <c r="C648" i="40"/>
  <c r="C641" i="40"/>
  <c r="C640" i="40"/>
  <c r="C664" i="40"/>
  <c r="C568" i="40"/>
  <c r="C631" i="40"/>
  <c r="C625" i="40"/>
  <c r="C537" i="40"/>
  <c r="C515" i="40"/>
  <c r="C521" i="40"/>
  <c r="C534" i="40"/>
  <c r="C459" i="40"/>
  <c r="C453" i="40"/>
  <c r="D34" i="22"/>
  <c r="D63" i="21"/>
  <c r="D108" i="20"/>
  <c r="D37" i="13"/>
  <c r="D135" i="21"/>
  <c r="D55" i="20"/>
  <c r="D116" i="22"/>
  <c r="D96" i="13"/>
  <c r="D130" i="21"/>
  <c r="D111" i="22"/>
  <c r="D56" i="20"/>
  <c r="D70" i="21"/>
  <c r="D143" i="13"/>
  <c r="D136" i="20"/>
  <c r="D110" i="21"/>
  <c r="D137" i="22"/>
  <c r="D129" i="20"/>
  <c r="D65" i="13"/>
  <c r="D139" i="21"/>
  <c r="D120" i="22"/>
  <c r="D75" i="20"/>
  <c r="D40" i="22"/>
  <c r="D103" i="13"/>
  <c r="D134" i="20"/>
  <c r="D58" i="21"/>
  <c r="D29" i="22"/>
  <c r="D128" i="21"/>
  <c r="D109" i="22"/>
  <c r="D65" i="20"/>
  <c r="D50" i="13"/>
  <c r="D69" i="21"/>
  <c r="D71" i="22"/>
  <c r="D145" i="13"/>
  <c r="D88" i="20"/>
  <c r="D143" i="21"/>
  <c r="D124" i="22"/>
  <c r="D57" i="13"/>
  <c r="D38" i="20"/>
  <c r="D109" i="21"/>
  <c r="D136" i="22"/>
  <c r="D60" i="13"/>
  <c r="D112" i="20"/>
  <c r="D73" i="21"/>
  <c r="D74" i="22"/>
  <c r="D143" i="20"/>
  <c r="D128" i="13"/>
  <c r="D20" i="22"/>
  <c r="D49" i="21"/>
  <c r="D91" i="20"/>
  <c r="D56" i="13"/>
  <c r="D116" i="21"/>
  <c r="D143" i="22"/>
  <c r="D80" i="20"/>
  <c r="D82" i="13"/>
  <c r="D119" i="21"/>
  <c r="D146" i="22"/>
  <c r="D50" i="20"/>
  <c r="D98" i="13"/>
  <c r="D83" i="21"/>
  <c r="D84" i="22"/>
  <c r="D101" i="20"/>
  <c r="D123" i="13"/>
  <c r="D98" i="21"/>
  <c r="D67" i="22"/>
  <c r="D53" i="20"/>
  <c r="D106" i="13"/>
  <c r="D96" i="21"/>
  <c r="D65" i="22"/>
  <c r="D121" i="13"/>
  <c r="D36" i="21"/>
  <c r="D7" i="22"/>
  <c r="D98" i="20"/>
  <c r="D86" i="13"/>
  <c r="D14" i="21"/>
  <c r="D48" i="22"/>
  <c r="D24" i="20"/>
  <c r="D132" i="13"/>
  <c r="D124" i="21"/>
  <c r="D105" i="22"/>
  <c r="D40" i="20"/>
  <c r="D28" i="13"/>
  <c r="D50" i="21"/>
  <c r="D21" i="22"/>
  <c r="D96" i="20"/>
  <c r="D33" i="13"/>
  <c r="D13" i="21"/>
  <c r="D47" i="22"/>
  <c r="D9" i="20"/>
  <c r="D105" i="13"/>
  <c r="D67" i="21"/>
  <c r="D27" i="20"/>
  <c r="D38" i="22"/>
  <c r="D18" i="13"/>
  <c r="D125" i="21"/>
  <c r="D106" i="22"/>
  <c r="D42" i="20"/>
  <c r="D58" i="13"/>
  <c r="D121" i="21"/>
  <c r="D102" i="22"/>
  <c r="D69" i="20"/>
  <c r="D72" i="13"/>
  <c r="D146" i="21"/>
  <c r="D127" i="22"/>
  <c r="D46" i="13"/>
  <c r="D76" i="20"/>
  <c r="D141" i="21"/>
  <c r="D57" i="20"/>
  <c r="D122" i="22"/>
  <c r="D22" i="13"/>
  <c r="D8" i="22"/>
  <c r="D37" i="21"/>
  <c r="D141" i="20"/>
  <c r="D40" i="13"/>
  <c r="D48" i="21"/>
  <c r="D19" i="22"/>
  <c r="D139" i="20"/>
  <c r="D63" i="13"/>
  <c r="D60" i="21"/>
  <c r="D31" i="22"/>
  <c r="D34" i="13"/>
  <c r="D84" i="20"/>
  <c r="D123" i="21"/>
  <c r="D104" i="22"/>
  <c r="D79" i="20"/>
  <c r="D39" i="13"/>
  <c r="D72" i="21"/>
  <c r="D73" i="22"/>
  <c r="D122" i="20"/>
  <c r="D140" i="13"/>
  <c r="D118" i="21"/>
  <c r="D145" i="22"/>
  <c r="D89" i="13"/>
  <c r="D64" i="20"/>
  <c r="D145" i="21"/>
  <c r="D61" i="20"/>
  <c r="D126" i="22"/>
  <c r="D66" i="13"/>
  <c r="D113" i="21"/>
  <c r="D140" i="22"/>
  <c r="D137" i="20"/>
  <c r="D84" i="13"/>
  <c r="D105" i="21"/>
  <c r="D132" i="22"/>
  <c r="D99" i="20"/>
  <c r="D29" i="13"/>
  <c r="D82" i="21"/>
  <c r="D83" i="22"/>
  <c r="D129" i="13"/>
  <c r="D90" i="20"/>
  <c r="D81" i="21"/>
  <c r="D25" i="20"/>
  <c r="D82" i="22"/>
  <c r="D135" i="13"/>
  <c r="D75" i="21"/>
  <c r="D76" i="22"/>
  <c r="D131" i="13"/>
  <c r="D100" i="20"/>
  <c r="D95" i="21"/>
  <c r="D64" i="22"/>
  <c r="D60" i="20"/>
  <c r="D138" i="13"/>
  <c r="D91" i="21"/>
  <c r="D63" i="20"/>
  <c r="D60" i="22"/>
  <c r="D146" i="13"/>
  <c r="D16" i="22"/>
  <c r="D45" i="21"/>
  <c r="D19" i="20"/>
  <c r="D80" i="13"/>
  <c r="D134" i="21"/>
  <c r="D115" i="22"/>
  <c r="D37" i="20"/>
  <c r="D27" i="13"/>
  <c r="D15" i="21"/>
  <c r="D49" i="22"/>
  <c r="D110" i="20"/>
  <c r="D126" i="13"/>
  <c r="D66" i="21"/>
  <c r="D37" i="22"/>
  <c r="D128" i="20"/>
  <c r="D55" i="13"/>
  <c r="D127" i="21"/>
  <c r="D108" i="22"/>
  <c r="D67" i="20"/>
  <c r="D73" i="13"/>
  <c r="D84" i="21"/>
  <c r="D85" i="22"/>
  <c r="D93" i="20"/>
  <c r="D115" i="13"/>
  <c r="D24" i="22"/>
  <c r="D53" i="21"/>
  <c r="D12" i="20"/>
  <c r="D43" i="13"/>
  <c r="D62" i="21"/>
  <c r="D33" i="22"/>
  <c r="D107" i="20"/>
  <c r="D83" i="13"/>
  <c r="D133" i="21"/>
  <c r="D114" i="22"/>
  <c r="D54" i="13"/>
  <c r="D66" i="20"/>
  <c r="D111" i="21"/>
  <c r="D138" i="22"/>
  <c r="D130" i="20"/>
  <c r="D71" i="13"/>
  <c r="D42" i="21"/>
  <c r="D13" i="22"/>
  <c r="D109" i="20"/>
  <c r="D94" i="13"/>
  <c r="D68" i="21"/>
  <c r="D39" i="22"/>
  <c r="D138" i="20"/>
  <c r="D90" i="13"/>
  <c r="D10" i="21"/>
  <c r="D44" i="22"/>
  <c r="D119" i="13"/>
  <c r="D116" i="20"/>
  <c r="D90" i="21"/>
  <c r="D59" i="22"/>
  <c r="D51" i="20"/>
  <c r="D148" i="13"/>
  <c r="D22" i="22"/>
  <c r="D51" i="21"/>
  <c r="D49" i="13"/>
  <c r="D102" i="20"/>
  <c r="D10" i="22"/>
  <c r="D39" i="21"/>
  <c r="D115" i="20"/>
  <c r="D69" i="13"/>
  <c r="D20" i="21"/>
  <c r="D54" i="22"/>
  <c r="D137" i="13"/>
  <c r="D106" i="21"/>
  <c r="D133" i="22"/>
  <c r="D15" i="20"/>
  <c r="D38" i="13"/>
  <c r="D79" i="21"/>
  <c r="D80" i="22"/>
  <c r="D131" i="20"/>
  <c r="D118" i="13"/>
  <c r="D88" i="21"/>
  <c r="D57" i="22"/>
  <c r="D70" i="20"/>
  <c r="D124" i="13"/>
  <c r="D94" i="21"/>
  <c r="D63" i="22"/>
  <c r="D77" i="20"/>
  <c r="D107" i="13"/>
  <c r="D101" i="21"/>
  <c r="D59" i="20"/>
  <c r="D70" i="22"/>
  <c r="D130" i="13"/>
  <c r="D18" i="22"/>
  <c r="D47" i="21"/>
  <c r="D7" i="20"/>
  <c r="D62" i="13"/>
  <c r="D40" i="21"/>
  <c r="D11" i="22"/>
  <c r="D99" i="13"/>
  <c r="D126" i="20"/>
  <c r="D14" i="22"/>
  <c r="D43" i="21"/>
  <c r="D125" i="20"/>
  <c r="D47" i="13"/>
  <c r="D32" i="22"/>
  <c r="D61" i="21"/>
  <c r="D135" i="20"/>
  <c r="D76" i="13"/>
  <c r="D18" i="21"/>
  <c r="D52" i="22"/>
  <c r="D127" i="13"/>
  <c r="D10" i="20"/>
  <c r="D137" i="21"/>
  <c r="D118" i="22"/>
  <c r="D73" i="20"/>
  <c r="D19" i="13"/>
  <c r="D115" i="21"/>
  <c r="D142" i="22"/>
  <c r="D119" i="20"/>
  <c r="D97" i="13"/>
  <c r="D147" i="21"/>
  <c r="D128" i="22"/>
  <c r="D54" i="20"/>
  <c r="D35" i="13"/>
  <c r="D80" i="21"/>
  <c r="D81" i="22"/>
  <c r="D109" i="13"/>
  <c r="D20" i="20"/>
  <c r="D97" i="21"/>
  <c r="D66" i="22"/>
  <c r="D133" i="13"/>
  <c r="D12" i="22"/>
  <c r="D41" i="21"/>
  <c r="D26" i="20"/>
  <c r="D36" i="22"/>
  <c r="D65" i="21"/>
  <c r="D117" i="20"/>
  <c r="D70" i="13"/>
  <c r="D30" i="22"/>
  <c r="D59" i="21"/>
  <c r="D48" i="13"/>
  <c r="D71" i="21"/>
  <c r="D72" i="22"/>
  <c r="D147" i="13"/>
  <c r="D104" i="20"/>
  <c r="D108" i="21"/>
  <c r="D135" i="22"/>
  <c r="D8" i="20"/>
  <c r="D51" i="13"/>
  <c r="D142" i="21"/>
  <c r="D123" i="22"/>
  <c r="D52" i="13"/>
  <c r="D58" i="20"/>
  <c r="D28" i="22"/>
  <c r="D57" i="21"/>
  <c r="D94" i="20"/>
  <c r="D67" i="13"/>
  <c r="D19" i="21"/>
  <c r="D53" i="22"/>
  <c r="D14" i="20"/>
  <c r="D134" i="13"/>
  <c r="D132" i="21"/>
  <c r="D113" i="22"/>
  <c r="D87" i="13"/>
  <c r="D78" i="20"/>
  <c r="D47" i="20"/>
  <c r="D61" i="13"/>
  <c r="D17" i="21"/>
  <c r="D51" i="22"/>
  <c r="D30" i="20"/>
  <c r="D120" i="13"/>
  <c r="D11" i="21"/>
  <c r="D45" i="22"/>
  <c r="D103" i="20"/>
  <c r="D108" i="13"/>
  <c r="D131" i="21"/>
  <c r="D112" i="22"/>
  <c r="D93" i="13"/>
  <c r="D62" i="20"/>
  <c r="D85" i="21"/>
  <c r="D31" i="20"/>
  <c r="D86" i="22"/>
  <c r="D142" i="13"/>
  <c r="D126" i="21"/>
  <c r="D107" i="22"/>
  <c r="D72" i="20"/>
  <c r="D64" i="13"/>
  <c r="D117" i="21"/>
  <c r="D144" i="22"/>
  <c r="D85" i="13"/>
  <c r="D74" i="20"/>
  <c r="D112" i="21"/>
  <c r="D139" i="22"/>
  <c r="D78" i="13"/>
  <c r="D120" i="20"/>
  <c r="D114" i="21"/>
  <c r="D141" i="22"/>
  <c r="D118" i="20"/>
  <c r="D92" i="13"/>
  <c r="D103" i="21"/>
  <c r="D21" i="20"/>
  <c r="D130" i="22"/>
  <c r="D77" i="21"/>
  <c r="D78" i="22"/>
  <c r="D124" i="20"/>
  <c r="D122" i="13"/>
  <c r="D76" i="21"/>
  <c r="D77" i="22"/>
  <c r="D18" i="20"/>
  <c r="D110" i="13"/>
  <c r="D87" i="21"/>
  <c r="D41" i="20"/>
  <c r="D56" i="22"/>
  <c r="D117" i="13"/>
  <c r="D89" i="21"/>
  <c r="D58" i="22"/>
  <c r="D139" i="13"/>
  <c r="D48" i="20"/>
  <c r="D100" i="21"/>
  <c r="D69" i="22"/>
  <c r="D83" i="20"/>
  <c r="D104" i="13"/>
  <c r="D93" i="21"/>
  <c r="D62" i="22"/>
  <c r="D125" i="13"/>
  <c r="D68" i="20"/>
  <c r="D38" i="21"/>
  <c r="D9" i="22"/>
  <c r="D11" i="20"/>
  <c r="D44" i="21"/>
  <c r="D15" i="22"/>
  <c r="D105" i="20"/>
  <c r="D44" i="13"/>
  <c r="D140" i="21"/>
  <c r="D121" i="22"/>
  <c r="D43" i="20"/>
  <c r="D30" i="13"/>
  <c r="D8" i="21"/>
  <c r="D42" i="22"/>
  <c r="D85" i="20"/>
  <c r="D113" i="13"/>
  <c r="D9" i="21"/>
  <c r="D43" i="22"/>
  <c r="D114" i="20"/>
  <c r="D112" i="13"/>
  <c r="D12" i="21"/>
  <c r="D46" i="22"/>
  <c r="D87" i="20"/>
  <c r="D144" i="13"/>
  <c r="D26" i="22"/>
  <c r="D55" i="21"/>
  <c r="D106" i="20"/>
  <c r="D31" i="13"/>
  <c r="D122" i="21"/>
  <c r="D103" i="22"/>
  <c r="D45" i="20"/>
  <c r="D41" i="13"/>
  <c r="D7" i="21"/>
  <c r="D41" i="22"/>
  <c r="D97" i="20"/>
  <c r="D141" i="13"/>
  <c r="D16" i="21"/>
  <c r="D50" i="22"/>
  <c r="D101" i="13"/>
  <c r="D142" i="20"/>
  <c r="D56" i="21"/>
  <c r="D27" i="22"/>
  <c r="D24" i="13"/>
  <c r="D32" i="20"/>
  <c r="D54" i="21"/>
  <c r="D25" i="22"/>
  <c r="D35" i="20"/>
  <c r="D100" i="13"/>
  <c r="D136" i="21"/>
  <c r="D117" i="22"/>
  <c r="D46" i="20"/>
  <c r="D129" i="21"/>
  <c r="D110" i="22"/>
  <c r="D71" i="20"/>
  <c r="D20" i="13"/>
  <c r="D144" i="21"/>
  <c r="D125" i="22"/>
  <c r="D81" i="20"/>
  <c r="D75" i="13"/>
  <c r="D104" i="21"/>
  <c r="D131" i="22"/>
  <c r="D92" i="20"/>
  <c r="D21" i="13"/>
  <c r="D107" i="21"/>
  <c r="D134" i="22"/>
  <c r="D95" i="20"/>
  <c r="D45" i="13"/>
  <c r="D138" i="21"/>
  <c r="D119" i="22"/>
  <c r="D39" i="20"/>
  <c r="D16" i="13"/>
  <c r="D74" i="21"/>
  <c r="D75" i="22"/>
  <c r="D33" i="20"/>
  <c r="D136" i="13"/>
  <c r="D78" i="21"/>
  <c r="D79" i="22"/>
  <c r="D123" i="20"/>
  <c r="D116" i="13"/>
  <c r="D99" i="21"/>
  <c r="D68" i="22"/>
  <c r="D82" i="20"/>
  <c r="D102" i="13"/>
  <c r="D92" i="21"/>
  <c r="D61" i="22"/>
  <c r="D44" i="20"/>
  <c r="D114" i="13"/>
  <c r="D46" i="21"/>
  <c r="D17" i="22"/>
  <c r="D140" i="20"/>
  <c r="D17" i="13"/>
  <c r="T186" i="20"/>
  <c r="U186" i="20" s="1"/>
  <c r="J186" i="20" s="1"/>
  <c r="U34" i="20"/>
  <c r="J34" i="20" s="1"/>
  <c r="U100" i="20"/>
  <c r="J100" i="20" s="1"/>
  <c r="T253" i="20"/>
  <c r="U253" i="20" s="1"/>
  <c r="J253" i="20" s="1"/>
  <c r="U29" i="20"/>
  <c r="J29" i="20" s="1"/>
  <c r="U67" i="20"/>
  <c r="J67" i="20" s="1"/>
  <c r="U115" i="20"/>
  <c r="J115" i="20" s="1"/>
  <c r="U91" i="20"/>
  <c r="J91" i="20" s="1"/>
  <c r="U127" i="20"/>
  <c r="J127" i="20" s="1"/>
  <c r="U106" i="20"/>
  <c r="J106" i="20" s="1"/>
  <c r="U78" i="20"/>
  <c r="J78" i="20" s="1"/>
  <c r="U147" i="20"/>
  <c r="J147" i="20" s="1"/>
  <c r="U82" i="20"/>
  <c r="J82" i="20" s="1"/>
  <c r="U143" i="20"/>
  <c r="J143" i="20" s="1"/>
  <c r="T285" i="20"/>
  <c r="U285" i="20" s="1"/>
  <c r="J285" i="20" s="1"/>
  <c r="T16" i="20"/>
  <c r="U16" i="20" s="1"/>
  <c r="J16" i="20" s="1"/>
  <c r="U281" i="20"/>
  <c r="J281" i="20" s="1"/>
  <c r="U170" i="20"/>
  <c r="J170" i="20" s="1"/>
  <c r="U216" i="20"/>
  <c r="J216" i="20" s="1"/>
  <c r="T194" i="20"/>
  <c r="U194" i="20" s="1"/>
  <c r="J194" i="20" s="1"/>
  <c r="T88" i="20"/>
  <c r="U88" i="20" s="1"/>
  <c r="J88" i="20" s="1"/>
  <c r="U50" i="20"/>
  <c r="J50" i="20" s="1"/>
  <c r="T114" i="20"/>
  <c r="U114" i="20" s="1"/>
  <c r="J114" i="20" s="1"/>
  <c r="U289" i="20"/>
  <c r="J289" i="20" s="1"/>
  <c r="U232" i="20"/>
  <c r="J232" i="20" s="1"/>
  <c r="U293" i="20"/>
  <c r="J293" i="20" s="1"/>
  <c r="U66" i="20"/>
  <c r="J66" i="20" s="1"/>
  <c r="T80" i="20"/>
  <c r="U80" i="20" s="1"/>
  <c r="J80" i="20" s="1"/>
  <c r="T136" i="20"/>
  <c r="U136" i="20" s="1"/>
  <c r="J136" i="20" s="1"/>
  <c r="T101" i="20"/>
  <c r="U101" i="20" s="1"/>
  <c r="J101" i="20" s="1"/>
  <c r="U155" i="20"/>
  <c r="J155" i="20" s="1"/>
  <c r="T220" i="20"/>
  <c r="U220" i="20" s="1"/>
  <c r="J220" i="20" s="1"/>
  <c r="T236" i="20"/>
  <c r="U236" i="20" s="1"/>
  <c r="J236" i="20" s="1"/>
  <c r="T252" i="20"/>
  <c r="U252" i="20" s="1"/>
  <c r="J252" i="20" s="1"/>
  <c r="U75" i="20"/>
  <c r="J75" i="20" s="1"/>
  <c r="U138" i="20"/>
  <c r="J138" i="20" s="1"/>
  <c r="T248" i="20"/>
  <c r="U248" i="20" s="1"/>
  <c r="J248" i="20" s="1"/>
  <c r="U74" i="20"/>
  <c r="J74" i="20" s="1"/>
  <c r="U42" i="20"/>
  <c r="J42" i="20" s="1"/>
  <c r="U163" i="20"/>
  <c r="J163" i="20" s="1"/>
  <c r="U175" i="20"/>
  <c r="J175" i="20" s="1"/>
  <c r="U159" i="20"/>
  <c r="J159" i="20" s="1"/>
  <c r="U122" i="20"/>
  <c r="J122" i="20" s="1"/>
  <c r="T162" i="20"/>
  <c r="U162" i="20" s="1"/>
  <c r="J162" i="20" s="1"/>
  <c r="T277" i="20"/>
  <c r="U277" i="20" s="1"/>
  <c r="J277" i="20" s="1"/>
  <c r="U58" i="20"/>
  <c r="J58" i="20" s="1"/>
  <c r="U98" i="20"/>
  <c r="J98" i="20" s="1"/>
  <c r="U10" i="20"/>
  <c r="J10" i="20" s="1"/>
  <c r="T24" i="20"/>
  <c r="U24" i="20" s="1"/>
  <c r="J24" i="20" s="1"/>
  <c r="T18" i="20"/>
  <c r="U18" i="20" s="1"/>
  <c r="J18" i="20" s="1"/>
  <c r="U93" i="20"/>
  <c r="J93" i="20" s="1"/>
  <c r="U257" i="20"/>
  <c r="J257" i="20" s="1"/>
  <c r="T48" i="20"/>
  <c r="U48" i="20" s="1"/>
  <c r="J48" i="20" s="1"/>
  <c r="U90" i="20"/>
  <c r="J90" i="20" s="1"/>
  <c r="T37" i="20"/>
  <c r="U37" i="20" s="1"/>
  <c r="J37" i="20" s="1"/>
  <c r="U154" i="20"/>
  <c r="J154" i="20" s="1"/>
  <c r="U26" i="20"/>
  <c r="J26" i="20" s="1"/>
  <c r="T131" i="20"/>
  <c r="U131" i="20" s="1"/>
  <c r="J131" i="20" s="1"/>
  <c r="U184" i="20"/>
  <c r="J184" i="20" s="1"/>
  <c r="J267" i="20"/>
  <c r="J140" i="20"/>
  <c r="J56" i="20"/>
  <c r="J32" i="20"/>
  <c r="J149" i="20"/>
  <c r="J40" i="20"/>
  <c r="J97" i="20"/>
  <c r="J128" i="20"/>
  <c r="J167" i="20"/>
  <c r="J266" i="20"/>
  <c r="J17" i="20"/>
  <c r="J110" i="20"/>
  <c r="J104" i="20"/>
  <c r="J46" i="20"/>
  <c r="J176" i="20"/>
  <c r="J205" i="20"/>
  <c r="J189" i="20"/>
  <c r="J265" i="20"/>
  <c r="J64" i="20"/>
  <c r="J59" i="20"/>
  <c r="J144" i="20"/>
  <c r="J51" i="20"/>
  <c r="J169" i="20"/>
  <c r="J135" i="20"/>
  <c r="J157" i="20"/>
  <c r="J165" i="20"/>
  <c r="J19" i="20"/>
  <c r="J113" i="20"/>
  <c r="J233" i="20"/>
  <c r="J249" i="20"/>
  <c r="J102" i="20"/>
  <c r="J171" i="20"/>
  <c r="J120" i="20"/>
  <c r="J72" i="20"/>
  <c r="J241" i="20"/>
  <c r="J137" i="20"/>
  <c r="J173" i="20"/>
  <c r="J156" i="20"/>
  <c r="J213" i="20"/>
  <c r="J197" i="20"/>
  <c r="J225" i="20"/>
  <c r="J274" i="20"/>
  <c r="J96" i="20"/>
  <c r="J133" i="20"/>
  <c r="J76" i="20"/>
  <c r="J65" i="20"/>
  <c r="J153" i="20"/>
  <c r="J206" i="20"/>
  <c r="J181" i="20"/>
  <c r="J27" i="20"/>
  <c r="J112" i="20"/>
  <c r="J172" i="20"/>
  <c r="J268" i="20"/>
  <c r="J151" i="20"/>
  <c r="J141" i="20"/>
  <c r="J124" i="20"/>
  <c r="J160" i="20"/>
  <c r="J139" i="20"/>
  <c r="J190" i="20"/>
  <c r="J290" i="20"/>
  <c r="U6" i="20" l="1"/>
  <c r="J6" i="20" s="1"/>
  <c r="J54" i="40" l="1"/>
  <c r="Q54" i="40" s="1"/>
  <c r="K378" i="40"/>
  <c r="G4" i="28"/>
  <c r="H4" i="28"/>
  <c r="G6" i="28"/>
  <c r="H95" i="28"/>
  <c r="H94" i="28"/>
  <c r="H93" i="28"/>
  <c r="H92" i="28"/>
  <c r="H91" i="28"/>
  <c r="H90" i="28"/>
  <c r="H89" i="28"/>
  <c r="H88" i="28"/>
  <c r="H87" i="28"/>
  <c r="H86" i="28"/>
  <c r="H85" i="28"/>
  <c r="H84" i="28"/>
  <c r="H83" i="28"/>
  <c r="H82" i="28"/>
  <c r="H81" i="28"/>
  <c r="H80" i="28"/>
  <c r="H79" i="28"/>
  <c r="H78" i="28"/>
  <c r="H77" i="28"/>
  <c r="H76" i="28"/>
  <c r="H75" i="28"/>
  <c r="H74" i="28"/>
  <c r="H73" i="28"/>
  <c r="H72" i="28"/>
  <c r="H71" i="28"/>
  <c r="H70" i="28"/>
  <c r="H69" i="28"/>
  <c r="H68" i="28"/>
  <c r="H67" i="28"/>
  <c r="H66" i="28"/>
  <c r="H65" i="28"/>
  <c r="H64" i="28"/>
  <c r="H63" i="28"/>
  <c r="H62" i="28"/>
  <c r="H61" i="28"/>
  <c r="H60" i="28"/>
  <c r="H59" i="28"/>
  <c r="H58" i="28"/>
  <c r="H57" i="28"/>
  <c r="H56" i="28"/>
  <c r="H55" i="28"/>
  <c r="H54" i="28"/>
  <c r="H53" i="28"/>
  <c r="H52" i="28"/>
  <c r="H51" i="28"/>
  <c r="H50" i="28"/>
  <c r="H49" i="28"/>
  <c r="H48" i="28"/>
  <c r="H47" i="28"/>
  <c r="H46" i="28"/>
  <c r="H45" i="28"/>
  <c r="H44" i="28"/>
  <c r="H43" i="28"/>
  <c r="H42" i="28"/>
  <c r="H41" i="28"/>
  <c r="H40" i="28"/>
  <c r="H39" i="28"/>
  <c r="H38" i="28"/>
  <c r="H37" i="28"/>
  <c r="H36" i="28"/>
  <c r="H35" i="28"/>
  <c r="H34" i="28"/>
  <c r="H33" i="28"/>
  <c r="H32" i="28"/>
  <c r="H31" i="28"/>
  <c r="H30" i="28"/>
  <c r="H29" i="28"/>
  <c r="H28" i="28"/>
  <c r="H27" i="28"/>
  <c r="H26" i="28"/>
  <c r="H25" i="28"/>
  <c r="H24" i="28"/>
  <c r="H23" i="28"/>
  <c r="H22" i="28"/>
  <c r="H21" i="28"/>
  <c r="H20" i="28"/>
  <c r="H19" i="28"/>
  <c r="H18" i="28"/>
  <c r="H17" i="28"/>
  <c r="H16" i="28"/>
  <c r="H15" i="28"/>
  <c r="H14" i="28"/>
  <c r="H13" i="28"/>
  <c r="H12" i="28"/>
  <c r="H11" i="28"/>
  <c r="H10" i="28"/>
  <c r="H9" i="28"/>
  <c r="H8" i="28"/>
  <c r="G8" i="28"/>
  <c r="H7" i="28"/>
  <c r="G7" i="28"/>
  <c r="H6" i="28"/>
  <c r="H5" i="28"/>
  <c r="G5" i="28"/>
  <c r="G17" i="28"/>
  <c r="G16" i="28"/>
  <c r="G9" i="28"/>
  <c r="G18" i="28"/>
  <c r="G10" i="28"/>
  <c r="G19" i="28"/>
  <c r="G11" i="28"/>
  <c r="G20" i="28"/>
  <c r="G12" i="28"/>
  <c r="G21" i="28"/>
  <c r="G13" i="28"/>
  <c r="G22" i="28"/>
  <c r="G15" i="28"/>
  <c r="G14" i="28"/>
  <c r="G23" i="28"/>
  <c r="G24" i="28"/>
  <c r="G25" i="28"/>
  <c r="G26" i="28"/>
  <c r="G27" i="28"/>
  <c r="G28" i="28"/>
  <c r="G29" i="28"/>
  <c r="G30" i="28"/>
  <c r="G31" i="28"/>
  <c r="G32" i="28"/>
  <c r="G33" i="28"/>
  <c r="G34" i="28"/>
  <c r="G35" i="28"/>
  <c r="G36" i="28"/>
  <c r="G37" i="28"/>
  <c r="G38" i="28"/>
  <c r="G39" i="28"/>
  <c r="G40" i="28"/>
  <c r="G41" i="28"/>
  <c r="G42" i="28"/>
  <c r="G43" i="28"/>
  <c r="G44" i="28"/>
  <c r="G45" i="28"/>
  <c r="G46" i="28"/>
  <c r="G47" i="28"/>
  <c r="G48" i="28"/>
  <c r="G49" i="28"/>
  <c r="G50" i="28"/>
  <c r="G51" i="28"/>
  <c r="G52" i="28"/>
  <c r="G53" i="28"/>
  <c r="G54" i="28"/>
  <c r="G55" i="28"/>
  <c r="G56" i="28"/>
  <c r="G57" i="28"/>
  <c r="G58" i="28"/>
  <c r="G59" i="28"/>
  <c r="G60" i="28"/>
  <c r="G61" i="28"/>
  <c r="G62" i="28"/>
  <c r="G63" i="28"/>
  <c r="G64" i="28"/>
  <c r="G65" i="28"/>
  <c r="G66" i="28"/>
  <c r="G67" i="28"/>
  <c r="G68" i="28"/>
  <c r="G69" i="28"/>
  <c r="G70" i="28"/>
  <c r="G71" i="28"/>
  <c r="G72" i="28"/>
  <c r="G73" i="28"/>
  <c r="G74" i="28"/>
  <c r="G75" i="28"/>
  <c r="G76" i="28"/>
  <c r="G77" i="28"/>
  <c r="G78" i="28"/>
  <c r="G79" i="28"/>
  <c r="G80" i="28"/>
  <c r="G81" i="28"/>
  <c r="G82" i="28"/>
  <c r="G83" i="28"/>
  <c r="G84" i="28"/>
  <c r="G85" i="28"/>
  <c r="G86" i="28"/>
  <c r="G87" i="28"/>
  <c r="G88" i="28"/>
  <c r="G89" i="28"/>
  <c r="G90" i="28"/>
  <c r="G91" i="28"/>
  <c r="G92" i="28"/>
  <c r="G93" i="28"/>
  <c r="G95" i="28"/>
  <c r="G94" i="28"/>
  <c r="E4" i="27"/>
  <c r="A6" i="27" l="1"/>
  <c r="F198" i="27"/>
  <c r="C570" i="40" l="1"/>
  <c r="F14" i="27"/>
  <c r="F22" i="27"/>
  <c r="C70" i="40" s="1"/>
  <c r="F30" i="27"/>
  <c r="C402" i="40" s="1"/>
  <c r="F25" i="27"/>
  <c r="F27" i="27"/>
  <c r="F7" i="27"/>
  <c r="C379" i="40" s="1"/>
  <c r="F15" i="27"/>
  <c r="F23" i="27"/>
  <c r="C395" i="40" s="1"/>
  <c r="F31" i="27"/>
  <c r="C403" i="40" s="1"/>
  <c r="F9" i="27"/>
  <c r="D9" i="13" s="1"/>
  <c r="F11" i="27"/>
  <c r="F35" i="27"/>
  <c r="F8" i="27"/>
  <c r="C380" i="40" s="1"/>
  <c r="F16" i="27"/>
  <c r="F24" i="27"/>
  <c r="C396" i="40" s="1"/>
  <c r="F32" i="27"/>
  <c r="C404" i="40" s="1"/>
  <c r="F33" i="27"/>
  <c r="F18" i="27"/>
  <c r="F34" i="27"/>
  <c r="F13" i="27"/>
  <c r="F21" i="27"/>
  <c r="F29" i="27"/>
  <c r="C401" i="40" s="1"/>
  <c r="F37" i="27"/>
  <c r="F17" i="27"/>
  <c r="F10" i="27"/>
  <c r="F26" i="27"/>
  <c r="C398" i="40" s="1"/>
  <c r="F19" i="27"/>
  <c r="F28" i="27"/>
  <c r="C400" i="40" s="1"/>
  <c r="F20" i="27"/>
  <c r="F36" i="27"/>
  <c r="F12" i="27"/>
  <c r="D12" i="13" s="1"/>
  <c r="F6" i="27"/>
  <c r="F134" i="27"/>
  <c r="F70" i="27"/>
  <c r="F166" i="27"/>
  <c r="F102" i="27"/>
  <c r="F38" i="27"/>
  <c r="C442" i="40" l="1"/>
  <c r="C118" i="40"/>
  <c r="D14" i="13"/>
  <c r="C86" i="40"/>
  <c r="C474" i="40"/>
  <c r="C150" i="40"/>
  <c r="C538" i="40"/>
  <c r="C214" i="40"/>
  <c r="C506" i="40"/>
  <c r="C182" i="40"/>
  <c r="F5" i="33" a="1"/>
  <c r="F5" i="33" s="1"/>
  <c r="C383" i="40"/>
  <c r="D11" i="13"/>
  <c r="C382" i="40"/>
  <c r="D10" i="13"/>
  <c r="C394" i="40"/>
  <c r="D15" i="13"/>
  <c r="C408" i="40"/>
  <c r="C392" i="40"/>
  <c r="C393" i="40"/>
  <c r="C399" i="40"/>
  <c r="C397" i="40"/>
  <c r="C406" i="40"/>
  <c r="C386" i="40"/>
  <c r="C410" i="40"/>
  <c r="D7" i="13"/>
  <c r="C405" i="40"/>
  <c r="C378" i="40"/>
  <c r="C54" i="40"/>
  <c r="D6" i="21"/>
  <c r="C389" i="40"/>
  <c r="C385" i="40"/>
  <c r="C407" i="40"/>
  <c r="C391" i="40"/>
  <c r="C390" i="40"/>
  <c r="C381" i="40"/>
  <c r="C384" i="40"/>
  <c r="C409" i="40"/>
  <c r="C387" i="40"/>
  <c r="C388" i="40"/>
  <c r="D35" i="21"/>
  <c r="D6" i="22"/>
  <c r="D36" i="20"/>
  <c r="D26" i="13"/>
  <c r="D24" i="21"/>
  <c r="D90" i="22"/>
  <c r="D113" i="20"/>
  <c r="D32" i="13"/>
  <c r="D34" i="21"/>
  <c r="D17" i="20"/>
  <c r="D100" i="22"/>
  <c r="D88" i="13"/>
  <c r="D26" i="21"/>
  <c r="D92" i="22"/>
  <c r="D36" i="13"/>
  <c r="D132" i="20"/>
  <c r="D28" i="21"/>
  <c r="D29" i="20"/>
  <c r="D94" i="22"/>
  <c r="D42" i="13"/>
  <c r="D31" i="21"/>
  <c r="D97" i="22"/>
  <c r="D127" i="20"/>
  <c r="D68" i="13"/>
  <c r="D29" i="21"/>
  <c r="D95" i="22"/>
  <c r="D121" i="20"/>
  <c r="D53" i="13"/>
  <c r="D86" i="21"/>
  <c r="D55" i="22"/>
  <c r="D111" i="13"/>
  <c r="D52" i="20"/>
  <c r="D33" i="21"/>
  <c r="D99" i="22"/>
  <c r="D111" i="20"/>
  <c r="D59" i="13"/>
  <c r="D21" i="21"/>
  <c r="D87" i="22"/>
  <c r="D13" i="13"/>
  <c r="D6" i="20"/>
  <c r="D27" i="21"/>
  <c r="D93" i="22"/>
  <c r="D91" i="13"/>
  <c r="D28" i="20"/>
  <c r="D22" i="21"/>
  <c r="D88" i="22"/>
  <c r="D22" i="20"/>
  <c r="D6" i="13"/>
  <c r="D120" i="21"/>
  <c r="D101" i="22"/>
  <c r="D49" i="20"/>
  <c r="D79" i="13"/>
  <c r="D23" i="21"/>
  <c r="D89" i="22"/>
  <c r="D89" i="20"/>
  <c r="D25" i="13"/>
  <c r="D52" i="21"/>
  <c r="D23" i="22"/>
  <c r="D16" i="20"/>
  <c r="D81" i="13"/>
  <c r="D30" i="21"/>
  <c r="D96" i="22"/>
  <c r="D86" i="20"/>
  <c r="D77" i="13"/>
  <c r="D102" i="21"/>
  <c r="D129" i="22"/>
  <c r="D23" i="20"/>
  <c r="D8" i="13"/>
  <c r="D25" i="21"/>
  <c r="D91" i="22"/>
  <c r="D133" i="20"/>
  <c r="D95" i="13"/>
  <c r="D32" i="21"/>
  <c r="D13" i="20"/>
  <c r="D98" i="22"/>
  <c r="D74" i="13"/>
  <c r="S410" i="40" l="1"/>
  <c r="S397" i="40"/>
  <c r="C304" i="29"/>
  <c r="C303" i="29"/>
  <c r="C302" i="29" l="1"/>
  <c r="C301" i="29"/>
  <c r="C787" i="29"/>
  <c r="C788" i="29"/>
  <c r="C387" i="29"/>
  <c r="C388" i="29"/>
  <c r="C385" i="29"/>
  <c r="C386" i="29"/>
  <c r="C785" i="29"/>
  <c r="C786" i="29"/>
  <c r="C784" i="29"/>
  <c r="C384" i="29"/>
  <c r="C702" i="29"/>
  <c r="C701" i="29"/>
  <c r="C704" i="29"/>
  <c r="C703" i="29"/>
  <c r="C101" i="29"/>
  <c r="C505" i="29"/>
  <c r="C504" i="29"/>
  <c r="C503" i="29"/>
  <c r="C502" i="29"/>
  <c r="C102" i="29"/>
  <c r="C105" i="29"/>
  <c r="C104" i="29"/>
  <c r="C103" i="29"/>
  <c r="C180" i="29"/>
  <c r="C580" i="29"/>
  <c r="C631" i="29"/>
  <c r="C630" i="29"/>
  <c r="C634" i="29"/>
  <c r="C633" i="29"/>
  <c r="C632" i="29"/>
  <c r="B633" i="29"/>
  <c r="D632" i="29"/>
  <c r="B632" i="29"/>
  <c r="B631" i="29"/>
  <c r="D634" i="29"/>
  <c r="D630" i="29"/>
  <c r="B634" i="29"/>
  <c r="B630" i="29"/>
  <c r="D633" i="29"/>
  <c r="D631" i="29"/>
  <c r="C231" i="29"/>
  <c r="C234" i="29"/>
  <c r="C233" i="29"/>
  <c r="C230" i="29"/>
  <c r="C232" i="29"/>
  <c r="B234" i="29"/>
  <c r="B230" i="29"/>
  <c r="D232" i="29"/>
  <c r="D233" i="29"/>
  <c r="B233" i="29"/>
  <c r="D231" i="29"/>
  <c r="B231" i="29"/>
  <c r="D234" i="29"/>
  <c r="D230" i="29"/>
  <c r="B232" i="29"/>
  <c r="C229" i="29"/>
  <c r="C228" i="29"/>
  <c r="D228" i="29"/>
  <c r="B228" i="29"/>
  <c r="D229" i="29"/>
  <c r="B229" i="29"/>
  <c r="C629" i="29"/>
  <c r="C628" i="29"/>
  <c r="B628" i="29"/>
  <c r="B629" i="29"/>
  <c r="D628" i="29"/>
  <c r="D629" i="29"/>
  <c r="C627" i="29"/>
  <c r="D627" i="29"/>
  <c r="B627" i="29"/>
  <c r="C227" i="29"/>
  <c r="D227" i="29"/>
  <c r="B227" i="29"/>
  <c r="C226" i="29"/>
  <c r="B226" i="29"/>
  <c r="D226" i="29"/>
  <c r="C626" i="29"/>
  <c r="D626" i="29"/>
  <c r="B626" i="29"/>
  <c r="C345" i="29"/>
  <c r="C344" i="29"/>
  <c r="C744" i="29"/>
  <c r="C745" i="29"/>
  <c r="C298" i="29"/>
  <c r="C290" i="29"/>
  <c r="C297" i="29"/>
  <c r="C289" i="29"/>
  <c r="C296" i="29"/>
  <c r="C288" i="29"/>
  <c r="C295" i="29"/>
  <c r="C287" i="29"/>
  <c r="C294" i="29"/>
  <c r="C286" i="29"/>
  <c r="C293" i="29"/>
  <c r="C300" i="29"/>
  <c r="C292" i="29"/>
  <c r="C299" i="29"/>
  <c r="C291" i="29"/>
  <c r="C694" i="29"/>
  <c r="C686" i="29"/>
  <c r="C693" i="29"/>
  <c r="C700" i="29"/>
  <c r="C692" i="29"/>
  <c r="C699" i="29"/>
  <c r="C691" i="29"/>
  <c r="C698" i="29"/>
  <c r="C690" i="29"/>
  <c r="C697" i="29"/>
  <c r="C689" i="29"/>
  <c r="C696" i="29"/>
  <c r="C688" i="29"/>
  <c r="C695" i="29"/>
  <c r="C687" i="29"/>
  <c r="C222" i="29"/>
  <c r="C221" i="29"/>
  <c r="C220" i="29"/>
  <c r="C225" i="29"/>
  <c r="C224" i="29"/>
  <c r="C223" i="29"/>
  <c r="C264" i="29"/>
  <c r="C256" i="29"/>
  <c r="C248" i="29"/>
  <c r="C263" i="29"/>
  <c r="C255" i="29"/>
  <c r="C247" i="29"/>
  <c r="C262" i="29"/>
  <c r="C254" i="29"/>
  <c r="C261" i="29"/>
  <c r="C253" i="29"/>
  <c r="C260" i="29"/>
  <c r="C252" i="29"/>
  <c r="C259" i="29"/>
  <c r="C251" i="29"/>
  <c r="C258" i="29"/>
  <c r="C250" i="29"/>
  <c r="C257" i="29"/>
  <c r="C249" i="29"/>
  <c r="C660" i="29"/>
  <c r="C652" i="29"/>
  <c r="C659" i="29"/>
  <c r="C651" i="29"/>
  <c r="C658" i="29"/>
  <c r="C650" i="29"/>
  <c r="C657" i="29"/>
  <c r="C649" i="29"/>
  <c r="C664" i="29"/>
  <c r="C656" i="29"/>
  <c r="C648" i="29"/>
  <c r="C663" i="29"/>
  <c r="C655" i="29"/>
  <c r="C647" i="29"/>
  <c r="C662" i="29"/>
  <c r="C654" i="29"/>
  <c r="C661" i="29"/>
  <c r="C653" i="29"/>
  <c r="C625" i="29"/>
  <c r="C624" i="29"/>
  <c r="C623" i="29"/>
  <c r="C622" i="29"/>
  <c r="C621" i="29"/>
  <c r="C620" i="29"/>
  <c r="C96" i="29"/>
  <c r="C95" i="29"/>
  <c r="C94" i="29"/>
  <c r="C93" i="29"/>
  <c r="C100" i="29"/>
  <c r="C92" i="29"/>
  <c r="C99" i="29"/>
  <c r="C91" i="29"/>
  <c r="C98" i="29"/>
  <c r="C90" i="29"/>
  <c r="C97" i="29"/>
  <c r="C579" i="29"/>
  <c r="C578" i="29"/>
  <c r="C577" i="29"/>
  <c r="C500" i="29"/>
  <c r="C492" i="29"/>
  <c r="C499" i="29"/>
  <c r="C491" i="29"/>
  <c r="C498" i="29"/>
  <c r="C490" i="29"/>
  <c r="C497" i="29"/>
  <c r="C496" i="29"/>
  <c r="C495" i="29"/>
  <c r="C494" i="29"/>
  <c r="C493" i="29"/>
  <c r="C179" i="29"/>
  <c r="C178" i="29"/>
  <c r="C177" i="29"/>
  <c r="C382" i="29"/>
  <c r="C374" i="29"/>
  <c r="C381" i="29"/>
  <c r="C373" i="29"/>
  <c r="C380" i="29"/>
  <c r="C372" i="29"/>
  <c r="C379" i="29"/>
  <c r="C371" i="29"/>
  <c r="C378" i="29"/>
  <c r="C370" i="29"/>
  <c r="C377" i="29"/>
  <c r="C369" i="29"/>
  <c r="C376" i="29"/>
  <c r="C368" i="29"/>
  <c r="C383" i="29"/>
  <c r="C375" i="29"/>
  <c r="C367" i="29"/>
  <c r="C778" i="29"/>
  <c r="C770" i="29"/>
  <c r="C777" i="29"/>
  <c r="C769" i="29"/>
  <c r="C776" i="29"/>
  <c r="C768" i="29"/>
  <c r="C783" i="29"/>
  <c r="C775" i="29"/>
  <c r="C767" i="29"/>
  <c r="C782" i="29"/>
  <c r="C774" i="29"/>
  <c r="C781" i="29"/>
  <c r="C773" i="29"/>
  <c r="C780" i="29"/>
  <c r="C772" i="29"/>
  <c r="C779" i="29"/>
  <c r="C771" i="29"/>
  <c r="C542" i="29"/>
  <c r="C541" i="29"/>
  <c r="C548" i="29"/>
  <c r="C540" i="29"/>
  <c r="C547" i="29"/>
  <c r="C546" i="29"/>
  <c r="C545" i="29"/>
  <c r="C544" i="29"/>
  <c r="C543" i="29"/>
  <c r="C340" i="29"/>
  <c r="C332" i="29"/>
  <c r="C339" i="29"/>
  <c r="C331" i="29"/>
  <c r="C338" i="29"/>
  <c r="C330" i="29"/>
  <c r="C337" i="29"/>
  <c r="C329" i="29"/>
  <c r="C336" i="29"/>
  <c r="C328" i="29"/>
  <c r="C343" i="29"/>
  <c r="C335" i="29"/>
  <c r="C327" i="29"/>
  <c r="C342" i="29"/>
  <c r="C334" i="29"/>
  <c r="C326" i="29"/>
  <c r="C341" i="29"/>
  <c r="C333" i="29"/>
  <c r="C146" i="29"/>
  <c r="C145" i="29"/>
  <c r="C144" i="29"/>
  <c r="C143" i="29"/>
  <c r="C142" i="29"/>
  <c r="C141" i="29"/>
  <c r="C148" i="29"/>
  <c r="C140" i="29"/>
  <c r="C147" i="29"/>
  <c r="C736" i="29"/>
  <c r="C728" i="29"/>
  <c r="C743" i="29"/>
  <c r="C735" i="29"/>
  <c r="C727" i="29"/>
  <c r="C742" i="29"/>
  <c r="C734" i="29"/>
  <c r="C726" i="29"/>
  <c r="C741" i="29"/>
  <c r="C733" i="29"/>
  <c r="C740" i="29"/>
  <c r="C732" i="29"/>
  <c r="C739" i="29"/>
  <c r="C731" i="29"/>
  <c r="C738" i="29"/>
  <c r="C730" i="29"/>
  <c r="C737" i="29"/>
  <c r="C729" i="29"/>
  <c r="B225" i="29"/>
  <c r="D224" i="29"/>
  <c r="B224" i="29"/>
  <c r="D225" i="29"/>
  <c r="D625" i="29"/>
  <c r="B625" i="29"/>
  <c r="D624" i="29"/>
  <c r="B624" i="29"/>
  <c r="B311" i="29"/>
  <c r="B307" i="29"/>
  <c r="B303" i="29"/>
  <c r="B313" i="29"/>
  <c r="D314" i="29"/>
  <c r="D310" i="29"/>
  <c r="D306" i="29"/>
  <c r="B305" i="29"/>
  <c r="D308" i="29"/>
  <c r="B314" i="29"/>
  <c r="B310" i="29"/>
  <c r="B306" i="29"/>
  <c r="B309" i="29"/>
  <c r="D312" i="29"/>
  <c r="D304" i="29"/>
  <c r="B312" i="29"/>
  <c r="B308" i="29"/>
  <c r="D313" i="29"/>
  <c r="D309" i="29"/>
  <c r="D305" i="29"/>
  <c r="B304" i="29"/>
  <c r="D311" i="29"/>
  <c r="D307" i="29"/>
  <c r="D303" i="29"/>
  <c r="B712" i="29"/>
  <c r="B708" i="29"/>
  <c r="B704" i="29"/>
  <c r="B706" i="29"/>
  <c r="D704" i="29"/>
  <c r="D711" i="29"/>
  <c r="D707" i="29"/>
  <c r="D703" i="29"/>
  <c r="B710" i="29"/>
  <c r="D713" i="29"/>
  <c r="D705" i="29"/>
  <c r="B711" i="29"/>
  <c r="B707" i="29"/>
  <c r="B703" i="29"/>
  <c r="B714" i="29"/>
  <c r="D709" i="29"/>
  <c r="B713" i="29"/>
  <c r="B705" i="29"/>
  <c r="D714" i="29"/>
  <c r="D710" i="29"/>
  <c r="D706" i="29"/>
  <c r="B709" i="29"/>
  <c r="D712" i="29"/>
  <c r="D708" i="29"/>
  <c r="B593" i="29"/>
  <c r="B589" i="29"/>
  <c r="B591" i="29"/>
  <c r="D590" i="29"/>
  <c r="D592" i="29"/>
  <c r="D588" i="29"/>
  <c r="B592" i="29"/>
  <c r="B588" i="29"/>
  <c r="B586" i="29"/>
  <c r="D593" i="29"/>
  <c r="D589" i="29"/>
  <c r="D591" i="29"/>
  <c r="D587" i="29"/>
  <c r="B587" i="29"/>
  <c r="D594" i="29"/>
  <c r="D586" i="29"/>
  <c r="B594" i="29"/>
  <c r="B590" i="29"/>
  <c r="B193" i="29"/>
  <c r="B189" i="29"/>
  <c r="B187" i="29"/>
  <c r="D194" i="29"/>
  <c r="D186" i="29"/>
  <c r="D192" i="29"/>
  <c r="D188" i="29"/>
  <c r="B191" i="29"/>
  <c r="D189" i="29"/>
  <c r="B192" i="29"/>
  <c r="B188" i="29"/>
  <c r="D193" i="29"/>
  <c r="D191" i="29"/>
  <c r="D187" i="29"/>
  <c r="D190" i="29"/>
  <c r="B194" i="29"/>
  <c r="B190" i="29"/>
  <c r="B186" i="29"/>
  <c r="B392" i="29"/>
  <c r="D391" i="29"/>
  <c r="B394" i="29"/>
  <c r="D393" i="29"/>
  <c r="B391" i="29"/>
  <c r="B390" i="29"/>
  <c r="D392" i="29"/>
  <c r="D394" i="29"/>
  <c r="D390" i="29"/>
  <c r="D389" i="29"/>
  <c r="B393" i="29"/>
  <c r="B389" i="29"/>
  <c r="B794" i="29"/>
  <c r="B790" i="29"/>
  <c r="B792" i="29"/>
  <c r="D790" i="29"/>
  <c r="D793" i="29"/>
  <c r="D789" i="29"/>
  <c r="D791" i="29"/>
  <c r="B793" i="29"/>
  <c r="B789" i="29"/>
  <c r="D794" i="29"/>
  <c r="D792" i="29"/>
  <c r="B791" i="29"/>
  <c r="B552" i="29"/>
  <c r="D551" i="29"/>
  <c r="B550" i="29"/>
  <c r="D553" i="29"/>
  <c r="B551" i="29"/>
  <c r="B554" i="29"/>
  <c r="D549" i="29"/>
  <c r="B553" i="29"/>
  <c r="D554" i="29"/>
  <c r="D550" i="29"/>
  <c r="B549" i="29"/>
  <c r="D552" i="29"/>
  <c r="B152" i="29"/>
  <c r="B154" i="29"/>
  <c r="B150" i="29"/>
  <c r="D151" i="29"/>
  <c r="D153" i="29"/>
  <c r="B151" i="29"/>
  <c r="D149" i="29"/>
  <c r="B153" i="29"/>
  <c r="B149" i="29"/>
  <c r="D154" i="29"/>
  <c r="D150" i="29"/>
  <c r="D152" i="29"/>
  <c r="D108" i="29"/>
  <c r="B113" i="29"/>
  <c r="D113" i="29"/>
  <c r="B109" i="29"/>
  <c r="B114" i="29"/>
  <c r="B111" i="29"/>
  <c r="D111" i="29"/>
  <c r="B110" i="29"/>
  <c r="B108" i="29"/>
  <c r="D112" i="29"/>
  <c r="D109" i="29"/>
  <c r="D114" i="29"/>
  <c r="B112" i="29"/>
  <c r="D110" i="29"/>
  <c r="D514" i="29"/>
  <c r="D513" i="29"/>
  <c r="D510" i="29"/>
  <c r="D509" i="29"/>
  <c r="B510" i="29"/>
  <c r="B509" i="29"/>
  <c r="D511" i="29"/>
  <c r="B514" i="29"/>
  <c r="B511" i="29"/>
  <c r="D512" i="29"/>
  <c r="B513" i="29"/>
  <c r="B508" i="29"/>
  <c r="B512" i="29"/>
  <c r="D508" i="29"/>
  <c r="D546" i="29"/>
  <c r="B546" i="29"/>
  <c r="D548" i="29"/>
  <c r="D547" i="29"/>
  <c r="B548" i="29"/>
  <c r="B547" i="29"/>
  <c r="D148" i="29"/>
  <c r="B148" i="29"/>
  <c r="D147" i="29"/>
  <c r="B147" i="29"/>
  <c r="D146" i="29"/>
  <c r="B146" i="29"/>
  <c r="D107" i="29"/>
  <c r="B107" i="29"/>
  <c r="B507" i="29"/>
  <c r="D507" i="29"/>
  <c r="B348" i="29"/>
  <c r="D348" i="29"/>
  <c r="D748" i="29"/>
  <c r="B748" i="29"/>
  <c r="D347" i="29"/>
  <c r="B347" i="29"/>
  <c r="D747" i="29"/>
  <c r="B747" i="29"/>
  <c r="D746" i="29"/>
  <c r="B746" i="29"/>
  <c r="D745" i="29"/>
  <c r="D743" i="29"/>
  <c r="B745" i="29"/>
  <c r="B744" i="29"/>
  <c r="D744" i="29"/>
  <c r="B743" i="29"/>
  <c r="D343" i="29"/>
  <c r="D346" i="29"/>
  <c r="B346" i="29"/>
  <c r="B345" i="29"/>
  <c r="D344" i="29"/>
  <c r="D345" i="29"/>
  <c r="B344" i="29"/>
  <c r="B343" i="29"/>
  <c r="D662" i="29"/>
  <c r="D658" i="29"/>
  <c r="B662" i="29"/>
  <c r="B658" i="29"/>
  <c r="B661" i="29"/>
  <c r="D661" i="29"/>
  <c r="D664" i="29"/>
  <c r="D660" i="29"/>
  <c r="B664" i="29"/>
  <c r="B660" i="29"/>
  <c r="D663" i="29"/>
  <c r="D659" i="29"/>
  <c r="B663" i="29"/>
  <c r="B659" i="29"/>
  <c r="D262" i="29"/>
  <c r="D258" i="29"/>
  <c r="D261" i="29"/>
  <c r="B262" i="29"/>
  <c r="B258" i="29"/>
  <c r="B261" i="29"/>
  <c r="B264" i="29"/>
  <c r="B260" i="29"/>
  <c r="D263" i="29"/>
  <c r="D259" i="29"/>
  <c r="B263" i="29"/>
  <c r="B259" i="29"/>
  <c r="D264" i="29"/>
  <c r="D260" i="29"/>
  <c r="D742" i="29"/>
  <c r="B742" i="29"/>
  <c r="D741" i="29"/>
  <c r="B741" i="29"/>
  <c r="D740" i="29"/>
  <c r="B740" i="29"/>
  <c r="D341" i="29"/>
  <c r="B341" i="29"/>
  <c r="D342" i="29"/>
  <c r="D340" i="29"/>
  <c r="B340" i="29"/>
  <c r="B342" i="29"/>
  <c r="D786" i="29"/>
  <c r="D782" i="29"/>
  <c r="D778" i="29"/>
  <c r="B786" i="29"/>
  <c r="B782" i="29"/>
  <c r="B778" i="29"/>
  <c r="D785" i="29"/>
  <c r="D781" i="29"/>
  <c r="D777" i="29"/>
  <c r="D788" i="29"/>
  <c r="D784" i="29"/>
  <c r="D780" i="29"/>
  <c r="D776" i="29"/>
  <c r="B785" i="29"/>
  <c r="B781" i="29"/>
  <c r="B777" i="29"/>
  <c r="B788" i="29"/>
  <c r="B784" i="29"/>
  <c r="B780" i="29"/>
  <c r="B776" i="29"/>
  <c r="B779" i="29"/>
  <c r="D787" i="29"/>
  <c r="D783" i="29"/>
  <c r="D779" i="29"/>
  <c r="B783" i="29"/>
  <c r="B787" i="29"/>
  <c r="D386" i="29"/>
  <c r="D382" i="29"/>
  <c r="D378" i="29"/>
  <c r="D385" i="29"/>
  <c r="D377" i="29"/>
  <c r="B377" i="29"/>
  <c r="D388" i="29"/>
  <c r="D380" i="29"/>
  <c r="B388" i="29"/>
  <c r="B384" i="29"/>
  <c r="B380" i="29"/>
  <c r="B376" i="29"/>
  <c r="B387" i="29"/>
  <c r="B383" i="29"/>
  <c r="B379" i="29"/>
  <c r="B382" i="29"/>
  <c r="D376" i="29"/>
  <c r="D387" i="29"/>
  <c r="D383" i="29"/>
  <c r="D379" i="29"/>
  <c r="B386" i="29"/>
  <c r="B378" i="29"/>
  <c r="D381" i="29"/>
  <c r="B381" i="29"/>
  <c r="D384" i="29"/>
  <c r="B385" i="29"/>
  <c r="D373" i="29"/>
  <c r="B373" i="29"/>
  <c r="B375" i="29"/>
  <c r="D374" i="29"/>
  <c r="D372" i="29"/>
  <c r="D375" i="29"/>
  <c r="B374" i="29"/>
  <c r="B372" i="29"/>
  <c r="D773" i="29"/>
  <c r="B775" i="29"/>
  <c r="B773" i="29"/>
  <c r="D772" i="29"/>
  <c r="B772" i="29"/>
  <c r="D775" i="29"/>
  <c r="D774" i="29"/>
  <c r="B774" i="29"/>
  <c r="B739" i="29"/>
  <c r="D739" i="29"/>
  <c r="B339" i="29"/>
  <c r="D339" i="29"/>
  <c r="D338" i="29"/>
  <c r="B338" i="29"/>
  <c r="D738" i="29"/>
  <c r="B738" i="29"/>
  <c r="D337" i="29"/>
  <c r="D333" i="29"/>
  <c r="B337" i="29"/>
  <c r="B333" i="29"/>
  <c r="D336" i="29"/>
  <c r="D332" i="29"/>
  <c r="D335" i="29"/>
  <c r="B331" i="29"/>
  <c r="B334" i="29"/>
  <c r="B336" i="29"/>
  <c r="B332" i="29"/>
  <c r="D331" i="29"/>
  <c r="B335" i="29"/>
  <c r="D334" i="29"/>
  <c r="D736" i="29"/>
  <c r="D732" i="29"/>
  <c r="B736" i="29"/>
  <c r="B732" i="29"/>
  <c r="D733" i="29"/>
  <c r="D735" i="29"/>
  <c r="D731" i="29"/>
  <c r="B734" i="29"/>
  <c r="B735" i="29"/>
  <c r="B731" i="29"/>
  <c r="D734" i="29"/>
  <c r="D737" i="29"/>
  <c r="B737" i="29"/>
  <c r="B733" i="29"/>
  <c r="D545" i="29"/>
  <c r="D541" i="29"/>
  <c r="B544" i="29"/>
  <c r="D542" i="29"/>
  <c r="B545" i="29"/>
  <c r="B541" i="29"/>
  <c r="B540" i="29"/>
  <c r="B542" i="29"/>
  <c r="D544" i="29"/>
  <c r="D540" i="29"/>
  <c r="D543" i="29"/>
  <c r="B543" i="29"/>
  <c r="D144" i="29"/>
  <c r="D140" i="29"/>
  <c r="B144" i="29"/>
  <c r="B140" i="29"/>
  <c r="B143" i="29"/>
  <c r="B142" i="29"/>
  <c r="D145" i="29"/>
  <c r="D141" i="29"/>
  <c r="D143" i="29"/>
  <c r="D142" i="29"/>
  <c r="B145" i="29"/>
  <c r="B141" i="29"/>
  <c r="D247" i="29"/>
  <c r="D579" i="29"/>
  <c r="B581" i="29"/>
  <c r="B579" i="29"/>
  <c r="B584" i="29"/>
  <c r="D585" i="29"/>
  <c r="D580" i="29"/>
  <c r="D581" i="29"/>
  <c r="B583" i="29"/>
  <c r="D584" i="29"/>
  <c r="B577" i="29"/>
  <c r="D583" i="29"/>
  <c r="B578" i="29"/>
  <c r="D577" i="29"/>
  <c r="B580" i="29"/>
  <c r="B585" i="29"/>
  <c r="D578" i="29"/>
  <c r="B582" i="29"/>
  <c r="D582" i="29"/>
  <c r="B369" i="29"/>
  <c r="D368" i="29"/>
  <c r="D371" i="29"/>
  <c r="B371" i="29"/>
  <c r="D369" i="29"/>
  <c r="D367" i="29"/>
  <c r="D370" i="29"/>
  <c r="B368" i="29"/>
  <c r="B370" i="29"/>
  <c r="B367" i="29"/>
  <c r="B768" i="29"/>
  <c r="B771" i="29"/>
  <c r="B769" i="29"/>
  <c r="D771" i="29"/>
  <c r="D767" i="29"/>
  <c r="D769" i="29"/>
  <c r="D768" i="29"/>
  <c r="B770" i="29"/>
  <c r="D770" i="29"/>
  <c r="B767" i="29"/>
  <c r="B182" i="29"/>
  <c r="B179" i="29"/>
  <c r="D179" i="29"/>
  <c r="B178" i="29"/>
  <c r="B183" i="29"/>
  <c r="B180" i="29"/>
  <c r="B185" i="29"/>
  <c r="D178" i="29"/>
  <c r="D185" i="29"/>
  <c r="B184" i="29"/>
  <c r="D183" i="29"/>
  <c r="B181" i="29"/>
  <c r="B177" i="29"/>
  <c r="D182" i="29"/>
  <c r="D181" i="29"/>
  <c r="D177" i="29"/>
  <c r="D184" i="29"/>
  <c r="D180" i="29"/>
  <c r="B328" i="29"/>
  <c r="B327" i="29"/>
  <c r="D327" i="29"/>
  <c r="D330" i="29"/>
  <c r="D328" i="29"/>
  <c r="B330" i="29"/>
  <c r="D329" i="29"/>
  <c r="D326" i="29"/>
  <c r="B329" i="29"/>
  <c r="B326" i="29"/>
  <c r="D730" i="29"/>
  <c r="D728" i="29"/>
  <c r="B729" i="29"/>
  <c r="D726" i="29"/>
  <c r="B730" i="29"/>
  <c r="B726" i="29"/>
  <c r="B728" i="29"/>
  <c r="D729" i="29"/>
  <c r="B727" i="29"/>
  <c r="D727" i="29"/>
  <c r="D252" i="29"/>
  <c r="D254" i="29"/>
  <c r="D253" i="29"/>
  <c r="D255" i="29"/>
  <c r="B256" i="29"/>
  <c r="D249" i="29"/>
  <c r="B252" i="29"/>
  <c r="B257" i="29"/>
  <c r="B255" i="29"/>
  <c r="D256" i="29"/>
  <c r="B249" i="29"/>
  <c r="B248" i="29"/>
  <c r="B253" i="29"/>
  <c r="D251" i="29"/>
  <c r="D257" i="29"/>
  <c r="D250" i="29"/>
  <c r="D248" i="29"/>
  <c r="B247" i="29"/>
  <c r="D656" i="29"/>
  <c r="D647" i="29"/>
  <c r="D651" i="29"/>
  <c r="D657" i="29"/>
  <c r="D650" i="29"/>
  <c r="D648" i="29"/>
  <c r="D653" i="29"/>
  <c r="B657" i="29"/>
  <c r="B655" i="29"/>
  <c r="B654" i="29"/>
  <c r="D655" i="29"/>
  <c r="B648" i="29"/>
  <c r="B650" i="29"/>
  <c r="D652" i="29"/>
  <c r="B651" i="29"/>
  <c r="D649" i="29"/>
  <c r="B647" i="29"/>
  <c r="B656" i="29"/>
  <c r="B652" i="29"/>
  <c r="D654" i="29"/>
  <c r="B653" i="29"/>
  <c r="B649" i="29"/>
  <c r="B254" i="29" l="1"/>
  <c r="B250" i="29"/>
  <c r="B251" i="29"/>
  <c r="D220" i="29"/>
  <c r="D223" i="29"/>
  <c r="D221" i="29"/>
  <c r="B223" i="29"/>
  <c r="B221" i="29"/>
  <c r="B220" i="29"/>
  <c r="B222" i="29"/>
  <c r="D222" i="29"/>
  <c r="D620" i="29"/>
  <c r="B621" i="29"/>
  <c r="D622" i="29"/>
  <c r="B623" i="29"/>
  <c r="D621" i="29"/>
  <c r="B620" i="29"/>
  <c r="D623" i="29"/>
  <c r="B622" i="29"/>
  <c r="B692" i="29"/>
  <c r="B700" i="29"/>
  <c r="B696" i="29"/>
  <c r="D701" i="29"/>
  <c r="B698" i="29"/>
  <c r="B694" i="29"/>
  <c r="B701" i="29"/>
  <c r="D694" i="29"/>
  <c r="D696" i="29"/>
  <c r="D691" i="29"/>
  <c r="D698" i="29"/>
  <c r="D695" i="29"/>
  <c r="D699" i="29"/>
  <c r="D693" i="29"/>
  <c r="B688" i="29"/>
  <c r="D700" i="29"/>
  <c r="B699" i="29"/>
  <c r="B702" i="29"/>
  <c r="D686" i="29"/>
  <c r="D690" i="29"/>
  <c r="B695" i="29"/>
  <c r="B689" i="29"/>
  <c r="B690" i="29"/>
  <c r="B693" i="29"/>
  <c r="D692" i="29"/>
  <c r="B697" i="29"/>
  <c r="B686" i="29"/>
  <c r="D697" i="29"/>
  <c r="D702" i="29"/>
  <c r="B691" i="29"/>
  <c r="D687" i="29"/>
  <c r="D689" i="29"/>
  <c r="B687" i="29"/>
  <c r="D688" i="29"/>
  <c r="D299" i="29"/>
  <c r="B298" i="29"/>
  <c r="B293" i="29"/>
  <c r="B297" i="29"/>
  <c r="B300" i="29"/>
  <c r="D295" i="29"/>
  <c r="B301" i="29"/>
  <c r="D296" i="29"/>
  <c r="D300" i="29"/>
  <c r="B292" i="29"/>
  <c r="D298" i="29"/>
  <c r="D301" i="29"/>
  <c r="B294" i="29"/>
  <c r="D289" i="29"/>
  <c r="D293" i="29"/>
  <c r="B286" i="29"/>
  <c r="D291" i="29"/>
  <c r="D302" i="29"/>
  <c r="B289" i="29"/>
  <c r="D288" i="29"/>
  <c r="B288" i="29"/>
  <c r="D294" i="29"/>
  <c r="B296" i="29"/>
  <c r="D287" i="29"/>
  <c r="B299" i="29"/>
  <c r="B291" i="29"/>
  <c r="B287" i="29"/>
  <c r="B302" i="29"/>
  <c r="B295" i="29"/>
  <c r="D290" i="29"/>
  <c r="D292" i="29"/>
  <c r="D286" i="29"/>
  <c r="D297" i="29"/>
  <c r="B290" i="29"/>
  <c r="D502" i="29"/>
  <c r="D492" i="29"/>
  <c r="D491" i="29"/>
  <c r="B500" i="29"/>
  <c r="B497" i="29"/>
  <c r="B504" i="29"/>
  <c r="D494" i="29"/>
  <c r="B502" i="29"/>
  <c r="D504" i="29"/>
  <c r="D505" i="29"/>
  <c r="B503" i="29"/>
  <c r="D500" i="29"/>
  <c r="B501" i="29"/>
  <c r="D497" i="29"/>
  <c r="B495" i="29"/>
  <c r="D503" i="29"/>
  <c r="B499" i="29"/>
  <c r="B491" i="29"/>
  <c r="B505" i="29"/>
  <c r="D493" i="29"/>
  <c r="B496" i="29"/>
  <c r="B498" i="29"/>
  <c r="B492" i="29"/>
  <c r="D499" i="29"/>
  <c r="D496" i="29"/>
  <c r="D498" i="29"/>
  <c r="B493" i="29"/>
  <c r="D495" i="29"/>
  <c r="B494" i="29"/>
  <c r="B506" i="29"/>
  <c r="B490" i="29"/>
  <c r="D490" i="29"/>
  <c r="D501" i="29"/>
  <c r="D506" i="29"/>
  <c r="B99" i="29"/>
  <c r="D103" i="29"/>
  <c r="B102" i="29"/>
  <c r="B106" i="29"/>
  <c r="B104" i="29"/>
  <c r="B103" i="29"/>
  <c r="D102" i="29"/>
  <c r="D105" i="29"/>
  <c r="B105" i="29"/>
  <c r="B92" i="29"/>
  <c r="B95" i="29"/>
  <c r="D94" i="29"/>
  <c r="D90" i="29"/>
  <c r="D104" i="29"/>
  <c r="B100" i="29"/>
  <c r="B98" i="29"/>
  <c r="B97" i="29"/>
  <c r="B94" i="29"/>
  <c r="D106" i="29"/>
  <c r="D91" i="29"/>
  <c r="D100" i="29"/>
  <c r="B91" i="29"/>
  <c r="D101" i="29"/>
  <c r="D96" i="29"/>
  <c r="D95" i="29"/>
  <c r="B93" i="29"/>
  <c r="D93" i="29"/>
  <c r="B90" i="29"/>
  <c r="D98" i="29"/>
  <c r="D92" i="29"/>
  <c r="B101" i="29"/>
  <c r="B96" i="29"/>
  <c r="D97" i="29"/>
  <c r="D99" i="29"/>
  <c r="K415" i="42" l="1"/>
  <c r="P415" i="42"/>
  <c r="T415" i="42"/>
  <c r="R415" i="42"/>
  <c r="K403" i="42"/>
  <c r="T403" i="42"/>
  <c r="P403" i="42"/>
  <c r="R403" i="42"/>
  <c r="K402" i="42"/>
  <c r="P402" i="42"/>
  <c r="R402" i="42"/>
  <c r="T402" i="42"/>
  <c r="P401" i="42"/>
  <c r="K401" i="42"/>
  <c r="R401" i="42"/>
  <c r="T401" i="42"/>
  <c r="G404" i="42"/>
  <c r="D404" i="42"/>
  <c r="E404" i="42"/>
  <c r="B404" i="42"/>
  <c r="D415" i="42"/>
  <c r="E415" i="42"/>
  <c r="G415" i="42"/>
  <c r="B415" i="42"/>
  <c r="K414" i="42"/>
  <c r="P414" i="42"/>
  <c r="R414" i="42"/>
  <c r="T414" i="42"/>
  <c r="E414" i="42"/>
  <c r="G414" i="42"/>
  <c r="D414" i="42"/>
  <c r="B414" i="42"/>
  <c r="D413" i="42"/>
  <c r="E413" i="42"/>
  <c r="G413" i="42"/>
  <c r="B413" i="42"/>
  <c r="K413" i="42"/>
  <c r="P413" i="42"/>
  <c r="T413" i="42"/>
  <c r="R413" i="42"/>
  <c r="G403" i="42"/>
  <c r="E403" i="42"/>
  <c r="D403" i="42"/>
  <c r="B403" i="42"/>
  <c r="G402" i="42"/>
  <c r="D402" i="42"/>
  <c r="E402" i="42"/>
  <c r="B402" i="42"/>
  <c r="E412" i="42"/>
  <c r="D412" i="42"/>
  <c r="G412" i="42"/>
  <c r="B412" i="42"/>
  <c r="K412" i="42"/>
  <c r="R412" i="42"/>
  <c r="P412" i="42"/>
  <c r="T412" i="42"/>
  <c r="E399" i="42"/>
  <c r="E401" i="42"/>
  <c r="D401" i="42"/>
  <c r="G401" i="42"/>
  <c r="B401" i="42"/>
  <c r="D411" i="42"/>
  <c r="E411" i="42"/>
  <c r="G411" i="42"/>
  <c r="B411" i="42"/>
  <c r="K411" i="42"/>
  <c r="P411" i="42"/>
  <c r="R411" i="42"/>
  <c r="T411" i="42"/>
  <c r="D410" i="42"/>
  <c r="E410" i="42"/>
  <c r="G410" i="42"/>
  <c r="B410" i="42"/>
  <c r="D399" i="42"/>
  <c r="E400" i="42"/>
  <c r="D400" i="42"/>
  <c r="G400" i="42"/>
  <c r="B400" i="42"/>
  <c r="K400" i="42"/>
  <c r="P400" i="42"/>
  <c r="T400" i="42"/>
  <c r="R400" i="42"/>
  <c r="B399" i="42"/>
  <c r="G399" i="42"/>
  <c r="P399" i="42"/>
  <c r="R399" i="42"/>
  <c r="T399" i="42"/>
  <c r="K399" i="42"/>
  <c r="B409" i="42" l="1"/>
  <c r="G409" i="42"/>
  <c r="E409" i="42"/>
  <c r="D409" i="42"/>
  <c r="N428" i="42"/>
  <c r="K428" i="42"/>
  <c r="H428" i="42"/>
  <c r="D428" i="42"/>
  <c r="N427" i="42"/>
  <c r="K427" i="42"/>
  <c r="H427" i="42"/>
  <c r="D427" i="42"/>
  <c r="N426" i="42"/>
  <c r="D426" i="42"/>
  <c r="H426" i="42"/>
  <c r="K426" i="42"/>
  <c r="N425" i="42"/>
  <c r="H425" i="42"/>
  <c r="K425" i="42"/>
  <c r="D425" i="42"/>
  <c r="C581" i="29"/>
  <c r="C181" i="29"/>
  <c r="C501" i="29"/>
  <c r="D11" i="33" a="1"/>
  <c r="D11" i="33" s="1"/>
  <c r="D12" i="33" a="1"/>
  <c r="D12" i="33" s="1"/>
  <c r="H15" i="33" s="1" a="1"/>
  <c r="H15" i="33" s="1"/>
  <c r="E7" i="43" s="1"/>
  <c r="H12" i="33" l="1" a="1"/>
  <c r="H12" i="33" s="1"/>
  <c r="E12" i="43" s="1"/>
  <c r="H13" i="33" a="1"/>
  <c r="H13" i="33" s="1"/>
  <c r="H14" i="33" a="1"/>
  <c r="H14" i="33" s="1"/>
  <c r="E16" i="43" s="1"/>
  <c r="I8" i="43"/>
  <c r="D766" i="29"/>
  <c r="C766" i="29"/>
  <c r="B766" i="29"/>
  <c r="C618" i="29"/>
  <c r="C619" i="29"/>
  <c r="C617" i="29"/>
  <c r="D618" i="29"/>
  <c r="D617" i="29"/>
  <c r="D619" i="29"/>
  <c r="B618" i="29"/>
  <c r="B619" i="29"/>
  <c r="B617" i="29"/>
  <c r="C609" i="29"/>
  <c r="C612" i="29"/>
  <c r="B612" i="29"/>
  <c r="D608" i="29"/>
  <c r="C614" i="29"/>
  <c r="D607" i="29"/>
  <c r="D610" i="29"/>
  <c r="C616" i="29"/>
  <c r="D609" i="29"/>
  <c r="B608" i="29"/>
  <c r="B615" i="29"/>
  <c r="C608" i="29"/>
  <c r="D613" i="29"/>
  <c r="D611" i="29"/>
  <c r="C613" i="29"/>
  <c r="D612" i="29"/>
  <c r="B614" i="29"/>
  <c r="B610" i="29"/>
  <c r="C611" i="29"/>
  <c r="C610" i="29"/>
  <c r="B611" i="29"/>
  <c r="B607" i="29"/>
  <c r="B609" i="29"/>
  <c r="D616" i="29"/>
  <c r="D615" i="29"/>
  <c r="C615" i="29"/>
  <c r="D614" i="29"/>
  <c r="B616" i="29"/>
  <c r="L9" i="43"/>
  <c r="B613" i="29"/>
  <c r="C607" i="29"/>
  <c r="B11" i="33" a="1"/>
  <c r="B11" i="33" s="1"/>
  <c r="I12" i="43" l="1"/>
  <c r="H23" i="43"/>
  <c r="H19" i="43"/>
  <c r="E14" i="43"/>
  <c r="I10" i="43"/>
  <c r="B366" i="29"/>
  <c r="C366" i="29"/>
  <c r="D366" i="29"/>
  <c r="C217" i="29"/>
  <c r="C218" i="29"/>
  <c r="C219" i="29"/>
  <c r="B219" i="29"/>
  <c r="B217" i="29"/>
  <c r="D217" i="29"/>
  <c r="B218" i="29"/>
  <c r="D219" i="29"/>
  <c r="D218" i="29"/>
  <c r="B537" i="29"/>
  <c r="C537" i="29"/>
  <c r="D537" i="29"/>
  <c r="B526" i="29"/>
  <c r="B530" i="29"/>
  <c r="C532" i="29"/>
  <c r="D526" i="29"/>
  <c r="C538" i="29"/>
  <c r="D532" i="29"/>
  <c r="B535" i="29"/>
  <c r="D534" i="29"/>
  <c r="D17" i="29"/>
  <c r="B534" i="29"/>
  <c r="D531" i="29"/>
  <c r="C533" i="29"/>
  <c r="B529" i="29"/>
  <c r="C528" i="29"/>
  <c r="B528" i="29"/>
  <c r="C527" i="29"/>
  <c r="C534" i="29"/>
  <c r="D538" i="29"/>
  <c r="B531" i="29"/>
  <c r="C535" i="29"/>
  <c r="D535" i="29"/>
  <c r="B532" i="29"/>
  <c r="C530" i="29"/>
  <c r="C536" i="29"/>
  <c r="D528" i="29"/>
  <c r="D529" i="29"/>
  <c r="C529" i="29"/>
  <c r="C531" i="29"/>
  <c r="C139" i="29"/>
  <c r="D139" i="29"/>
  <c r="B139" i="29"/>
  <c r="D527" i="29"/>
  <c r="B536" i="29"/>
  <c r="D536" i="29"/>
  <c r="B538" i="29"/>
  <c r="C539" i="29"/>
  <c r="D539" i="29"/>
  <c r="B539" i="29"/>
  <c r="C17" i="29"/>
  <c r="C20" i="29"/>
  <c r="D19" i="29"/>
  <c r="B527" i="29"/>
  <c r="D530" i="29"/>
  <c r="B533" i="29"/>
  <c r="D533" i="29"/>
  <c r="B17" i="29"/>
  <c r="B20" i="29"/>
  <c r="C18" i="29"/>
  <c r="D20" i="29"/>
  <c r="C19" i="29"/>
  <c r="D138" i="29"/>
  <c r="B138" i="29"/>
  <c r="D137" i="29"/>
  <c r="C138" i="29"/>
  <c r="B137" i="29"/>
  <c r="C137" i="29"/>
  <c r="D134" i="29"/>
  <c r="B134" i="29"/>
  <c r="C128" i="29"/>
  <c r="C130" i="29"/>
  <c r="C135" i="29"/>
  <c r="C133" i="29"/>
  <c r="D133" i="29"/>
  <c r="C127" i="29"/>
  <c r="C132" i="29"/>
  <c r="B135" i="29"/>
  <c r="D136" i="29"/>
  <c r="C134" i="29"/>
  <c r="C126" i="29"/>
  <c r="D135" i="29"/>
  <c r="C129" i="29"/>
  <c r="C131" i="29"/>
  <c r="C136" i="29"/>
  <c r="B136" i="29"/>
  <c r="B126" i="29"/>
  <c r="D126" i="29"/>
  <c r="B133" i="29"/>
  <c r="B130" i="29"/>
  <c r="B132" i="29"/>
  <c r="D127" i="29"/>
  <c r="D132" i="29"/>
  <c r="B127" i="29"/>
  <c r="D129" i="29"/>
  <c r="D128" i="29"/>
  <c r="B129" i="29"/>
  <c r="B131" i="29"/>
  <c r="D131" i="29"/>
  <c r="D130" i="29"/>
  <c r="B128" i="29"/>
  <c r="D18" i="29"/>
  <c r="B18" i="29"/>
  <c r="C487" i="29"/>
  <c r="C489" i="29"/>
  <c r="C488" i="29"/>
  <c r="B489" i="29"/>
  <c r="D488" i="29"/>
  <c r="B487" i="29"/>
  <c r="D489" i="29"/>
  <c r="B488" i="29"/>
  <c r="D487" i="29"/>
  <c r="C89" i="29"/>
  <c r="C88" i="29"/>
  <c r="C87" i="29"/>
  <c r="B87" i="29"/>
  <c r="B89" i="29"/>
  <c r="D87" i="29"/>
  <c r="B88" i="29"/>
  <c r="D89" i="29"/>
  <c r="D88" i="29"/>
  <c r="C486" i="29"/>
  <c r="D486" i="29"/>
  <c r="B486" i="29"/>
  <c r="C86" i="29"/>
  <c r="D86" i="29"/>
  <c r="B86" i="29"/>
  <c r="B434" i="29"/>
  <c r="C432" i="29"/>
  <c r="C428" i="29"/>
  <c r="B425" i="29"/>
  <c r="B428" i="29"/>
  <c r="B426" i="29"/>
  <c r="B433" i="29"/>
  <c r="D422" i="29"/>
  <c r="C430" i="29"/>
  <c r="C429" i="29"/>
  <c r="C426" i="29"/>
  <c r="B432" i="29"/>
  <c r="C421" i="29"/>
  <c r="C433" i="29"/>
  <c r="C424" i="29"/>
  <c r="B423" i="29"/>
  <c r="B429" i="29"/>
  <c r="C427" i="29"/>
  <c r="C434" i="29"/>
  <c r="B431" i="29"/>
  <c r="D430" i="29"/>
  <c r="B421" i="29"/>
  <c r="B424" i="29"/>
  <c r="B422" i="29"/>
  <c r="D434" i="29"/>
  <c r="D432" i="29"/>
  <c r="D429" i="29"/>
  <c r="D427" i="29"/>
  <c r="B427" i="29"/>
  <c r="D423" i="29"/>
  <c r="D431" i="29"/>
  <c r="C423" i="29"/>
  <c r="D433" i="29"/>
  <c r="C431" i="29"/>
  <c r="D426" i="29"/>
  <c r="D428" i="29"/>
  <c r="D421" i="29"/>
  <c r="D424" i="29"/>
  <c r="B430" i="29"/>
  <c r="C422" i="29"/>
  <c r="D425" i="29"/>
  <c r="C425" i="29"/>
  <c r="B19" i="29"/>
  <c r="D33" i="29"/>
  <c r="D30" i="29"/>
  <c r="B25" i="29"/>
  <c r="B24" i="29"/>
  <c r="C32" i="29"/>
  <c r="D28" i="29"/>
  <c r="D31" i="29"/>
  <c r="D32" i="29"/>
  <c r="B30" i="29"/>
  <c r="B31" i="29"/>
  <c r="C31" i="29"/>
  <c r="C29" i="29"/>
  <c r="D25" i="29"/>
  <c r="C30" i="29"/>
  <c r="C34" i="29"/>
  <c r="B34" i="29"/>
  <c r="B29" i="29"/>
  <c r="D21" i="29"/>
  <c r="B33" i="29"/>
  <c r="D26" i="29"/>
  <c r="B21" i="29"/>
  <c r="C28" i="29"/>
  <c r="B27" i="29"/>
  <c r="B23" i="29"/>
  <c r="D27" i="29"/>
  <c r="C27" i="29"/>
  <c r="B26" i="29"/>
  <c r="C22" i="29"/>
  <c r="B28" i="29"/>
  <c r="C33" i="29"/>
  <c r="C23" i="29"/>
  <c r="D22" i="29"/>
  <c r="C26" i="29"/>
  <c r="D29" i="29"/>
  <c r="C21" i="29"/>
  <c r="C24" i="29"/>
  <c r="D24" i="29"/>
  <c r="B22" i="29"/>
  <c r="D23" i="29"/>
  <c r="D34" i="29"/>
  <c r="B32" i="29"/>
  <c r="C25" i="29"/>
  <c r="C62" i="29"/>
  <c r="B62" i="29"/>
  <c r="D62" i="29"/>
  <c r="C462" i="29"/>
  <c r="D462" i="29"/>
  <c r="B462" i="29"/>
  <c r="D61" i="29"/>
  <c r="C61" i="29"/>
  <c r="B61" i="29"/>
  <c r="C461" i="29"/>
  <c r="D461" i="29"/>
  <c r="B461" i="29"/>
  <c r="C447" i="29"/>
  <c r="D449" i="29"/>
  <c r="D457" i="29"/>
  <c r="B458" i="29"/>
  <c r="B453" i="29"/>
  <c r="C455" i="29"/>
  <c r="C451" i="29"/>
  <c r="D448" i="29"/>
  <c r="D455" i="29"/>
  <c r="C460" i="29"/>
  <c r="D451" i="29"/>
  <c r="C459" i="29"/>
  <c r="B452" i="29"/>
  <c r="D447" i="29"/>
  <c r="C449" i="29"/>
  <c r="D452" i="29"/>
  <c r="C448" i="29"/>
  <c r="B450" i="29"/>
  <c r="D456" i="29"/>
  <c r="D460" i="29"/>
  <c r="B451" i="29"/>
  <c r="D458" i="29"/>
  <c r="B455" i="29"/>
  <c r="D450" i="29"/>
  <c r="B447" i="29"/>
  <c r="C452" i="29"/>
  <c r="B459" i="29"/>
  <c r="C453" i="29"/>
  <c r="C458" i="29"/>
  <c r="C450" i="29"/>
  <c r="D459" i="29"/>
  <c r="B460" i="29"/>
  <c r="B456" i="29"/>
  <c r="B454" i="29"/>
  <c r="B457" i="29"/>
  <c r="C457" i="29"/>
  <c r="B448" i="29"/>
  <c r="C456" i="29"/>
  <c r="C454" i="29"/>
  <c r="D454" i="29"/>
  <c r="B449" i="29"/>
  <c r="D453" i="29"/>
  <c r="D55" i="29"/>
  <c r="B47" i="29"/>
  <c r="B60" i="29"/>
  <c r="C57" i="29"/>
  <c r="D53" i="29"/>
  <c r="B56" i="29"/>
  <c r="C55" i="29"/>
  <c r="D49" i="29"/>
  <c r="C60" i="29"/>
  <c r="D54" i="29"/>
  <c r="C59" i="29"/>
  <c r="D57" i="29"/>
  <c r="C49" i="29"/>
  <c r="B51" i="29"/>
  <c r="D58" i="29"/>
  <c r="C52" i="29"/>
  <c r="B54" i="29"/>
  <c r="B59" i="29"/>
  <c r="C54" i="29"/>
  <c r="C47" i="29"/>
  <c r="B55" i="29"/>
  <c r="C56" i="29"/>
  <c r="B58" i="29"/>
  <c r="D59" i="29"/>
  <c r="B50" i="29"/>
  <c r="C48" i="29"/>
  <c r="D56" i="29"/>
  <c r="B49" i="29"/>
  <c r="B53" i="29"/>
  <c r="D48" i="29"/>
  <c r="D52" i="29"/>
  <c r="B52" i="29"/>
  <c r="C53" i="29"/>
  <c r="D50" i="29"/>
  <c r="D60" i="29"/>
  <c r="D47" i="29"/>
  <c r="C51" i="29"/>
  <c r="C50" i="29"/>
  <c r="D51" i="29"/>
  <c r="C58" i="29"/>
  <c r="B57" i="29"/>
  <c r="B48" i="29"/>
  <c r="B420" i="29"/>
  <c r="C418" i="29"/>
  <c r="C419" i="29"/>
  <c r="D420" i="29"/>
  <c r="D419" i="29"/>
  <c r="B417" i="29"/>
  <c r="C417" i="29"/>
  <c r="B419" i="29"/>
  <c r="B418" i="29"/>
  <c r="D417" i="29"/>
  <c r="C420" i="29"/>
  <c r="D418" i="29"/>
  <c r="C209" i="29"/>
  <c r="B216" i="29"/>
  <c r="B209" i="29"/>
  <c r="D216" i="29"/>
  <c r="C212" i="29"/>
  <c r="D211" i="29"/>
  <c r="B208" i="29"/>
  <c r="B214" i="29"/>
  <c r="C214" i="29"/>
  <c r="D210" i="29"/>
  <c r="C216" i="29"/>
  <c r="B207" i="29"/>
  <c r="B213" i="29"/>
  <c r="D209" i="29"/>
  <c r="C210" i="29"/>
  <c r="C211" i="29"/>
  <c r="D207" i="29"/>
  <c r="D214" i="29"/>
  <c r="C213" i="29"/>
  <c r="B215" i="29"/>
  <c r="D208" i="29"/>
  <c r="D212" i="29"/>
  <c r="B212" i="29"/>
  <c r="D213" i="29"/>
  <c r="B211" i="29"/>
  <c r="C207" i="29"/>
  <c r="D215" i="29"/>
  <c r="C215" i="29"/>
  <c r="C208" i="29"/>
  <c r="B210" i="29"/>
  <c r="H434" i="42" l="1"/>
  <c r="K435" i="42"/>
  <c r="D434" i="42"/>
  <c r="K434" i="42"/>
  <c r="D435" i="42"/>
  <c r="H435" i="42"/>
  <c r="P410" i="42" l="1"/>
  <c r="T410" i="42"/>
  <c r="K410" i="42"/>
  <c r="K423" i="42" l="1"/>
  <c r="K424" i="42"/>
  <c r="N424" i="42"/>
  <c r="D423" i="42"/>
  <c r="H423" i="42"/>
  <c r="H424" i="42"/>
  <c r="D424" i="42"/>
  <c r="N423" i="42"/>
  <c r="R410" i="42"/>
  <c r="C526" i="29"/>
  <c r="D4" i="33" a="1"/>
  <c r="D4" i="33" s="1"/>
  <c r="F20" i="33" a="1"/>
  <c r="F20" i="33" s="1"/>
  <c r="F12" i="33" a="1"/>
  <c r="F12" i="33" s="1"/>
  <c r="F8" i="33" a="1"/>
  <c r="F8" i="33" s="1"/>
  <c r="F10" i="33" a="1"/>
  <c r="F10" i="33" s="1"/>
  <c r="F16" i="33" a="1"/>
  <c r="F16" i="33" s="1"/>
  <c r="F14" i="33" a="1"/>
  <c r="F14" i="33" s="1"/>
  <c r="F6" i="33" a="1"/>
  <c r="F6" i="33" s="1"/>
  <c r="F18" i="33" a="1"/>
  <c r="F18" i="33" s="1"/>
  <c r="F4" i="33" a="1"/>
  <c r="F4" i="33" s="1"/>
  <c r="D3" i="33" a="1"/>
  <c r="D3" i="33" s="1"/>
  <c r="E6" i="13"/>
  <c r="K6" i="13" s="1" a="1"/>
  <c r="K6" i="13" s="1"/>
  <c r="H54" i="40" s="1"/>
  <c r="F17" i="33" a="1"/>
  <c r="F17" i="33" s="1"/>
  <c r="F19" i="33" a="1"/>
  <c r="F19" i="33" s="1"/>
  <c r="F11" i="33" a="1"/>
  <c r="F11" i="33" s="1"/>
  <c r="F3" i="33" a="1"/>
  <c r="F3" i="33" s="1"/>
  <c r="F13" i="33" a="1"/>
  <c r="F13" i="33" s="1"/>
  <c r="A365" i="29" s="1" a="1"/>
  <c r="A365" i="29" s="1"/>
  <c r="F9" i="33" a="1"/>
  <c r="F9" i="33" s="1"/>
  <c r="F7" i="33" a="1"/>
  <c r="F7" i="33" s="1"/>
  <c r="F15" i="33" a="1"/>
  <c r="F15" i="33" s="1"/>
  <c r="D378" i="40"/>
  <c r="D54" i="40"/>
  <c r="B365" i="29" l="1"/>
  <c r="C365" i="29"/>
  <c r="D365" i="29"/>
  <c r="A765" i="29" a="1"/>
  <c r="A765" i="29" s="1"/>
  <c r="B765" i="29" s="1"/>
  <c r="A525" i="29" a="1"/>
  <c r="A525" i="29" s="1"/>
  <c r="B525" i="29" s="1"/>
  <c r="U71" i="40"/>
  <c r="S71" i="40"/>
  <c r="U395" i="40"/>
  <c r="S395" i="40"/>
  <c r="U70" i="40"/>
  <c r="S70" i="40"/>
  <c r="U55" i="40"/>
  <c r="S55" i="40"/>
  <c r="S54" i="40"/>
  <c r="U54" i="40"/>
  <c r="L6" i="13" a="1"/>
  <c r="L6" i="13" s="1"/>
  <c r="A85" i="29" a="1"/>
  <c r="A85" i="29" s="1"/>
  <c r="D85" i="29" s="1"/>
  <c r="A445" i="29" a="1"/>
  <c r="A445" i="29" s="1"/>
  <c r="J345" i="40" a="1"/>
  <c r="J345" i="40" s="1"/>
  <c r="L41" i="40" s="1"/>
  <c r="D343" i="40" a="1"/>
  <c r="D343" i="40" s="1"/>
  <c r="L29" i="40" s="1"/>
  <c r="M6" i="13" a="1"/>
  <c r="M6" i="13" s="1"/>
  <c r="G378" i="40" s="1"/>
  <c r="Q378" i="40" s="1"/>
  <c r="D667" i="40" s="1" a="1"/>
  <c r="D667" i="40" s="1"/>
  <c r="A685" i="29" a="1"/>
  <c r="A685" i="29" s="1"/>
  <c r="B685" i="29" s="1"/>
  <c r="A605" i="29" a="1"/>
  <c r="A5" i="29" a="1"/>
  <c r="A405" i="29" a="1"/>
  <c r="A485" i="29" a="1"/>
  <c r="A485" i="29" s="1"/>
  <c r="B485" i="29" s="1"/>
  <c r="D344" i="40" a="1"/>
  <c r="D344" i="40" s="1"/>
  <c r="L30" i="40" s="1"/>
  <c r="J343" i="40" a="1"/>
  <c r="J343" i="40" s="1"/>
  <c r="L39" i="40" s="1"/>
  <c r="A205" i="29" a="1"/>
  <c r="B238" i="42" a="1"/>
  <c r="B238" i="42" s="1"/>
  <c r="B346" i="42" a="1"/>
  <c r="B346" i="42" s="1"/>
  <c r="B151" i="44" a="1"/>
  <c r="B151" i="44" s="1"/>
  <c r="D351" i="40" a="1"/>
  <c r="D351" i="40" s="1"/>
  <c r="B26" i="42" a="1"/>
  <c r="B26" i="42" s="1"/>
  <c r="P349" i="40" a="1"/>
  <c r="P349" i="40" s="1"/>
  <c r="D346" i="40" a="1"/>
  <c r="D346" i="40" s="1"/>
  <c r="R54" i="40"/>
  <c r="B218" i="42" a="1"/>
  <c r="B218" i="42" s="1"/>
  <c r="P344" i="40" a="1"/>
  <c r="P344" i="40" s="1"/>
  <c r="P347" i="40" a="1"/>
  <c r="P347" i="40" s="1"/>
  <c r="P350" i="40" a="1"/>
  <c r="P350" i="40" s="1"/>
  <c r="P343" i="40" a="1"/>
  <c r="P343" i="40" s="1"/>
  <c r="V343" i="40" a="1"/>
  <c r="V343" i="40" s="1"/>
  <c r="B171" i="42" a="1"/>
  <c r="B171" i="42" s="1"/>
  <c r="V351" i="40" a="1"/>
  <c r="V351" i="40" s="1"/>
  <c r="V350" i="40" a="1"/>
  <c r="V350" i="40" s="1"/>
  <c r="T54" i="40"/>
  <c r="B301" i="42" a="1"/>
  <c r="B301" i="42" s="1"/>
  <c r="B171" i="44" a="1"/>
  <c r="B171" i="44" s="1"/>
  <c r="B131" i="42" a="1"/>
  <c r="B131" i="42" s="1"/>
  <c r="P351" i="40" a="1"/>
  <c r="P351" i="40" s="1"/>
  <c r="B258" i="42" a="1"/>
  <c r="B258" i="42" s="1"/>
  <c r="B131" i="44" a="1"/>
  <c r="B131" i="44" s="1"/>
  <c r="B106" i="42" a="1"/>
  <c r="B106" i="42" s="1"/>
  <c r="J351" i="40" a="1"/>
  <c r="J351" i="40" s="1"/>
  <c r="B66" i="42" a="1"/>
  <c r="B66" i="42" s="1"/>
  <c r="J346" i="40" a="1"/>
  <c r="J346" i="40" s="1"/>
  <c r="J349" i="40" a="1"/>
  <c r="J349" i="40" s="1"/>
  <c r="P346" i="40" a="1"/>
  <c r="P346" i="40" s="1"/>
  <c r="J348" i="40" a="1"/>
  <c r="J348" i="40" s="1"/>
  <c r="D349" i="40" a="1"/>
  <c r="D349" i="40" s="1"/>
  <c r="J347" i="40" a="1"/>
  <c r="J347" i="40" s="1"/>
  <c r="B326" i="42" a="1"/>
  <c r="B326" i="42" s="1"/>
  <c r="B46" i="42" a="1"/>
  <c r="B46" i="42" s="1"/>
  <c r="J350" i="40" a="1"/>
  <c r="J350" i="40" s="1"/>
  <c r="V348" i="40" a="1"/>
  <c r="V348" i="40" s="1"/>
  <c r="V346" i="40" a="1"/>
  <c r="V346" i="40" s="1"/>
  <c r="D345" i="40" a="1"/>
  <c r="D345" i="40" s="1"/>
  <c r="B366" i="42" a="1"/>
  <c r="B366" i="42" s="1"/>
  <c r="B86" i="42" a="1"/>
  <c r="B86" i="42" s="1"/>
  <c r="D348" i="40" a="1"/>
  <c r="D348" i="40" s="1"/>
  <c r="B151" i="42" a="1"/>
  <c r="B151" i="42" s="1"/>
  <c r="V345" i="40" a="1"/>
  <c r="V345" i="40" s="1"/>
  <c r="V344" i="40" a="1"/>
  <c r="V344" i="40" s="1"/>
  <c r="B281" i="42" a="1"/>
  <c r="B281" i="42" s="1"/>
  <c r="V349" i="40" a="1"/>
  <c r="V349" i="40" s="1"/>
  <c r="P345" i="40" a="1"/>
  <c r="P345" i="40" s="1"/>
  <c r="P348" i="40" a="1"/>
  <c r="P348" i="40" s="1"/>
  <c r="D347" i="40" a="1"/>
  <c r="D347" i="40" s="1"/>
  <c r="J344" i="40" a="1"/>
  <c r="J344" i="40" s="1"/>
  <c r="U410" i="40"/>
  <c r="B26" i="44" s="1" a="1"/>
  <c r="B26" i="44" s="1"/>
  <c r="D675" i="40" a="1"/>
  <c r="D675" i="40" s="1"/>
  <c r="B86" i="44" a="1"/>
  <c r="B86" i="44" s="1"/>
  <c r="B258" i="44" a="1"/>
  <c r="B258" i="44" s="1"/>
  <c r="V670" i="40" a="1"/>
  <c r="V670" i="40" s="1"/>
  <c r="W670" i="40" s="1"/>
  <c r="X670" i="40" s="1"/>
  <c r="S381" i="40"/>
  <c r="J672" i="40" a="1"/>
  <c r="J672" i="40" s="1"/>
  <c r="K672" i="40" s="1"/>
  <c r="L672" i="40" s="1"/>
  <c r="U383" i="40"/>
  <c r="P672" i="40" a="1"/>
  <c r="P672" i="40" s="1"/>
  <c r="Q672" i="40" s="1"/>
  <c r="R672" i="40" s="1"/>
  <c r="V673" i="40" a="1"/>
  <c r="V673" i="40" s="1"/>
  <c r="W673" i="40" s="1"/>
  <c r="X673" i="40" s="1"/>
  <c r="D671" i="40" a="1"/>
  <c r="D671" i="40" s="1"/>
  <c r="D673" i="40" a="1"/>
  <c r="D673" i="40" s="1"/>
  <c r="D674" i="40" a="1"/>
  <c r="D674" i="40" s="1"/>
  <c r="V667" i="40" a="1"/>
  <c r="V667" i="40" s="1"/>
  <c r="J667" i="40" a="1"/>
  <c r="J667" i="40" s="1"/>
  <c r="U381" i="40"/>
  <c r="P673" i="40" a="1"/>
  <c r="P673" i="40" s="1"/>
  <c r="Q673" i="40" s="1"/>
  <c r="R673" i="40" s="1"/>
  <c r="V672" i="40" a="1"/>
  <c r="V672" i="40" s="1"/>
  <c r="W672" i="40" s="1"/>
  <c r="X672" i="40" s="1"/>
  <c r="J675" i="40" a="1"/>
  <c r="J675" i="40" s="1"/>
  <c r="B218" i="44" a="1"/>
  <c r="B218" i="44" s="1"/>
  <c r="P669" i="40" a="1"/>
  <c r="P669" i="40" s="1"/>
  <c r="Q669" i="40" s="1"/>
  <c r="R669" i="40" s="1"/>
  <c r="B238" i="44" a="1"/>
  <c r="B238" i="44" s="1"/>
  <c r="B106" i="44" a="1"/>
  <c r="B106" i="44" s="1"/>
  <c r="B66" i="44" a="1"/>
  <c r="B66" i="44" s="1"/>
  <c r="D672" i="40" a="1"/>
  <c r="D672" i="40" s="1"/>
  <c r="U385" i="40"/>
  <c r="P668" i="40" a="1"/>
  <c r="P668" i="40" s="1"/>
  <c r="Q668" i="40" s="1"/>
  <c r="R668" i="40" s="1"/>
  <c r="J674" i="40" a="1"/>
  <c r="J674" i="40" s="1"/>
  <c r="K674" i="40" s="1"/>
  <c r="L674" i="40" s="1"/>
  <c r="P670" i="40" a="1"/>
  <c r="P670" i="40" s="1"/>
  <c r="Q670" i="40" s="1"/>
  <c r="R670" i="40" s="1"/>
  <c r="J673" i="40" a="1"/>
  <c r="J673" i="40" s="1"/>
  <c r="K673" i="40" s="1"/>
  <c r="L673" i="40" s="1"/>
  <c r="U379" i="40"/>
  <c r="B326" i="44" a="1"/>
  <c r="B326" i="44" s="1"/>
  <c r="V675" i="40" a="1"/>
  <c r="V675" i="40" s="1"/>
  <c r="B281" i="44" a="1"/>
  <c r="B281" i="44" s="1"/>
  <c r="J670" i="40" a="1"/>
  <c r="J670" i="40" s="1"/>
  <c r="K670" i="40" s="1"/>
  <c r="L670" i="40" s="1"/>
  <c r="U394" i="40"/>
  <c r="U380" i="40"/>
  <c r="B366" i="44" a="1"/>
  <c r="B366" i="44" s="1"/>
  <c r="S379" i="40"/>
  <c r="S382" i="40"/>
  <c r="B46" i="44" a="1"/>
  <c r="B46" i="44" s="1"/>
  <c r="S385" i="40"/>
  <c r="P671" i="40" a="1"/>
  <c r="P671" i="40" s="1"/>
  <c r="Q671" i="40" s="1"/>
  <c r="R671" i="40" s="1"/>
  <c r="V671" i="40" a="1"/>
  <c r="V671" i="40" s="1"/>
  <c r="W671" i="40" s="1"/>
  <c r="X671" i="40" s="1"/>
  <c r="U384" i="40"/>
  <c r="S384" i="40"/>
  <c r="S380" i="40"/>
  <c r="V669" i="40" a="1"/>
  <c r="V669" i="40" s="1"/>
  <c r="W669" i="40" s="1"/>
  <c r="X669" i="40" s="1"/>
  <c r="S383" i="40"/>
  <c r="J671" i="40" a="1"/>
  <c r="J671" i="40" s="1"/>
  <c r="K671" i="40" s="1"/>
  <c r="L671" i="40" s="1"/>
  <c r="P674" i="40" a="1"/>
  <c r="P674" i="40" s="1"/>
  <c r="Q674" i="40" s="1"/>
  <c r="R674" i="40" s="1"/>
  <c r="V668" i="40" a="1"/>
  <c r="V668" i="40" s="1"/>
  <c r="W668" i="40" s="1"/>
  <c r="X668" i="40" s="1"/>
  <c r="U382" i="40"/>
  <c r="S394" i="40"/>
  <c r="V674" i="40" a="1"/>
  <c r="V674" i="40" s="1"/>
  <c r="W674" i="40" s="1"/>
  <c r="X674" i="40" s="1"/>
  <c r="P675" i="40" a="1"/>
  <c r="P675" i="40" s="1"/>
  <c r="J669" i="40" a="1"/>
  <c r="J669" i="40" s="1"/>
  <c r="K669" i="40" s="1"/>
  <c r="L669" i="40" s="1"/>
  <c r="B346" i="44" a="1"/>
  <c r="B346" i="44" s="1"/>
  <c r="B301" i="44" a="1"/>
  <c r="B301" i="44" s="1"/>
  <c r="D670" i="40" a="1"/>
  <c r="D670" i="40" s="1"/>
  <c r="D669" i="40" a="1"/>
  <c r="D669" i="40" s="1"/>
  <c r="P667" i="40" a="1"/>
  <c r="P667" i="40" s="1"/>
  <c r="J668" i="40" a="1"/>
  <c r="J668" i="40" s="1"/>
  <c r="D668" i="40" a="1"/>
  <c r="D668" i="40" s="1"/>
  <c r="A45" i="29" a="1"/>
  <c r="D350" i="40" a="1"/>
  <c r="D350" i="40" s="1"/>
  <c r="A645" i="29" a="1"/>
  <c r="A245" i="29" a="1"/>
  <c r="A125" i="29" a="1"/>
  <c r="A125" i="29" s="1"/>
  <c r="V347" i="40" a="1"/>
  <c r="V347" i="40" s="1"/>
  <c r="A565" i="29" a="1"/>
  <c r="A165" i="29" a="1"/>
  <c r="A725" i="29" a="1"/>
  <c r="A725" i="29" s="1"/>
  <c r="A325" i="29" a="1"/>
  <c r="A325" i="29" s="1"/>
  <c r="A285" i="29" a="1"/>
  <c r="A285" i="29" s="1"/>
  <c r="D23" i="33"/>
  <c r="H5" i="33" a="1"/>
  <c r="H5" i="33" s="1"/>
  <c r="B3" i="33" a="1"/>
  <c r="B3" i="33" s="1"/>
  <c r="D525" i="29" l="1"/>
  <c r="C525" i="29"/>
  <c r="D765" i="29"/>
  <c r="C765" i="29"/>
  <c r="A645" i="29"/>
  <c r="C645" i="29" s="1"/>
  <c r="D646" i="29"/>
  <c r="B646" i="29"/>
  <c r="C646" i="29"/>
  <c r="A245" i="29"/>
  <c r="B245" i="29" s="1"/>
  <c r="B246" i="29"/>
  <c r="D246" i="29"/>
  <c r="C246" i="29"/>
  <c r="A605" i="29"/>
  <c r="D605" i="29" s="1"/>
  <c r="C606" i="29"/>
  <c r="D606" i="29"/>
  <c r="B606" i="29"/>
  <c r="A205" i="29"/>
  <c r="D205" i="29" s="1"/>
  <c r="D206" i="29"/>
  <c r="B206" i="29"/>
  <c r="C206" i="29"/>
  <c r="H20" i="43"/>
  <c r="H22" i="43"/>
  <c r="I16" i="43"/>
  <c r="E6" i="43"/>
  <c r="S378" i="40"/>
  <c r="R378" i="40"/>
  <c r="K345" i="40"/>
  <c r="J41" i="40" s="1"/>
  <c r="C446" i="29"/>
  <c r="B446" i="29"/>
  <c r="D446" i="29"/>
  <c r="B85" i="29"/>
  <c r="C85" i="29"/>
  <c r="B576" i="29"/>
  <c r="D576" i="29"/>
  <c r="C576" i="29"/>
  <c r="C176" i="29"/>
  <c r="B176" i="29"/>
  <c r="D176" i="29"/>
  <c r="C173" i="29"/>
  <c r="D173" i="29"/>
  <c r="B169" i="29"/>
  <c r="B175" i="29"/>
  <c r="D175" i="29"/>
  <c r="D168" i="29"/>
  <c r="D174" i="29"/>
  <c r="B172" i="29"/>
  <c r="D170" i="29"/>
  <c r="C170" i="29"/>
  <c r="D171" i="29"/>
  <c r="B170" i="29"/>
  <c r="B173" i="29"/>
  <c r="C175" i="29"/>
  <c r="B168" i="29"/>
  <c r="C169" i="29"/>
  <c r="C168" i="29"/>
  <c r="C171" i="29"/>
  <c r="C174" i="29"/>
  <c r="D169" i="29"/>
  <c r="D172" i="29"/>
  <c r="B174" i="29"/>
  <c r="C172" i="29"/>
  <c r="B171" i="29"/>
  <c r="D167" i="29"/>
  <c r="C167" i="29"/>
  <c r="B167" i="29"/>
  <c r="C575" i="29"/>
  <c r="B575" i="29"/>
  <c r="B573" i="29"/>
  <c r="D575" i="29"/>
  <c r="C574" i="29"/>
  <c r="C569" i="29"/>
  <c r="D571" i="29"/>
  <c r="C572" i="29"/>
  <c r="D568" i="29"/>
  <c r="C573" i="29"/>
  <c r="C571" i="29"/>
  <c r="D572" i="29"/>
  <c r="B572" i="29"/>
  <c r="B568" i="29"/>
  <c r="B570" i="29"/>
  <c r="D570" i="29"/>
  <c r="D569" i="29"/>
  <c r="C568" i="29"/>
  <c r="C570" i="29"/>
  <c r="D574" i="29"/>
  <c r="B569" i="29"/>
  <c r="B574" i="29"/>
  <c r="B571" i="29"/>
  <c r="D573" i="29"/>
  <c r="B567" i="29"/>
  <c r="D567" i="29"/>
  <c r="C567" i="29"/>
  <c r="A165" i="29"/>
  <c r="B165" i="29" s="1"/>
  <c r="C166" i="29"/>
  <c r="B166" i="29"/>
  <c r="D166" i="29"/>
  <c r="A565" i="29"/>
  <c r="B565" i="29" s="1"/>
  <c r="B566" i="29"/>
  <c r="C566" i="29"/>
  <c r="D566" i="29"/>
  <c r="C16" i="29"/>
  <c r="B16" i="29"/>
  <c r="D16" i="29"/>
  <c r="D416" i="29"/>
  <c r="C416" i="29"/>
  <c r="B416" i="29"/>
  <c r="D15" i="29"/>
  <c r="C15" i="29"/>
  <c r="B15" i="29"/>
  <c r="B415" i="29"/>
  <c r="D415" i="29"/>
  <c r="C415" i="29"/>
  <c r="C685" i="29"/>
  <c r="D685" i="29"/>
  <c r="T378" i="40"/>
  <c r="U378" i="40"/>
  <c r="D6" i="29"/>
  <c r="B6" i="29"/>
  <c r="C6" i="29"/>
  <c r="C409" i="29"/>
  <c r="B410" i="29"/>
  <c r="C407" i="29"/>
  <c r="D413" i="29"/>
  <c r="D409" i="29"/>
  <c r="C408" i="29"/>
  <c r="B409" i="29"/>
  <c r="C413" i="29"/>
  <c r="B407" i="29"/>
  <c r="B411" i="29"/>
  <c r="C411" i="29"/>
  <c r="B7" i="29"/>
  <c r="D8" i="29"/>
  <c r="C7" i="29"/>
  <c r="C13" i="29"/>
  <c r="B12" i="29"/>
  <c r="D11" i="29"/>
  <c r="C10" i="29"/>
  <c r="B11" i="29"/>
  <c r="D10" i="29"/>
  <c r="B10" i="29"/>
  <c r="C14" i="29"/>
  <c r="B13" i="29"/>
  <c r="C9" i="29"/>
  <c r="B412" i="29"/>
  <c r="A405" i="29"/>
  <c r="D405" i="29" s="1"/>
  <c r="D14" i="29"/>
  <c r="B14" i="29"/>
  <c r="A5" i="29"/>
  <c r="D5" i="29" s="1"/>
  <c r="C414" i="29"/>
  <c r="D414" i="29"/>
  <c r="B9" i="29"/>
  <c r="D13" i="29"/>
  <c r="D9" i="29"/>
  <c r="D7" i="29"/>
  <c r="D411" i="29"/>
  <c r="D412" i="29"/>
  <c r="C11" i="29"/>
  <c r="C8" i="29"/>
  <c r="B8" i="29"/>
  <c r="E667" i="40"/>
  <c r="F667" i="40" s="1"/>
  <c r="C364" i="40"/>
  <c r="E344" i="40"/>
  <c r="F344" i="40" s="1"/>
  <c r="E343" i="40"/>
  <c r="J29" i="40" s="1"/>
  <c r="D485" i="29"/>
  <c r="C688" i="40"/>
  <c r="C485" i="29"/>
  <c r="B408" i="29"/>
  <c r="B414" i="29"/>
  <c r="C410" i="29"/>
  <c r="B413" i="29"/>
  <c r="C412" i="29"/>
  <c r="D410" i="29"/>
  <c r="B406" i="29"/>
  <c r="C406" i="29"/>
  <c r="D408" i="29"/>
  <c r="D407" i="29"/>
  <c r="D406" i="29"/>
  <c r="C12" i="29"/>
  <c r="D12" i="29"/>
  <c r="K668" i="40"/>
  <c r="L668" i="40" s="1"/>
  <c r="O690" i="40"/>
  <c r="P690" i="40" s="1"/>
  <c r="E669" i="40"/>
  <c r="F669" i="40" s="1"/>
  <c r="D690" i="40" s="1"/>
  <c r="E690" i="40" s="1"/>
  <c r="C690" i="40"/>
  <c r="W667" i="40"/>
  <c r="X667" i="40" s="1"/>
  <c r="L40" i="40"/>
  <c r="K344" i="40"/>
  <c r="G45" i="40"/>
  <c r="W349" i="40"/>
  <c r="C366" i="40"/>
  <c r="O366" i="40"/>
  <c r="P366" i="40" s="1"/>
  <c r="L31" i="40"/>
  <c r="E345" i="40"/>
  <c r="L35" i="40"/>
  <c r="E349" i="40"/>
  <c r="C370" i="40"/>
  <c r="O370" i="40"/>
  <c r="P370" i="40" s="1"/>
  <c r="O688" i="40"/>
  <c r="C695" i="40"/>
  <c r="E674" i="40"/>
  <c r="F674" i="40" s="1"/>
  <c r="D695" i="40" s="1"/>
  <c r="E695" i="40" s="1"/>
  <c r="O695" i="40"/>
  <c r="P695" i="40" s="1"/>
  <c r="E347" i="40"/>
  <c r="L33" i="40"/>
  <c r="C368" i="40"/>
  <c r="O368" i="40"/>
  <c r="P368" i="40" s="1"/>
  <c r="K348" i="40"/>
  <c r="L44" i="40"/>
  <c r="O694" i="40"/>
  <c r="P694" i="40" s="1"/>
  <c r="C694" i="40"/>
  <c r="E673" i="40"/>
  <c r="F673" i="40" s="1"/>
  <c r="D694" i="40" s="1"/>
  <c r="E694" i="40" s="1"/>
  <c r="G34" i="40"/>
  <c r="Q348" i="40"/>
  <c r="W344" i="40"/>
  <c r="G40" i="40"/>
  <c r="G42" i="40"/>
  <c r="W346" i="40"/>
  <c r="Q346" i="40"/>
  <c r="G32" i="40"/>
  <c r="D445" i="29"/>
  <c r="C445" i="29"/>
  <c r="B445" i="29"/>
  <c r="G43" i="40"/>
  <c r="W347" i="40"/>
  <c r="C692" i="40"/>
  <c r="E671" i="40"/>
  <c r="F671" i="40" s="1"/>
  <c r="D692" i="40" s="1"/>
  <c r="E692" i="40" s="1"/>
  <c r="O692" i="40"/>
  <c r="P692" i="40" s="1"/>
  <c r="G41" i="40"/>
  <c r="W345" i="40"/>
  <c r="G44" i="40"/>
  <c r="W348" i="40"/>
  <c r="K349" i="40"/>
  <c r="L45" i="40"/>
  <c r="G46" i="40"/>
  <c r="W350" i="40"/>
  <c r="G39" i="40"/>
  <c r="W343" i="40"/>
  <c r="O365" i="40"/>
  <c r="D285" i="29"/>
  <c r="B285" i="29"/>
  <c r="C285" i="29"/>
  <c r="O371" i="40"/>
  <c r="P371" i="40" s="1"/>
  <c r="E350" i="40"/>
  <c r="L36" i="40"/>
  <c r="C371" i="40"/>
  <c r="H378" i="40"/>
  <c r="B198" i="44" s="1" a="1"/>
  <c r="B198" i="44" s="1"/>
  <c r="B198" i="42" a="1"/>
  <c r="B198" i="42" s="1"/>
  <c r="A45" i="29"/>
  <c r="B46" i="29"/>
  <c r="D46" i="29"/>
  <c r="C46" i="29"/>
  <c r="L46" i="40"/>
  <c r="K350" i="40"/>
  <c r="K346" i="40"/>
  <c r="L42" i="40"/>
  <c r="Q343" i="40"/>
  <c r="G29" i="40"/>
  <c r="B325" i="29"/>
  <c r="C325" i="29"/>
  <c r="D325" i="29"/>
  <c r="C689" i="40"/>
  <c r="O689" i="40"/>
  <c r="E668" i="40"/>
  <c r="F668" i="40" s="1"/>
  <c r="C693" i="40"/>
  <c r="O693" i="40"/>
  <c r="P693" i="40" s="1"/>
  <c r="E672" i="40"/>
  <c r="F672" i="40" s="1"/>
  <c r="D693" i="40" s="1"/>
  <c r="E693" i="40" s="1"/>
  <c r="C369" i="40"/>
  <c r="O369" i="40"/>
  <c r="P369" i="40" s="1"/>
  <c r="E348" i="40"/>
  <c r="L34" i="40"/>
  <c r="G36" i="40"/>
  <c r="Q350" i="40"/>
  <c r="O367" i="40"/>
  <c r="P367" i="40" s="1"/>
  <c r="E346" i="40"/>
  <c r="L32" i="40"/>
  <c r="C367" i="40"/>
  <c r="C365" i="40"/>
  <c r="G31" i="40"/>
  <c r="Q345" i="40"/>
  <c r="G33" i="40"/>
  <c r="Q347" i="40"/>
  <c r="G35" i="40"/>
  <c r="Q349" i="40"/>
  <c r="K343" i="40"/>
  <c r="E670" i="40"/>
  <c r="F670" i="40" s="1"/>
  <c r="D691" i="40" s="1"/>
  <c r="E691" i="40" s="1"/>
  <c r="O691" i="40"/>
  <c r="P691" i="40" s="1"/>
  <c r="C691" i="40"/>
  <c r="H17" i="33"/>
  <c r="I5" i="43"/>
  <c r="D725" i="29"/>
  <c r="C725" i="29"/>
  <c r="B725" i="29"/>
  <c r="B125" i="29"/>
  <c r="C125" i="29"/>
  <c r="D125" i="29"/>
  <c r="Q667" i="40"/>
  <c r="R667" i="40" s="1"/>
  <c r="K667" i="40"/>
  <c r="L667" i="40" s="1"/>
  <c r="K347" i="40"/>
  <c r="L43" i="40"/>
  <c r="Q344" i="40"/>
  <c r="G30" i="40"/>
  <c r="O364" i="40"/>
  <c r="L345" i="40" l="1"/>
  <c r="K41" i="40" s="1"/>
  <c r="B605" i="29"/>
  <c r="B645" i="29"/>
  <c r="C605" i="29"/>
  <c r="D645" i="29"/>
  <c r="D245" i="29"/>
  <c r="C245" i="29"/>
  <c r="C205" i="29"/>
  <c r="B205" i="29"/>
  <c r="D165" i="29"/>
  <c r="C165" i="29"/>
  <c r="C565" i="29"/>
  <c r="D565" i="29"/>
  <c r="B405" i="29"/>
  <c r="C405" i="29"/>
  <c r="C5" i="29"/>
  <c r="B5" i="29"/>
  <c r="D688" i="40"/>
  <c r="D689" i="40"/>
  <c r="A677" i="40" a="1"/>
  <c r="P398" i="44" s="1"/>
  <c r="J30" i="40"/>
  <c r="B6" i="42" a="1"/>
  <c r="F343" i="40"/>
  <c r="A353" i="40" s="1" a="1"/>
  <c r="B6" i="44" a="1"/>
  <c r="S677" i="40" a="1"/>
  <c r="S677" i="40" s="1"/>
  <c r="B408" i="44" s="1"/>
  <c r="P689" i="40"/>
  <c r="P364" i="40"/>
  <c r="R345" i="40"/>
  <c r="F31" i="40" s="1"/>
  <c r="E31" i="40"/>
  <c r="E29" i="40"/>
  <c r="R343" i="40"/>
  <c r="M677" i="40" s="1" a="1"/>
  <c r="E32" i="40"/>
  <c r="R346" i="40"/>
  <c r="F32" i="40" s="1"/>
  <c r="J44" i="40"/>
  <c r="L348" i="40"/>
  <c r="K44" i="40" s="1"/>
  <c r="P688" i="40"/>
  <c r="B45" i="29"/>
  <c r="D45" i="29"/>
  <c r="C45" i="29"/>
  <c r="X346" i="40"/>
  <c r="F42" i="40" s="1"/>
  <c r="E42" i="40"/>
  <c r="J45" i="40"/>
  <c r="L349" i="40"/>
  <c r="K45" i="40" s="1"/>
  <c r="X347" i="40"/>
  <c r="F43" i="40" s="1"/>
  <c r="E43" i="40"/>
  <c r="P365" i="40"/>
  <c r="E44" i="40"/>
  <c r="X348" i="40"/>
  <c r="F44" i="40" s="1"/>
  <c r="X349" i="40"/>
  <c r="F45" i="40" s="1"/>
  <c r="E45" i="40"/>
  <c r="R344" i="40"/>
  <c r="F30" i="40" s="1"/>
  <c r="E30" i="40"/>
  <c r="E35" i="40"/>
  <c r="R349" i="40"/>
  <c r="F35" i="40" s="1"/>
  <c r="L350" i="40"/>
  <c r="K46" i="40" s="1"/>
  <c r="J46" i="40"/>
  <c r="X344" i="40"/>
  <c r="F40" i="40" s="1"/>
  <c r="E40" i="40"/>
  <c r="F347" i="40"/>
  <c r="J33" i="40"/>
  <c r="L343" i="40"/>
  <c r="K39" i="40" s="1"/>
  <c r="J39" i="40"/>
  <c r="F348" i="40"/>
  <c r="J34" i="40"/>
  <c r="H677" i="40" a="1"/>
  <c r="R347" i="40"/>
  <c r="F33" i="40" s="1"/>
  <c r="E33" i="40"/>
  <c r="J36" i="40"/>
  <c r="F350" i="40"/>
  <c r="J42" i="40"/>
  <c r="L346" i="40"/>
  <c r="K42" i="40" s="1"/>
  <c r="L347" i="40"/>
  <c r="K43" i="40" s="1"/>
  <c r="J43" i="40"/>
  <c r="F346" i="40"/>
  <c r="J32" i="40"/>
  <c r="K30" i="40"/>
  <c r="E39" i="40"/>
  <c r="X343" i="40"/>
  <c r="X345" i="40"/>
  <c r="F41" i="40" s="1"/>
  <c r="E41" i="40"/>
  <c r="R348" i="40"/>
  <c r="F34" i="40" s="1"/>
  <c r="E34" i="40"/>
  <c r="J35" i="40"/>
  <c r="F349" i="40"/>
  <c r="L344" i="40"/>
  <c r="K40" i="40" s="1"/>
  <c r="J40" i="40"/>
  <c r="R350" i="40"/>
  <c r="F36" i="40" s="1"/>
  <c r="E36" i="40"/>
  <c r="X350" i="40"/>
  <c r="F46" i="40" s="1"/>
  <c r="E46" i="40"/>
  <c r="J31" i="40"/>
  <c r="F345" i="40"/>
  <c r="A677" i="40" l="1"/>
  <c r="K398" i="44" s="1"/>
  <c r="E689" i="40"/>
  <c r="E688" i="40"/>
  <c r="T398" i="44"/>
  <c r="R398" i="44"/>
  <c r="B6" i="42"/>
  <c r="B456" i="42" s="1" a="1"/>
  <c r="B456" i="42" s="1"/>
  <c r="B463" i="42" a="1"/>
  <c r="B463" i="42" s="1"/>
  <c r="B449" i="42" a="1"/>
  <c r="B449" i="42" s="1"/>
  <c r="K29" i="40"/>
  <c r="S688" i="40" a="1"/>
  <c r="K432" i="44" s="1"/>
  <c r="E408" i="44"/>
  <c r="D408" i="44"/>
  <c r="G408" i="44"/>
  <c r="A353" i="40"/>
  <c r="K398" i="42" s="1"/>
  <c r="R398" i="42"/>
  <c r="T398" i="42"/>
  <c r="P398" i="42"/>
  <c r="B6" i="44"/>
  <c r="B456" i="44" s="1" a="1"/>
  <c r="B456" i="44" s="1"/>
  <c r="B463" i="44" a="1"/>
  <c r="B463" i="44" s="1"/>
  <c r="B449" i="44" a="1"/>
  <c r="B449" i="44" s="1"/>
  <c r="B442" i="44" a="1"/>
  <c r="B442" i="44" s="1"/>
  <c r="S364" i="40" a="1"/>
  <c r="D433" i="42" s="1"/>
  <c r="H688" i="40" a="1"/>
  <c r="H688" i="40" s="1"/>
  <c r="D421" i="44" s="1"/>
  <c r="D367" i="40"/>
  <c r="E367" i="40" s="1"/>
  <c r="K32" i="40"/>
  <c r="M677" i="40"/>
  <c r="B398" i="44" s="1"/>
  <c r="G398" i="44"/>
  <c r="E398" i="44"/>
  <c r="D398" i="44"/>
  <c r="T408" i="44"/>
  <c r="R408" i="44"/>
  <c r="T409" i="44"/>
  <c r="K409" i="44"/>
  <c r="P408" i="44"/>
  <c r="R409" i="44"/>
  <c r="H677" i="40"/>
  <c r="K408" i="44" s="1"/>
  <c r="P409" i="44"/>
  <c r="K33" i="40"/>
  <c r="D368" i="40"/>
  <c r="E368" i="40" s="1"/>
  <c r="D364" i="40"/>
  <c r="K31" i="40"/>
  <c r="D366" i="40"/>
  <c r="E366" i="40" s="1"/>
  <c r="D370" i="40"/>
  <c r="E370" i="40" s="1"/>
  <c r="K35" i="40"/>
  <c r="D365" i="40"/>
  <c r="F39" i="40"/>
  <c r="S353" i="40" a="1"/>
  <c r="D371" i="40"/>
  <c r="E371" i="40" s="1"/>
  <c r="K36" i="40"/>
  <c r="D369" i="40"/>
  <c r="E369" i="40" s="1"/>
  <c r="K34" i="40"/>
  <c r="H353" i="40" a="1"/>
  <c r="F29" i="40"/>
  <c r="M353" i="40" a="1"/>
  <c r="B442" i="42" l="1" a="1"/>
  <c r="B442" i="42" s="1"/>
  <c r="Z54" i="40" a="1"/>
  <c r="Z54" i="40" s="1"/>
  <c r="K433" i="44"/>
  <c r="H432" i="44"/>
  <c r="H433" i="44"/>
  <c r="D433" i="44"/>
  <c r="S688" i="40"/>
  <c r="D432" i="44" s="1"/>
  <c r="H432" i="42"/>
  <c r="K432" i="42"/>
  <c r="S364" i="40"/>
  <c r="D432" i="42" s="1"/>
  <c r="K433" i="42"/>
  <c r="H433" i="42"/>
  <c r="H422" i="44"/>
  <c r="H421" i="44"/>
  <c r="N421" i="44"/>
  <c r="K421" i="44"/>
  <c r="D422" i="44"/>
  <c r="N422" i="44"/>
  <c r="K422" i="44"/>
  <c r="S353" i="40"/>
  <c r="B408" i="42" s="1"/>
  <c r="G408" i="42"/>
  <c r="D408" i="42"/>
  <c r="E408" i="42"/>
  <c r="K409" i="42"/>
  <c r="H353" i="40"/>
  <c r="K408" i="42" s="1"/>
  <c r="T408" i="42"/>
  <c r="R409" i="42"/>
  <c r="R408" i="42"/>
  <c r="T409" i="42"/>
  <c r="P409" i="42"/>
  <c r="P408" i="42"/>
  <c r="E364" i="40"/>
  <c r="M353" i="40"/>
  <c r="B398" i="42" s="1"/>
  <c r="E398" i="42"/>
  <c r="D398" i="42"/>
  <c r="G398" i="42"/>
  <c r="E365" i="40"/>
  <c r="H364" i="40" l="1" a="1"/>
  <c r="N421" i="42" s="1"/>
  <c r="D422" i="42" l="1"/>
  <c r="K422" i="42"/>
  <c r="H421" i="42"/>
  <c r="K421" i="42"/>
  <c r="H422" i="42"/>
  <c r="H364" i="40"/>
  <c r="D421" i="42" s="1"/>
  <c r="N422" i="42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1">
    <bk>
      <extLst>
        <ext uri="{3e2802c4-a4d2-4d8b-9148-e3be6c30e623}">
          <xlrd:rvb i="0"/>
        </ext>
      </extLst>
    </bk>
  </futureMetadata>
  <cellMetadata count="1">
    <bk>
      <rc t="1" v="0"/>
    </bk>
  </cellMetadata>
  <valueMetadata count="1">
    <bk>
      <rc t="2" v="0"/>
    </bk>
  </valueMetadata>
</metadata>
</file>

<file path=xl/sharedStrings.xml><?xml version="1.0" encoding="utf-8"?>
<sst xmlns="http://schemas.openxmlformats.org/spreadsheetml/2006/main" count="3878" uniqueCount="214">
  <si>
    <t>NO</t>
  </si>
  <si>
    <t>Points</t>
  </si>
  <si>
    <t>75m</t>
  </si>
  <si>
    <t>600m</t>
  </si>
  <si>
    <t>Long_Jump</t>
  </si>
  <si>
    <t>Howler</t>
  </si>
  <si>
    <t>Relay</t>
  </si>
  <si>
    <t>Name</t>
  </si>
  <si>
    <t>Athlete
No</t>
  </si>
  <si>
    <t>Date</t>
  </si>
  <si>
    <t>Venue</t>
  </si>
  <si>
    <t>MATCH</t>
  </si>
  <si>
    <t>DATE</t>
  </si>
  <si>
    <t>VENUE</t>
  </si>
  <si>
    <t>BOYS</t>
  </si>
  <si>
    <t>GIRLS</t>
  </si>
  <si>
    <t>Number</t>
  </si>
  <si>
    <t>Time</t>
  </si>
  <si>
    <t>Distance</t>
  </si>
  <si>
    <t>Club</t>
  </si>
  <si>
    <t>NAME</t>
  </si>
  <si>
    <t>CLUB</t>
  </si>
  <si>
    <t>SEX</t>
  </si>
  <si>
    <t xml:space="preserve"> </t>
  </si>
  <si>
    <t>Radley AC</t>
  </si>
  <si>
    <t>Numbers</t>
  </si>
  <si>
    <t>Long Jump</t>
  </si>
  <si>
    <t>Vortex</t>
  </si>
  <si>
    <t>Distance
(m.cm)</t>
  </si>
  <si>
    <t>Time
(ss.d)</t>
  </si>
  <si>
    <t>Time                 (m:ss.d)</t>
  </si>
  <si>
    <t>Calculations - Do not edit</t>
  </si>
  <si>
    <t>*86400</t>
  </si>
  <si>
    <t>Minutes</t>
  </si>
  <si>
    <t>Seconds</t>
  </si>
  <si>
    <t>/60</t>
  </si>
  <si>
    <t>Min.Sec</t>
  </si>
  <si>
    <t>eg 1:58.2 or DNF</t>
  </si>
  <si>
    <t>eg 11.0 or DNF</t>
  </si>
  <si>
    <t>eg 4.56 or No Mark</t>
  </si>
  <si>
    <t>eg 14.56 or No Mark</t>
  </si>
  <si>
    <t>QUADKIDS VORTEX THROW BLOCK E</t>
  </si>
  <si>
    <t>Best</t>
  </si>
  <si>
    <t>Referee's Signature</t>
  </si>
  <si>
    <t>QUADKIDS VORTEX THROW BLOCK F</t>
  </si>
  <si>
    <t>QUADKIDS VORTEX THROW BLOCK G</t>
  </si>
  <si>
    <t>QUADKIDS VORTEX THROW BLOCK H</t>
  </si>
  <si>
    <t>QUADKIDS VORTEX THROW BLOCK I</t>
  </si>
  <si>
    <t>QUADKIDS VORTEX THROW BLOCK J</t>
  </si>
  <si>
    <t>QUADKIDS VORTEX THROW BLOCK K</t>
  </si>
  <si>
    <t>QUADKIDS VORTEX THROW BLOCK L</t>
  </si>
  <si>
    <t>QUADKIDS LONG JUMP BLOCK E</t>
  </si>
  <si>
    <t>QUADKIDS LONG JUMP BLOCK F</t>
  </si>
  <si>
    <t>QUADKIDS LONG JUMP BLOCK G</t>
  </si>
  <si>
    <t>QUADKIDS LONG JUMP BLOCK H</t>
  </si>
  <si>
    <t>QUADKIDS LONG JUMP BLOCK I</t>
  </si>
  <si>
    <t>QUADKIDS LONG JUMP BLOCK J</t>
  </si>
  <si>
    <t>QUADKIDS LONG JUMP BLOCK K</t>
  </si>
  <si>
    <t>QUADKIDS LONG JUMP BLOCK L</t>
  </si>
  <si>
    <t>Girls</t>
  </si>
  <si>
    <t>Boys</t>
  </si>
  <si>
    <t>Number of Athletes</t>
  </si>
  <si>
    <t>Block Allocation</t>
  </si>
  <si>
    <t>Total</t>
  </si>
  <si>
    <t>F</t>
  </si>
  <si>
    <t>J</t>
  </si>
  <si>
    <t>K</t>
  </si>
  <si>
    <t>L</t>
  </si>
  <si>
    <t>Block</t>
  </si>
  <si>
    <t>Clubs</t>
  </si>
  <si>
    <t>Team</t>
  </si>
  <si>
    <t>Individual</t>
  </si>
  <si>
    <t>Once all the teams are declared please allocate them numbers. Make sure no number is repeated.</t>
  </si>
  <si>
    <t>Radley is always Block I,              Bicester is always Block H</t>
  </si>
  <si>
    <t>QUADKIDS VORTEX THROW BLOCK D</t>
  </si>
  <si>
    <t>QUADKIDS LONG JUMP BLOCK D</t>
  </si>
  <si>
    <t>B/G</t>
  </si>
  <si>
    <t>First Name</t>
  </si>
  <si>
    <t>Surname</t>
  </si>
  <si>
    <t>Event</t>
  </si>
  <si>
    <t>AgeGroup</t>
  </si>
  <si>
    <t>LJ</t>
  </si>
  <si>
    <t>5+A4:A291</t>
  </si>
  <si>
    <t>4x100</t>
  </si>
  <si>
    <t>N/A</t>
  </si>
  <si>
    <t>eg 58.2 or DNF</t>
  </si>
  <si>
    <t>QUADKIDS 75m</t>
  </si>
  <si>
    <t>QUADKIDS 600m</t>
  </si>
  <si>
    <t>QUADKIDS Long Jump</t>
  </si>
  <si>
    <t>QUADKIDS Vortex</t>
  </si>
  <si>
    <t>QUADKIDS 4x100m Relay</t>
  </si>
  <si>
    <t>Athlete</t>
  </si>
  <si>
    <t>Each athlete will have three consecutive throws with only the longest throw being measured. The technique should be similar to that for throwing a javelin.</t>
  </si>
  <si>
    <t>Judges' Signatures</t>
  </si>
  <si>
    <t>League Record</t>
  </si>
  <si>
    <t>4 X 100m</t>
  </si>
  <si>
    <t>ESAA</t>
  </si>
  <si>
    <t>Team Rankings</t>
  </si>
  <si>
    <t>Overall Rankings</t>
  </si>
  <si>
    <t>Position</t>
  </si>
  <si>
    <t>Match Points</t>
  </si>
  <si>
    <t>Match Results</t>
  </si>
  <si>
    <t>Rank</t>
  </si>
  <si>
    <t>QUADKIDS Overall Team Place</t>
  </si>
  <si>
    <t>Heat 1</t>
  </si>
  <si>
    <t>Heat 2</t>
  </si>
  <si>
    <t>Heat 3</t>
  </si>
  <si>
    <t>ESAA Standards checked Feb 2025 - https://esaa.org.uk/awards-scheme/</t>
  </si>
  <si>
    <t>Records correct Feb 2025 - https://otfl.org.uk/records/</t>
  </si>
  <si>
    <t>Enter the Heat results below. Then sort and place in yellow fields above for Power of 10 (Only unmixed and A teams)</t>
  </si>
  <si>
    <t>!!! Cut and paste the rows below to the Master Scoring File</t>
  </si>
  <si>
    <t>Vortex Throw</t>
  </si>
  <si>
    <t>QK BLOCK A - 0</t>
  </si>
  <si>
    <t>QuadKids Vortex</t>
  </si>
  <si>
    <t>QuadKids Long Jump</t>
  </si>
  <si>
    <t>QuadKids Track Events</t>
  </si>
  <si>
    <t>QuadKids</t>
  </si>
  <si>
    <t>MATCH ID</t>
  </si>
  <si>
    <t>ROUND</t>
  </si>
  <si>
    <t>Team2</t>
  </si>
  <si>
    <t>Team3</t>
  </si>
  <si>
    <t>Team4</t>
  </si>
  <si>
    <t>Team5</t>
  </si>
  <si>
    <t>Team6</t>
  </si>
  <si>
    <t>Team7</t>
  </si>
  <si>
    <t>Team8</t>
  </si>
  <si>
    <t>TeamGuest</t>
  </si>
  <si>
    <t>3 - Allocate numbers once all the athletes/teams have declared.</t>
  </si>
  <si>
    <t>4 - Amend the Block Allocations on the 'BlockAllocations' sheet, and then print the 'FieldCards' sheet</t>
  </si>
  <si>
    <t xml:space="preserve">5 - On the '75m', '600m', 'LongJump' and 'Vortex' sheets enter the athlete's Number and Performance. Only use the yellow boxes. </t>
  </si>
  <si>
    <t>7 - Enter any relay results on the 'Relay' sheet. These times don't contribute to the team score but are submitted to the Power of 10.</t>
  </si>
  <si>
    <t>Team 1</t>
  </si>
  <si>
    <t>Team 2</t>
  </si>
  <si>
    <t>Team 3</t>
  </si>
  <si>
    <t>Team 4</t>
  </si>
  <si>
    <t>Team 5</t>
  </si>
  <si>
    <t>Team 6</t>
  </si>
  <si>
    <t>Team 7</t>
  </si>
  <si>
    <t>Team 8</t>
  </si>
  <si>
    <t>Team Guest</t>
  </si>
  <si>
    <t>1 - Enter the Match ID from Column A</t>
  </si>
  <si>
    <t>6 - If the athlete didn’t finish the 75m or 600m enter 'DNF'. If they measured no distance in the Long Jump or Vortex enter 'No Mark'. Both give 1 point.</t>
  </si>
  <si>
    <t xml:space="preserve">8 -  The 'Results' sheet will show the individual's and team's total scores and ranking. </t>
  </si>
  <si>
    <t>ONLY ALTER TEXT IN THE YELLOW BOXES.
You can 'copy' and 'paste' values but do not use 'cut'</t>
  </si>
  <si>
    <t>Age Group</t>
  </si>
  <si>
    <t>U12</t>
  </si>
  <si>
    <t>2 - On the 'Declarations' sheet enter the athlete's Name and Age Group in the yellow boxes. 
(You can also change the Girls/Boys field if needed).</t>
  </si>
  <si>
    <t>U12B</t>
  </si>
  <si>
    <t>U12G</t>
  </si>
  <si>
    <t>….</t>
  </si>
  <si>
    <t>U10</t>
  </si>
  <si>
    <t>BOYS U10</t>
  </si>
  <si>
    <t>BOYS U12</t>
  </si>
  <si>
    <t>GIRLS U10</t>
  </si>
  <si>
    <t>GIRLS U12</t>
  </si>
  <si>
    <t>Age (U10/U12)</t>
  </si>
  <si>
    <t>U10 Team</t>
  </si>
  <si>
    <t>U10 Overall</t>
  </si>
  <si>
    <t>U10/U12</t>
  </si>
  <si>
    <t>U12 Team</t>
  </si>
  <si>
    <t>U12 Overall</t>
  </si>
  <si>
    <t>xxxxx</t>
  </si>
  <si>
    <t>funetics - M</t>
  </si>
  <si>
    <t>funetics - F</t>
  </si>
  <si>
    <t>Funetics</t>
  </si>
  <si>
    <t>Time                 (m:ss.0)</t>
  </si>
  <si>
    <t>Results in order</t>
  </si>
  <si>
    <t>U10 Boys</t>
  </si>
  <si>
    <t>U12 Boys</t>
  </si>
  <si>
    <t>U10 Girls</t>
  </si>
  <si>
    <t>U12 Girls</t>
  </si>
  <si>
    <t>Wind
(s.d)</t>
  </si>
  <si>
    <t>Oxfordshire Track and Field League 2026</t>
  </si>
  <si>
    <t>Oxford</t>
  </si>
  <si>
    <t>Banbury</t>
  </si>
  <si>
    <t>Tilsley</t>
  </si>
  <si>
    <t>Abingdon AC</t>
  </si>
  <si>
    <t>Banbury Harriers AC</t>
  </si>
  <si>
    <t>Bicester AC</t>
  </si>
  <si>
    <t>Oxford City AC</t>
  </si>
  <si>
    <t>Team Kennet</t>
  </si>
  <si>
    <t>White Horse Harriers</t>
  </si>
  <si>
    <t>Witney Road Runners</t>
  </si>
  <si>
    <t>Great Milton AC</t>
  </si>
  <si>
    <t>Team1</t>
  </si>
  <si>
    <t>I</t>
  </si>
  <si>
    <t>H</t>
  </si>
  <si>
    <t>PB Awards</t>
  </si>
  <si>
    <t>UNDER 12 BOYS</t>
  </si>
  <si>
    <t>PB1</t>
  </si>
  <si>
    <t>PB2</t>
  </si>
  <si>
    <t>PB3</t>
  </si>
  <si>
    <t>PB4</t>
  </si>
  <si>
    <t>PB5</t>
  </si>
  <si>
    <t>PB6</t>
  </si>
  <si>
    <t>PB7</t>
  </si>
  <si>
    <t>PB8</t>
  </si>
  <si>
    <t>PB9</t>
  </si>
  <si>
    <t>UNDER 10 BOYS</t>
  </si>
  <si>
    <t>UNDER 10 GIRLS</t>
  </si>
  <si>
    <t>UNDER 12 GIRLS</t>
  </si>
  <si>
    <t>PB via email April 2026. U10 don't have for 75 or 600</t>
  </si>
  <si>
    <t>Blocks: E F G I J K</t>
  </si>
  <si>
    <t xml:space="preserve">Blocks: B D H L </t>
  </si>
  <si>
    <t>No more than 30 in each Block. Blocks B, D, E, F, G, H, I, J, K, L</t>
  </si>
  <si>
    <t>B</t>
  </si>
  <si>
    <t>D</t>
  </si>
  <si>
    <t>E</t>
  </si>
  <si>
    <t>G</t>
  </si>
  <si>
    <t>QUADKIDS VORTEX THROW BLOCK B</t>
  </si>
  <si>
    <t>QUADKIDS LONG JUMP BLOCK B</t>
  </si>
  <si>
    <t>Blocks: B D F H J L</t>
  </si>
  <si>
    <t>Blocks: E G I K</t>
  </si>
  <si>
    <t>Each athlete is allowed a practice jump and then two scoring jumps. If time allows they will be allowed another (standing) jump if they have two no jumps.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</si>
</sst>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&quot;£&quot;* #,##0.00_-;\-&quot;£&quot;* #,##0.00_-;_-&quot;£&quot;* &quot;-&quot;??_-;_-@_-"/>
    <numFmt numFmtId="165" formatCode="0.0"/>
    <numFmt numFmtId="166" formatCode="0.0;;"/>
    <numFmt numFmtId="167" formatCode="0.00;;"/>
    <numFmt numFmtId="168" formatCode="0.0000"/>
    <numFmt numFmtId="169" formatCode="[$-809]d\ mmmm\ yyyy;@"/>
    <numFmt numFmtId="170" formatCode="h:mm"/>
    <numFmt numFmtId="171" formatCode="mm:ss.00"/>
  </numFmts>
  <fonts count="73">
    <font>
      <sz val="10"/>
      <name val="Arial"/>
    </font>
    <font>
      <sz val="12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8"/>
      <name val="Arial"/>
      <family val="2"/>
    </font>
    <font>
      <sz val="14"/>
      <name val="Arial"/>
      <family val="2"/>
    </font>
    <font>
      <b/>
      <sz val="12"/>
      <color indexed="9"/>
      <name val="Arial"/>
      <family val="2"/>
    </font>
    <font>
      <b/>
      <sz val="14"/>
      <name val="Arial"/>
      <family val="2"/>
    </font>
    <font>
      <sz val="20"/>
      <name val="Arial"/>
      <family val="2"/>
    </font>
    <font>
      <b/>
      <sz val="36"/>
      <name val="Arial"/>
      <family val="2"/>
    </font>
    <font>
      <b/>
      <sz val="20"/>
      <name val="Arial"/>
      <family val="2"/>
    </font>
    <font>
      <sz val="16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20"/>
      <name val="Arial"/>
      <family val="2"/>
    </font>
    <font>
      <b/>
      <sz val="24"/>
      <name val="Arial"/>
      <family val="2"/>
    </font>
    <font>
      <sz val="18"/>
      <name val="Arial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0"/>
      <name val="Arial Narrow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8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0"/>
      <color rgb="FF000000"/>
      <name val="Arial"/>
      <family val="2"/>
    </font>
    <font>
      <sz val="11"/>
      <color theme="1"/>
      <name val="Arial1"/>
    </font>
    <font>
      <b/>
      <sz val="10"/>
      <color rgb="FF000000"/>
      <name val="Arial1"/>
    </font>
    <font>
      <sz val="10"/>
      <color rgb="FFFFFFFF"/>
      <name val="Arial1"/>
    </font>
    <font>
      <sz val="10"/>
      <color rgb="FFCC0000"/>
      <name val="Arial1"/>
    </font>
    <font>
      <b/>
      <sz val="10"/>
      <color rgb="FFFFFFFF"/>
      <name val="Arial1"/>
    </font>
    <font>
      <i/>
      <sz val="10"/>
      <color rgb="FF808080"/>
      <name val="Arial1"/>
    </font>
    <font>
      <sz val="10"/>
      <color rgb="FF006600"/>
      <name val="Arial1"/>
    </font>
    <font>
      <b/>
      <sz val="24"/>
      <color rgb="FF000000"/>
      <name val="Arial1"/>
    </font>
    <font>
      <sz val="18"/>
      <color rgb="FF000000"/>
      <name val="Arial1"/>
    </font>
    <font>
      <sz val="12"/>
      <color rgb="FF000000"/>
      <name val="Arial1"/>
    </font>
    <font>
      <u/>
      <sz val="10"/>
      <color rgb="FF0000EE"/>
      <name val="Arial1"/>
    </font>
    <font>
      <sz val="10"/>
      <color rgb="FF996600"/>
      <name val="Arial1"/>
    </font>
    <font>
      <sz val="10"/>
      <color rgb="FF333333"/>
      <name val="Arial1"/>
    </font>
    <font>
      <b/>
      <i/>
      <u/>
      <sz val="10"/>
      <color rgb="FF000000"/>
      <name val="Arial1"/>
    </font>
    <font>
      <sz val="10"/>
      <color theme="1"/>
      <name val="Arial"/>
      <family val="2"/>
    </font>
    <font>
      <b/>
      <sz val="12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22"/>
      <color theme="1"/>
      <name val="Arial"/>
      <family val="2"/>
    </font>
    <font>
      <sz val="12"/>
      <color theme="1"/>
      <name val="Arial"/>
      <family val="2"/>
    </font>
    <font>
      <b/>
      <sz val="8"/>
      <name val="Arial"/>
      <family val="2"/>
    </font>
    <font>
      <sz val="8"/>
      <color rgb="FFFF0000"/>
      <name val="Arial"/>
      <family val="2"/>
    </font>
    <font>
      <sz val="12"/>
      <color rgb="FFFF0000"/>
      <name val="Arial"/>
      <family val="2"/>
    </font>
    <font>
      <b/>
      <sz val="11"/>
      <color rgb="FF000000"/>
      <name val="Roboto"/>
    </font>
    <font>
      <sz val="11"/>
      <color rgb="FF000000"/>
      <name val="Roboto"/>
    </font>
    <font>
      <b/>
      <sz val="12"/>
      <color theme="1"/>
      <name val="Roboto"/>
    </font>
    <font>
      <sz val="12"/>
      <color theme="1"/>
      <name val="Roboto"/>
    </font>
    <font>
      <sz val="28"/>
      <color rgb="FFFF0000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8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9ACD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B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1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/>
      <right style="medium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 style="medium">
        <color indexed="64"/>
      </left>
      <right style="thin">
        <color indexed="64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medium">
        <color indexed="64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/>
      <right style="thin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theme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theme="1"/>
      </top>
      <bottom style="medium">
        <color indexed="64"/>
      </bottom>
      <diagonal/>
    </border>
    <border>
      <left style="thin">
        <color indexed="64"/>
      </left>
      <right style="medium">
        <color theme="1"/>
      </right>
      <top style="medium">
        <color theme="1"/>
      </top>
      <bottom style="medium">
        <color indexed="64"/>
      </bottom>
      <diagonal/>
    </border>
    <border>
      <left style="medium">
        <color theme="1"/>
      </left>
      <right/>
      <top/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medium">
        <color indexed="64"/>
      </top>
      <bottom style="thin">
        <color indexed="64"/>
      </bottom>
      <diagonal/>
    </border>
    <border>
      <left style="medium">
        <color theme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/>
      <top style="thin">
        <color indexed="64"/>
      </top>
      <bottom style="medium">
        <color theme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/>
      <top style="thin">
        <color indexed="64"/>
      </top>
      <bottom style="medium">
        <color theme="1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73">
    <xf numFmtId="0" fontId="0" fillId="0" borderId="0"/>
    <xf numFmtId="0" fontId="23" fillId="2" borderId="0" applyNumberFormat="0" applyBorder="0" applyAlignment="0" applyProtection="0"/>
    <xf numFmtId="0" fontId="23" fillId="3" borderId="0" applyNumberFormat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5" borderId="0" applyNumberFormat="0" applyBorder="0" applyAlignment="0" applyProtection="0"/>
    <xf numFmtId="0" fontId="23" fillId="8" borderId="0" applyNumberFormat="0" applyBorder="0" applyAlignment="0" applyProtection="0"/>
    <xf numFmtId="0" fontId="23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9" borderId="0" applyNumberFormat="0" applyBorder="0" applyAlignment="0" applyProtection="0"/>
    <xf numFmtId="0" fontId="25" fillId="3" borderId="0" applyNumberFormat="0" applyBorder="0" applyAlignment="0" applyProtection="0"/>
    <xf numFmtId="0" fontId="26" fillId="20" borderId="1" applyNumberFormat="0" applyAlignment="0" applyProtection="0"/>
    <xf numFmtId="0" fontId="27" fillId="21" borderId="2" applyNumberFormat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30" fillId="0" borderId="3" applyNumberFormat="0" applyFill="0" applyAlignment="0" applyProtection="0"/>
    <xf numFmtId="0" fontId="31" fillId="0" borderId="4" applyNumberFormat="0" applyFill="0" applyAlignment="0" applyProtection="0"/>
    <xf numFmtId="0" fontId="32" fillId="0" borderId="5" applyNumberFormat="0" applyFill="0" applyAlignment="0" applyProtection="0"/>
    <xf numFmtId="0" fontId="32" fillId="0" borderId="0" applyNumberFormat="0" applyFill="0" applyBorder="0" applyAlignment="0" applyProtection="0"/>
    <xf numFmtId="0" fontId="33" fillId="7" borderId="1" applyNumberFormat="0" applyAlignment="0" applyProtection="0"/>
    <xf numFmtId="0" fontId="34" fillId="0" borderId="6" applyNumberFormat="0" applyFill="0" applyAlignment="0" applyProtection="0"/>
    <xf numFmtId="0" fontId="35" fillId="22" borderId="0" applyNumberFormat="0" applyBorder="0" applyAlignment="0" applyProtection="0"/>
    <xf numFmtId="0" fontId="3" fillId="0" borderId="0"/>
    <xf numFmtId="0" fontId="21" fillId="0" borderId="0"/>
    <xf numFmtId="0" fontId="22" fillId="0" borderId="0"/>
    <xf numFmtId="0" fontId="19" fillId="0" borderId="0"/>
    <xf numFmtId="0" fontId="3" fillId="0" borderId="0"/>
    <xf numFmtId="0" fontId="3" fillId="0" borderId="0"/>
    <xf numFmtId="0" fontId="22" fillId="23" borderId="7" applyNumberFormat="0" applyFont="0" applyAlignment="0" applyProtection="0"/>
    <xf numFmtId="0" fontId="36" fillId="20" borderId="8" applyNumberFormat="0" applyAlignment="0" applyProtection="0"/>
    <xf numFmtId="0" fontId="20" fillId="0" borderId="0" applyNumberFormat="0" applyFill="0" applyBorder="0" applyAlignment="0" applyProtection="0"/>
    <xf numFmtId="0" fontId="37" fillId="0" borderId="9" applyNumberFormat="0" applyFill="0" applyAlignment="0" applyProtection="0"/>
    <xf numFmtId="0" fontId="38" fillId="0" borderId="0" applyNumberFormat="0" applyFill="0" applyBorder="0" applyAlignment="0" applyProtection="0"/>
    <xf numFmtId="0" fontId="42" fillId="0" borderId="0"/>
    <xf numFmtId="0" fontId="43" fillId="0" borderId="0"/>
    <xf numFmtId="0" fontId="51" fillId="0" borderId="0"/>
    <xf numFmtId="0" fontId="52" fillId="0" borderId="0"/>
    <xf numFmtId="0" fontId="49" fillId="34" borderId="0"/>
    <xf numFmtId="0" fontId="46" fillId="32" borderId="0"/>
    <xf numFmtId="0" fontId="54" fillId="35" borderId="0"/>
    <xf numFmtId="0" fontId="55" fillId="35" borderId="28"/>
    <xf numFmtId="0" fontId="44" fillId="0" borderId="0"/>
    <xf numFmtId="0" fontId="45" fillId="29" borderId="0"/>
    <xf numFmtId="0" fontId="45" fillId="30" borderId="0"/>
    <xf numFmtId="0" fontId="44" fillId="31" borderId="0"/>
    <xf numFmtId="0" fontId="47" fillId="33" borderId="0"/>
    <xf numFmtId="0" fontId="48" fillId="0" borderId="0"/>
    <xf numFmtId="0" fontId="50" fillId="0" borderId="0"/>
    <xf numFmtId="0" fontId="53" fillId="0" borderId="0"/>
    <xf numFmtId="0" fontId="56" fillId="0" borderId="0"/>
    <xf numFmtId="0" fontId="43" fillId="0" borderId="0"/>
    <xf numFmtId="0" fontId="43" fillId="0" borderId="0"/>
    <xf numFmtId="0" fontId="46" fillId="0" borderId="0"/>
    <xf numFmtId="0" fontId="3" fillId="0" borderId="0"/>
    <xf numFmtId="0" fontId="3" fillId="23" borderId="7" applyNumberFormat="0" applyFont="0" applyAlignment="0" applyProtection="0"/>
    <xf numFmtId="0" fontId="1" fillId="0" borderId="0"/>
    <xf numFmtId="0" fontId="3" fillId="0" borderId="0"/>
    <xf numFmtId="0" fontId="1" fillId="0" borderId="0"/>
  </cellStyleXfs>
  <cellXfs count="546">
    <xf numFmtId="0" fontId="0" fillId="0" borderId="0" xfId="0"/>
    <xf numFmtId="0" fontId="3" fillId="0" borderId="0" xfId="0" applyFont="1"/>
    <xf numFmtId="0" fontId="3" fillId="0" borderId="10" xfId="0" applyFont="1" applyBorder="1" applyAlignment="1">
      <alignment horizont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/>
    <xf numFmtId="0" fontId="0" fillId="0" borderId="0" xfId="0" applyAlignment="1">
      <alignment vertical="center"/>
    </xf>
    <xf numFmtId="0" fontId="3" fillId="0" borderId="10" xfId="0" applyFont="1" applyBorder="1" applyAlignment="1">
      <alignment horizontal="left" inden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168" fontId="0" fillId="0" borderId="0" xfId="0" applyNumberFormat="1"/>
    <xf numFmtId="0" fontId="9" fillId="0" borderId="0" xfId="0" applyFont="1"/>
    <xf numFmtId="0" fontId="3" fillId="0" borderId="10" xfId="0" applyFont="1" applyBorder="1"/>
    <xf numFmtId="0" fontId="8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28" borderId="10" xfId="0" applyFont="1" applyFill="1" applyBorder="1" applyAlignment="1" applyProtection="1">
      <alignment horizontal="center"/>
      <protection locked="0"/>
    </xf>
    <xf numFmtId="2" fontId="3" fillId="28" borderId="10" xfId="0" applyNumberFormat="1" applyFont="1" applyFill="1" applyBorder="1" applyAlignment="1" applyProtection="1">
      <alignment horizontal="center"/>
      <protection locked="0"/>
    </xf>
    <xf numFmtId="0" fontId="40" fillId="0" borderId="0" xfId="0" applyFont="1"/>
    <xf numFmtId="0" fontId="41" fillId="0" borderId="0" xfId="0" applyFont="1"/>
    <xf numFmtId="0" fontId="41" fillId="0" borderId="0" xfId="41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15" fillId="24" borderId="23" xfId="0" applyFont="1" applyFill="1" applyBorder="1" applyAlignment="1">
      <alignment horizontal="right" vertical="center" wrapText="1"/>
    </xf>
    <xf numFmtId="0" fontId="15" fillId="24" borderId="0" xfId="0" quotePrefix="1" applyFont="1" applyFill="1" applyAlignment="1">
      <alignment horizontal="left" vertical="center"/>
    </xf>
    <xf numFmtId="0" fontId="15" fillId="24" borderId="24" xfId="0" quotePrefix="1" applyFont="1" applyFill="1" applyBorder="1" applyAlignment="1">
      <alignment horizontal="left" vertical="center"/>
    </xf>
    <xf numFmtId="0" fontId="7" fillId="24" borderId="0" xfId="0" quotePrefix="1" applyFont="1" applyFill="1" applyAlignment="1">
      <alignment horizontal="center" vertical="center" wrapText="1"/>
    </xf>
    <xf numFmtId="2" fontId="7" fillId="24" borderId="0" xfId="0" quotePrefix="1" applyNumberFormat="1" applyFont="1" applyFill="1" applyAlignment="1">
      <alignment horizontal="center" vertical="center" wrapText="1"/>
    </xf>
    <xf numFmtId="0" fontId="7" fillId="24" borderId="0" xfId="0" applyFont="1" applyFill="1" applyAlignment="1">
      <alignment horizontal="center" vertical="center"/>
    </xf>
    <xf numFmtId="0" fontId="15" fillId="24" borderId="23" xfId="0" quotePrefix="1" applyFont="1" applyFill="1" applyBorder="1" applyAlignment="1">
      <alignment horizontal="center" vertical="center" wrapText="1"/>
    </xf>
    <xf numFmtId="0" fontId="58" fillId="37" borderId="0" xfId="0" quotePrefix="1" applyFont="1" applyFill="1" applyAlignment="1">
      <alignment horizontal="center" vertical="center" wrapText="1"/>
    </xf>
    <xf numFmtId="168" fontId="58" fillId="37" borderId="0" xfId="0" quotePrefix="1" applyNumberFormat="1" applyFont="1" applyFill="1" applyAlignment="1" applyProtection="1">
      <alignment horizontal="center" vertical="center" wrapText="1"/>
      <protection locked="0"/>
    </xf>
    <xf numFmtId="0" fontId="58" fillId="37" borderId="0" xfId="0" applyFont="1" applyFill="1" applyAlignment="1">
      <alignment horizontal="center" vertical="center"/>
    </xf>
    <xf numFmtId="2" fontId="59" fillId="24" borderId="0" xfId="0" quotePrefix="1" applyNumberFormat="1" applyFont="1" applyFill="1" applyAlignment="1">
      <alignment horizontal="center" vertical="center" wrapText="1"/>
    </xf>
    <xf numFmtId="168" fontId="59" fillId="24" borderId="0" xfId="0" quotePrefix="1" applyNumberFormat="1" applyFont="1" applyFill="1" applyAlignment="1" applyProtection="1">
      <alignment horizontal="center" vertical="center" wrapText="1"/>
      <protection locked="0"/>
    </xf>
    <xf numFmtId="0" fontId="14" fillId="0" borderId="0" xfId="0" applyFont="1" applyAlignment="1">
      <alignment vertical="center" wrapText="1"/>
    </xf>
    <xf numFmtId="167" fontId="0" fillId="0" borderId="0" xfId="0" applyNumberFormat="1" applyAlignment="1">
      <alignment vertical="center"/>
    </xf>
    <xf numFmtId="0" fontId="18" fillId="0" borderId="0" xfId="0" applyFont="1" applyAlignment="1">
      <alignment horizontal="center" vertical="center"/>
    </xf>
    <xf numFmtId="0" fontId="8" fillId="0" borderId="0" xfId="0" applyFont="1" applyAlignment="1">
      <alignment horizontal="left" indent="1"/>
    </xf>
    <xf numFmtId="2" fontId="8" fillId="0" borderId="0" xfId="0" applyNumberFormat="1" applyFont="1" applyAlignment="1">
      <alignment horizontal="center"/>
    </xf>
    <xf numFmtId="47" fontId="8" fillId="0" borderId="0" xfId="0" applyNumberFormat="1" applyFont="1" applyAlignment="1">
      <alignment horizontal="center"/>
    </xf>
    <xf numFmtId="0" fontId="3" fillId="36" borderId="0" xfId="0" quotePrefix="1" applyFont="1" applyFill="1" applyAlignment="1">
      <alignment horizontal="right" vertical="center"/>
    </xf>
    <xf numFmtId="0" fontId="3" fillId="36" borderId="0" xfId="0" applyFont="1" applyFill="1" applyAlignment="1">
      <alignment horizontal="right" vertical="center"/>
    </xf>
    <xf numFmtId="0" fontId="0" fillId="36" borderId="0" xfId="0" applyFill="1" applyAlignment="1">
      <alignment vertical="center"/>
    </xf>
    <xf numFmtId="0" fontId="0" fillId="36" borderId="0" xfId="0" applyFill="1" applyAlignment="1">
      <alignment horizontal="center" vertical="center"/>
    </xf>
    <xf numFmtId="166" fontId="0" fillId="36" borderId="0" xfId="0" applyNumberFormat="1" applyFill="1" applyAlignment="1">
      <alignment horizontal="center" vertical="center"/>
    </xf>
    <xf numFmtId="167" fontId="0" fillId="36" borderId="0" xfId="0" applyNumberFormat="1" applyFill="1" applyAlignment="1">
      <alignment horizontal="center" vertical="center"/>
    </xf>
    <xf numFmtId="0" fontId="0" fillId="36" borderId="0" xfId="0" applyFill="1" applyAlignment="1">
      <alignment horizontal="center"/>
    </xf>
    <xf numFmtId="0" fontId="0" fillId="36" borderId="0" xfId="0" applyFill="1"/>
    <xf numFmtId="47" fontId="0" fillId="36" borderId="0" xfId="0" applyNumberFormat="1" applyFill="1" applyAlignment="1">
      <alignment horizontal="center"/>
    </xf>
    <xf numFmtId="0" fontId="39" fillId="0" borderId="0" xfId="0" applyFont="1" applyAlignment="1">
      <alignment horizontal="center" vertical="center"/>
    </xf>
    <xf numFmtId="169" fontId="39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58" fillId="0" borderId="0" xfId="0" applyFont="1" applyAlignment="1">
      <alignment horizontal="center" vertical="center"/>
    </xf>
    <xf numFmtId="0" fontId="15" fillId="0" borderId="0" xfId="0" quotePrefix="1" applyFont="1" applyAlignment="1">
      <alignment horizontal="left" vertical="center"/>
    </xf>
    <xf numFmtId="0" fontId="3" fillId="28" borderId="10" xfId="0" applyFont="1" applyFill="1" applyBorder="1" applyAlignment="1" applyProtection="1">
      <alignment horizontal="center" vertical="center"/>
      <protection locked="0"/>
    </xf>
    <xf numFmtId="0" fontId="8" fillId="0" borderId="10" xfId="41" applyFont="1" applyBorder="1" applyAlignment="1">
      <alignment horizontal="center" vertical="center"/>
    </xf>
    <xf numFmtId="0" fontId="6" fillId="0" borderId="11" xfId="41" applyFont="1" applyBorder="1" applyAlignment="1">
      <alignment horizontal="right" vertical="center" indent="1"/>
    </xf>
    <xf numFmtId="169" fontId="6" fillId="0" borderId="11" xfId="41" applyNumberFormat="1" applyFont="1" applyBorder="1" applyAlignment="1">
      <alignment horizontal="left" vertical="center" indent="1"/>
    </xf>
    <xf numFmtId="20" fontId="6" fillId="0" borderId="10" xfId="41" applyNumberFormat="1" applyFont="1" applyBorder="1" applyAlignment="1">
      <alignment horizontal="left" vertical="center" indent="1"/>
    </xf>
    <xf numFmtId="0" fontId="0" fillId="0" borderId="10" xfId="0" applyBorder="1"/>
    <xf numFmtId="0" fontId="2" fillId="0" borderId="10" xfId="0" applyFont="1" applyBorder="1"/>
    <xf numFmtId="0" fontId="6" fillId="0" borderId="0" xfId="41" quotePrefix="1" applyFont="1" applyAlignment="1">
      <alignment horizontal="center" vertical="center"/>
    </xf>
    <xf numFmtId="0" fontId="8" fillId="0" borderId="0" xfId="41" applyFont="1" applyAlignment="1">
      <alignment horizontal="center" vertical="center"/>
    </xf>
    <xf numFmtId="0" fontId="15" fillId="0" borderId="10" xfId="42" applyFont="1" applyBorder="1" applyAlignment="1">
      <alignment horizontal="center" vertical="center"/>
    </xf>
    <xf numFmtId="0" fontId="13" fillId="0" borderId="10" xfId="42" applyFont="1" applyBorder="1" applyAlignment="1">
      <alignment horizontal="left" vertical="center" indent="1"/>
    </xf>
    <xf numFmtId="0" fontId="13" fillId="0" borderId="10" xfId="41" applyFont="1" applyBorder="1" applyAlignment="1">
      <alignment horizontal="center" vertical="center"/>
    </xf>
    <xf numFmtId="0" fontId="15" fillId="0" borderId="0" xfId="42" applyFont="1" applyAlignment="1">
      <alignment horizontal="center" vertical="center"/>
    </xf>
    <xf numFmtId="0" fontId="13" fillId="0" borderId="0" xfId="42" applyFont="1" applyAlignment="1">
      <alignment horizontal="left" vertical="center" indent="1"/>
    </xf>
    <xf numFmtId="0" fontId="13" fillId="0" borderId="0" xfId="41" applyFont="1" applyAlignment="1">
      <alignment horizontal="center" vertical="center"/>
    </xf>
    <xf numFmtId="0" fontId="3" fillId="28" borderId="10" xfId="0" applyFont="1" applyFill="1" applyBorder="1" applyAlignment="1" applyProtection="1">
      <alignment horizontal="right"/>
      <protection locked="0"/>
    </xf>
    <xf numFmtId="0" fontId="60" fillId="0" borderId="0" xfId="0" applyFont="1"/>
    <xf numFmtId="2" fontId="8" fillId="0" borderId="10" xfId="0" applyNumberFormat="1" applyFont="1" applyBorder="1" applyAlignment="1">
      <alignment horizontal="center" vertical="center"/>
    </xf>
    <xf numFmtId="20" fontId="6" fillId="0" borderId="11" xfId="41" applyNumberFormat="1" applyFont="1" applyBorder="1" applyAlignment="1">
      <alignment horizontal="left" vertical="center" indent="1"/>
    </xf>
    <xf numFmtId="0" fontId="3" fillId="28" borderId="27" xfId="0" applyFont="1" applyFill="1" applyBorder="1" applyAlignment="1" applyProtection="1">
      <alignment horizontal="center" vertical="center"/>
      <protection locked="0"/>
    </xf>
    <xf numFmtId="0" fontId="3" fillId="28" borderId="32" xfId="0" applyFont="1" applyFill="1" applyBorder="1" applyAlignment="1" applyProtection="1">
      <alignment horizontal="center" vertical="center"/>
      <protection locked="0"/>
    </xf>
    <xf numFmtId="0" fontId="8" fillId="36" borderId="11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left"/>
    </xf>
    <xf numFmtId="2" fontId="3" fillId="0" borderId="10" xfId="0" applyNumberFormat="1" applyFont="1" applyBorder="1"/>
    <xf numFmtId="0" fontId="3" fillId="37" borderId="0" xfId="0" applyFont="1" applyFill="1" applyAlignment="1">
      <alignment vertical="center"/>
    </xf>
    <xf numFmtId="0" fontId="60" fillId="37" borderId="0" xfId="0" applyFont="1" applyFill="1" applyAlignment="1">
      <alignment vertical="center"/>
    </xf>
    <xf numFmtId="0" fontId="3" fillId="28" borderId="10" xfId="0" applyFont="1" applyFill="1" applyBorder="1" applyAlignment="1" applyProtection="1">
      <alignment horizontal="left"/>
      <protection locked="0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9" fillId="0" borderId="0" xfId="0" applyFont="1" applyAlignment="1">
      <alignment vertical="center"/>
    </xf>
    <xf numFmtId="169" fontId="39" fillId="0" borderId="0" xfId="0" applyNumberFormat="1" applyFont="1" applyAlignment="1">
      <alignment vertical="center"/>
    </xf>
    <xf numFmtId="1" fontId="8" fillId="0" borderId="10" xfId="0" applyNumberFormat="1" applyFont="1" applyBorder="1" applyAlignment="1">
      <alignment horizontal="center" vertical="center"/>
    </xf>
    <xf numFmtId="169" fontId="8" fillId="0" borderId="10" xfId="0" applyNumberFormat="1" applyFont="1" applyBorder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169" fontId="8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170" fontId="6" fillId="0" borderId="11" xfId="41" applyNumberFormat="1" applyFont="1" applyBorder="1" applyAlignment="1">
      <alignment horizontal="left" vertical="center" indent="1"/>
    </xf>
    <xf numFmtId="0" fontId="13" fillId="0" borderId="14" xfId="41" applyFont="1" applyBorder="1" applyAlignment="1">
      <alignment horizontal="center" vertical="center"/>
    </xf>
    <xf numFmtId="0" fontId="15" fillId="38" borderId="33" xfId="0" applyFont="1" applyFill="1" applyBorder="1" applyAlignment="1">
      <alignment horizontal="center" vertical="center"/>
    </xf>
    <xf numFmtId="0" fontId="15" fillId="38" borderId="30" xfId="0" applyFont="1" applyFill="1" applyBorder="1" applyAlignment="1">
      <alignment horizontal="center" vertical="center"/>
    </xf>
    <xf numFmtId="0" fontId="15" fillId="38" borderId="34" xfId="0" applyFont="1" applyFill="1" applyBorder="1" applyAlignment="1">
      <alignment horizontal="center" vertical="center"/>
    </xf>
    <xf numFmtId="165" fontId="13" fillId="0" borderId="22" xfId="0" applyNumberFormat="1" applyFont="1" applyBorder="1" applyAlignment="1">
      <alignment horizontal="center" vertical="center"/>
    </xf>
    <xf numFmtId="165" fontId="13" fillId="0" borderId="27" xfId="0" applyNumberFormat="1" applyFont="1" applyBorder="1" applyAlignment="1">
      <alignment horizontal="center" vertical="center"/>
    </xf>
    <xf numFmtId="165" fontId="13" fillId="0" borderId="25" xfId="0" applyNumberFormat="1" applyFont="1" applyBorder="1" applyAlignment="1">
      <alignment horizontal="center" vertical="center"/>
    </xf>
    <xf numFmtId="165" fontId="13" fillId="0" borderId="37" xfId="0" applyNumberFormat="1" applyFont="1" applyBorder="1" applyAlignment="1">
      <alignment horizontal="center" vertical="center"/>
    </xf>
    <xf numFmtId="47" fontId="13" fillId="0" borderId="18" xfId="0" applyNumberFormat="1" applyFont="1" applyBorder="1" applyAlignment="1">
      <alignment horizontal="center" vertical="center"/>
    </xf>
    <xf numFmtId="47" fontId="13" fillId="0" borderId="10" xfId="0" applyNumberFormat="1" applyFont="1" applyBorder="1" applyAlignment="1">
      <alignment horizontal="center" vertical="center"/>
    </xf>
    <xf numFmtId="47" fontId="13" fillId="0" borderId="11" xfId="0" applyNumberFormat="1" applyFont="1" applyBorder="1" applyAlignment="1">
      <alignment horizontal="center" vertical="center"/>
    </xf>
    <xf numFmtId="47" fontId="13" fillId="0" borderId="40" xfId="0" applyNumberFormat="1" applyFont="1" applyBorder="1" applyAlignment="1">
      <alignment horizontal="center" vertical="center"/>
    </xf>
    <xf numFmtId="2" fontId="13" fillId="0" borderId="44" xfId="0" applyNumberFormat="1" applyFont="1" applyBorder="1" applyAlignment="1">
      <alignment horizontal="center" vertical="center"/>
    </xf>
    <xf numFmtId="2" fontId="13" fillId="0" borderId="32" xfId="0" applyNumberFormat="1" applyFont="1" applyBorder="1" applyAlignment="1">
      <alignment horizontal="center" vertical="center"/>
    </xf>
    <xf numFmtId="2" fontId="13" fillId="0" borderId="45" xfId="0" applyNumberFormat="1" applyFont="1" applyBorder="1" applyAlignment="1">
      <alignment horizontal="center" vertical="center"/>
    </xf>
    <xf numFmtId="2" fontId="13" fillId="0" borderId="46" xfId="0" applyNumberFormat="1" applyFont="1" applyBorder="1" applyAlignment="1">
      <alignment horizontal="center" vertical="center"/>
    </xf>
    <xf numFmtId="0" fontId="13" fillId="36" borderId="18" xfId="0" applyFont="1" applyFill="1" applyBorder="1" applyAlignment="1">
      <alignment horizontal="center" vertical="center"/>
    </xf>
    <xf numFmtId="0" fontId="13" fillId="36" borderId="10" xfId="0" applyFont="1" applyFill="1" applyBorder="1" applyAlignment="1">
      <alignment horizontal="center" vertical="center"/>
    </xf>
    <xf numFmtId="0" fontId="13" fillId="36" borderId="11" xfId="0" applyFont="1" applyFill="1" applyBorder="1" applyAlignment="1">
      <alignment horizontal="center" vertical="center"/>
    </xf>
    <xf numFmtId="0" fontId="15" fillId="39" borderId="33" xfId="0" applyFont="1" applyFill="1" applyBorder="1" applyAlignment="1">
      <alignment horizontal="center" vertical="center"/>
    </xf>
    <xf numFmtId="0" fontId="15" fillId="39" borderId="30" xfId="0" applyFont="1" applyFill="1" applyBorder="1" applyAlignment="1">
      <alignment horizontal="center" vertical="center"/>
    </xf>
    <xf numFmtId="0" fontId="15" fillId="39" borderId="34" xfId="0" applyFont="1" applyFill="1" applyBorder="1" applyAlignment="1">
      <alignment horizontal="center" vertical="center"/>
    </xf>
    <xf numFmtId="0" fontId="60" fillId="37" borderId="0" xfId="0" applyFont="1" applyFill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2" fontId="3" fillId="0" borderId="10" xfId="0" applyNumberFormat="1" applyFont="1" applyBorder="1" applyAlignment="1">
      <alignment vertical="center"/>
    </xf>
    <xf numFmtId="0" fontId="3" fillId="0" borderId="10" xfId="0" applyFont="1" applyBorder="1" applyAlignment="1">
      <alignment horizontal="left" vertical="center"/>
    </xf>
    <xf numFmtId="47" fontId="57" fillId="28" borderId="10" xfId="0" applyNumberFormat="1" applyFont="1" applyFill="1" applyBorder="1" applyAlignment="1" applyProtection="1">
      <alignment horizontal="center" vertical="center"/>
      <protection locked="0"/>
    </xf>
    <xf numFmtId="0" fontId="3" fillId="0" borderId="27" xfId="0" applyFont="1" applyBorder="1" applyAlignment="1">
      <alignment horizontal="center" vertical="center"/>
    </xf>
    <xf numFmtId="2" fontId="3" fillId="36" borderId="0" xfId="0" applyNumberFormat="1" applyFont="1" applyFill="1" applyAlignment="1">
      <alignment vertical="center"/>
    </xf>
    <xf numFmtId="2" fontId="57" fillId="36" borderId="0" xfId="0" applyNumberFormat="1" applyFont="1" applyFill="1" applyAlignment="1">
      <alignment vertical="center"/>
    </xf>
    <xf numFmtId="1" fontId="57" fillId="36" borderId="0" xfId="0" applyNumberFormat="1" applyFont="1" applyFill="1" applyAlignment="1">
      <alignment vertical="center"/>
    </xf>
    <xf numFmtId="168" fontId="3" fillId="36" borderId="0" xfId="0" applyNumberFormat="1" applyFont="1" applyFill="1" applyAlignment="1">
      <alignment vertical="center"/>
    </xf>
    <xf numFmtId="2" fontId="3" fillId="28" borderId="10" xfId="0" applyNumberFormat="1" applyFont="1" applyFill="1" applyBorder="1" applyAlignment="1" applyProtection="1">
      <alignment horizontal="center" vertical="center"/>
      <protection locked="0"/>
    </xf>
    <xf numFmtId="165" fontId="3" fillId="28" borderId="10" xfId="0" applyNumberFormat="1" applyFont="1" applyFill="1" applyBorder="1" applyAlignment="1" applyProtection="1">
      <alignment horizontal="center" vertical="center"/>
      <protection locked="0"/>
    </xf>
    <xf numFmtId="164" fontId="0" fillId="36" borderId="0" xfId="0" applyNumberFormat="1" applyFill="1" applyAlignment="1">
      <alignment horizontal="center" vertical="center"/>
    </xf>
    <xf numFmtId="164" fontId="3" fillId="36" borderId="0" xfId="0" applyNumberFormat="1" applyFont="1" applyFill="1" applyAlignment="1">
      <alignment horizontal="center" vertical="center"/>
    </xf>
    <xf numFmtId="0" fontId="3" fillId="36" borderId="0" xfId="0" applyFont="1" applyFill="1" applyAlignment="1">
      <alignment horizontal="center" vertical="center"/>
    </xf>
    <xf numFmtId="0" fontId="3" fillId="36" borderId="0" xfId="0" applyFont="1" applyFill="1"/>
    <xf numFmtId="0" fontId="8" fillId="36" borderId="16" xfId="0" applyFont="1" applyFill="1" applyBorder="1" applyAlignment="1">
      <alignment horizontal="center" vertical="center"/>
    </xf>
    <xf numFmtId="165" fontId="6" fillId="0" borderId="12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47" fontId="6" fillId="0" borderId="12" xfId="0" applyNumberFormat="1" applyFont="1" applyBorder="1" applyAlignment="1">
      <alignment horizontal="center" vertical="center"/>
    </xf>
    <xf numFmtId="2" fontId="6" fillId="0" borderId="12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wrapText="1"/>
    </xf>
    <xf numFmtId="2" fontId="8" fillId="0" borderId="16" xfId="0" applyNumberFormat="1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168" fontId="8" fillId="0" borderId="16" xfId="0" applyNumberFormat="1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165" fontId="6" fillId="0" borderId="17" xfId="0" applyNumberFormat="1" applyFont="1" applyBorder="1" applyAlignment="1">
      <alignment horizontal="center" vertical="center"/>
    </xf>
    <xf numFmtId="47" fontId="6" fillId="0" borderId="17" xfId="0" applyNumberFormat="1" applyFont="1" applyBorder="1" applyAlignment="1">
      <alignment horizontal="center" vertical="center"/>
    </xf>
    <xf numFmtId="2" fontId="6" fillId="0" borderId="17" xfId="0" applyNumberFormat="1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165" fontId="6" fillId="0" borderId="50" xfId="0" applyNumberFormat="1" applyFont="1" applyBorder="1" applyAlignment="1">
      <alignment horizontal="center" vertical="center"/>
    </xf>
    <xf numFmtId="47" fontId="6" fillId="0" borderId="50" xfId="0" applyNumberFormat="1" applyFont="1" applyBorder="1" applyAlignment="1">
      <alignment horizontal="center" vertical="center"/>
    </xf>
    <xf numFmtId="2" fontId="6" fillId="0" borderId="50" xfId="0" applyNumberFormat="1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0" fontId="3" fillId="36" borderId="0" xfId="0" applyFont="1" applyFill="1" applyAlignment="1">
      <alignment horizontal="left" vertical="center"/>
    </xf>
    <xf numFmtId="0" fontId="0" fillId="36" borderId="0" xfId="0" applyFill="1" applyAlignment="1">
      <alignment horizontal="left" vertical="center"/>
    </xf>
    <xf numFmtId="0" fontId="0" fillId="36" borderId="0" xfId="0" applyFill="1" applyAlignment="1">
      <alignment horizontal="left"/>
    </xf>
    <xf numFmtId="0" fontId="3" fillId="36" borderId="0" xfId="0" applyFont="1" applyFill="1" applyAlignment="1">
      <alignment horizontal="center"/>
    </xf>
    <xf numFmtId="0" fontId="16" fillId="0" borderId="23" xfId="0" applyFont="1" applyBorder="1" applyAlignment="1">
      <alignment vertical="center"/>
    </xf>
    <xf numFmtId="0" fontId="16" fillId="0" borderId="11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2" fontId="17" fillId="0" borderId="18" xfId="0" applyNumberFormat="1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0" fillId="41" borderId="0" xfId="0" applyFill="1" applyAlignment="1">
      <alignment horizontal="left" vertical="center"/>
    </xf>
    <xf numFmtId="0" fontId="0" fillId="42" borderId="0" xfId="0" applyFill="1" applyAlignment="1">
      <alignment horizontal="left" vertical="center"/>
    </xf>
    <xf numFmtId="2" fontId="17" fillId="0" borderId="18" xfId="0" applyNumberFormat="1" applyFont="1" applyBorder="1" applyAlignment="1">
      <alignment vertical="center"/>
    </xf>
    <xf numFmtId="2" fontId="17" fillId="0" borderId="11" xfId="0" applyNumberFormat="1" applyFont="1" applyBorder="1" applyAlignment="1">
      <alignment vertical="center"/>
    </xf>
    <xf numFmtId="0" fontId="10" fillId="0" borderId="14" xfId="0" applyFont="1" applyBorder="1" applyAlignment="1">
      <alignment horizontal="center" vertical="center"/>
    </xf>
    <xf numFmtId="0" fontId="0" fillId="42" borderId="0" xfId="0" applyFill="1" applyAlignment="1">
      <alignment horizontal="left"/>
    </xf>
    <xf numFmtId="165" fontId="3" fillId="28" borderId="10" xfId="0" applyNumberFormat="1" applyFont="1" applyFill="1" applyBorder="1" applyAlignment="1" applyProtection="1">
      <alignment horizontal="center"/>
      <protection locked="0"/>
    </xf>
    <xf numFmtId="165" fontId="3" fillId="0" borderId="10" xfId="0" applyNumberFormat="1" applyFont="1" applyBorder="1" applyAlignment="1">
      <alignment horizontal="left"/>
    </xf>
    <xf numFmtId="2" fontId="0" fillId="36" borderId="0" xfId="0" applyNumberFormat="1" applyFill="1" applyAlignment="1">
      <alignment horizontal="center"/>
    </xf>
    <xf numFmtId="2" fontId="3" fillId="36" borderId="0" xfId="0" applyNumberFormat="1" applyFont="1" applyFill="1"/>
    <xf numFmtId="0" fontId="3" fillId="43" borderId="10" xfId="0" applyFont="1" applyFill="1" applyBorder="1" applyAlignment="1" applyProtection="1">
      <alignment horizontal="left"/>
      <protection locked="0"/>
    </xf>
    <xf numFmtId="2" fontId="3" fillId="43" borderId="10" xfId="0" applyNumberFormat="1" applyFont="1" applyFill="1" applyBorder="1" applyAlignment="1" applyProtection="1">
      <alignment horizontal="center"/>
      <protection locked="0"/>
    </xf>
    <xf numFmtId="165" fontId="3" fillId="43" borderId="10" xfId="0" applyNumberFormat="1" applyFont="1" applyFill="1" applyBorder="1" applyAlignment="1" applyProtection="1">
      <alignment horizontal="center"/>
      <protection locked="0"/>
    </xf>
    <xf numFmtId="165" fontId="3" fillId="43" borderId="10" xfId="0" applyNumberFormat="1" applyFont="1" applyFill="1" applyBorder="1" applyAlignment="1" applyProtection="1">
      <alignment horizontal="left"/>
      <protection locked="0"/>
    </xf>
    <xf numFmtId="0" fontId="61" fillId="0" borderId="0" xfId="0" applyFont="1"/>
    <xf numFmtId="0" fontId="2" fillId="0" borderId="0" xfId="0" applyFont="1" applyAlignment="1">
      <alignment horizontal="center" vertical="center"/>
    </xf>
    <xf numFmtId="0" fontId="62" fillId="0" borderId="0" xfId="0" applyFont="1" applyAlignment="1">
      <alignment horizontal="center" vertical="center"/>
    </xf>
    <xf numFmtId="0" fontId="2" fillId="36" borderId="0" xfId="0" applyFont="1" applyFill="1"/>
    <xf numFmtId="0" fontId="3" fillId="0" borderId="0" xfId="0" applyFont="1" applyAlignment="1">
      <alignment horizontal="left"/>
    </xf>
    <xf numFmtId="0" fontId="10" fillId="0" borderId="0" xfId="0" applyFont="1" applyAlignment="1">
      <alignment vertical="center"/>
    </xf>
    <xf numFmtId="0" fontId="64" fillId="0" borderId="0" xfId="70" applyFont="1" applyAlignment="1">
      <alignment vertical="center"/>
    </xf>
    <xf numFmtId="0" fontId="5" fillId="0" borderId="0" xfId="70" applyFont="1" applyAlignment="1">
      <alignment vertical="center"/>
    </xf>
    <xf numFmtId="0" fontId="65" fillId="0" borderId="0" xfId="70" applyFont="1" applyAlignment="1">
      <alignment vertical="center"/>
    </xf>
    <xf numFmtId="0" fontId="2" fillId="0" borderId="0" xfId="70" applyFont="1" applyAlignment="1">
      <alignment horizontal="center" vertical="center"/>
    </xf>
    <xf numFmtId="0" fontId="66" fillId="0" borderId="0" xfId="70" applyFont="1" applyAlignment="1">
      <alignment vertical="center"/>
    </xf>
    <xf numFmtId="0" fontId="3" fillId="0" borderId="0" xfId="70" applyFont="1" applyAlignment="1">
      <alignment horizontal="left" vertical="center"/>
    </xf>
    <xf numFmtId="0" fontId="64" fillId="0" borderId="0" xfId="72" applyFont="1" applyAlignment="1">
      <alignment vertical="center"/>
    </xf>
    <xf numFmtId="0" fontId="13" fillId="0" borderId="56" xfId="70" applyFont="1" applyBorder="1" applyAlignment="1">
      <alignment horizontal="center" vertical="center"/>
    </xf>
    <xf numFmtId="0" fontId="13" fillId="0" borderId="57" xfId="70" applyFont="1" applyBorder="1" applyAlignment="1">
      <alignment vertical="center"/>
    </xf>
    <xf numFmtId="0" fontId="13" fillId="0" borderId="58" xfId="70" applyFont="1" applyBorder="1" applyAlignment="1">
      <alignment horizontal="center" vertical="center"/>
    </xf>
    <xf numFmtId="0" fontId="13" fillId="0" borderId="10" xfId="70" applyFont="1" applyBorder="1" applyAlignment="1">
      <alignment horizontal="center" vertical="center"/>
    </xf>
    <xf numFmtId="0" fontId="13" fillId="0" borderId="10" xfId="70" applyFont="1" applyBorder="1" applyAlignment="1">
      <alignment vertical="center"/>
    </xf>
    <xf numFmtId="0" fontId="13" fillId="0" borderId="0" xfId="70" applyFont="1" applyAlignment="1">
      <alignment horizontal="left" vertical="center"/>
    </xf>
    <xf numFmtId="0" fontId="13" fillId="0" borderId="0" xfId="70" applyFont="1" applyAlignment="1">
      <alignment vertical="center"/>
    </xf>
    <xf numFmtId="0" fontId="15" fillId="0" borderId="0" xfId="70" applyFont="1" applyAlignment="1">
      <alignment vertical="center"/>
    </xf>
    <xf numFmtId="0" fontId="64" fillId="0" borderId="60" xfId="72" applyFont="1" applyBorder="1" applyAlignment="1">
      <alignment horizontal="centerContinuous" vertical="center"/>
    </xf>
    <xf numFmtId="0" fontId="64" fillId="0" borderId="61" xfId="72" applyFont="1" applyBorder="1" applyAlignment="1">
      <alignment horizontal="centerContinuous" vertical="center"/>
    </xf>
    <xf numFmtId="0" fontId="64" fillId="0" borderId="0" xfId="70" applyFont="1" applyAlignment="1">
      <alignment horizontal="centerContinuous" vertical="center"/>
    </xf>
    <xf numFmtId="0" fontId="64" fillId="0" borderId="62" xfId="72" applyFont="1" applyBorder="1" applyAlignment="1">
      <alignment horizontal="centerContinuous" vertical="center"/>
    </xf>
    <xf numFmtId="0" fontId="64" fillId="0" borderId="64" xfId="72" applyFont="1" applyBorder="1" applyAlignment="1">
      <alignment horizontal="centerContinuous" vertical="center"/>
    </xf>
    <xf numFmtId="0" fontId="64" fillId="0" borderId="65" xfId="72" applyFont="1" applyBorder="1" applyAlignment="1">
      <alignment horizontal="centerContinuous" vertical="center"/>
    </xf>
    <xf numFmtId="0" fontId="64" fillId="0" borderId="66" xfId="72" applyFont="1" applyBorder="1" applyAlignment="1">
      <alignment horizontal="centerContinuous" vertical="center"/>
    </xf>
    <xf numFmtId="0" fontId="13" fillId="0" borderId="67" xfId="70" applyFont="1" applyBorder="1" applyAlignment="1">
      <alignment horizontal="center" vertical="center"/>
    </xf>
    <xf numFmtId="0" fontId="15" fillId="0" borderId="68" xfId="70" applyFont="1" applyBorder="1" applyAlignment="1">
      <alignment horizontal="centerContinuous" vertical="center"/>
    </xf>
    <xf numFmtId="0" fontId="13" fillId="0" borderId="69" xfId="70" applyFont="1" applyBorder="1" applyAlignment="1">
      <alignment horizontal="centerContinuous" vertical="center"/>
    </xf>
    <xf numFmtId="0" fontId="13" fillId="0" borderId="70" xfId="70" applyFont="1" applyBorder="1" applyAlignment="1">
      <alignment horizontal="centerContinuous" vertical="center"/>
    </xf>
    <xf numFmtId="0" fontId="13" fillId="0" borderId="68" xfId="70" applyFont="1" applyBorder="1" applyAlignment="1">
      <alignment horizontal="centerContinuous" vertical="center"/>
    </xf>
    <xf numFmtId="0" fontId="13" fillId="0" borderId="71" xfId="70" applyFont="1" applyBorder="1" applyAlignment="1">
      <alignment horizontal="centerContinuous" vertical="center"/>
    </xf>
    <xf numFmtId="0" fontId="64" fillId="0" borderId="63" xfId="70" applyFont="1" applyBorder="1" applyAlignment="1">
      <alignment horizontal="centerContinuous" vertical="center"/>
    </xf>
    <xf numFmtId="0" fontId="63" fillId="0" borderId="0" xfId="70" applyFont="1" applyAlignment="1">
      <alignment vertical="center"/>
    </xf>
    <xf numFmtId="14" fontId="12" fillId="0" borderId="0" xfId="71" applyNumberFormat="1" applyFont="1" applyAlignment="1" applyProtection="1">
      <alignment vertical="center"/>
      <protection hidden="1"/>
    </xf>
    <xf numFmtId="0" fontId="63" fillId="0" borderId="0" xfId="70" applyFont="1" applyAlignment="1">
      <alignment horizontal="centerContinuous" vertical="center"/>
    </xf>
    <xf numFmtId="14" fontId="12" fillId="0" borderId="0" xfId="71" applyNumberFormat="1" applyFont="1" applyAlignment="1" applyProtection="1">
      <alignment horizontal="centerContinuous" vertical="center"/>
      <protection hidden="1"/>
    </xf>
    <xf numFmtId="0" fontId="13" fillId="0" borderId="77" xfId="70" applyFont="1" applyBorder="1" applyAlignment="1">
      <alignment horizontal="center" vertical="center"/>
    </xf>
    <xf numFmtId="20" fontId="13" fillId="0" borderId="82" xfId="70" applyNumberFormat="1" applyFont="1" applyBorder="1" applyAlignment="1">
      <alignment horizontal="center" vertical="center"/>
    </xf>
    <xf numFmtId="20" fontId="13" fillId="0" borderId="84" xfId="70" applyNumberFormat="1" applyFont="1" applyBorder="1" applyAlignment="1">
      <alignment horizontal="center" vertical="center"/>
    </xf>
    <xf numFmtId="20" fontId="13" fillId="0" borderId="86" xfId="70" applyNumberFormat="1" applyFont="1" applyBorder="1" applyAlignment="1">
      <alignment horizontal="center" vertical="center"/>
    </xf>
    <xf numFmtId="0" fontId="13" fillId="0" borderId="87" xfId="70" applyFont="1" applyBorder="1" applyAlignment="1">
      <alignment horizontal="center" vertical="center"/>
    </xf>
    <xf numFmtId="0" fontId="13" fillId="0" borderId="88" xfId="70" applyFont="1" applyBorder="1" applyAlignment="1">
      <alignment vertical="center"/>
    </xf>
    <xf numFmtId="0" fontId="64" fillId="0" borderId="92" xfId="70" applyFont="1" applyBorder="1" applyAlignment="1">
      <alignment vertical="center"/>
    </xf>
    <xf numFmtId="0" fontId="4" fillId="0" borderId="0" xfId="0" quotePrefix="1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25" xfId="0" applyFont="1" applyBorder="1" applyAlignment="1">
      <alignment horizontal="centerContinuous" vertical="center"/>
    </xf>
    <xf numFmtId="0" fontId="3" fillId="0" borderId="11" xfId="0" applyFont="1" applyBorder="1" applyAlignment="1">
      <alignment horizontal="centerContinuous" vertical="center"/>
    </xf>
    <xf numFmtId="0" fontId="1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41" borderId="96" xfId="0" applyFont="1" applyFill="1" applyBorder="1" applyAlignment="1">
      <alignment horizontal="center" vertical="center"/>
    </xf>
    <xf numFmtId="0" fontId="3" fillId="41" borderId="27" xfId="0" applyFont="1" applyFill="1" applyBorder="1" applyAlignment="1">
      <alignment horizontal="center" vertical="center" wrapText="1"/>
    </xf>
    <xf numFmtId="14" fontId="3" fillId="41" borderId="27" xfId="0" applyNumberFormat="1" applyFont="1" applyFill="1" applyBorder="1" applyAlignment="1">
      <alignment horizontal="center" vertical="center"/>
    </xf>
    <xf numFmtId="0" fontId="3" fillId="41" borderId="9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3" fillId="0" borderId="97" xfId="0" applyFont="1" applyBorder="1" applyAlignment="1">
      <alignment horizontal="center" vertical="center"/>
    </xf>
    <xf numFmtId="0" fontId="3" fillId="42" borderId="58" xfId="0" applyFont="1" applyFill="1" applyBorder="1" applyAlignment="1">
      <alignment horizontal="center" vertical="center"/>
    </xf>
    <xf numFmtId="0" fontId="3" fillId="42" borderId="10" xfId="0" applyFont="1" applyFill="1" applyBorder="1" applyAlignment="1">
      <alignment horizontal="center" vertical="center" wrapText="1"/>
    </xf>
    <xf numFmtId="14" fontId="3" fillId="42" borderId="10" xfId="0" applyNumberFormat="1" applyFont="1" applyFill="1" applyBorder="1" applyAlignment="1">
      <alignment horizontal="center" vertical="center"/>
    </xf>
    <xf numFmtId="0" fontId="3" fillId="42" borderId="98" xfId="0" applyFont="1" applyFill="1" applyBorder="1" applyAlignment="1">
      <alignment horizontal="center" vertical="center"/>
    </xf>
    <xf numFmtId="0" fontId="3" fillId="25" borderId="96" xfId="0" applyFont="1" applyFill="1" applyBorder="1" applyAlignment="1">
      <alignment horizontal="center" vertical="center"/>
    </xf>
    <xf numFmtId="0" fontId="3" fillId="26" borderId="97" xfId="0" applyFont="1" applyFill="1" applyBorder="1" applyAlignment="1">
      <alignment horizontal="center" vertical="center"/>
    </xf>
    <xf numFmtId="0" fontId="3" fillId="25" borderId="58" xfId="0" applyFont="1" applyFill="1" applyBorder="1" applyAlignment="1">
      <alignment horizontal="center" vertical="center"/>
    </xf>
    <xf numFmtId="0" fontId="3" fillId="26" borderId="98" xfId="0" applyFont="1" applyFill="1" applyBorder="1" applyAlignment="1">
      <alignment horizontal="center" vertical="center"/>
    </xf>
    <xf numFmtId="0" fontId="3" fillId="25" borderId="99" xfId="0" applyFont="1" applyFill="1" applyBorder="1" applyAlignment="1">
      <alignment horizontal="center" vertical="center"/>
    </xf>
    <xf numFmtId="0" fontId="3" fillId="26" borderId="100" xfId="0" applyFont="1" applyFill="1" applyBorder="1" applyAlignment="1">
      <alignment horizontal="center" vertical="center"/>
    </xf>
    <xf numFmtId="0" fontId="3" fillId="0" borderId="36" xfId="0" applyFont="1" applyBorder="1" applyAlignment="1">
      <alignment horizontal="centerContinuous" vertical="center"/>
    </xf>
    <xf numFmtId="0" fontId="3" fillId="0" borderId="39" xfId="0" applyFont="1" applyBorder="1" applyAlignment="1">
      <alignment horizontal="centerContinuous" vertical="center"/>
    </xf>
    <xf numFmtId="0" fontId="3" fillId="0" borderId="45" xfId="0" applyFont="1" applyBorder="1" applyAlignment="1">
      <alignment horizontal="centerContinuous" vertical="center"/>
    </xf>
    <xf numFmtId="0" fontId="3" fillId="0" borderId="43" xfId="0" applyFont="1" applyBorder="1" applyAlignment="1">
      <alignment horizontal="centerContinuous" vertical="center"/>
    </xf>
    <xf numFmtId="49" fontId="13" fillId="25" borderId="99" xfId="0" applyNumberFormat="1" applyFont="1" applyFill="1" applyBorder="1" applyAlignment="1">
      <alignment horizontal="center" vertical="center"/>
    </xf>
    <xf numFmtId="49" fontId="13" fillId="26" borderId="100" xfId="0" applyNumberFormat="1" applyFont="1" applyFill="1" applyBorder="1" applyAlignment="1">
      <alignment horizontal="center" vertical="center"/>
    </xf>
    <xf numFmtId="0" fontId="13" fillId="0" borderId="93" xfId="0" applyFont="1" applyBorder="1" applyAlignment="1">
      <alignment horizontal="center" vertical="center" wrapText="1"/>
    </xf>
    <xf numFmtId="0" fontId="13" fillId="0" borderId="94" xfId="40" applyFont="1" applyBorder="1" applyAlignment="1">
      <alignment horizontal="center" vertical="center" wrapText="1"/>
    </xf>
    <xf numFmtId="0" fontId="13" fillId="0" borderId="95" xfId="40" applyFont="1" applyBorder="1" applyAlignment="1">
      <alignment horizontal="center" vertical="center" wrapText="1"/>
    </xf>
    <xf numFmtId="0" fontId="13" fillId="0" borderId="33" xfId="40" applyFont="1" applyBorder="1" applyAlignment="1">
      <alignment horizontal="center" vertical="center" wrapText="1"/>
    </xf>
    <xf numFmtId="49" fontId="3" fillId="0" borderId="10" xfId="0" applyNumberFormat="1" applyFont="1" applyBorder="1" applyAlignment="1" applyProtection="1">
      <alignment horizontal="center" vertical="center"/>
      <protection locked="0"/>
    </xf>
    <xf numFmtId="49" fontId="3" fillId="0" borderId="32" xfId="0" applyNumberFormat="1" applyFont="1" applyBorder="1" applyAlignment="1" applyProtection="1">
      <alignment horizontal="center" vertical="center"/>
      <protection locked="0"/>
    </xf>
    <xf numFmtId="49" fontId="3" fillId="0" borderId="27" xfId="0" applyNumberFormat="1" applyFont="1" applyBorder="1" applyAlignment="1" applyProtection="1">
      <alignment horizontal="center" vertical="center"/>
      <protection locked="0"/>
    </xf>
    <xf numFmtId="0" fontId="3" fillId="28" borderId="57" xfId="0" applyFont="1" applyFill="1" applyBorder="1" applyAlignment="1" applyProtection="1">
      <alignment horizontal="center" vertical="center"/>
      <protection locked="0"/>
    </xf>
    <xf numFmtId="49" fontId="3" fillId="0" borderId="57" xfId="0" applyNumberFormat="1" applyFont="1" applyBorder="1" applyAlignment="1" applyProtection="1">
      <alignment horizontal="center" vertical="center"/>
      <protection locked="0"/>
    </xf>
    <xf numFmtId="1" fontId="13" fillId="0" borderId="10" xfId="0" applyNumberFormat="1" applyFont="1" applyBorder="1" applyAlignment="1">
      <alignment horizontal="center" vertical="center"/>
    </xf>
    <xf numFmtId="0" fontId="0" fillId="0" borderId="23" xfId="0" applyBorder="1" applyAlignment="1">
      <alignment vertical="center"/>
    </xf>
    <xf numFmtId="0" fontId="15" fillId="0" borderId="10" xfId="0" applyFont="1" applyBorder="1"/>
    <xf numFmtId="0" fontId="15" fillId="0" borderId="10" xfId="0" applyFont="1" applyBorder="1" applyAlignment="1">
      <alignment horizontal="center" vertical="center"/>
    </xf>
    <xf numFmtId="0" fontId="15" fillId="0" borderId="23" xfId="0" applyFont="1" applyBorder="1"/>
    <xf numFmtId="0" fontId="15" fillId="0" borderId="0" xfId="0" applyFont="1"/>
    <xf numFmtId="0" fontId="3" fillId="0" borderId="27" xfId="0" applyFont="1" applyBorder="1" applyAlignment="1">
      <alignment horizontal="center"/>
    </xf>
    <xf numFmtId="0" fontId="0" fillId="0" borderId="23" xfId="0" applyBorder="1"/>
    <xf numFmtId="0" fontId="3" fillId="0" borderId="32" xfId="0" applyFont="1" applyBorder="1" applyAlignment="1">
      <alignment horizontal="center"/>
    </xf>
    <xf numFmtId="0" fontId="3" fillId="0" borderId="57" xfId="0" applyFont="1" applyBorder="1" applyAlignment="1">
      <alignment horizontal="center"/>
    </xf>
    <xf numFmtId="49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 indent="1"/>
    </xf>
    <xf numFmtId="2" fontId="3" fillId="0" borderId="10" xfId="0" applyNumberFormat="1" applyFont="1" applyBorder="1" applyAlignment="1">
      <alignment horizontal="center" vertical="center"/>
    </xf>
    <xf numFmtId="0" fontId="13" fillId="45" borderId="10" xfId="41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13" fillId="45" borderId="10" xfId="42" quotePrefix="1" applyFont="1" applyFill="1" applyBorder="1" applyAlignment="1">
      <alignment horizontal="center" vertical="center"/>
    </xf>
    <xf numFmtId="165" fontId="67" fillId="0" borderId="106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37" xfId="0" applyFont="1" applyBorder="1" applyAlignment="1">
      <alignment horizontal="center" vertical="center"/>
    </xf>
    <xf numFmtId="0" fontId="13" fillId="0" borderId="40" xfId="0" applyFont="1" applyBorder="1" applyAlignment="1">
      <alignment horizontal="center" vertical="center"/>
    </xf>
    <xf numFmtId="0" fontId="13" fillId="0" borderId="46" xfId="0" applyFont="1" applyBorder="1" applyAlignment="1">
      <alignment horizontal="center" vertical="center"/>
    </xf>
    <xf numFmtId="165" fontId="13" fillId="0" borderId="40" xfId="0" applyNumberFormat="1" applyFont="1" applyBorder="1" applyAlignment="1">
      <alignment horizontal="center" vertical="center"/>
    </xf>
    <xf numFmtId="0" fontId="68" fillId="0" borderId="0" xfId="0" applyFont="1"/>
    <xf numFmtId="0" fontId="69" fillId="0" borderId="0" xfId="0" applyFont="1"/>
    <xf numFmtId="47" fontId="69" fillId="0" borderId="0" xfId="0" applyNumberFormat="1" applyFont="1"/>
    <xf numFmtId="0" fontId="70" fillId="0" borderId="0" xfId="0" applyFont="1"/>
    <xf numFmtId="0" fontId="71" fillId="0" borderId="0" xfId="0" applyFont="1"/>
    <xf numFmtId="47" fontId="71" fillId="0" borderId="0" xfId="0" applyNumberFormat="1" applyFont="1"/>
    <xf numFmtId="0" fontId="6" fillId="0" borderId="19" xfId="0" applyFont="1" applyBorder="1" applyAlignment="1">
      <alignment horizontal="center" vertical="center"/>
    </xf>
    <xf numFmtId="2" fontId="6" fillId="0" borderId="19" xfId="0" applyNumberFormat="1" applyFont="1" applyBorder="1" applyAlignment="1">
      <alignment horizontal="center" vertical="center"/>
    </xf>
    <xf numFmtId="2" fontId="6" fillId="0" borderId="19" xfId="0" applyNumberFormat="1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168" fontId="6" fillId="0" borderId="19" xfId="0" applyNumberFormat="1" applyFont="1" applyBorder="1" applyAlignment="1">
      <alignment vertical="center"/>
    </xf>
    <xf numFmtId="0" fontId="6" fillId="0" borderId="18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2" fontId="6" fillId="0" borderId="0" xfId="0" applyNumberFormat="1" applyFont="1" applyAlignment="1">
      <alignment horizontal="center" vertical="center"/>
    </xf>
    <xf numFmtId="2" fontId="6" fillId="0" borderId="0" xfId="0" applyNumberFormat="1" applyFont="1" applyAlignment="1">
      <alignment vertical="center"/>
    </xf>
    <xf numFmtId="168" fontId="6" fillId="0" borderId="0" xfId="0" applyNumberFormat="1" applyFont="1" applyAlignment="1">
      <alignment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2" fontId="6" fillId="0" borderId="21" xfId="0" applyNumberFormat="1" applyFont="1" applyBorder="1" applyAlignment="1">
      <alignment horizontal="center" vertical="center"/>
    </xf>
    <xf numFmtId="2" fontId="6" fillId="0" borderId="21" xfId="0" applyNumberFormat="1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168" fontId="6" fillId="0" borderId="21" xfId="0" applyNumberFormat="1" applyFont="1" applyBorder="1" applyAlignment="1">
      <alignment vertical="center"/>
    </xf>
    <xf numFmtId="0" fontId="6" fillId="0" borderId="22" xfId="0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0" borderId="0" xfId="0" applyFont="1"/>
    <xf numFmtId="0" fontId="13" fillId="0" borderId="0" xfId="0" applyFont="1" applyAlignment="1">
      <alignment horizontal="center"/>
    </xf>
    <xf numFmtId="0" fontId="8" fillId="0" borderId="18" xfId="0" applyFont="1" applyBorder="1" applyAlignment="1">
      <alignment horizontal="center" vertical="center" wrapText="1"/>
    </xf>
    <xf numFmtId="47" fontId="57" fillId="0" borderId="10" xfId="0" applyNumberFormat="1" applyFont="1" applyBorder="1" applyAlignment="1">
      <alignment horizontal="center" vertical="center"/>
    </xf>
    <xf numFmtId="165" fontId="13" fillId="36" borderId="22" xfId="0" applyNumberFormat="1" applyFont="1" applyFill="1" applyBorder="1" applyAlignment="1">
      <alignment horizontal="center" vertical="center"/>
    </xf>
    <xf numFmtId="165" fontId="13" fillId="36" borderId="27" xfId="0" applyNumberFormat="1" applyFont="1" applyFill="1" applyBorder="1" applyAlignment="1">
      <alignment horizontal="center" vertical="center"/>
    </xf>
    <xf numFmtId="47" fontId="13" fillId="36" borderId="18" xfId="0" applyNumberFormat="1" applyFont="1" applyFill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20" fontId="64" fillId="0" borderId="74" xfId="72" applyNumberFormat="1" applyFont="1" applyBorder="1" applyAlignment="1">
      <alignment horizontal="center" vertical="center"/>
    </xf>
    <xf numFmtId="0" fontId="64" fillId="0" borderId="72" xfId="72" applyFont="1" applyBorder="1" applyAlignment="1">
      <alignment horizontal="centerContinuous" vertical="center"/>
    </xf>
    <xf numFmtId="20" fontId="64" fillId="0" borderId="91" xfId="72" applyNumberFormat="1" applyFont="1" applyBorder="1" applyAlignment="1">
      <alignment horizontal="center" vertical="center"/>
    </xf>
    <xf numFmtId="0" fontId="64" fillId="0" borderId="73" xfId="72" applyFont="1" applyBorder="1" applyAlignment="1">
      <alignment horizontal="centerContinuous" vertical="center"/>
    </xf>
    <xf numFmtId="20" fontId="64" fillId="0" borderId="75" xfId="72" applyNumberFormat="1" applyFont="1" applyBorder="1" applyAlignment="1">
      <alignment horizontal="center" vertical="center"/>
    </xf>
    <xf numFmtId="0" fontId="64" fillId="0" borderId="76" xfId="72" applyFont="1" applyBorder="1" applyAlignment="1">
      <alignment horizontal="centerContinuous" vertical="center"/>
    </xf>
    <xf numFmtId="0" fontId="3" fillId="44" borderId="99" xfId="0" applyFont="1" applyFill="1" applyBorder="1" applyAlignment="1">
      <alignment horizontal="center" vertical="center"/>
    </xf>
    <xf numFmtId="0" fontId="3" fillId="44" borderId="32" xfId="0" applyFont="1" applyFill="1" applyBorder="1" applyAlignment="1">
      <alignment horizontal="center" vertical="center" wrapText="1"/>
    </xf>
    <xf numFmtId="14" fontId="3" fillId="44" borderId="32" xfId="0" applyNumberFormat="1" applyFont="1" applyFill="1" applyBorder="1" applyAlignment="1">
      <alignment horizontal="center" vertical="center"/>
    </xf>
    <xf numFmtId="0" fontId="3" fillId="44" borderId="100" xfId="0" applyFont="1" applyFill="1" applyBorder="1" applyAlignment="1">
      <alignment horizontal="center" vertical="center"/>
    </xf>
    <xf numFmtId="0" fontId="3" fillId="0" borderId="110" xfId="0" applyFont="1" applyBorder="1" applyAlignment="1">
      <alignment horizontal="center" vertical="center" wrapText="1"/>
    </xf>
    <xf numFmtId="0" fontId="3" fillId="0" borderId="104" xfId="0" applyFont="1" applyBorder="1" applyAlignment="1">
      <alignment horizontal="center" vertical="center"/>
    </xf>
    <xf numFmtId="0" fontId="3" fillId="0" borderId="111" xfId="0" applyFont="1" applyBorder="1" applyAlignment="1">
      <alignment horizontal="center" vertical="center"/>
    </xf>
    <xf numFmtId="0" fontId="3" fillId="0" borderId="112" xfId="0" applyFont="1" applyBorder="1" applyAlignment="1">
      <alignment horizontal="center" vertical="center"/>
    </xf>
    <xf numFmtId="0" fontId="2" fillId="28" borderId="27" xfId="0" applyFont="1" applyFill="1" applyBorder="1" applyAlignment="1" applyProtection="1">
      <alignment horizontal="center" vertical="center"/>
      <protection locked="0"/>
    </xf>
    <xf numFmtId="0" fontId="3" fillId="28" borderId="27" xfId="0" applyFont="1" applyFill="1" applyBorder="1" applyAlignment="1" applyProtection="1">
      <alignment horizontal="left" vertical="center"/>
      <protection locked="0"/>
    </xf>
    <xf numFmtId="0" fontId="2" fillId="28" borderId="10" xfId="0" applyFont="1" applyFill="1" applyBorder="1" applyAlignment="1" applyProtection="1">
      <alignment horizontal="center" vertical="center"/>
      <protection locked="0"/>
    </xf>
    <xf numFmtId="0" fontId="3" fillId="28" borderId="10" xfId="0" applyFont="1" applyFill="1" applyBorder="1" applyAlignment="1" applyProtection="1">
      <alignment horizontal="left" vertical="center"/>
      <protection locked="0"/>
    </xf>
    <xf numFmtId="0" fontId="2" fillId="28" borderId="32" xfId="0" applyFont="1" applyFill="1" applyBorder="1" applyAlignment="1" applyProtection="1">
      <alignment horizontal="center" vertical="center"/>
      <protection locked="0"/>
    </xf>
    <xf numFmtId="0" fontId="3" fillId="28" borderId="32" xfId="0" applyFont="1" applyFill="1" applyBorder="1" applyAlignment="1" applyProtection="1">
      <alignment horizontal="left" vertical="center"/>
      <protection locked="0"/>
    </xf>
    <xf numFmtId="0" fontId="3" fillId="28" borderId="57" xfId="0" applyFont="1" applyFill="1" applyBorder="1" applyAlignment="1" applyProtection="1">
      <alignment horizontal="left" vertical="center"/>
      <protection locked="0"/>
    </xf>
    <xf numFmtId="14" fontId="3" fillId="28" borderId="10" xfId="0" applyNumberFormat="1" applyFont="1" applyFill="1" applyBorder="1" applyAlignment="1" applyProtection="1">
      <alignment horizontal="left" vertical="center"/>
      <protection locked="0"/>
    </xf>
    <xf numFmtId="0" fontId="3" fillId="28" borderId="57" xfId="37" applyFill="1" applyBorder="1" applyAlignment="1" applyProtection="1">
      <alignment horizontal="left" vertical="center"/>
      <protection locked="0"/>
    </xf>
    <xf numFmtId="0" fontId="3" fillId="28" borderId="10" xfId="37" applyFill="1" applyBorder="1" applyAlignment="1" applyProtection="1">
      <alignment horizontal="left" vertical="center"/>
      <protection locked="0"/>
    </xf>
    <xf numFmtId="0" fontId="60" fillId="36" borderId="23" xfId="0" applyFont="1" applyFill="1" applyBorder="1"/>
    <xf numFmtId="0" fontId="60" fillId="36" borderId="0" xfId="0" applyFont="1" applyFill="1"/>
    <xf numFmtId="0" fontId="60" fillId="36" borderId="24" xfId="0" applyFont="1" applyFill="1" applyBorder="1"/>
    <xf numFmtId="0" fontId="0" fillId="36" borderId="23" xfId="0" applyFill="1" applyBorder="1"/>
    <xf numFmtId="0" fontId="0" fillId="36" borderId="24" xfId="0" applyFill="1" applyBorder="1"/>
    <xf numFmtId="171" fontId="6" fillId="0" borderId="19" xfId="0" applyNumberFormat="1" applyFont="1" applyBorder="1" applyAlignment="1">
      <alignment vertical="center"/>
    </xf>
    <xf numFmtId="171" fontId="6" fillId="0" borderId="0" xfId="0" applyNumberFormat="1" applyFont="1" applyAlignment="1">
      <alignment vertical="center"/>
    </xf>
    <xf numFmtId="171" fontId="6" fillId="0" borderId="21" xfId="0" applyNumberFormat="1" applyFont="1" applyBorder="1" applyAlignment="1">
      <alignment vertical="center"/>
    </xf>
    <xf numFmtId="0" fontId="39" fillId="0" borderId="10" xfId="0" applyFont="1" applyBorder="1" applyAlignment="1">
      <alignment horizontal="center" vertical="center"/>
    </xf>
    <xf numFmtId="0" fontId="39" fillId="0" borderId="10" xfId="0" applyFont="1" applyBorder="1" applyAlignment="1">
      <alignment horizontal="center" vertical="center" wrapText="1"/>
    </xf>
    <xf numFmtId="1" fontId="39" fillId="0" borderId="10" xfId="0" applyNumberFormat="1" applyFont="1" applyBorder="1" applyAlignment="1">
      <alignment horizontal="center" vertical="center"/>
    </xf>
    <xf numFmtId="169" fontId="39" fillId="0" borderId="10" xfId="0" applyNumberFormat="1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2" fontId="17" fillId="0" borderId="11" xfId="0" applyNumberFormat="1" applyFont="1" applyBorder="1" applyAlignment="1">
      <alignment horizontal="center" vertical="center"/>
    </xf>
    <xf numFmtId="2" fontId="17" fillId="0" borderId="18" xfId="0" applyNumberFormat="1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1" fillId="40" borderId="53" xfId="0" applyFont="1" applyFill="1" applyBorder="1" applyAlignment="1">
      <alignment horizontal="center" vertical="center" textRotation="90"/>
    </xf>
    <xf numFmtId="0" fontId="11" fillId="40" borderId="54" xfId="0" applyFont="1" applyFill="1" applyBorder="1" applyAlignment="1">
      <alignment horizontal="center" vertical="center" textRotation="90"/>
    </xf>
    <xf numFmtId="0" fontId="11" fillId="40" borderId="55" xfId="0" applyFont="1" applyFill="1" applyBorder="1" applyAlignment="1">
      <alignment horizontal="center" vertical="center" textRotation="90"/>
    </xf>
    <xf numFmtId="2" fontId="39" fillId="0" borderId="10" xfId="0" applyNumberFormat="1" applyFont="1" applyBorder="1" applyAlignment="1">
      <alignment horizontal="center" vertical="center"/>
    </xf>
    <xf numFmtId="0" fontId="11" fillId="27" borderId="53" xfId="0" applyFont="1" applyFill="1" applyBorder="1" applyAlignment="1">
      <alignment horizontal="center" vertical="center" textRotation="90"/>
    </xf>
    <xf numFmtId="0" fontId="11" fillId="27" borderId="54" xfId="0" applyFont="1" applyFill="1" applyBorder="1" applyAlignment="1">
      <alignment horizontal="center" vertical="center" textRotation="90"/>
    </xf>
    <xf numFmtId="0" fontId="11" fillId="27" borderId="55" xfId="0" applyFont="1" applyFill="1" applyBorder="1" applyAlignment="1">
      <alignment horizontal="center" vertical="center" textRotation="90"/>
    </xf>
    <xf numFmtId="0" fontId="8" fillId="36" borderId="16" xfId="0" applyFont="1" applyFill="1" applyBorder="1" applyAlignment="1">
      <alignment horizontal="center" vertical="center"/>
    </xf>
    <xf numFmtId="0" fontId="8" fillId="36" borderId="26" xfId="0" applyFont="1" applyFill="1" applyBorder="1" applyAlignment="1">
      <alignment horizontal="center" vertical="center"/>
    </xf>
    <xf numFmtId="0" fontId="8" fillId="36" borderId="16" xfId="0" quotePrefix="1" applyFont="1" applyFill="1" applyBorder="1" applyAlignment="1">
      <alignment horizontal="center" vertical="center"/>
    </xf>
    <xf numFmtId="0" fontId="8" fillId="36" borderId="26" xfId="0" quotePrefix="1" applyFont="1" applyFill="1" applyBorder="1" applyAlignment="1">
      <alignment horizontal="center" vertical="center"/>
    </xf>
    <xf numFmtId="0" fontId="8" fillId="36" borderId="11" xfId="0" applyFont="1" applyFill="1" applyBorder="1" applyAlignment="1">
      <alignment horizontal="center" vertical="center" wrapText="1"/>
    </xf>
    <xf numFmtId="0" fontId="8" fillId="36" borderId="18" xfId="0" applyFont="1" applyFill="1" applyBorder="1" applyAlignment="1">
      <alignment horizontal="center" vertical="center" wrapText="1"/>
    </xf>
    <xf numFmtId="0" fontId="8" fillId="0" borderId="19" xfId="0" applyFont="1" applyBorder="1" applyAlignment="1">
      <alignment horizontal="center"/>
    </xf>
    <xf numFmtId="0" fontId="8" fillId="36" borderId="16" xfId="0" quotePrefix="1" applyFont="1" applyFill="1" applyBorder="1" applyAlignment="1">
      <alignment horizontal="center" vertical="center" wrapText="1"/>
    </xf>
    <xf numFmtId="0" fontId="8" fillId="36" borderId="26" xfId="0" quotePrefix="1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164" fontId="8" fillId="0" borderId="11" xfId="0" applyNumberFormat="1" applyFont="1" applyBorder="1" applyAlignment="1">
      <alignment horizontal="center" vertical="center"/>
    </xf>
    <xf numFmtId="164" fontId="8" fillId="0" borderId="18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2" fontId="17" fillId="0" borderId="19" xfId="0" applyNumberFormat="1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4" fillId="0" borderId="0" xfId="0" quotePrefix="1" applyFont="1" applyAlignment="1">
      <alignment horizontal="center" vertical="center" wrapText="1"/>
    </xf>
    <xf numFmtId="1" fontId="13" fillId="0" borderId="59" xfId="0" applyNumberFormat="1" applyFont="1" applyBorder="1" applyAlignment="1">
      <alignment horizontal="center" vertical="center"/>
    </xf>
    <xf numFmtId="1" fontId="13" fillId="0" borderId="103" xfId="0" applyNumberFormat="1" applyFont="1" applyBorder="1" applyAlignment="1">
      <alignment horizontal="center" vertical="center"/>
    </xf>
    <xf numFmtId="169" fontId="13" fillId="0" borderId="45" xfId="0" applyNumberFormat="1" applyFont="1" applyBorder="1" applyAlignment="1">
      <alignment horizontal="center" vertical="center"/>
    </xf>
    <xf numFmtId="169" fontId="13" fillId="0" borderId="43" xfId="0" applyNumberFormat="1" applyFont="1" applyBorder="1" applyAlignment="1">
      <alignment horizontal="center" vertical="center"/>
    </xf>
    <xf numFmtId="0" fontId="3" fillId="36" borderId="10" xfId="0" quotePrefix="1" applyFont="1" applyFill="1" applyBorder="1" applyAlignment="1">
      <alignment horizontal="left" vertical="center" wrapText="1" indent="2"/>
    </xf>
    <xf numFmtId="0" fontId="3" fillId="36" borderId="11" xfId="0" quotePrefix="1" applyFont="1" applyFill="1" applyBorder="1" applyAlignment="1">
      <alignment horizontal="left" vertical="center" wrapText="1" indent="2"/>
    </xf>
    <xf numFmtId="0" fontId="3" fillId="36" borderId="19" xfId="0" quotePrefix="1" applyFont="1" applyFill="1" applyBorder="1" applyAlignment="1">
      <alignment horizontal="left" vertical="center" wrapText="1" indent="2"/>
    </xf>
    <xf numFmtId="0" fontId="3" fillId="36" borderId="18" xfId="0" quotePrefix="1" applyFont="1" applyFill="1" applyBorder="1" applyAlignment="1">
      <alignment horizontal="left" vertical="center" wrapText="1" indent="2"/>
    </xf>
    <xf numFmtId="0" fontId="3" fillId="36" borderId="10" xfId="0" applyFont="1" applyFill="1" applyBorder="1" applyAlignment="1">
      <alignment horizontal="left" vertical="center" wrapText="1" indent="2"/>
    </xf>
    <xf numFmtId="0" fontId="13" fillId="0" borderId="101" xfId="0" applyFont="1" applyBorder="1" applyAlignment="1">
      <alignment horizontal="center" vertical="center" wrapText="1"/>
    </xf>
    <xf numFmtId="0" fontId="13" fillId="0" borderId="103" xfId="0" applyFont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/>
    </xf>
    <xf numFmtId="0" fontId="13" fillId="0" borderId="44" xfId="0" applyFont="1" applyBorder="1" applyAlignment="1">
      <alignment horizontal="center" vertical="center"/>
    </xf>
    <xf numFmtId="0" fontId="13" fillId="0" borderId="101" xfId="0" applyFont="1" applyBorder="1" applyAlignment="1">
      <alignment horizontal="center" vertical="center"/>
    </xf>
    <xf numFmtId="0" fontId="13" fillId="0" borderId="102" xfId="0" applyFont="1" applyBorder="1" applyAlignment="1">
      <alignment horizontal="center" vertical="center"/>
    </xf>
    <xf numFmtId="0" fontId="61" fillId="36" borderId="13" xfId="0" applyFont="1" applyFill="1" applyBorder="1" applyAlignment="1">
      <alignment horizontal="center" vertical="center" wrapText="1"/>
    </xf>
    <xf numFmtId="0" fontId="61" fillId="36" borderId="14" xfId="0" applyFont="1" applyFill="1" applyBorder="1" applyAlignment="1">
      <alignment horizontal="center" vertical="center" wrapText="1"/>
    </xf>
    <xf numFmtId="0" fontId="61" fillId="36" borderId="15" xfId="0" applyFont="1" applyFill="1" applyBorder="1" applyAlignment="1">
      <alignment horizontal="center" vertical="center" wrapText="1"/>
    </xf>
    <xf numFmtId="0" fontId="61" fillId="36" borderId="25" xfId="0" applyFont="1" applyFill="1" applyBorder="1" applyAlignment="1">
      <alignment horizontal="center" vertical="center" wrapText="1"/>
    </xf>
    <xf numFmtId="0" fontId="61" fillId="36" borderId="21" xfId="0" applyFont="1" applyFill="1" applyBorder="1" applyAlignment="1">
      <alignment horizontal="center" vertical="center" wrapText="1"/>
    </xf>
    <xf numFmtId="0" fontId="61" fillId="36" borderId="22" xfId="0" applyFont="1" applyFill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13" fillId="36" borderId="13" xfId="0" applyFont="1" applyFill="1" applyBorder="1" applyAlignment="1">
      <alignment horizontal="center" vertical="center" wrapText="1"/>
    </xf>
    <xf numFmtId="0" fontId="13" fillId="36" borderId="14" xfId="0" applyFont="1" applyFill="1" applyBorder="1" applyAlignment="1">
      <alignment horizontal="center" vertical="center" wrapText="1"/>
    </xf>
    <xf numFmtId="0" fontId="13" fillId="36" borderId="15" xfId="0" applyFont="1" applyFill="1" applyBorder="1" applyAlignment="1">
      <alignment horizontal="center" vertical="center" wrapText="1"/>
    </xf>
    <xf numFmtId="0" fontId="13" fillId="36" borderId="23" xfId="0" applyFont="1" applyFill="1" applyBorder="1" applyAlignment="1">
      <alignment horizontal="center" vertical="center" wrapText="1"/>
    </xf>
    <xf numFmtId="0" fontId="13" fillId="36" borderId="0" xfId="0" applyFont="1" applyFill="1" applyAlignment="1">
      <alignment horizontal="center" vertical="center" wrapText="1"/>
    </xf>
    <xf numFmtId="0" fontId="13" fillId="36" borderId="24" xfId="0" applyFont="1" applyFill="1" applyBorder="1" applyAlignment="1">
      <alignment horizontal="center" vertical="center" wrapText="1"/>
    </xf>
    <xf numFmtId="0" fontId="13" fillId="36" borderId="23" xfId="0" applyFont="1" applyFill="1" applyBorder="1" applyAlignment="1">
      <alignment vertical="center"/>
    </xf>
    <xf numFmtId="0" fontId="13" fillId="36" borderId="0" xfId="0" applyFont="1" applyFill="1" applyAlignment="1">
      <alignment vertical="center"/>
    </xf>
    <xf numFmtId="0" fontId="13" fillId="36" borderId="24" xfId="0" applyFont="1" applyFill="1" applyBorder="1" applyAlignment="1">
      <alignment vertical="center"/>
    </xf>
    <xf numFmtId="0" fontId="13" fillId="36" borderId="25" xfId="0" applyFont="1" applyFill="1" applyBorder="1" applyAlignment="1">
      <alignment vertical="center"/>
    </xf>
    <xf numFmtId="0" fontId="13" fillId="36" borderId="21" xfId="0" applyFont="1" applyFill="1" applyBorder="1" applyAlignment="1">
      <alignment vertical="center"/>
    </xf>
    <xf numFmtId="0" fontId="13" fillId="36" borderId="22" xfId="0" applyFont="1" applyFill="1" applyBorder="1" applyAlignment="1">
      <alignment vertical="center"/>
    </xf>
    <xf numFmtId="0" fontId="11" fillId="0" borderId="105" xfId="0" applyFont="1" applyBorder="1" applyAlignment="1">
      <alignment horizontal="center" vertical="center" textRotation="90"/>
    </xf>
    <xf numFmtId="0" fontId="11" fillId="0" borderId="26" xfId="0" applyFont="1" applyBorder="1" applyAlignment="1">
      <alignment horizontal="center" vertical="center" textRotation="90"/>
    </xf>
    <xf numFmtId="0" fontId="11" fillId="0" borderId="104" xfId="0" applyFont="1" applyBorder="1" applyAlignment="1">
      <alignment horizontal="center" vertical="center" textRotation="90"/>
    </xf>
    <xf numFmtId="14" fontId="13" fillId="0" borderId="11" xfId="0" applyNumberFormat="1" applyFont="1" applyBorder="1" applyAlignment="1">
      <alignment horizontal="center" vertical="center"/>
    </xf>
    <xf numFmtId="14" fontId="13" fillId="0" borderId="18" xfId="0" applyNumberFormat="1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2" fillId="36" borderId="13" xfId="0" applyFont="1" applyFill="1" applyBorder="1" applyAlignment="1">
      <alignment horizontal="center" vertical="center" wrapText="1"/>
    </xf>
    <xf numFmtId="0" fontId="12" fillId="36" borderId="14" xfId="0" applyFont="1" applyFill="1" applyBorder="1" applyAlignment="1">
      <alignment horizontal="center" vertical="center" wrapText="1"/>
    </xf>
    <xf numFmtId="0" fontId="12" fillId="36" borderId="15" xfId="0" applyFont="1" applyFill="1" applyBorder="1" applyAlignment="1">
      <alignment horizontal="center" vertical="center" wrapText="1"/>
    </xf>
    <xf numFmtId="0" fontId="12" fillId="36" borderId="23" xfId="0" applyFont="1" applyFill="1" applyBorder="1" applyAlignment="1">
      <alignment horizontal="center" vertical="center" wrapText="1"/>
    </xf>
    <xf numFmtId="0" fontId="12" fillId="36" borderId="0" xfId="0" applyFont="1" applyFill="1" applyAlignment="1">
      <alignment horizontal="center" vertical="center" wrapText="1"/>
    </xf>
    <xf numFmtId="0" fontId="12" fillId="36" borderId="24" xfId="0" applyFont="1" applyFill="1" applyBorder="1" applyAlignment="1">
      <alignment horizontal="center" vertical="center" wrapText="1"/>
    </xf>
    <xf numFmtId="0" fontId="12" fillId="36" borderId="25" xfId="0" applyFont="1" applyFill="1" applyBorder="1" applyAlignment="1">
      <alignment horizontal="center" vertical="center" wrapText="1"/>
    </xf>
    <xf numFmtId="0" fontId="12" fillId="36" borderId="21" xfId="0" applyFont="1" applyFill="1" applyBorder="1" applyAlignment="1">
      <alignment horizontal="center" vertical="center" wrapText="1"/>
    </xf>
    <xf numFmtId="0" fontId="12" fillId="36" borderId="22" xfId="0" applyFont="1" applyFill="1" applyBorder="1" applyAlignment="1">
      <alignment horizontal="center" vertical="center" wrapText="1"/>
    </xf>
    <xf numFmtId="0" fontId="12" fillId="36" borderId="13" xfId="0" applyFont="1" applyFill="1" applyBorder="1" applyAlignment="1">
      <alignment horizontal="center" wrapText="1"/>
    </xf>
    <xf numFmtId="0" fontId="12" fillId="36" borderId="14" xfId="0" applyFont="1" applyFill="1" applyBorder="1" applyAlignment="1">
      <alignment horizontal="center" wrapText="1"/>
    </xf>
    <xf numFmtId="0" fontId="12" fillId="36" borderId="15" xfId="0" applyFont="1" applyFill="1" applyBorder="1" applyAlignment="1">
      <alignment horizontal="center" wrapText="1"/>
    </xf>
    <xf numFmtId="0" fontId="12" fillId="36" borderId="23" xfId="0" applyFont="1" applyFill="1" applyBorder="1" applyAlignment="1">
      <alignment horizontal="center" wrapText="1"/>
    </xf>
    <xf numFmtId="0" fontId="12" fillId="36" borderId="0" xfId="0" applyFont="1" applyFill="1" applyAlignment="1">
      <alignment horizontal="center" wrapText="1"/>
    </xf>
    <xf numFmtId="0" fontId="12" fillId="36" borderId="24" xfId="0" applyFont="1" applyFill="1" applyBorder="1" applyAlignment="1">
      <alignment horizontal="center" wrapText="1"/>
    </xf>
    <xf numFmtId="0" fontId="12" fillId="36" borderId="25" xfId="0" applyFont="1" applyFill="1" applyBorder="1" applyAlignment="1">
      <alignment horizontal="center" wrapText="1"/>
    </xf>
    <xf numFmtId="0" fontId="12" fillId="36" borderId="21" xfId="0" applyFont="1" applyFill="1" applyBorder="1" applyAlignment="1">
      <alignment horizontal="center" wrapText="1"/>
    </xf>
    <xf numFmtId="0" fontId="12" fillId="36" borderId="22" xfId="0" applyFont="1" applyFill="1" applyBorder="1" applyAlignment="1">
      <alignment horizontal="center" wrapText="1"/>
    </xf>
    <xf numFmtId="0" fontId="0" fillId="0" borderId="1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13" fillId="0" borderId="87" xfId="70" applyFont="1" applyBorder="1" applyAlignment="1">
      <alignment horizontal="center" vertical="center"/>
    </xf>
    <xf numFmtId="0" fontId="13" fillId="0" borderId="88" xfId="70" applyFont="1" applyBorder="1" applyAlignment="1">
      <alignment horizontal="center" vertical="center"/>
    </xf>
    <xf numFmtId="0" fontId="13" fillId="0" borderId="89" xfId="70" applyFont="1" applyBorder="1" applyAlignment="1">
      <alignment horizontal="center" vertical="center"/>
    </xf>
    <xf numFmtId="0" fontId="13" fillId="0" borderId="90" xfId="70" applyFont="1" applyBorder="1" applyAlignment="1">
      <alignment horizontal="center" vertical="center"/>
    </xf>
    <xf numFmtId="0" fontId="13" fillId="0" borderId="58" xfId="70" applyFont="1" applyBorder="1" applyAlignment="1">
      <alignment horizontal="center" vertical="center"/>
    </xf>
    <xf numFmtId="0" fontId="13" fillId="0" borderId="10" xfId="70" applyFont="1" applyBorder="1" applyAlignment="1">
      <alignment horizontal="center" vertical="center"/>
    </xf>
    <xf numFmtId="0" fontId="13" fillId="0" borderId="11" xfId="70" applyFont="1" applyBorder="1" applyAlignment="1">
      <alignment horizontal="center" vertical="center"/>
    </xf>
    <xf numFmtId="0" fontId="13" fillId="0" borderId="85" xfId="70" applyFont="1" applyBorder="1" applyAlignment="1">
      <alignment horizontal="center" vertical="center"/>
    </xf>
    <xf numFmtId="0" fontId="13" fillId="36" borderId="10" xfId="70" applyFont="1" applyFill="1" applyBorder="1" applyAlignment="1">
      <alignment horizontal="center" vertical="center"/>
    </xf>
    <xf numFmtId="0" fontId="13" fillId="0" borderId="10" xfId="70" quotePrefix="1" applyFont="1" applyBorder="1" applyAlignment="1">
      <alignment horizontal="center" vertical="center"/>
    </xf>
    <xf numFmtId="0" fontId="13" fillId="0" borderId="11" xfId="70" quotePrefix="1" applyFont="1" applyBorder="1" applyAlignment="1">
      <alignment horizontal="center" vertical="center"/>
    </xf>
    <xf numFmtId="0" fontId="13" fillId="36" borderId="11" xfId="70" applyFont="1" applyFill="1" applyBorder="1" applyAlignment="1">
      <alignment horizontal="center" vertical="center"/>
    </xf>
    <xf numFmtId="0" fontId="13" fillId="0" borderId="19" xfId="70" applyFont="1" applyBorder="1" applyAlignment="1">
      <alignment horizontal="center" vertical="center"/>
    </xf>
    <xf numFmtId="0" fontId="13" fillId="0" borderId="39" xfId="70" applyFont="1" applyBorder="1" applyAlignment="1">
      <alignment horizontal="center" vertical="center"/>
    </xf>
    <xf numFmtId="0" fontId="15" fillId="0" borderId="78" xfId="70" applyFont="1" applyBorder="1" applyAlignment="1">
      <alignment horizontal="center" vertical="center"/>
    </xf>
    <xf numFmtId="0" fontId="15" fillId="0" borderId="79" xfId="70" applyFont="1" applyBorder="1" applyAlignment="1">
      <alignment horizontal="center" vertical="center"/>
    </xf>
    <xf numFmtId="0" fontId="15" fillId="0" borderId="80" xfId="70" applyFont="1" applyBorder="1" applyAlignment="1">
      <alignment horizontal="center" vertical="center"/>
    </xf>
    <xf numFmtId="0" fontId="15" fillId="0" borderId="81" xfId="70" applyFont="1" applyBorder="1" applyAlignment="1">
      <alignment horizontal="center" vertical="center"/>
    </xf>
    <xf numFmtId="0" fontId="13" fillId="0" borderId="56" xfId="70" applyFont="1" applyBorder="1" applyAlignment="1">
      <alignment horizontal="center" vertical="center"/>
    </xf>
    <xf numFmtId="0" fontId="13" fillId="0" borderId="57" xfId="70" applyFont="1" applyBorder="1" applyAlignment="1">
      <alignment horizontal="center" vertical="center"/>
    </xf>
    <xf numFmtId="0" fontId="13" fillId="36" borderId="57" xfId="70" applyFont="1" applyFill="1" applyBorder="1" applyAlignment="1">
      <alignment horizontal="center" vertical="center"/>
    </xf>
    <xf numFmtId="0" fontId="13" fillId="36" borderId="59" xfId="70" applyFont="1" applyFill="1" applyBorder="1" applyAlignment="1">
      <alignment horizontal="center" vertical="center"/>
    </xf>
    <xf numFmtId="0" fontId="13" fillId="0" borderId="83" xfId="70" applyFont="1" applyBorder="1" applyAlignment="1">
      <alignment horizontal="center" vertical="center"/>
    </xf>
    <xf numFmtId="0" fontId="13" fillId="0" borderId="10" xfId="41" applyFont="1" applyBorder="1" applyAlignment="1">
      <alignment horizontal="center" vertical="center"/>
    </xf>
    <xf numFmtId="0" fontId="12" fillId="0" borderId="11" xfId="41" quotePrefix="1" applyFont="1" applyBorder="1" applyAlignment="1">
      <alignment horizontal="center" vertical="center"/>
    </xf>
    <xf numFmtId="0" fontId="12" fillId="0" borderId="19" xfId="41" applyFont="1" applyBorder="1" applyAlignment="1">
      <alignment horizontal="center" vertical="center"/>
    </xf>
    <xf numFmtId="0" fontId="12" fillId="0" borderId="18" xfId="41" applyFont="1" applyBorder="1" applyAlignment="1">
      <alignment horizontal="center" vertical="center"/>
    </xf>
    <xf numFmtId="0" fontId="6" fillId="0" borderId="11" xfId="41" applyFont="1" applyBorder="1" applyAlignment="1">
      <alignment horizontal="left" vertical="center" wrapText="1" indent="1"/>
    </xf>
    <xf numFmtId="0" fontId="6" fillId="0" borderId="19" xfId="41" applyFont="1" applyBorder="1" applyAlignment="1">
      <alignment horizontal="left" vertical="center" wrapText="1" indent="1"/>
    </xf>
    <xf numFmtId="0" fontId="6" fillId="0" borderId="18" xfId="41" applyFont="1" applyBorder="1" applyAlignment="1">
      <alignment horizontal="left" vertical="center" wrapText="1" indent="1"/>
    </xf>
    <xf numFmtId="0" fontId="6" fillId="0" borderId="10" xfId="41" quotePrefix="1" applyFont="1" applyBorder="1" applyAlignment="1">
      <alignment horizontal="center" vertical="center"/>
    </xf>
    <xf numFmtId="0" fontId="13" fillId="0" borderId="10" xfId="42" applyFont="1" applyBorder="1" applyAlignment="1">
      <alignment horizontal="center" vertical="center"/>
    </xf>
    <xf numFmtId="0" fontId="8" fillId="0" borderId="13" xfId="42" applyFont="1" applyBorder="1" applyAlignment="1">
      <alignment horizontal="center" vertical="center" wrapText="1"/>
    </xf>
    <xf numFmtId="0" fontId="8" fillId="0" borderId="15" xfId="42" applyFont="1" applyBorder="1" applyAlignment="1">
      <alignment horizontal="center" vertical="center" wrapText="1"/>
    </xf>
    <xf numFmtId="0" fontId="8" fillId="0" borderId="23" xfId="42" applyFont="1" applyBorder="1" applyAlignment="1">
      <alignment horizontal="center" vertical="center" wrapText="1"/>
    </xf>
    <xf numFmtId="0" fontId="8" fillId="0" borderId="24" xfId="42" applyFont="1" applyBorder="1" applyAlignment="1">
      <alignment horizontal="center" vertical="center" wrapText="1"/>
    </xf>
    <xf numFmtId="0" fontId="8" fillId="0" borderId="25" xfId="42" applyFont="1" applyBorder="1" applyAlignment="1">
      <alignment horizontal="center" vertical="center" wrapText="1"/>
    </xf>
    <xf numFmtId="0" fontId="8" fillId="0" borderId="22" xfId="42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69" fontId="8" fillId="0" borderId="10" xfId="0" applyNumberFormat="1" applyFont="1" applyBorder="1" applyAlignment="1">
      <alignment horizontal="center" vertical="center"/>
    </xf>
    <xf numFmtId="0" fontId="15" fillId="36" borderId="0" xfId="0" quotePrefix="1" applyFont="1" applyFill="1" applyAlignment="1">
      <alignment horizontal="center" vertical="center"/>
    </xf>
    <xf numFmtId="0" fontId="15" fillId="38" borderId="29" xfId="0" applyFont="1" applyFill="1" applyBorder="1" applyAlignment="1">
      <alignment horizontal="center" vertical="center"/>
    </xf>
    <xf numFmtId="0" fontId="15" fillId="38" borderId="30" xfId="0" applyFont="1" applyFill="1" applyBorder="1" applyAlignment="1">
      <alignment horizontal="center" vertical="center"/>
    </xf>
    <xf numFmtId="0" fontId="15" fillId="38" borderId="31" xfId="0" applyFont="1" applyFill="1" applyBorder="1" applyAlignment="1">
      <alignment horizontal="center" vertical="center"/>
    </xf>
    <xf numFmtId="0" fontId="13" fillId="36" borderId="35" xfId="0" applyFont="1" applyFill="1" applyBorder="1" applyAlignment="1">
      <alignment horizontal="center" vertical="center"/>
    </xf>
    <xf numFmtId="0" fontId="13" fillId="36" borderId="21" xfId="0" applyFont="1" applyFill="1" applyBorder="1" applyAlignment="1">
      <alignment horizontal="center" vertical="center"/>
    </xf>
    <xf numFmtId="0" fontId="13" fillId="36" borderId="36" xfId="0" applyFont="1" applyFill="1" applyBorder="1" applyAlignment="1">
      <alignment horizontal="center" vertical="center"/>
    </xf>
    <xf numFmtId="0" fontId="13" fillId="36" borderId="38" xfId="0" applyFont="1" applyFill="1" applyBorder="1" applyAlignment="1">
      <alignment horizontal="center" vertical="center"/>
    </xf>
    <xf numFmtId="0" fontId="13" fillId="36" borderId="19" xfId="0" applyFont="1" applyFill="1" applyBorder="1" applyAlignment="1">
      <alignment horizontal="center" vertical="center"/>
    </xf>
    <xf numFmtId="0" fontId="13" fillId="36" borderId="39" xfId="0" applyFont="1" applyFill="1" applyBorder="1" applyAlignment="1">
      <alignment horizontal="center" vertical="center"/>
    </xf>
    <xf numFmtId="0" fontId="13" fillId="0" borderId="107" xfId="0" applyFont="1" applyBorder="1" applyAlignment="1">
      <alignment horizontal="center" vertical="center"/>
    </xf>
    <xf numFmtId="0" fontId="13" fillId="0" borderId="108" xfId="0" applyFont="1" applyBorder="1" applyAlignment="1">
      <alignment horizontal="center" vertical="center"/>
    </xf>
    <xf numFmtId="0" fontId="13" fillId="0" borderId="109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164" fontId="3" fillId="36" borderId="0" xfId="0" applyNumberFormat="1" applyFont="1" applyFill="1" applyAlignment="1">
      <alignment horizontal="center" vertical="center"/>
    </xf>
    <xf numFmtId="164" fontId="0" fillId="36" borderId="0" xfId="0" applyNumberFormat="1" applyFill="1" applyAlignment="1">
      <alignment horizontal="center" vertical="center"/>
    </xf>
    <xf numFmtId="0" fontId="0" fillId="36" borderId="0" xfId="0" applyFill="1" applyAlignment="1">
      <alignment horizontal="center" vertical="center"/>
    </xf>
    <xf numFmtId="0" fontId="15" fillId="39" borderId="29" xfId="0" applyFont="1" applyFill="1" applyBorder="1" applyAlignment="1">
      <alignment horizontal="center" vertical="center"/>
    </xf>
    <xf numFmtId="0" fontId="15" fillId="39" borderId="30" xfId="0" applyFont="1" applyFill="1" applyBorder="1" applyAlignment="1">
      <alignment horizontal="center" vertical="center"/>
    </xf>
    <xf numFmtId="0" fontId="15" fillId="39" borderId="31" xfId="0" applyFont="1" applyFill="1" applyBorder="1" applyAlignment="1">
      <alignment horizontal="center" vertical="center"/>
    </xf>
    <xf numFmtId="164" fontId="72" fillId="36" borderId="0" xfId="0" applyNumberFormat="1" applyFont="1" applyFill="1" applyAlignment="1">
      <alignment horizontal="center" vertical="center"/>
    </xf>
  </cellXfs>
  <cellStyles count="73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 2" xfId="5" xr:uid="{00000000-0005-0000-0000-000004000000}"/>
    <cellStyle name="20% - Accent6 2" xfId="6" xr:uid="{00000000-0005-0000-0000-000005000000}"/>
    <cellStyle name="40% - Accent1 2" xfId="7" xr:uid="{00000000-0005-0000-0000-000006000000}"/>
    <cellStyle name="40% - Accent2 2" xfId="8" xr:uid="{00000000-0005-0000-0000-000007000000}"/>
    <cellStyle name="40% - Accent3 2" xfId="9" xr:uid="{00000000-0005-0000-0000-000008000000}"/>
    <cellStyle name="40% - Accent4 2" xfId="10" xr:uid="{00000000-0005-0000-0000-000009000000}"/>
    <cellStyle name="40% - Accent5 2" xfId="11" xr:uid="{00000000-0005-0000-0000-00000A000000}"/>
    <cellStyle name="40% - Accent6 2" xfId="12" xr:uid="{00000000-0005-0000-0000-00000B000000}"/>
    <cellStyle name="60% - Accent1 2" xfId="13" xr:uid="{00000000-0005-0000-0000-00000C000000}"/>
    <cellStyle name="60% - Accent2 2" xfId="14" xr:uid="{00000000-0005-0000-0000-00000D000000}"/>
    <cellStyle name="60% - Accent3 2" xfId="15" xr:uid="{00000000-0005-0000-0000-00000E000000}"/>
    <cellStyle name="60% - Accent4 2" xfId="16" xr:uid="{00000000-0005-0000-0000-00000F000000}"/>
    <cellStyle name="60% - Accent5 2" xfId="17" xr:uid="{00000000-0005-0000-0000-000010000000}"/>
    <cellStyle name="60% - Accent6 2" xfId="18" xr:uid="{00000000-0005-0000-0000-000011000000}"/>
    <cellStyle name="Accent" xfId="56" xr:uid="{C16D5971-1039-4F0F-803B-F0F067800B1C}"/>
    <cellStyle name="Accent 1" xfId="57" xr:uid="{97E7C2E8-9C37-47A9-9615-2C806695ECE4}"/>
    <cellStyle name="Accent 2" xfId="58" xr:uid="{4724916E-941A-4B70-BB59-41BDDACCF626}"/>
    <cellStyle name="Accent 3" xfId="59" xr:uid="{A33091A2-6D7A-4F77-AC29-7A9674D3B93C}"/>
    <cellStyle name="Accent1 2" xfId="19" xr:uid="{00000000-0005-0000-0000-000012000000}"/>
    <cellStyle name="Accent2 2" xfId="20" xr:uid="{00000000-0005-0000-0000-000013000000}"/>
    <cellStyle name="Accent3 2" xfId="21" xr:uid="{00000000-0005-0000-0000-000014000000}"/>
    <cellStyle name="Accent4 2" xfId="22" xr:uid="{00000000-0005-0000-0000-000015000000}"/>
    <cellStyle name="Accent5 2" xfId="23" xr:uid="{00000000-0005-0000-0000-000016000000}"/>
    <cellStyle name="Accent6 2" xfId="24" xr:uid="{00000000-0005-0000-0000-000017000000}"/>
    <cellStyle name="Bad 2" xfId="25" xr:uid="{00000000-0005-0000-0000-000018000000}"/>
    <cellStyle name="Bad 3" xfId="53" xr:uid="{90E22B5B-C3CB-4678-8BB9-DB4BE3A31503}"/>
    <cellStyle name="Calculation 2" xfId="26" xr:uid="{00000000-0005-0000-0000-000019000000}"/>
    <cellStyle name="Check Cell 2" xfId="27" xr:uid="{00000000-0005-0000-0000-00001A000000}"/>
    <cellStyle name="Error" xfId="60" xr:uid="{1A090923-7587-41B7-9E99-E385E63DE78B}"/>
    <cellStyle name="Explanatory Text 2" xfId="28" xr:uid="{00000000-0005-0000-0000-00001B000000}"/>
    <cellStyle name="Footnote" xfId="61" xr:uid="{F4A30BFF-1F9B-4477-8A2F-D3535BA91D03}"/>
    <cellStyle name="Good 2" xfId="29" xr:uid="{00000000-0005-0000-0000-00001C000000}"/>
    <cellStyle name="Good 3" xfId="52" xr:uid="{ADD49D7A-C30F-4B1B-9C3A-A14CC0DC28BD}"/>
    <cellStyle name="Heading" xfId="62" xr:uid="{C129309D-A267-4B65-AE37-33C2F2D1A31B}"/>
    <cellStyle name="Heading 1 2" xfId="30" xr:uid="{00000000-0005-0000-0000-00001D000000}"/>
    <cellStyle name="Heading 1 3" xfId="50" xr:uid="{FD83CBD2-4B0C-44EC-99E0-66473FC4BDF5}"/>
    <cellStyle name="Heading 2 2" xfId="31" xr:uid="{00000000-0005-0000-0000-00001E000000}"/>
    <cellStyle name="Heading 2 3" xfId="51" xr:uid="{BE0540E6-EE2F-487A-B796-ABC88D2DB752}"/>
    <cellStyle name="Heading 3 2" xfId="32" xr:uid="{00000000-0005-0000-0000-00001F000000}"/>
    <cellStyle name="Heading 4 2" xfId="33" xr:uid="{00000000-0005-0000-0000-000020000000}"/>
    <cellStyle name="Hyperlink 2" xfId="63" xr:uid="{BDF53DD7-0452-4F66-A30A-AEE10BC9127C}"/>
    <cellStyle name="Input 2" xfId="34" xr:uid="{00000000-0005-0000-0000-000022000000}"/>
    <cellStyle name="Linked Cell 2" xfId="35" xr:uid="{00000000-0005-0000-0000-000023000000}"/>
    <cellStyle name="Neutral 2" xfId="36" xr:uid="{00000000-0005-0000-0000-000024000000}"/>
    <cellStyle name="Neutral 3" xfId="54" xr:uid="{2897DDB8-673C-49A4-A8D0-24B05A6401AE}"/>
    <cellStyle name="Normal" xfId="0" builtinId="0"/>
    <cellStyle name="Normal 2" xfId="37" xr:uid="{00000000-0005-0000-0000-000026000000}"/>
    <cellStyle name="Normal 2 2" xfId="38" xr:uid="{00000000-0005-0000-0000-000027000000}"/>
    <cellStyle name="Normal 2 3" xfId="39" xr:uid="{00000000-0005-0000-0000-000028000000}"/>
    <cellStyle name="Normal 2 3 2" xfId="68" xr:uid="{B3D8BA7F-2BE5-4171-8415-EC9C84C13BB0}"/>
    <cellStyle name="Normal 3" xfId="48" xr:uid="{97993F41-C010-419C-83DE-1F93617A1C93}"/>
    <cellStyle name="Normal 4" xfId="49" xr:uid="{99E4D6BB-699C-41E2-8018-E3DA292DAF03}"/>
    <cellStyle name="Normal 6" xfId="72" xr:uid="{BD007259-EC70-6D4B-BA90-D5B9E3D1A070}"/>
    <cellStyle name="Normal 7" xfId="70" xr:uid="{1A592AAC-909D-C848-9663-B5827AFA802C}"/>
    <cellStyle name="Normal_2011 Wessex scoresheet V3  AW" xfId="40" xr:uid="{00000000-0005-0000-0000-000029000000}"/>
    <cellStyle name="Normal_NYAL OXFORD" xfId="71" xr:uid="{F9CA6B8D-9C7C-4E42-B963-9E25252EF69B}"/>
    <cellStyle name="Normal_SCORE SHEETS" xfId="41" xr:uid="{00000000-0005-0000-0000-00002A000000}"/>
    <cellStyle name="Normal_u11g VORTEX" xfId="42" xr:uid="{00000000-0005-0000-0000-00002B000000}"/>
    <cellStyle name="Note 2" xfId="43" xr:uid="{00000000-0005-0000-0000-00002C000000}"/>
    <cellStyle name="Note 2 2" xfId="69" xr:uid="{61E4263C-8593-49C3-A2D5-EF18C559BD6A}"/>
    <cellStyle name="Note 3" xfId="55" xr:uid="{42466AE9-88EC-4C93-8A93-AC219F4FC352}"/>
    <cellStyle name="Output 2" xfId="44" xr:uid="{00000000-0005-0000-0000-00002D000000}"/>
    <cellStyle name="Result" xfId="64" xr:uid="{EB81B29B-0815-48C3-922E-6FA8509C0C33}"/>
    <cellStyle name="Status" xfId="65" xr:uid="{7E8900FC-872E-4D7F-A4FF-CEC0DDF07BC6}"/>
    <cellStyle name="Text" xfId="66" xr:uid="{14AE165C-9DFD-4F39-933B-C89276E8E000}"/>
    <cellStyle name="Title 2" xfId="45" xr:uid="{00000000-0005-0000-0000-00002E000000}"/>
    <cellStyle name="Total 2" xfId="46" xr:uid="{00000000-0005-0000-0000-00002F000000}"/>
    <cellStyle name="Warning" xfId="67" xr:uid="{DCDDB0A3-2FFD-44BC-B0F2-4E0E64E63843}"/>
    <cellStyle name="Warning Text 2" xfId="47" xr:uid="{00000000-0005-0000-0000-000030000000}"/>
  </cellStyles>
  <dxfs count="39"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rgb="FF9C0006"/>
      </font>
      <fill>
        <patternFill>
          <bgColor rgb="FFFFC7CE"/>
        </patternFill>
      </fill>
    </dxf>
    <dxf>
      <fill>
        <patternFill>
          <bgColor rgb="FFEB8EBC"/>
        </patternFill>
      </fill>
    </dxf>
    <dxf>
      <fill>
        <patternFill>
          <bgColor rgb="FF91C2F1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theme="4" tint="0.79998168889431442"/>
        </patternFill>
      </fill>
    </dxf>
  </dxfs>
  <tableStyles count="0" defaultTableStyle="TableStyleMedium9" defaultPivotStyle="PivotStyleLight16"/>
  <colors>
    <mruColors>
      <color rgb="FFFF6600"/>
      <color rgb="FFFF00FF"/>
      <color rgb="FFFFFFB6"/>
      <color rgb="FFFFFF66"/>
      <color rgb="FF9ACDFF"/>
      <color rgb="FFEB8EBC"/>
      <color rgb="FF91C2F1"/>
      <color rgb="FFFF99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eetMetadata" Target="metadata.xml"/><Relationship Id="rId3" Type="http://schemas.openxmlformats.org/officeDocument/2006/relationships/worksheet" Target="worksheets/sheet3.xml"/><Relationship Id="rId21" Type="http://schemas.microsoft.com/office/2017/06/relationships/rdRichValueTypes" Target="richData/rdRichValueTyp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microsoft.com/office/2017/06/relationships/rdRichValueStructure" Target="richData/rdrichvaluestructure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13</v>
    <v>3</v>
  </rv>
</rvData>
</file>

<file path=xl/richData/rdrichvaluestructure.xml><?xml version="1.0" encoding="utf-8"?>
<rvStructures xmlns="http://schemas.microsoft.com/office/spreadsheetml/2017/richdata" count="1">
  <s t="_error">
    <k n="errorType" t="i"/>
    <k n="subType" t="i"/>
  </s>
</rvStructur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rgb="FFFF6600"/>
  </sheetPr>
  <dimension ref="A1:Y26"/>
  <sheetViews>
    <sheetView zoomScaleNormal="70" workbookViewId="0">
      <selection activeCell="H20" sqref="H20"/>
    </sheetView>
  </sheetViews>
  <sheetFormatPr baseColWidth="10" defaultColWidth="9.1640625" defaultRowHeight="22" customHeight="1"/>
  <cols>
    <col min="1" max="4" width="13.33203125" style="229" customWidth="1"/>
    <col min="5" max="9" width="20" style="229" customWidth="1"/>
    <col min="10" max="10" width="20" style="232" customWidth="1"/>
    <col min="11" max="11" width="20" style="233" customWidth="1"/>
    <col min="12" max="15" width="20" style="229" customWidth="1"/>
    <col min="16" max="17" width="19.1640625" style="229" customWidth="1"/>
    <col min="18" max="19" width="7.6640625" style="229" customWidth="1"/>
    <col min="20" max="20" width="19.1640625" style="229" customWidth="1"/>
    <col min="21" max="16384" width="9.1640625" style="229"/>
  </cols>
  <sheetData>
    <row r="1" spans="1:25" ht="22" customHeight="1">
      <c r="A1" s="406" t="s">
        <v>172</v>
      </c>
      <c r="B1" s="406"/>
      <c r="C1" s="406"/>
      <c r="D1" s="406"/>
      <c r="E1" s="406"/>
      <c r="F1" s="406"/>
      <c r="G1" s="406"/>
      <c r="H1" s="406"/>
      <c r="I1" s="406"/>
      <c r="J1" s="406"/>
      <c r="K1" s="406"/>
      <c r="L1" s="406"/>
      <c r="M1" s="406"/>
    </row>
    <row r="2" spans="1:25" ht="22" customHeight="1">
      <c r="A2" s="406" t="s">
        <v>116</v>
      </c>
      <c r="B2" s="406"/>
      <c r="C2" s="406"/>
      <c r="D2" s="406"/>
      <c r="E2" s="406"/>
      <c r="F2" s="406"/>
      <c r="G2" s="406"/>
      <c r="H2" s="406"/>
      <c r="I2" s="406"/>
      <c r="J2" s="406"/>
      <c r="K2" s="406"/>
      <c r="L2" s="406"/>
      <c r="M2" s="406"/>
    </row>
    <row r="3" spans="1:25" s="19" customFormat="1" ht="16" customHeight="1">
      <c r="H3" s="229"/>
      <c r="I3" s="229"/>
      <c r="J3" s="229"/>
      <c r="K3" s="229"/>
      <c r="L3" s="229"/>
      <c r="M3" s="229"/>
      <c r="N3" s="229"/>
      <c r="O3" s="229"/>
      <c r="P3" s="229"/>
      <c r="Q3" s="229"/>
      <c r="R3" s="229"/>
    </row>
    <row r="4" spans="1:25" s="19" customFormat="1" ht="34" customHeight="1">
      <c r="A4" s="412" t="s">
        <v>140</v>
      </c>
      <c r="B4" s="413"/>
      <c r="C4" s="413"/>
      <c r="D4" s="413"/>
      <c r="E4" s="414"/>
      <c r="F4" s="59">
        <v>2</v>
      </c>
      <c r="H4" s="411" t="s">
        <v>129</v>
      </c>
      <c r="I4" s="411"/>
      <c r="J4" s="411"/>
      <c r="K4" s="411"/>
      <c r="L4" s="411"/>
      <c r="M4" s="411"/>
      <c r="N4" s="229"/>
      <c r="O4" s="229"/>
      <c r="P4" s="229"/>
      <c r="Q4" s="229"/>
      <c r="R4" s="229"/>
    </row>
    <row r="5" spans="1:25" s="19" customFormat="1" ht="34" customHeight="1">
      <c r="A5" s="411" t="s">
        <v>146</v>
      </c>
      <c r="B5" s="411"/>
      <c r="C5" s="411"/>
      <c r="D5" s="411"/>
      <c r="E5" s="411"/>
      <c r="F5" s="411"/>
      <c r="H5" s="411" t="s">
        <v>141</v>
      </c>
      <c r="I5" s="411"/>
      <c r="J5" s="411"/>
      <c r="K5" s="411"/>
      <c r="L5" s="411"/>
      <c r="M5" s="411"/>
      <c r="N5" s="229"/>
      <c r="O5" s="229"/>
      <c r="P5" s="229"/>
      <c r="Q5" s="229"/>
      <c r="R5" s="229"/>
    </row>
    <row r="6" spans="1:25" s="19" customFormat="1" ht="34" customHeight="1">
      <c r="A6" s="411" t="s">
        <v>127</v>
      </c>
      <c r="B6" s="411"/>
      <c r="C6" s="411"/>
      <c r="D6" s="411"/>
      <c r="E6" s="411"/>
      <c r="F6" s="411"/>
      <c r="H6" s="411" t="s">
        <v>130</v>
      </c>
      <c r="I6" s="411"/>
      <c r="J6" s="411"/>
      <c r="K6" s="411"/>
      <c r="L6" s="411"/>
      <c r="M6" s="411"/>
      <c r="N6" s="229"/>
      <c r="O6" s="229"/>
      <c r="P6" s="229"/>
      <c r="Q6" s="229"/>
      <c r="R6" s="229"/>
    </row>
    <row r="7" spans="1:25" s="19" customFormat="1" ht="34" customHeight="1">
      <c r="A7" s="411" t="s">
        <v>128</v>
      </c>
      <c r="B7" s="411"/>
      <c r="C7" s="415"/>
      <c r="D7" s="415"/>
      <c r="E7" s="415"/>
      <c r="F7" s="415"/>
      <c r="H7" s="411" t="s">
        <v>142</v>
      </c>
      <c r="I7" s="411"/>
      <c r="J7" s="411"/>
      <c r="K7" s="411"/>
      <c r="L7" s="411"/>
      <c r="M7" s="411"/>
      <c r="N7" s="229"/>
      <c r="O7" s="229"/>
      <c r="P7" s="229"/>
      <c r="Q7" s="229"/>
      <c r="R7" s="229"/>
    </row>
    <row r="8" spans="1:25" s="19" customFormat="1" ht="16" customHeight="1" thickBot="1">
      <c r="H8" s="229"/>
      <c r="I8" s="229"/>
      <c r="J8" s="229"/>
      <c r="K8" s="229"/>
      <c r="L8" s="229"/>
      <c r="M8" s="229"/>
      <c r="N8" s="229"/>
      <c r="O8" s="229"/>
      <c r="P8" s="229"/>
      <c r="Q8" s="229"/>
      <c r="R8" s="229"/>
      <c r="S8" s="229"/>
      <c r="T8" s="229"/>
      <c r="U8" s="229"/>
      <c r="V8" s="229"/>
      <c r="W8" s="229"/>
      <c r="X8" s="229"/>
      <c r="Y8" s="229"/>
    </row>
    <row r="9" spans="1:25" s="19" customFormat="1" ht="22" customHeight="1">
      <c r="A9" s="420" t="s">
        <v>11</v>
      </c>
      <c r="B9" s="421"/>
      <c r="C9" s="407">
        <f>F4</f>
        <v>2</v>
      </c>
      <c r="D9" s="408"/>
      <c r="E9" s="416" t="s">
        <v>25</v>
      </c>
      <c r="F9" s="417"/>
      <c r="H9" s="422" t="s">
        <v>143</v>
      </c>
      <c r="I9" s="423"/>
      <c r="J9" s="423"/>
      <c r="K9" s="423"/>
      <c r="L9" s="423"/>
      <c r="M9" s="424"/>
      <c r="N9" s="229"/>
      <c r="O9" s="229"/>
      <c r="P9" s="229"/>
      <c r="Q9" s="229"/>
      <c r="R9" s="229"/>
      <c r="S9" s="229"/>
      <c r="T9" s="229"/>
    </row>
    <row r="10" spans="1:25" s="19" customFormat="1" ht="22" customHeight="1" thickBot="1">
      <c r="A10" s="418" t="s">
        <v>12</v>
      </c>
      <c r="B10" s="419"/>
      <c r="C10" s="409">
        <f>(VLOOKUP(F4,A22:C24,3,FALSE))</f>
        <v>46250</v>
      </c>
      <c r="D10" s="410"/>
      <c r="E10" s="255" t="s">
        <v>15</v>
      </c>
      <c r="F10" s="256" t="s">
        <v>14</v>
      </c>
      <c r="H10" s="425"/>
      <c r="I10" s="426"/>
      <c r="J10" s="426"/>
      <c r="K10" s="426"/>
      <c r="L10" s="426"/>
      <c r="M10" s="427"/>
    </row>
    <row r="11" spans="1:25" s="19" customFormat="1" ht="22" customHeight="1">
      <c r="A11" s="432" t="s">
        <v>131</v>
      </c>
      <c r="B11" s="433"/>
      <c r="C11" s="230" t="str" cm="1">
        <f t="array" ref="C11:C19">_xlfn.LET(_xlpm.x, TRANSPOSE(_xlfn.XLOOKUP(F4,A22:A24,E22:M24)), IF(_xlpm.x="","",_xlpm.x))</f>
        <v>Abingdon AC</v>
      </c>
      <c r="D11" s="251"/>
      <c r="E11" s="245" t="str">
        <f>MIN(Declarations!$B$6:$B$21)&amp;"-"&amp;MAX(Declarations!$B$6:$B$21)</f>
        <v>0-0</v>
      </c>
      <c r="F11" s="246" t="str">
        <f>MIN(Declarations!$B$22:$B$37)&amp;"-"&amp;MAX(Declarations!$B$22:$B$37)</f>
        <v>0-0</v>
      </c>
    </row>
    <row r="12" spans="1:25" s="19" customFormat="1" ht="22" customHeight="1">
      <c r="A12" s="428" t="s">
        <v>132</v>
      </c>
      <c r="B12" s="429"/>
      <c r="C12" s="231" t="str">
        <v>Banbury Harriers AC</v>
      </c>
      <c r="D12" s="252"/>
      <c r="E12" s="247" t="str">
        <f>MIN(Declarations!$B$38:$B$53)&amp;"-"&amp;MAX(Declarations!$B$38:$B$53)</f>
        <v>0-0</v>
      </c>
      <c r="F12" s="248" t="str">
        <f>MIN(Declarations!$B$54:$B$69)&amp;"-"&amp;MAX(Declarations!$B$54:$B$69)</f>
        <v>0-0</v>
      </c>
    </row>
    <row r="13" spans="1:25" s="19" customFormat="1" ht="22" customHeight="1">
      <c r="A13" s="428" t="s">
        <v>133</v>
      </c>
      <c r="B13" s="429"/>
      <c r="C13" s="231" t="str">
        <v>Bicester AC</v>
      </c>
      <c r="D13" s="252"/>
      <c r="E13" s="247" t="str">
        <f>MIN(Declarations!$B$70:$B$85)&amp;"-"&amp;MAX(Declarations!$B$70:$B$85)</f>
        <v>0-0</v>
      </c>
      <c r="F13" s="248" t="str">
        <f>MIN(Declarations!$B$86:$B$101)&amp;"-"&amp;MAX(Declarations!$B$86:$B$101)</f>
        <v>0-0</v>
      </c>
    </row>
    <row r="14" spans="1:25" s="19" customFormat="1" ht="22" customHeight="1">
      <c r="A14" s="428" t="s">
        <v>134</v>
      </c>
      <c r="B14" s="429"/>
      <c r="C14" s="231" t="str">
        <v>Oxford City AC</v>
      </c>
      <c r="D14" s="252"/>
      <c r="E14" s="247" t="str">
        <f>MIN(Declarations!$B$102:$B$117)&amp;"-"&amp;MAX(Declarations!$B$102:$B$117)</f>
        <v>0-0</v>
      </c>
      <c r="F14" s="248" t="str">
        <f>MIN(Declarations!$B$118:$B$133)&amp;"-"&amp;MAX(Declarations!$B$118:$B$133)</f>
        <v>0-0</v>
      </c>
    </row>
    <row r="15" spans="1:25" s="19" customFormat="1" ht="22" customHeight="1">
      <c r="A15" s="428" t="s">
        <v>135</v>
      </c>
      <c r="B15" s="429"/>
      <c r="C15" s="231" t="str">
        <v>Radley AC</v>
      </c>
      <c r="D15" s="252"/>
      <c r="E15" s="247" t="str">
        <f>MIN(Declarations!$B$134:$B$149)&amp;"-"&amp;MAX(Declarations!$B$134:$B$149)</f>
        <v>0-0</v>
      </c>
      <c r="F15" s="248" t="str">
        <f>MIN(Declarations!$B$150:$B$165)&amp;"-"&amp;MAX(Declarations!$B$150:$B$165)</f>
        <v>0-0</v>
      </c>
    </row>
    <row r="16" spans="1:25" s="19" customFormat="1" ht="21" customHeight="1">
      <c r="A16" s="428" t="s">
        <v>136</v>
      </c>
      <c r="B16" s="429"/>
      <c r="C16" s="231" t="str">
        <v>Team Kennet</v>
      </c>
      <c r="D16" s="252"/>
      <c r="E16" s="247" t="str">
        <f>MIN(Declarations!$B$166:$B$181)&amp;"-"&amp;MAX(Declarations!$B$166:$B$181)</f>
        <v>0-0</v>
      </c>
      <c r="F16" s="248" t="str">
        <f>MIN(Declarations!$B$182:$B$197)&amp;"-"&amp;MAX(Declarations!$B$182:$B$197)</f>
        <v>0-0</v>
      </c>
    </row>
    <row r="17" spans="1:25" s="19" customFormat="1" ht="21" customHeight="1">
      <c r="A17" s="428" t="s">
        <v>137</v>
      </c>
      <c r="B17" s="429"/>
      <c r="C17" s="231" t="str">
        <v>White Horse Harriers</v>
      </c>
      <c r="D17" s="252"/>
      <c r="E17" s="247" t="str">
        <f>MIN(Declarations!$B$198:$B$213)&amp;"-"&amp;MAX(Declarations!$B$198:$B$213)</f>
        <v>0-0</v>
      </c>
      <c r="F17" s="248" t="str">
        <f>MIN(Declarations!$B$214:$B$229)&amp;"-"&amp;MAX(Declarations!$B$214:$B$229)</f>
        <v>0-0</v>
      </c>
    </row>
    <row r="18" spans="1:25" s="19" customFormat="1" ht="21" customHeight="1">
      <c r="A18" s="428" t="s">
        <v>138</v>
      </c>
      <c r="B18" s="429"/>
      <c r="C18" s="231" t="str">
        <v>Witney Road Runners</v>
      </c>
      <c r="D18" s="252"/>
      <c r="E18" s="247" t="str">
        <f>MIN(Declarations!$B$230:$B$245)&amp;"-"&amp;MAX(Declarations!$B$230:$B$245)</f>
        <v>0-0</v>
      </c>
      <c r="F18" s="248" t="str">
        <f>MIN(Declarations!$B$246:$B$261)&amp;"-"&amp;MAX(Declarations!$B$246:$B$261)</f>
        <v>0-0</v>
      </c>
    </row>
    <row r="19" spans="1:25" ht="21" customHeight="1" thickBot="1">
      <c r="A19" s="430" t="s">
        <v>139</v>
      </c>
      <c r="B19" s="431"/>
      <c r="C19" s="253" t="str">
        <v>Great Milton AC</v>
      </c>
      <c r="D19" s="254"/>
      <c r="E19" s="249" t="str">
        <f>MIN(Declarations!$B$262:$B$277)&amp;"-"&amp;MAX(Declarations!$B$262:$B$277)</f>
        <v>0-0</v>
      </c>
      <c r="F19" s="250" t="str">
        <f>MIN(Declarations!$B$278:$B$293)&amp;"-"&amp;MAX(Declarations!$B$278:$B$293)</f>
        <v>0-0</v>
      </c>
      <c r="U19" s="19"/>
      <c r="V19" s="19"/>
      <c r="W19" s="19"/>
      <c r="X19" s="19"/>
      <c r="Y19" s="19"/>
    </row>
    <row r="20" spans="1:25" ht="22" customHeight="1" thickBot="1">
      <c r="A20" s="19"/>
      <c r="B20" s="19"/>
      <c r="C20" s="19"/>
      <c r="D20" s="19"/>
      <c r="E20" s="19"/>
      <c r="F20" s="19"/>
      <c r="U20" s="19"/>
      <c r="V20" s="19"/>
      <c r="W20" s="19"/>
      <c r="X20" s="19"/>
      <c r="Y20" s="19"/>
    </row>
    <row r="21" spans="1:25" ht="22" customHeight="1" thickBot="1">
      <c r="A21" s="257" t="s">
        <v>117</v>
      </c>
      <c r="B21" s="258" t="s">
        <v>118</v>
      </c>
      <c r="C21" s="258" t="s">
        <v>9</v>
      </c>
      <c r="D21" s="259" t="s">
        <v>10</v>
      </c>
      <c r="E21" s="260" t="s">
        <v>184</v>
      </c>
      <c r="F21" s="258" t="s">
        <v>119</v>
      </c>
      <c r="G21" s="258" t="s">
        <v>120</v>
      </c>
      <c r="H21" s="258" t="s">
        <v>121</v>
      </c>
      <c r="I21" s="258" t="s">
        <v>122</v>
      </c>
      <c r="J21" s="258" t="s">
        <v>123</v>
      </c>
      <c r="K21" s="258" t="s">
        <v>124</v>
      </c>
      <c r="L21" s="258" t="s">
        <v>125</v>
      </c>
      <c r="M21" s="259" t="s">
        <v>126</v>
      </c>
      <c r="S21" s="19"/>
      <c r="T21" s="19"/>
      <c r="U21" s="19"/>
      <c r="V21" s="19"/>
      <c r="W21" s="19"/>
    </row>
    <row r="22" spans="1:25" ht="22" customHeight="1">
      <c r="A22" s="234">
        <v>1</v>
      </c>
      <c r="B22" s="235">
        <v>1</v>
      </c>
      <c r="C22" s="236">
        <v>46131</v>
      </c>
      <c r="D22" s="237" t="s">
        <v>173</v>
      </c>
      <c r="E22" s="238" t="s">
        <v>176</v>
      </c>
      <c r="F22" s="124" t="s">
        <v>177</v>
      </c>
      <c r="G22" s="124" t="s">
        <v>178</v>
      </c>
      <c r="H22" s="124" t="s">
        <v>179</v>
      </c>
      <c r="I22" s="124" t="s">
        <v>24</v>
      </c>
      <c r="J22" s="124" t="s">
        <v>180</v>
      </c>
      <c r="K22" s="239" t="s">
        <v>181</v>
      </c>
      <c r="L22" s="239" t="s">
        <v>182</v>
      </c>
      <c r="M22" s="240" t="s">
        <v>183</v>
      </c>
      <c r="S22" s="19"/>
      <c r="T22" s="19"/>
      <c r="U22" s="19"/>
      <c r="V22" s="19"/>
      <c r="W22" s="19"/>
    </row>
    <row r="23" spans="1:25" ht="22" customHeight="1">
      <c r="A23" s="241">
        <v>2</v>
      </c>
      <c r="B23" s="242">
        <v>2</v>
      </c>
      <c r="C23" s="243">
        <v>46250</v>
      </c>
      <c r="D23" s="244" t="s">
        <v>174</v>
      </c>
      <c r="E23" s="238" t="s">
        <v>176</v>
      </c>
      <c r="F23" s="124" t="s">
        <v>177</v>
      </c>
      <c r="G23" s="124" t="s">
        <v>178</v>
      </c>
      <c r="H23" s="124" t="s">
        <v>179</v>
      </c>
      <c r="I23" s="124" t="s">
        <v>24</v>
      </c>
      <c r="J23" s="124" t="s">
        <v>180</v>
      </c>
      <c r="K23" s="239" t="s">
        <v>181</v>
      </c>
      <c r="L23" s="239" t="s">
        <v>182</v>
      </c>
      <c r="M23" s="240" t="s">
        <v>183</v>
      </c>
      <c r="N23" s="19"/>
      <c r="O23" s="19"/>
      <c r="P23" s="19"/>
      <c r="Q23" s="19"/>
      <c r="R23" s="19"/>
      <c r="S23" s="19"/>
      <c r="T23" s="19"/>
      <c r="U23" s="19"/>
      <c r="V23" s="19"/>
      <c r="W23" s="19"/>
    </row>
    <row r="24" spans="1:25" ht="22" customHeight="1" thickBot="1">
      <c r="A24" s="335">
        <v>3</v>
      </c>
      <c r="B24" s="336">
        <v>3</v>
      </c>
      <c r="C24" s="337">
        <v>46271</v>
      </c>
      <c r="D24" s="338" t="s">
        <v>175</v>
      </c>
      <c r="E24" s="339" t="s">
        <v>176</v>
      </c>
      <c r="F24" s="340" t="s">
        <v>177</v>
      </c>
      <c r="G24" s="340" t="s">
        <v>178</v>
      </c>
      <c r="H24" s="340" t="s">
        <v>179</v>
      </c>
      <c r="I24" s="340" t="s">
        <v>24</v>
      </c>
      <c r="J24" s="340" t="s">
        <v>180</v>
      </c>
      <c r="K24" s="341" t="s">
        <v>181</v>
      </c>
      <c r="L24" s="341" t="s">
        <v>182</v>
      </c>
      <c r="M24" s="342" t="s">
        <v>183</v>
      </c>
    </row>
    <row r="26" spans="1:25" ht="21.75" customHeight="1"/>
  </sheetData>
  <sheetProtection sheet="1" objects="1" scenarios="1"/>
  <mergeCells count="25">
    <mergeCell ref="A18:B18"/>
    <mergeCell ref="A19:B19"/>
    <mergeCell ref="A11:B11"/>
    <mergeCell ref="A12:B12"/>
    <mergeCell ref="A13:B13"/>
    <mergeCell ref="A14:B14"/>
    <mergeCell ref="A15:B15"/>
    <mergeCell ref="A16:B16"/>
    <mergeCell ref="A17:B17"/>
    <mergeCell ref="A1:M1"/>
    <mergeCell ref="A2:M2"/>
    <mergeCell ref="C9:D9"/>
    <mergeCell ref="C10:D10"/>
    <mergeCell ref="A5:F5"/>
    <mergeCell ref="A6:F6"/>
    <mergeCell ref="A4:E4"/>
    <mergeCell ref="A7:F7"/>
    <mergeCell ref="E9:F9"/>
    <mergeCell ref="H4:M4"/>
    <mergeCell ref="H5:M5"/>
    <mergeCell ref="A10:B10"/>
    <mergeCell ref="A9:B9"/>
    <mergeCell ref="H6:M6"/>
    <mergeCell ref="H7:M7"/>
    <mergeCell ref="H9:M10"/>
  </mergeCells>
  <phoneticPr fontId="5" type="noConversion"/>
  <conditionalFormatting sqref="A22:M24">
    <cfRule type="expression" dxfId="38" priority="53" stopIfTrue="1">
      <formula>$A22=$F$4</formula>
    </cfRule>
  </conditionalFormatting>
  <dataValidations count="1">
    <dataValidation type="list" showInputMessage="1" showErrorMessage="1" sqref="F4" xr:uid="{BC284B60-AA06-5D40-8938-D39E0FA61B16}">
      <formula1>$A$22:$A$24</formula1>
    </dataValidation>
  </dataValidations>
  <pageMargins left="0.75" right="0.75" top="1" bottom="1" header="0.5" footer="0.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273E2-F790-3444-9CE1-BF40F87158AA}">
  <sheetPr codeName="Sheet11">
    <tabColor rgb="FFFF6600"/>
  </sheetPr>
  <dimension ref="A1:J50"/>
  <sheetViews>
    <sheetView zoomScale="120" zoomScaleNormal="120" workbookViewId="0">
      <pane ySplit="5" topLeftCell="A6" activePane="bottomLeft" state="frozen"/>
      <selection activeCell="F147" sqref="F147"/>
      <selection pane="bottomLeft" activeCell="F39" sqref="F39"/>
    </sheetView>
  </sheetViews>
  <sheetFormatPr baseColWidth="10" defaultColWidth="10.6640625" defaultRowHeight="13"/>
  <cols>
    <col min="1" max="1" width="8.83203125" customWidth="1"/>
    <col min="2" max="2" width="43.1640625" customWidth="1"/>
    <col min="3" max="3" width="38.1640625" customWidth="1"/>
    <col min="4" max="5" width="20" style="5" customWidth="1"/>
    <col min="6" max="6" width="23.5" style="4" customWidth="1"/>
    <col min="7" max="7" width="16.33203125" customWidth="1"/>
  </cols>
  <sheetData>
    <row r="1" spans="1:10" ht="40" customHeight="1">
      <c r="A1" s="517" t="str">
        <f>'Read Me First'!A1:F1</f>
        <v>Oxfordshire Track and Field League 2026</v>
      </c>
      <c r="B1" s="518"/>
      <c r="C1" s="76" t="s">
        <v>11</v>
      </c>
      <c r="D1" s="516" t="s">
        <v>13</v>
      </c>
      <c r="E1" s="516"/>
      <c r="F1" s="18" t="s">
        <v>12</v>
      </c>
      <c r="G1" s="88"/>
      <c r="H1" s="88"/>
    </row>
    <row r="2" spans="1:10" ht="40" customHeight="1">
      <c r="A2" s="517" t="s">
        <v>90</v>
      </c>
      <c r="B2" s="518"/>
      <c r="C2" s="90">
        <f>'Read Me First'!C9</f>
        <v>2</v>
      </c>
      <c r="D2" s="517" t="str">
        <f>(VLOOKUP('Read Me First'!F4,'Read Me First'!A22:D24,4,FALSE))</f>
        <v>Banbury</v>
      </c>
      <c r="E2" s="518"/>
      <c r="F2" s="91">
        <f>'Read Me First'!C10</f>
        <v>46250</v>
      </c>
      <c r="G2" s="89"/>
      <c r="H2" s="89"/>
    </row>
    <row r="3" spans="1:10" ht="16" customHeight="1">
      <c r="A3" s="56"/>
      <c r="B3" s="56"/>
      <c r="C3" s="56"/>
      <c r="D3" s="56"/>
      <c r="E3" s="92"/>
      <c r="F3" s="20"/>
      <c r="G3" s="93"/>
      <c r="H3" s="93"/>
      <c r="I3" s="89"/>
      <c r="J3" s="89"/>
    </row>
    <row r="4" spans="1:10" s="3" customFormat="1" ht="26" customHeight="1">
      <c r="A4" s="36" t="s">
        <v>79</v>
      </c>
      <c r="B4" s="36" t="s">
        <v>70</v>
      </c>
      <c r="C4" s="36" t="s">
        <v>19</v>
      </c>
      <c r="D4" s="36" t="s">
        <v>80</v>
      </c>
      <c r="E4" s="35" t="s">
        <v>165</v>
      </c>
      <c r="F4" s="32" t="s">
        <v>1</v>
      </c>
    </row>
    <row r="5" spans="1:10" s="3" customFormat="1" ht="26" customHeight="1">
      <c r="A5" s="83" t="s">
        <v>82</v>
      </c>
      <c r="B5" s="84"/>
      <c r="C5" s="84"/>
      <c r="D5" s="38"/>
      <c r="E5" s="38" t="s">
        <v>85</v>
      </c>
      <c r="F5" s="29">
        <v>0</v>
      </c>
    </row>
    <row r="6" spans="1:10" s="1" customFormat="1" ht="13" customHeight="1">
      <c r="A6" s="82" t="s">
        <v>83</v>
      </c>
      <c r="B6" s="85"/>
      <c r="C6" s="85"/>
      <c r="D6" s="22" t="s">
        <v>147</v>
      </c>
      <c r="E6" s="174"/>
      <c r="F6" s="2" t="s">
        <v>84</v>
      </c>
      <c r="G6" s="184" t="str" cm="1">
        <f t="array" ref="G6">IFERROR(_xlfn.IFNA(
                      _xlfn.IFS(
                      E6="", "",
                      AND(D6="U12B",E6&lt;=Data!$M$10), "U12 Boys record",
                      AND(D6="U12G",E6&lt;=Data!$M$23), "U12 Girls record"
                       ),""), "")</f>
        <v/>
      </c>
    </row>
    <row r="7" spans="1:10" s="1" customFormat="1" ht="13" customHeight="1">
      <c r="A7" s="82" t="s">
        <v>83</v>
      </c>
      <c r="B7" s="85"/>
      <c r="C7" s="85"/>
      <c r="D7" s="22" t="s">
        <v>147</v>
      </c>
      <c r="E7" s="174"/>
      <c r="F7" s="2" t="s">
        <v>84</v>
      </c>
      <c r="G7" s="184" t="str" cm="1">
        <f t="array" ref="G7">IFERROR(_xlfn.IFNA(
                      _xlfn.IFS(
                      E7="", "",
                      AND(D7="U12B",E7&lt;=Data!$M$10), "U12 Boys record",
                      AND(D7="U12G",E7&lt;=Data!$M$23), "U12 Girls record"
                       ),""), "")</f>
        <v/>
      </c>
    </row>
    <row r="8" spans="1:10" s="1" customFormat="1" ht="13" customHeight="1">
      <c r="A8" s="82" t="s">
        <v>83</v>
      </c>
      <c r="B8" s="85"/>
      <c r="C8" s="85"/>
      <c r="D8" s="22" t="s">
        <v>147</v>
      </c>
      <c r="E8" s="174"/>
      <c r="F8" s="2" t="s">
        <v>84</v>
      </c>
      <c r="G8" s="184" t="str" cm="1">
        <f t="array" ref="G8">IFERROR(_xlfn.IFNA(
                      _xlfn.IFS(
                      E8="", "",
                      AND(D8="U12B",E8&lt;=Data!$M$10), "U12 Boys record",
                      AND(D8="U12G",E8&lt;=Data!$M$23), "U12 Girls record"
                       ),""), "")</f>
        <v/>
      </c>
    </row>
    <row r="9" spans="1:10" ht="13" customHeight="1">
      <c r="A9" s="82" t="s">
        <v>83</v>
      </c>
      <c r="B9" s="85"/>
      <c r="C9" s="85"/>
      <c r="D9" s="22" t="s">
        <v>147</v>
      </c>
      <c r="E9" s="174"/>
      <c r="F9" s="2" t="s">
        <v>84</v>
      </c>
      <c r="G9" s="184" t="str" cm="1">
        <f t="array" ref="G9">IFERROR(_xlfn.IFNA(
                      _xlfn.IFS(
                      E9="", "",
                      AND(D9="U12B",E9&lt;=Data!$M$10), "U12 Boys record",
                      AND(D9="U12G",E9&lt;=Data!$M$23), "U12 Girls record"
                       ),""), "")</f>
        <v/>
      </c>
    </row>
    <row r="10" spans="1:10" ht="13" customHeight="1">
      <c r="A10" s="82" t="s">
        <v>83</v>
      </c>
      <c r="B10" s="85"/>
      <c r="C10" s="85"/>
      <c r="D10" s="22" t="s">
        <v>147</v>
      </c>
      <c r="E10" s="174"/>
      <c r="F10" s="2" t="s">
        <v>84</v>
      </c>
      <c r="G10" s="184" t="str" cm="1">
        <f t="array" ref="G10">IFERROR(_xlfn.IFNA(
                      _xlfn.IFS(
                      E10="", "",
                      AND(D10="U12B",E10&lt;=Data!$M$10), "U12 Boys record",
                      AND(D10="U12G",E10&lt;=Data!$M$23), "U12 Girls record"
                       ),""), "")</f>
        <v/>
      </c>
    </row>
    <row r="11" spans="1:10" ht="13" customHeight="1">
      <c r="A11" s="82" t="s">
        <v>83</v>
      </c>
      <c r="B11" s="85"/>
      <c r="C11" s="85"/>
      <c r="D11" s="22" t="s">
        <v>147</v>
      </c>
      <c r="E11" s="174"/>
      <c r="F11" s="2" t="s">
        <v>84</v>
      </c>
      <c r="G11" s="184" t="str" cm="1">
        <f t="array" ref="G11">IFERROR(_xlfn.IFNA(
                      _xlfn.IFS(
                      E11="", "",
                      AND(D11="U12B",E11&lt;=Data!$M$10), "U12 Boys record",
                      AND(D11="U12G",E11&lt;=Data!$M$23), "U12 Girls record"
                       ),""), "")</f>
        <v/>
      </c>
    </row>
    <row r="12" spans="1:10" ht="13" customHeight="1">
      <c r="A12" s="82" t="s">
        <v>83</v>
      </c>
      <c r="B12" s="85"/>
      <c r="C12" s="85"/>
      <c r="D12" s="22" t="s">
        <v>147</v>
      </c>
      <c r="E12" s="174"/>
      <c r="F12" s="2" t="s">
        <v>84</v>
      </c>
      <c r="G12" s="184" t="str" cm="1">
        <f t="array" ref="G12">IFERROR(_xlfn.IFNA(
                      _xlfn.IFS(
                      E12="", "",
                      AND(D12="U12B",E12&lt;=Data!$M$10), "U12 Boys record",
                      AND(D12="U12G",E12&lt;=Data!$M$23), "U12 Girls record"
                       ),""), "")</f>
        <v/>
      </c>
    </row>
    <row r="13" spans="1:10" ht="13" customHeight="1">
      <c r="A13" s="82" t="s">
        <v>83</v>
      </c>
      <c r="B13" s="85"/>
      <c r="C13" s="85"/>
      <c r="D13" s="22" t="s">
        <v>147</v>
      </c>
      <c r="E13" s="174"/>
      <c r="F13" s="2" t="s">
        <v>84</v>
      </c>
      <c r="G13" s="184" t="str" cm="1">
        <f t="array" ref="G13">IFERROR(_xlfn.IFNA(
                      _xlfn.IFS(
                      E13="", "",
                      AND(D13="U12B",E13&lt;=Data!$M$10), "U12 Boys record",
                      AND(D13="U12G",E13&lt;=Data!$M$23), "U12 Girls record"
                       ),""), "")</f>
        <v/>
      </c>
    </row>
    <row r="14" spans="1:10" ht="13" customHeight="1">
      <c r="A14" s="82" t="s">
        <v>83</v>
      </c>
      <c r="B14" s="85"/>
      <c r="C14" s="85"/>
      <c r="D14" s="22" t="s">
        <v>147</v>
      </c>
      <c r="E14" s="174"/>
      <c r="F14" s="2" t="s">
        <v>84</v>
      </c>
      <c r="G14" s="184" t="str" cm="1">
        <f t="array" ref="G14">IFERROR(_xlfn.IFNA(
                      _xlfn.IFS(
                      E14="", "",
                      AND(D14="U12B",E14&lt;=Data!$M$10), "U12 Boys record",
                      AND(D14="U12G",E14&lt;=Data!$M$23), "U12 Girls record"
                       ),""), "")</f>
        <v/>
      </c>
    </row>
    <row r="15" spans="1:10" ht="13" customHeight="1">
      <c r="A15" s="82" t="s">
        <v>83</v>
      </c>
      <c r="B15" s="81"/>
      <c r="C15" s="81"/>
      <c r="D15" s="81"/>
      <c r="E15" s="175"/>
      <c r="F15" s="2"/>
    </row>
    <row r="16" spans="1:10" ht="13" customHeight="1">
      <c r="A16" s="82" t="s">
        <v>83</v>
      </c>
      <c r="B16" s="85"/>
      <c r="C16" s="85"/>
      <c r="D16" s="22" t="s">
        <v>148</v>
      </c>
      <c r="E16" s="174"/>
      <c r="F16" s="2" t="s">
        <v>84</v>
      </c>
      <c r="G16" s="184" t="str" cm="1">
        <f t="array" ref="G16">IFERROR(_xlfn.IFNA(
                      _xlfn.IFS(
                      E16="", "",
                      AND(D16="U12B",E16&lt;=Data!$M$10), "U12 Boys record",
                      AND(D16="U12G",E16&lt;=Data!$M$23), "U12 Girls record"
                       ),""), "")</f>
        <v/>
      </c>
    </row>
    <row r="17" spans="1:7" ht="13" customHeight="1">
      <c r="A17" s="82" t="s">
        <v>83</v>
      </c>
      <c r="B17" s="85"/>
      <c r="C17" s="85"/>
      <c r="D17" s="22" t="s">
        <v>148</v>
      </c>
      <c r="E17" s="174"/>
      <c r="F17" s="2" t="s">
        <v>84</v>
      </c>
      <c r="G17" s="184" t="str" cm="1">
        <f t="array" ref="G17">IFERROR(_xlfn.IFNA(
                      _xlfn.IFS(
                      E17="", "",
                      AND(D17="U12B",E17&lt;=Data!$M$10), "U12 Boys record",
                      AND(D17="U12G",E17&lt;=Data!$M$23), "U12 Girls record"
                       ),""), "")</f>
        <v/>
      </c>
    </row>
    <row r="18" spans="1:7" ht="13" customHeight="1">
      <c r="A18" s="82" t="s">
        <v>83</v>
      </c>
      <c r="B18" s="85"/>
      <c r="C18" s="85"/>
      <c r="D18" s="22" t="s">
        <v>148</v>
      </c>
      <c r="E18" s="174"/>
      <c r="F18" s="2" t="s">
        <v>84</v>
      </c>
      <c r="G18" s="184" t="str" cm="1">
        <f t="array" ref="G18">IFERROR(_xlfn.IFNA(
                      _xlfn.IFS(
                      E18="", "",
                      AND(D18="U12B",E18&lt;=Data!$M$10), "U12 Boys record",
                      AND(D18="U12G",E18&lt;=Data!$M$23), "U12 Girls record"
                       ),""), "")</f>
        <v/>
      </c>
    </row>
    <row r="19" spans="1:7" ht="13" customHeight="1">
      <c r="A19" s="82" t="s">
        <v>83</v>
      </c>
      <c r="B19" s="85"/>
      <c r="C19" s="85"/>
      <c r="D19" s="22" t="s">
        <v>148</v>
      </c>
      <c r="E19" s="174"/>
      <c r="F19" s="2" t="s">
        <v>84</v>
      </c>
      <c r="G19" s="184" t="str" cm="1">
        <f t="array" ref="G19">IFERROR(_xlfn.IFNA(
                      _xlfn.IFS(
                      E19="", "",
                      AND(D19="U12B",E19&lt;=Data!$M$10), "U12 Boys record",
                      AND(D19="U12G",E19&lt;=Data!$M$23), "U12 Girls record"
                       ),""), "")</f>
        <v/>
      </c>
    </row>
    <row r="20" spans="1:7" ht="13" customHeight="1">
      <c r="A20" s="82" t="s">
        <v>83</v>
      </c>
      <c r="B20" s="85"/>
      <c r="C20" s="85"/>
      <c r="D20" s="22" t="s">
        <v>148</v>
      </c>
      <c r="E20" s="174"/>
      <c r="F20" s="2" t="s">
        <v>84</v>
      </c>
      <c r="G20" s="184" t="str" cm="1">
        <f t="array" ref="G20">IFERROR(_xlfn.IFNA(
                      _xlfn.IFS(
                      E20="", "",
                      AND(D20="U12B",E20&lt;=Data!$M$10), "U12 Boys record",
                      AND(D20="U12G",E20&lt;=Data!$M$23), "U12 Girls record"
                       ),""), "")</f>
        <v/>
      </c>
    </row>
    <row r="21" spans="1:7" s="1" customFormat="1" ht="13" customHeight="1">
      <c r="A21" s="82" t="s">
        <v>83</v>
      </c>
      <c r="B21" s="85"/>
      <c r="C21" s="85"/>
      <c r="D21" s="22" t="s">
        <v>148</v>
      </c>
      <c r="E21" s="174"/>
      <c r="F21" s="2" t="s">
        <v>84</v>
      </c>
      <c r="G21" s="184" t="str" cm="1">
        <f t="array" ref="G21">IFERROR(_xlfn.IFNA(
                      _xlfn.IFS(
                      E21="", "",
                      AND(D21="U12B",E21&lt;=Data!$M$10), "U12 Boys record",
                      AND(D21="U12G",E21&lt;=Data!$M$23), "U12 Girls record"
                       ),""), "")</f>
        <v/>
      </c>
    </row>
    <row r="22" spans="1:7" s="1" customFormat="1" ht="13" customHeight="1">
      <c r="A22" s="82" t="s">
        <v>83</v>
      </c>
      <c r="B22" s="85"/>
      <c r="C22" s="85"/>
      <c r="D22" s="22" t="s">
        <v>148</v>
      </c>
      <c r="E22" s="174"/>
      <c r="F22" s="2" t="s">
        <v>84</v>
      </c>
      <c r="G22" s="184" t="str" cm="1">
        <f t="array" ref="G22">IFERROR(_xlfn.IFNA(
                      _xlfn.IFS(
                      E22="", "",
                      AND(D22="U12B",E22&lt;=Data!$M$10), "U12 Boys record",
                      AND(D22="U12G",E22&lt;=Data!$M$23), "U12 Girls record"
                       ),""), "")</f>
        <v/>
      </c>
    </row>
    <row r="23" spans="1:7" s="1" customFormat="1" ht="13" customHeight="1">
      <c r="A23" s="82" t="s">
        <v>83</v>
      </c>
      <c r="B23" s="85"/>
      <c r="C23" s="85"/>
      <c r="D23" s="22" t="s">
        <v>148</v>
      </c>
      <c r="E23" s="174"/>
      <c r="F23" s="2" t="s">
        <v>84</v>
      </c>
      <c r="G23" s="184" t="str" cm="1">
        <f t="array" ref="G23">IFERROR(_xlfn.IFNA(
                      _xlfn.IFS(
                      E23="", "",
                      AND(D23="U12B",E23&lt;=Data!$M$10), "U12 Boys record",
                      AND(D23="U12G",E23&lt;=Data!$M$23), "U12 Girls record"
                       ),""), "")</f>
        <v/>
      </c>
    </row>
    <row r="24" spans="1:7" ht="13" customHeight="1">
      <c r="A24" s="82" t="s">
        <v>83</v>
      </c>
      <c r="B24" s="85"/>
      <c r="C24" s="85"/>
      <c r="D24" s="22" t="s">
        <v>148</v>
      </c>
      <c r="E24" s="174"/>
      <c r="F24" s="2" t="s">
        <v>84</v>
      </c>
      <c r="G24" s="184" t="str" cm="1">
        <f t="array" ref="G24">IFERROR(_xlfn.IFNA(
                      _xlfn.IFS(
                      E24="", "",
                      AND(D24="U12B",E24&lt;=Data!$M$10), "U12 Boys record",
                      AND(D24="U12G",E24&lt;=Data!$M$23), "U12 Girls record"
                       ),""), "")</f>
        <v/>
      </c>
    </row>
    <row r="26" spans="1:7">
      <c r="A26" s="52"/>
      <c r="B26" s="185" t="s">
        <v>109</v>
      </c>
      <c r="C26" s="52"/>
      <c r="D26" s="176"/>
      <c r="E26" s="176"/>
    </row>
    <row r="27" spans="1:7">
      <c r="A27" s="177" t="s">
        <v>104</v>
      </c>
      <c r="B27" s="178"/>
      <c r="C27" s="178"/>
      <c r="D27" s="179"/>
      <c r="E27" s="180"/>
      <c r="G27" s="184" t="str" cm="1">
        <f t="array" ref="G27">IFERROR(_xlfn.IFNA(
                      _xlfn.IFS(
                      E27="", "",
                      AND(D27="U11B",E27&lt;=Data!$M$10), "U11 Boys record",
                      AND(D27="U11G",E27&lt;=Data!$M$23), "U11 Girls record"
                       ),""), "")</f>
        <v/>
      </c>
    </row>
    <row r="28" spans="1:7">
      <c r="A28" s="52"/>
      <c r="B28" s="178"/>
      <c r="C28" s="178"/>
      <c r="D28" s="179"/>
      <c r="E28" s="180"/>
      <c r="G28" s="184" t="str" cm="1">
        <f t="array" ref="G28">IFERROR(_xlfn.IFNA(
                      _xlfn.IFS(
                      E28="", "",
                      AND(D28="U11B",E28&lt;=Data!$M$10), "U11 Boys record",
                      AND(D28="U11G",E28&lt;=Data!$M$23), "U11 Girls record"
                       ),""), "")</f>
        <v/>
      </c>
    </row>
    <row r="29" spans="1:7">
      <c r="A29" s="52"/>
      <c r="B29" s="178"/>
      <c r="C29" s="178"/>
      <c r="D29" s="179"/>
      <c r="E29" s="180"/>
      <c r="G29" s="184" t="str" cm="1">
        <f t="array" ref="G29">IFERROR(_xlfn.IFNA(
                      _xlfn.IFS(
                      E29="", "",
                      AND(D29="U11B",E29&lt;=Data!$M$10), "U11 Boys record",
                      AND(D29="U11G",E29&lt;=Data!$M$23), "U11 Girls record"
                       ),""), "")</f>
        <v/>
      </c>
    </row>
    <row r="30" spans="1:7">
      <c r="A30" s="52"/>
      <c r="B30" s="178"/>
      <c r="C30" s="178"/>
      <c r="D30" s="179"/>
      <c r="E30" s="180"/>
      <c r="G30" s="184" t="str" cm="1">
        <f t="array" ref="G30">IFERROR(_xlfn.IFNA(
                      _xlfn.IFS(
                      E30="", "",
                      AND(D30="U11B",E30&lt;=Data!$M$10), "U11 Boys record",
                      AND(D30="U11G",E30&lt;=Data!$M$23), "U11 Girls record"
                       ),""), "")</f>
        <v/>
      </c>
    </row>
    <row r="31" spans="1:7">
      <c r="A31" s="52"/>
      <c r="B31" s="178"/>
      <c r="C31" s="178"/>
      <c r="D31" s="179"/>
      <c r="E31" s="180"/>
      <c r="G31" s="184" t="str" cm="1">
        <f t="array" ref="G31">IFERROR(_xlfn.IFNA(
                      _xlfn.IFS(
                      E31="", "",
                      AND(D31="U11B",E31&lt;=Data!$M$10), "U11 Boys record",
                      AND(D31="U11G",E31&lt;=Data!$M$23), "U11 Girls record"
                       ),""), "")</f>
        <v/>
      </c>
    </row>
    <row r="32" spans="1:7">
      <c r="A32" s="52"/>
      <c r="B32" s="178"/>
      <c r="C32" s="178"/>
      <c r="D32" s="179"/>
      <c r="E32" s="180"/>
      <c r="G32" s="184" t="str" cm="1">
        <f t="array" ref="G32">IFERROR(_xlfn.IFNA(
                      _xlfn.IFS(
                      E32="", "",
                      AND(D32="U11B",E32&lt;=Data!$M$10), "U11 Boys record",
                      AND(D32="U11G",E32&lt;=Data!$M$23), "U11 Girls record"
                       ),""), "")</f>
        <v/>
      </c>
    </row>
    <row r="33" spans="1:7">
      <c r="A33" s="52"/>
      <c r="B33" s="178"/>
      <c r="C33" s="178"/>
      <c r="D33" s="179"/>
      <c r="E33" s="180"/>
      <c r="G33" s="184" t="str" cm="1">
        <f t="array" ref="G33">IFERROR(_xlfn.IFNA(
                      _xlfn.IFS(
                      E33="", "",
                      AND(D33="U11B",E33&lt;=Data!$M$10), "U11 Boys record",
                      AND(D33="U11G",E33&lt;=Data!$M$23), "U11 Girls record"
                       ),""), "")</f>
        <v/>
      </c>
    </row>
    <row r="34" spans="1:7">
      <c r="A34" s="52"/>
      <c r="B34" s="178"/>
      <c r="C34" s="178"/>
      <c r="D34" s="178"/>
      <c r="E34" s="181"/>
      <c r="G34" s="184" t="str" cm="1">
        <f t="array" ref="G34">IFERROR(_xlfn.IFNA(
                      _xlfn.IFS(
                      E34="", "",
                      AND(D34="U11B",E34&lt;=Data!$M$10), "U11 Boys record",
                      AND(D34="U11G",E34&lt;=Data!$M$23), "U11 Girls record"
                       ),""), "")</f>
        <v/>
      </c>
    </row>
    <row r="35" spans="1:7">
      <c r="A35" s="134" t="s">
        <v>105</v>
      </c>
      <c r="B35" s="178"/>
      <c r="C35" s="178"/>
      <c r="D35" s="179"/>
      <c r="E35" s="180"/>
      <c r="G35" s="184" t="str" cm="1">
        <f t="array" ref="G35">IFERROR(_xlfn.IFNA(
                      _xlfn.IFS(
                      E35="", "",
                      AND(D35="U11B",E35&lt;=Data!$M$10), "U11 Boys record",
                      AND(D35="U11G",E35&lt;=Data!$M$23), "U11 Girls record"
                       ),""), "")</f>
        <v/>
      </c>
    </row>
    <row r="36" spans="1:7">
      <c r="A36" s="52"/>
      <c r="B36" s="178"/>
      <c r="C36" s="178"/>
      <c r="D36" s="179"/>
      <c r="E36" s="180"/>
      <c r="G36" s="184" t="str" cm="1">
        <f t="array" ref="G36">IFERROR(_xlfn.IFNA(
                      _xlfn.IFS(
                      E36="", "",
                      AND(D36="U11B",E36&lt;=Data!$M$10), "U11 Boys record",
                      AND(D36="U11G",E36&lt;=Data!$M$23), "U11 Girls record"
                       ),""), "")</f>
        <v/>
      </c>
    </row>
    <row r="37" spans="1:7">
      <c r="A37" s="52"/>
      <c r="B37" s="178"/>
      <c r="C37" s="178"/>
      <c r="D37" s="179"/>
      <c r="E37" s="180"/>
      <c r="G37" s="184" t="str" cm="1">
        <f t="array" ref="G37">IFERROR(_xlfn.IFNA(
                      _xlfn.IFS(
                      E37="", "",
                      AND(D37="U11B",E37&lt;=Data!$M$10), "U11 Boys record",
                      AND(D37="U11G",E37&lt;=Data!$M$23), "U11 Girls record"
                       ),""), "")</f>
        <v/>
      </c>
    </row>
    <row r="38" spans="1:7">
      <c r="A38" s="52"/>
      <c r="B38" s="178"/>
      <c r="C38" s="178"/>
      <c r="D38" s="179"/>
      <c r="E38" s="180"/>
      <c r="G38" s="184" t="str" cm="1">
        <f t="array" ref="G38">IFERROR(_xlfn.IFNA(
                      _xlfn.IFS(
                      E38="", "",
                      AND(D38="U11B",E38&lt;=Data!$M$10), "U11 Boys record",
                      AND(D38="U11G",E38&lt;=Data!$M$23), "U11 Girls record"
                       ),""), "")</f>
        <v/>
      </c>
    </row>
    <row r="39" spans="1:7">
      <c r="A39" s="52"/>
      <c r="B39" s="178"/>
      <c r="C39" s="178"/>
      <c r="D39" s="179"/>
      <c r="E39" s="180"/>
      <c r="G39" s="184" t="str" cm="1">
        <f t="array" ref="G39">IFERROR(_xlfn.IFNA(
                      _xlfn.IFS(
                      E39="", "",
                      AND(D39="U11B",E39&lt;=Data!$M$10), "U11 Boys record",
                      AND(D39="U11G",E39&lt;=Data!$M$23), "U11 Girls record"
                       ),""), "")</f>
        <v/>
      </c>
    </row>
    <row r="40" spans="1:7">
      <c r="A40" s="52"/>
      <c r="B40" s="178"/>
      <c r="C40" s="178"/>
      <c r="D40" s="179"/>
      <c r="E40" s="180"/>
      <c r="G40" s="184" t="str" cm="1">
        <f t="array" ref="G40">IFERROR(_xlfn.IFNA(
                      _xlfn.IFS(
                      E40="", "",
                      AND(D40="U11B",E40&lt;=Data!$M$10), "U11 Boys record",
                      AND(D40="U11G",E40&lt;=Data!$M$23), "U11 Girls record"
                       ),""), "")</f>
        <v/>
      </c>
    </row>
    <row r="41" spans="1:7">
      <c r="A41" s="52"/>
      <c r="B41" s="178"/>
      <c r="C41" s="178"/>
      <c r="D41" s="179"/>
      <c r="E41" s="180"/>
      <c r="G41" s="184" t="str" cm="1">
        <f t="array" ref="G41">IFERROR(_xlfn.IFNA(
                      _xlfn.IFS(
                      E41="", "",
                      AND(D41="U11B",E41&lt;=Data!$M$10), "U11 Boys record",
                      AND(D41="U11G",E41&lt;=Data!$M$23), "U11 Girls record"
                       ),""), "")</f>
        <v/>
      </c>
    </row>
    <row r="42" spans="1:7">
      <c r="A42" s="52"/>
      <c r="B42" s="178"/>
      <c r="C42" s="178"/>
      <c r="D42" s="179"/>
      <c r="E42" s="180"/>
      <c r="G42" s="184" t="str" cm="1">
        <f t="array" ref="G42">IFERROR(_xlfn.IFNA(
                      _xlfn.IFS(
                      E42="", "",
                      AND(D42="U11B",E42&lt;=Data!$M$10), "U11 Boys record",
                      AND(D42="U11G",E42&lt;=Data!$M$23), "U11 Girls record"
                       ),""), "")</f>
        <v/>
      </c>
    </row>
    <row r="43" spans="1:7">
      <c r="A43" s="134" t="s">
        <v>106</v>
      </c>
      <c r="B43" s="178"/>
      <c r="C43" s="178"/>
      <c r="D43" s="179"/>
      <c r="E43" s="180"/>
      <c r="G43" s="184" t="str" cm="1">
        <f t="array" ref="G43">IFERROR(_xlfn.IFNA(
                      _xlfn.IFS(
                      E43="", "",
                      AND(D43="U11B",E43&lt;=Data!$M$10), "U11 Boys record",
                      AND(D43="U11G",E43&lt;=Data!$M$23), "U11 Girls record"
                       ),""), "")</f>
        <v/>
      </c>
    </row>
    <row r="44" spans="1:7">
      <c r="A44" s="52"/>
      <c r="B44" s="178"/>
      <c r="C44" s="178"/>
      <c r="D44" s="179"/>
      <c r="E44" s="180"/>
      <c r="G44" s="184" t="str" cm="1">
        <f t="array" ref="G44">IFERROR(_xlfn.IFNA(
                      _xlfn.IFS(
                      E44="", "",
                      AND(D44="U11B",E44&lt;=Data!$M$10), "U11 Boys record",
                      AND(D44="U11G",E44&lt;=Data!$M$23), "U11 Girls record"
                       ),""), "")</f>
        <v/>
      </c>
    </row>
    <row r="45" spans="1:7">
      <c r="A45" s="52"/>
      <c r="B45" s="178"/>
      <c r="C45" s="178"/>
      <c r="D45" s="179"/>
      <c r="E45" s="180"/>
      <c r="G45" s="184" t="str" cm="1">
        <f t="array" ref="G45">IFERROR(_xlfn.IFNA(
                      _xlfn.IFS(
                      E45="", "",
                      AND(D45="U11B",E45&lt;=Data!$M$10), "U11 Boys record",
                      AND(D45="U11G",E45&lt;=Data!$M$23), "U11 Girls record"
                       ),""), "")</f>
        <v/>
      </c>
    </row>
    <row r="46" spans="1:7">
      <c r="A46" s="52"/>
      <c r="B46" s="178"/>
      <c r="C46" s="178"/>
      <c r="D46" s="179"/>
      <c r="E46" s="180"/>
      <c r="G46" s="184" t="str" cm="1">
        <f t="array" ref="G46">IFERROR(_xlfn.IFNA(
                      _xlfn.IFS(
                      E46="", "",
                      AND(D46="U11B",E46&lt;=Data!$M$10), "U11 Boys record",
                      AND(D46="U11G",E46&lt;=Data!$M$23), "U11 Girls record"
                       ),""), "")</f>
        <v/>
      </c>
    </row>
    <row r="47" spans="1:7">
      <c r="A47" s="52"/>
      <c r="B47" s="178"/>
      <c r="C47" s="178"/>
      <c r="D47" s="179"/>
      <c r="E47" s="180"/>
      <c r="G47" s="184" t="str" cm="1">
        <f t="array" ref="G47">IFERROR(_xlfn.IFNA(
                      _xlfn.IFS(
                      E47="", "",
                      AND(D47="U11B",E47&lt;=Data!$M$10), "U11 Boys record",
                      AND(D47="U11G",E47&lt;=Data!$M$23), "U11 Girls record"
                       ),""), "")</f>
        <v/>
      </c>
    </row>
    <row r="48" spans="1:7">
      <c r="A48" s="52"/>
      <c r="B48" s="178"/>
      <c r="C48" s="178"/>
      <c r="D48" s="179"/>
      <c r="E48" s="180"/>
      <c r="G48" s="184" t="str" cm="1">
        <f t="array" ref="G48">IFERROR(_xlfn.IFNA(
                      _xlfn.IFS(
                      E48="", "",
                      AND(D48="U11B",E48&lt;=Data!$M$10), "U11 Boys record",
                      AND(D48="U11G",E48&lt;=Data!$M$23), "U11 Girls record"
                       ),""), "")</f>
        <v/>
      </c>
    </row>
    <row r="49" spans="1:7">
      <c r="A49" s="52"/>
      <c r="B49" s="178"/>
      <c r="C49" s="178"/>
      <c r="D49" s="179"/>
      <c r="E49" s="180"/>
      <c r="G49" s="184" t="str" cm="1">
        <f t="array" ref="G49">IFERROR(_xlfn.IFNA(
                      _xlfn.IFS(
                      E49="", "",
                      AND(D49="U11B",E49&lt;=Data!$M$10), "U11 Boys record",
                      AND(D49="U11G",E49&lt;=Data!$M$23), "U11 Girls record"
                       ),""), "")</f>
        <v/>
      </c>
    </row>
    <row r="50" spans="1:7">
      <c r="A50" s="52"/>
      <c r="B50" s="178"/>
      <c r="C50" s="178"/>
      <c r="D50" s="179"/>
      <c r="E50" s="180"/>
      <c r="G50" s="184" t="str" cm="1">
        <f t="array" ref="G50">IFERROR(_xlfn.IFNA(
                      _xlfn.IFS(
                      E50="", "",
                      AND(D50="U11B",E50&lt;=Data!$M$10), "U11 Boys record",
                      AND(D50="U11G",E50&lt;=Data!$M$23), "U11 Girls record"
                       ),""), "")</f>
        <v/>
      </c>
    </row>
  </sheetData>
  <sheetProtection sheet="1" objects="1" scenarios="1"/>
  <mergeCells count="4">
    <mergeCell ref="D1:E1"/>
    <mergeCell ref="D2:E2"/>
    <mergeCell ref="A1:B1"/>
    <mergeCell ref="A2:B2"/>
  </mergeCells>
  <conditionalFormatting sqref="C6">
    <cfRule type="duplicateValues" dxfId="9" priority="6"/>
  </conditionalFormatting>
  <conditionalFormatting sqref="C7:C8 C10 C12:C14">
    <cfRule type="duplicateValues" dxfId="8" priority="12"/>
  </conditionalFormatting>
  <conditionalFormatting sqref="C9">
    <cfRule type="duplicateValues" dxfId="7" priority="5"/>
  </conditionalFormatting>
  <conditionalFormatting sqref="C11">
    <cfRule type="duplicateValues" dxfId="6" priority="4"/>
  </conditionalFormatting>
  <conditionalFormatting sqref="C16">
    <cfRule type="duplicateValues" dxfId="5" priority="2"/>
  </conditionalFormatting>
  <conditionalFormatting sqref="C17">
    <cfRule type="duplicateValues" dxfId="4" priority="3"/>
  </conditionalFormatting>
  <conditionalFormatting sqref="C18">
    <cfRule type="duplicateValues" dxfId="3" priority="1"/>
  </conditionalFormatting>
  <conditionalFormatting sqref="C19:C24">
    <cfRule type="duplicateValues" dxfId="2" priority="11"/>
  </conditionalFormatting>
  <pageMargins left="0.75" right="0.75" top="1" bottom="1" header="0.5" footer="0.5"/>
  <pageSetup paperSize="9" scale="47" orientation="portrait" horizontalDpi="0" verticalDpi="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F52E8-D5C3-A342-A440-6B5C2753B214}">
  <sheetPr>
    <pageSetUpPr fitToPage="1"/>
  </sheetPr>
  <dimension ref="A1:W467"/>
  <sheetViews>
    <sheetView zoomScale="70" zoomScaleNormal="70" zoomScaleSheetLayoutView="41" workbookViewId="0">
      <pane ySplit="5" topLeftCell="A6" activePane="bottomLeft" state="frozen"/>
      <selection activeCell="F147" sqref="F147"/>
      <selection pane="bottomLeft" activeCell="M441" sqref="M441:M467"/>
    </sheetView>
  </sheetViews>
  <sheetFormatPr baseColWidth="10" defaultColWidth="8.83203125" defaultRowHeight="13"/>
  <cols>
    <col min="1" max="1" width="13.33203125" style="9" customWidth="1"/>
    <col min="2" max="2" width="13.33203125" style="4" customWidth="1"/>
    <col min="3" max="4" width="33.33203125" style="4" customWidth="1"/>
    <col min="5" max="6" width="13.33203125" style="4" customWidth="1"/>
    <col min="7" max="7" width="13.33203125" style="5" customWidth="1"/>
    <col min="8" max="9" width="13.33203125" style="4" customWidth="1"/>
    <col min="10" max="10" width="13.33203125" style="6" customWidth="1"/>
    <col min="11" max="12" width="13.33203125" customWidth="1"/>
    <col min="13" max="13" width="13.33203125" style="15" customWidth="1"/>
    <col min="14" max="15" width="13.33203125" customWidth="1"/>
    <col min="16" max="16" width="13.33203125" style="6" customWidth="1"/>
    <col min="17" max="17" width="13.33203125" customWidth="1"/>
    <col min="18" max="22" width="13.33203125" style="4" customWidth="1"/>
    <col min="23" max="23" width="18.5" style="4" customWidth="1"/>
  </cols>
  <sheetData>
    <row r="1" spans="1:23" s="9" customFormat="1" ht="38" customHeight="1">
      <c r="A1" s="362" t="str">
        <f>'Read Me First'!A1:F1</f>
        <v>Oxfordshire Track and Field League 2026</v>
      </c>
      <c r="B1" s="362"/>
      <c r="C1" s="362"/>
      <c r="D1" s="362"/>
      <c r="E1" s="362"/>
      <c r="F1" s="362"/>
      <c r="G1" s="382" t="s">
        <v>11</v>
      </c>
      <c r="H1" s="382"/>
      <c r="I1" s="382"/>
      <c r="J1" s="382"/>
      <c r="K1" s="361" t="s">
        <v>13</v>
      </c>
      <c r="L1" s="361"/>
      <c r="M1" s="361"/>
      <c r="N1" s="361"/>
      <c r="O1" s="361"/>
      <c r="P1" s="361"/>
      <c r="Q1" s="361"/>
      <c r="R1" s="361" t="s">
        <v>12</v>
      </c>
      <c r="S1" s="361"/>
      <c r="T1" s="361"/>
      <c r="U1" s="361"/>
      <c r="V1" s="361"/>
      <c r="W1" s="54"/>
    </row>
    <row r="2" spans="1:23" s="9" customFormat="1" ht="38" customHeight="1">
      <c r="A2" s="362" t="str">
        <f>'Read Me First'!A2:F2</f>
        <v>QuadKids</v>
      </c>
      <c r="B2" s="362"/>
      <c r="C2" s="362"/>
      <c r="D2" s="362"/>
      <c r="E2" s="362"/>
      <c r="F2" s="362"/>
      <c r="G2" s="363">
        <f>'Read Me First'!C9</f>
        <v>2</v>
      </c>
      <c r="H2" s="363"/>
      <c r="I2" s="363"/>
      <c r="J2" s="363"/>
      <c r="K2" s="361" t="str">
        <f>(VLOOKUP('Read Me First'!F4,'Read Me First'!A22:D24,4,FALSE))</f>
        <v>Banbury</v>
      </c>
      <c r="L2" s="361"/>
      <c r="M2" s="361"/>
      <c r="N2" s="361"/>
      <c r="O2" s="361"/>
      <c r="P2" s="361"/>
      <c r="Q2" s="361"/>
      <c r="R2" s="364">
        <f ca="1">IF(TEXT('Read Me First'!C10,"dd/mm/yy")=TEXT(NOW(),"dd/mm/yy"), TEXT(NOW(),"dd mmmm yyyy") &amp; " (Printed " &amp; TEXT(NOW(),"hh:mm") &amp; ")",'Read Me First'!C10)</f>
        <v>46250</v>
      </c>
      <c r="S2" s="364"/>
      <c r="T2" s="364"/>
      <c r="U2" s="364"/>
      <c r="V2" s="364"/>
      <c r="W2" s="55"/>
    </row>
    <row r="3" spans="1:23" s="4" customFormat="1" ht="10.5" customHeight="1">
      <c r="A3" s="392"/>
      <c r="B3" s="392"/>
      <c r="C3" s="392"/>
      <c r="D3" s="392"/>
      <c r="E3" s="392"/>
      <c r="F3" s="392"/>
      <c r="G3" s="392"/>
      <c r="H3" s="392"/>
      <c r="I3" s="392"/>
      <c r="J3" s="392"/>
      <c r="K3" s="392"/>
      <c r="L3" s="392"/>
      <c r="M3" s="392"/>
      <c r="N3" s="392"/>
      <c r="O3" s="392"/>
      <c r="P3" s="392"/>
      <c r="Q3" s="392"/>
      <c r="R3" s="392"/>
      <c r="S3" s="392"/>
      <c r="T3" s="392"/>
      <c r="U3" s="392"/>
      <c r="V3" s="392"/>
      <c r="W3" s="26"/>
    </row>
    <row r="4" spans="1:23" s="4" customFormat="1" ht="20" customHeight="1">
      <c r="A4" s="386"/>
      <c r="B4" s="386" t="s">
        <v>16</v>
      </c>
      <c r="C4" s="388" t="s">
        <v>91</v>
      </c>
      <c r="D4" s="388" t="s">
        <v>21</v>
      </c>
      <c r="E4" s="388" t="s">
        <v>15</v>
      </c>
      <c r="F4" s="393" t="s">
        <v>155</v>
      </c>
      <c r="G4" s="395" t="s">
        <v>2</v>
      </c>
      <c r="H4" s="396"/>
      <c r="I4" s="397"/>
      <c r="J4" s="395" t="s">
        <v>3</v>
      </c>
      <c r="K4" s="396"/>
      <c r="L4" s="397"/>
      <c r="M4" s="395" t="s">
        <v>26</v>
      </c>
      <c r="N4" s="396"/>
      <c r="O4" s="397"/>
      <c r="P4" s="398" t="s">
        <v>27</v>
      </c>
      <c r="Q4" s="399"/>
      <c r="R4" s="80" t="s">
        <v>1</v>
      </c>
      <c r="S4" s="390" t="s">
        <v>97</v>
      </c>
      <c r="T4" s="391"/>
      <c r="U4" s="390" t="s">
        <v>98</v>
      </c>
      <c r="V4" s="391"/>
      <c r="W4" s="56"/>
    </row>
    <row r="5" spans="1:23" s="4" customFormat="1" ht="20" customHeight="1" thickBot="1">
      <c r="A5" s="387"/>
      <c r="B5" s="387"/>
      <c r="C5" s="389"/>
      <c r="D5" s="389"/>
      <c r="E5" s="389"/>
      <c r="F5" s="394"/>
      <c r="G5" s="141" t="s">
        <v>17</v>
      </c>
      <c r="H5" s="142" t="s">
        <v>1</v>
      </c>
      <c r="I5" s="142" t="s">
        <v>187</v>
      </c>
      <c r="J5" s="143" t="s">
        <v>17</v>
      </c>
      <c r="K5" s="142" t="s">
        <v>1</v>
      </c>
      <c r="L5" s="142" t="s">
        <v>187</v>
      </c>
      <c r="M5" s="141" t="s">
        <v>18</v>
      </c>
      <c r="N5" s="142" t="s">
        <v>1</v>
      </c>
      <c r="O5" s="142" t="s">
        <v>187</v>
      </c>
      <c r="P5" s="141" t="s">
        <v>18</v>
      </c>
      <c r="Q5" s="142" t="s">
        <v>1</v>
      </c>
      <c r="R5" s="135" t="s">
        <v>71</v>
      </c>
      <c r="S5" s="135" t="s">
        <v>150</v>
      </c>
      <c r="T5" s="135" t="s">
        <v>145</v>
      </c>
      <c r="U5" s="135" t="s">
        <v>150</v>
      </c>
      <c r="V5" s="135" t="s">
        <v>145</v>
      </c>
      <c r="W5" s="56"/>
    </row>
    <row r="6" spans="1:23" s="4" customFormat="1" ht="20" customHeight="1">
      <c r="A6" s="383" t="str">
        <f>'Read Me First'!C11</f>
        <v>Abingdon AC</v>
      </c>
      <c r="B6" s="144" t="str" cm="1">
        <f t="array" ref="B6">_xlfn.LET(_xlpm.x, _xlfn._xlws.SORT(_xlfn._xlws.FILTER(Data!$A$54:$U$341,(Data!$C$54:$C$341=$A6)*(Data!$D$54:$D$341=$E$4)*(Data!$E$54:$E$341="U10")),18),_xlpm.y,_xlfn._xlws.SORT(_xlfn._xlws.FILTER(Data!$A$54:$U$341,(Data!$C$54:$C$341=$A6)*(Data!$D$54:$D$341=$E$4)*(Data!$E$54:$E$341="U12")),19), IFERROR(_xlfn.VSTACK(_xlpm.x,_xlpm.y), IFERROR(_xlpm.y,IFERROR(_xlpm.x, ""))))</f>
        <v/>
      </c>
      <c r="C6" s="145"/>
      <c r="D6" s="145"/>
      <c r="E6" s="145"/>
      <c r="F6" s="145"/>
      <c r="G6" s="146"/>
      <c r="H6" s="145"/>
      <c r="I6" s="145"/>
      <c r="J6" s="147"/>
      <c r="K6" s="145"/>
      <c r="L6" s="145"/>
      <c r="M6" s="148"/>
      <c r="N6" s="145"/>
      <c r="O6" s="145"/>
      <c r="P6" s="148"/>
      <c r="Q6" s="145"/>
      <c r="R6" s="145"/>
      <c r="S6" s="145"/>
      <c r="T6" s="145"/>
      <c r="U6" s="145"/>
      <c r="V6" s="149"/>
      <c r="W6" s="140"/>
    </row>
    <row r="7" spans="1:23" ht="20" customHeight="1">
      <c r="A7" s="384"/>
      <c r="B7" s="156"/>
      <c r="C7" s="137"/>
      <c r="D7" s="137"/>
      <c r="E7" s="137"/>
      <c r="F7" s="137"/>
      <c r="G7" s="136"/>
      <c r="H7" s="137"/>
      <c r="I7" s="137"/>
      <c r="J7" s="138"/>
      <c r="K7" s="137"/>
      <c r="L7" s="137"/>
      <c r="M7" s="139"/>
      <c r="N7" s="137"/>
      <c r="O7" s="137"/>
      <c r="P7" s="139"/>
      <c r="Q7" s="137"/>
      <c r="R7" s="137"/>
      <c r="S7" s="137"/>
      <c r="T7" s="137"/>
      <c r="U7" s="137"/>
      <c r="V7" s="150"/>
      <c r="W7" s="26"/>
    </row>
    <row r="8" spans="1:23" ht="20" customHeight="1">
      <c r="A8" s="384"/>
      <c r="B8" s="156"/>
      <c r="C8" s="137"/>
      <c r="D8" s="137"/>
      <c r="E8" s="137"/>
      <c r="F8" s="137"/>
      <c r="G8" s="136"/>
      <c r="H8" s="137"/>
      <c r="I8" s="137"/>
      <c r="J8" s="138"/>
      <c r="K8" s="137"/>
      <c r="L8" s="137"/>
      <c r="M8" s="139"/>
      <c r="N8" s="137"/>
      <c r="O8" s="137"/>
      <c r="P8" s="139"/>
      <c r="Q8" s="137"/>
      <c r="R8" s="137"/>
      <c r="S8" s="137"/>
      <c r="T8" s="137"/>
      <c r="U8" s="137"/>
      <c r="V8" s="150"/>
      <c r="W8" s="26"/>
    </row>
    <row r="9" spans="1:23" ht="20" customHeight="1">
      <c r="A9" s="384"/>
      <c r="B9" s="156"/>
      <c r="C9" s="137"/>
      <c r="D9" s="137"/>
      <c r="E9" s="137"/>
      <c r="F9" s="137"/>
      <c r="G9" s="136"/>
      <c r="H9" s="137"/>
      <c r="I9" s="137"/>
      <c r="J9" s="138"/>
      <c r="K9" s="137"/>
      <c r="L9" s="137"/>
      <c r="M9" s="139"/>
      <c r="N9" s="137"/>
      <c r="O9" s="137"/>
      <c r="P9" s="139"/>
      <c r="Q9" s="137"/>
      <c r="R9" s="137"/>
      <c r="S9" s="137"/>
      <c r="T9" s="137"/>
      <c r="U9" s="137"/>
      <c r="V9" s="150"/>
      <c r="W9" s="26"/>
    </row>
    <row r="10" spans="1:23" ht="20" customHeight="1">
      <c r="A10" s="384"/>
      <c r="B10" s="156"/>
      <c r="C10" s="137"/>
      <c r="D10" s="137"/>
      <c r="E10" s="137"/>
      <c r="F10" s="137"/>
      <c r="G10" s="136"/>
      <c r="H10" s="137"/>
      <c r="I10" s="137"/>
      <c r="J10" s="138"/>
      <c r="K10" s="137"/>
      <c r="L10" s="137"/>
      <c r="M10" s="139"/>
      <c r="N10" s="137"/>
      <c r="O10" s="137"/>
      <c r="P10" s="139"/>
      <c r="Q10" s="137"/>
      <c r="R10" s="137"/>
      <c r="S10" s="137"/>
      <c r="T10" s="137"/>
      <c r="U10" s="137"/>
      <c r="V10" s="150"/>
      <c r="W10" s="26"/>
    </row>
    <row r="11" spans="1:23" ht="20" customHeight="1">
      <c r="A11" s="384"/>
      <c r="B11" s="156"/>
      <c r="C11" s="137"/>
      <c r="D11" s="137"/>
      <c r="E11" s="137"/>
      <c r="F11" s="137"/>
      <c r="G11" s="136"/>
      <c r="H11" s="137"/>
      <c r="I11" s="137"/>
      <c r="J11" s="138"/>
      <c r="K11" s="137"/>
      <c r="L11" s="137"/>
      <c r="M11" s="139"/>
      <c r="N11" s="137"/>
      <c r="O11" s="137"/>
      <c r="P11" s="139"/>
      <c r="Q11" s="137"/>
      <c r="R11" s="137"/>
      <c r="S11" s="137"/>
      <c r="T11" s="137"/>
      <c r="U11" s="137"/>
      <c r="V11" s="150"/>
      <c r="W11" s="26"/>
    </row>
    <row r="12" spans="1:23" ht="20" customHeight="1">
      <c r="A12" s="384"/>
      <c r="B12" s="156"/>
      <c r="C12" s="137"/>
      <c r="D12" s="137"/>
      <c r="E12" s="137"/>
      <c r="F12" s="137"/>
      <c r="G12" s="136"/>
      <c r="H12" s="137"/>
      <c r="I12" s="137"/>
      <c r="J12" s="138"/>
      <c r="K12" s="137"/>
      <c r="L12" s="137"/>
      <c r="M12" s="139"/>
      <c r="N12" s="137"/>
      <c r="O12" s="137"/>
      <c r="P12" s="139"/>
      <c r="Q12" s="137"/>
      <c r="R12" s="137"/>
      <c r="S12" s="137"/>
      <c r="T12" s="137"/>
      <c r="U12" s="137"/>
      <c r="V12" s="150"/>
      <c r="W12" s="26"/>
    </row>
    <row r="13" spans="1:23" ht="20" customHeight="1">
      <c r="A13" s="384"/>
      <c r="B13" s="156"/>
      <c r="C13" s="137"/>
      <c r="D13" s="137"/>
      <c r="E13" s="137"/>
      <c r="F13" s="137"/>
      <c r="G13" s="136"/>
      <c r="H13" s="137"/>
      <c r="I13" s="137"/>
      <c r="J13" s="138"/>
      <c r="K13" s="137"/>
      <c r="L13" s="137"/>
      <c r="M13" s="139"/>
      <c r="N13" s="137"/>
      <c r="O13" s="137"/>
      <c r="P13" s="139"/>
      <c r="Q13" s="137"/>
      <c r="R13" s="137"/>
      <c r="S13" s="137"/>
      <c r="T13" s="137"/>
      <c r="U13" s="137"/>
      <c r="V13" s="150"/>
      <c r="W13" s="26"/>
    </row>
    <row r="14" spans="1:23" ht="20" customHeight="1">
      <c r="A14" s="384"/>
      <c r="B14" s="156"/>
      <c r="C14" s="137"/>
      <c r="D14" s="137"/>
      <c r="E14" s="137"/>
      <c r="F14" s="137"/>
      <c r="G14" s="136"/>
      <c r="H14" s="137"/>
      <c r="I14" s="137"/>
      <c r="J14" s="138"/>
      <c r="K14" s="137"/>
      <c r="L14" s="137"/>
      <c r="M14" s="139"/>
      <c r="N14" s="137"/>
      <c r="O14" s="137"/>
      <c r="P14" s="139"/>
      <c r="Q14" s="137"/>
      <c r="R14" s="137"/>
      <c r="S14" s="137"/>
      <c r="T14" s="137"/>
      <c r="U14" s="137"/>
      <c r="V14" s="150"/>
      <c r="W14" s="26"/>
    </row>
    <row r="15" spans="1:23" ht="20" customHeight="1">
      <c r="A15" s="384"/>
      <c r="B15" s="156"/>
      <c r="C15" s="137"/>
      <c r="D15" s="137"/>
      <c r="E15" s="137"/>
      <c r="F15" s="137"/>
      <c r="G15" s="136"/>
      <c r="H15" s="137"/>
      <c r="I15" s="137"/>
      <c r="J15" s="138"/>
      <c r="K15" s="137"/>
      <c r="L15" s="137"/>
      <c r="M15" s="139"/>
      <c r="N15" s="137"/>
      <c r="O15" s="137"/>
      <c r="P15" s="139"/>
      <c r="Q15" s="137"/>
      <c r="R15" s="137"/>
      <c r="S15" s="137"/>
      <c r="T15" s="137"/>
      <c r="U15" s="137"/>
      <c r="V15" s="150"/>
      <c r="W15" s="26"/>
    </row>
    <row r="16" spans="1:23" ht="20" customHeight="1">
      <c r="A16" s="384"/>
      <c r="B16" s="156"/>
      <c r="C16" s="137"/>
      <c r="D16" s="137"/>
      <c r="E16" s="137"/>
      <c r="F16" s="137"/>
      <c r="G16" s="136"/>
      <c r="H16" s="137"/>
      <c r="I16" s="137"/>
      <c r="J16" s="138"/>
      <c r="K16" s="137"/>
      <c r="L16" s="137"/>
      <c r="M16" s="139"/>
      <c r="N16" s="137"/>
      <c r="O16" s="137"/>
      <c r="P16" s="139"/>
      <c r="Q16" s="137"/>
      <c r="R16" s="137"/>
      <c r="S16" s="137"/>
      <c r="T16" s="137"/>
      <c r="U16" s="137"/>
      <c r="V16" s="150"/>
      <c r="W16" s="26"/>
    </row>
    <row r="17" spans="1:23" ht="20" customHeight="1">
      <c r="A17" s="384"/>
      <c r="B17" s="156"/>
      <c r="C17" s="137"/>
      <c r="D17" s="137"/>
      <c r="E17" s="137"/>
      <c r="F17" s="137"/>
      <c r="G17" s="136"/>
      <c r="H17" s="137"/>
      <c r="I17" s="137"/>
      <c r="J17" s="138"/>
      <c r="K17" s="137"/>
      <c r="L17" s="137"/>
      <c r="M17" s="139"/>
      <c r="N17" s="137"/>
      <c r="O17" s="137"/>
      <c r="P17" s="139"/>
      <c r="Q17" s="137"/>
      <c r="R17" s="137"/>
      <c r="S17" s="137"/>
      <c r="T17" s="137"/>
      <c r="U17" s="137"/>
      <c r="V17" s="150"/>
      <c r="W17" s="26"/>
    </row>
    <row r="18" spans="1:23" ht="20" customHeight="1">
      <c r="A18" s="384"/>
      <c r="B18" s="156"/>
      <c r="C18" s="137"/>
      <c r="D18" s="137"/>
      <c r="E18" s="137"/>
      <c r="F18" s="137"/>
      <c r="G18" s="136"/>
      <c r="H18" s="137"/>
      <c r="I18" s="137"/>
      <c r="J18" s="138"/>
      <c r="K18" s="137"/>
      <c r="L18" s="137"/>
      <c r="M18" s="139"/>
      <c r="N18" s="137"/>
      <c r="O18" s="137"/>
      <c r="P18" s="139"/>
      <c r="Q18" s="137"/>
      <c r="R18" s="137"/>
      <c r="S18" s="137"/>
      <c r="T18" s="137"/>
      <c r="U18" s="137"/>
      <c r="V18" s="150"/>
      <c r="W18" s="26"/>
    </row>
    <row r="19" spans="1:23" ht="20" customHeight="1">
      <c r="A19" s="384"/>
      <c r="B19" s="156"/>
      <c r="C19" s="137"/>
      <c r="D19" s="137"/>
      <c r="E19" s="137"/>
      <c r="F19" s="137"/>
      <c r="G19" s="136"/>
      <c r="H19" s="137"/>
      <c r="I19" s="137"/>
      <c r="J19" s="138"/>
      <c r="K19" s="137"/>
      <c r="L19" s="137"/>
      <c r="M19" s="139"/>
      <c r="N19" s="137"/>
      <c r="O19" s="137"/>
      <c r="P19" s="139"/>
      <c r="Q19" s="137"/>
      <c r="R19" s="137"/>
      <c r="S19" s="137"/>
      <c r="T19" s="137"/>
      <c r="U19" s="137"/>
      <c r="V19" s="150"/>
      <c r="W19" s="26"/>
    </row>
    <row r="20" spans="1:23" ht="20" customHeight="1">
      <c r="A20" s="384"/>
      <c r="B20" s="156"/>
      <c r="C20" s="137"/>
      <c r="D20" s="137"/>
      <c r="E20" s="137"/>
      <c r="F20" s="137"/>
      <c r="G20" s="136"/>
      <c r="H20" s="137"/>
      <c r="I20" s="137"/>
      <c r="J20" s="138"/>
      <c r="K20" s="137"/>
      <c r="L20" s="137"/>
      <c r="M20" s="139"/>
      <c r="N20" s="137"/>
      <c r="O20" s="137"/>
      <c r="P20" s="139"/>
      <c r="Q20" s="137"/>
      <c r="R20" s="137"/>
      <c r="S20" s="137"/>
      <c r="T20" s="137"/>
      <c r="U20" s="137"/>
      <c r="V20" s="150"/>
      <c r="W20" s="26"/>
    </row>
    <row r="21" spans="1:23" ht="20" customHeight="1">
      <c r="A21" s="384"/>
      <c r="B21" s="156"/>
      <c r="C21" s="137"/>
      <c r="D21" s="137"/>
      <c r="E21" s="137"/>
      <c r="F21" s="137"/>
      <c r="G21" s="136"/>
      <c r="H21" s="137"/>
      <c r="I21" s="137"/>
      <c r="J21" s="138"/>
      <c r="K21" s="137"/>
      <c r="L21" s="137"/>
      <c r="M21" s="139"/>
      <c r="N21" s="137"/>
      <c r="O21" s="137"/>
      <c r="P21" s="139"/>
      <c r="Q21" s="137"/>
      <c r="R21" s="137"/>
      <c r="S21" s="137"/>
      <c r="T21" s="137"/>
      <c r="U21" s="137"/>
      <c r="V21" s="150"/>
      <c r="W21" s="26"/>
    </row>
    <row r="22" spans="1:23" ht="20" customHeight="1">
      <c r="A22" s="384"/>
      <c r="B22" s="156"/>
      <c r="C22" s="137"/>
      <c r="D22" s="137"/>
      <c r="E22" s="137"/>
      <c r="F22" s="137"/>
      <c r="G22" s="136"/>
      <c r="H22" s="137"/>
      <c r="I22" s="137"/>
      <c r="J22" s="138"/>
      <c r="K22" s="137"/>
      <c r="L22" s="137"/>
      <c r="M22" s="139"/>
      <c r="N22" s="137"/>
      <c r="O22" s="137"/>
      <c r="P22" s="139"/>
      <c r="Q22" s="137"/>
      <c r="R22" s="137"/>
      <c r="S22" s="137"/>
      <c r="T22" s="137"/>
      <c r="U22" s="137"/>
      <c r="V22" s="150"/>
      <c r="W22" s="26"/>
    </row>
    <row r="23" spans="1:23" ht="20" customHeight="1">
      <c r="A23" s="384"/>
      <c r="B23" s="156"/>
      <c r="C23" s="137"/>
      <c r="D23" s="137"/>
      <c r="E23" s="137"/>
      <c r="F23" s="137"/>
      <c r="G23" s="136"/>
      <c r="H23" s="137"/>
      <c r="I23" s="137"/>
      <c r="J23" s="138"/>
      <c r="K23" s="137"/>
      <c r="L23" s="137"/>
      <c r="M23" s="139"/>
      <c r="N23" s="137"/>
      <c r="O23" s="137"/>
      <c r="P23" s="139"/>
      <c r="Q23" s="137"/>
      <c r="R23" s="137"/>
      <c r="S23" s="137"/>
      <c r="T23" s="137"/>
      <c r="U23" s="137"/>
      <c r="V23" s="150"/>
      <c r="W23" s="26"/>
    </row>
    <row r="24" spans="1:23" ht="20" customHeight="1">
      <c r="A24" s="384"/>
      <c r="B24" s="156"/>
      <c r="C24" s="137"/>
      <c r="D24" s="137"/>
      <c r="E24" s="137"/>
      <c r="F24" s="137"/>
      <c r="G24" s="136"/>
      <c r="H24" s="137"/>
      <c r="I24" s="137"/>
      <c r="J24" s="138"/>
      <c r="K24" s="137"/>
      <c r="L24" s="137"/>
      <c r="M24" s="139"/>
      <c r="N24" s="137"/>
      <c r="O24" s="137"/>
      <c r="P24" s="139"/>
      <c r="Q24" s="137"/>
      <c r="R24" s="137"/>
      <c r="S24" s="137"/>
      <c r="T24" s="137"/>
      <c r="U24" s="137"/>
      <c r="V24" s="150"/>
      <c r="W24" s="26"/>
    </row>
    <row r="25" spans="1:23" ht="20" customHeight="1" thickBot="1">
      <c r="A25" s="385"/>
      <c r="B25" s="157"/>
      <c r="C25" s="151"/>
      <c r="D25" s="151"/>
      <c r="E25" s="151"/>
      <c r="F25" s="151"/>
      <c r="G25" s="152"/>
      <c r="H25" s="151"/>
      <c r="I25" s="151"/>
      <c r="J25" s="153"/>
      <c r="K25" s="151"/>
      <c r="L25" s="151"/>
      <c r="M25" s="154"/>
      <c r="N25" s="151"/>
      <c r="O25" s="151"/>
      <c r="P25" s="154"/>
      <c r="Q25" s="151"/>
      <c r="R25" s="151"/>
      <c r="S25" s="151"/>
      <c r="T25" s="151"/>
      <c r="U25" s="151"/>
      <c r="V25" s="155"/>
      <c r="W25" s="26"/>
    </row>
    <row r="26" spans="1:23" ht="20" customHeight="1">
      <c r="A26" s="383" t="str">
        <f>'Read Me First'!C12</f>
        <v>Banbury Harriers AC</v>
      </c>
      <c r="B26" s="144" t="str" cm="1">
        <f t="array" ref="B26">_xlfn.LET(_xlpm.x, _xlfn._xlws.SORT(_xlfn._xlws.FILTER(Data!$A$54:$U$341,(Data!$C$54:$C$341=$A26)*(Data!$D$54:$D$341=$E$4)*(Data!$E$54:$E$341="U10")),18),_xlpm.y,_xlfn._xlws.SORT(_xlfn._xlws.FILTER(Data!$A$54:$U$341,(Data!$C$54:$C$341=$A26)*(Data!$D$54:$D$341=$E$4)*(Data!$E$54:$E$341="U12")),19), IFERROR(_xlfn.VSTACK(_xlpm.x,_xlpm.y), IFERROR(_xlpm.y,IFERROR(_xlpm.x, ""))))</f>
        <v/>
      </c>
      <c r="C26" s="145"/>
      <c r="D26" s="145"/>
      <c r="E26" s="145"/>
      <c r="F26" s="145"/>
      <c r="G26" s="146"/>
      <c r="H26" s="145"/>
      <c r="I26" s="145"/>
      <c r="J26" s="147"/>
      <c r="K26" s="145"/>
      <c r="L26" s="145"/>
      <c r="M26" s="148"/>
      <c r="N26" s="145"/>
      <c r="O26" s="145"/>
      <c r="P26" s="148"/>
      <c r="Q26" s="145"/>
      <c r="R26" s="145"/>
      <c r="S26" s="145"/>
      <c r="T26" s="145"/>
      <c r="U26" s="145"/>
      <c r="V26" s="149"/>
      <c r="W26" s="26"/>
    </row>
    <row r="27" spans="1:23" s="4" customFormat="1" ht="20" customHeight="1">
      <c r="A27" s="384"/>
      <c r="B27" s="156"/>
      <c r="C27" s="137"/>
      <c r="D27" s="137"/>
      <c r="E27" s="137"/>
      <c r="F27" s="137"/>
      <c r="G27" s="136"/>
      <c r="H27" s="137"/>
      <c r="I27" s="137"/>
      <c r="J27" s="138"/>
      <c r="K27" s="137"/>
      <c r="L27" s="137"/>
      <c r="M27" s="139"/>
      <c r="N27" s="137"/>
      <c r="O27" s="137"/>
      <c r="P27" s="139"/>
      <c r="Q27" s="137"/>
      <c r="R27" s="137"/>
      <c r="S27" s="137"/>
      <c r="T27" s="137"/>
      <c r="U27" s="137"/>
      <c r="V27" s="150"/>
      <c r="W27" s="140"/>
    </row>
    <row r="28" spans="1:23" ht="20" customHeight="1">
      <c r="A28" s="384"/>
      <c r="B28" s="156"/>
      <c r="C28" s="137"/>
      <c r="D28" s="137"/>
      <c r="E28" s="137"/>
      <c r="F28" s="137"/>
      <c r="G28" s="136"/>
      <c r="H28" s="137"/>
      <c r="I28" s="137"/>
      <c r="J28" s="138"/>
      <c r="K28" s="137"/>
      <c r="L28" s="137"/>
      <c r="M28" s="139"/>
      <c r="N28" s="137"/>
      <c r="O28" s="137"/>
      <c r="P28" s="139"/>
      <c r="Q28" s="137"/>
      <c r="R28" s="137"/>
      <c r="S28" s="137"/>
      <c r="T28" s="137"/>
      <c r="U28" s="137"/>
      <c r="V28" s="150"/>
      <c r="W28" s="26"/>
    </row>
    <row r="29" spans="1:23" ht="20" customHeight="1">
      <c r="A29" s="384"/>
      <c r="B29" s="156"/>
      <c r="C29" s="137"/>
      <c r="D29" s="137"/>
      <c r="E29" s="137"/>
      <c r="F29" s="137"/>
      <c r="G29" s="136"/>
      <c r="H29" s="137"/>
      <c r="I29" s="137"/>
      <c r="J29" s="138"/>
      <c r="K29" s="137"/>
      <c r="L29" s="137"/>
      <c r="M29" s="139"/>
      <c r="N29" s="137"/>
      <c r="O29" s="137"/>
      <c r="P29" s="139"/>
      <c r="Q29" s="137"/>
      <c r="R29" s="137"/>
      <c r="S29" s="137"/>
      <c r="T29" s="137"/>
      <c r="U29" s="137"/>
      <c r="V29" s="150"/>
      <c r="W29" s="26"/>
    </row>
    <row r="30" spans="1:23" ht="20" customHeight="1">
      <c r="A30" s="384"/>
      <c r="B30" s="156"/>
      <c r="C30" s="137"/>
      <c r="D30" s="137"/>
      <c r="E30" s="137"/>
      <c r="F30" s="137"/>
      <c r="G30" s="136"/>
      <c r="H30" s="137"/>
      <c r="I30" s="137"/>
      <c r="J30" s="138"/>
      <c r="K30" s="137"/>
      <c r="L30" s="137"/>
      <c r="M30" s="139"/>
      <c r="N30" s="137"/>
      <c r="O30" s="137"/>
      <c r="P30" s="139"/>
      <c r="Q30" s="137"/>
      <c r="R30" s="137"/>
      <c r="S30" s="137"/>
      <c r="T30" s="137"/>
      <c r="U30" s="137"/>
      <c r="V30" s="150"/>
      <c r="W30" s="26"/>
    </row>
    <row r="31" spans="1:23" ht="20" customHeight="1">
      <c r="A31" s="384"/>
      <c r="B31" s="156"/>
      <c r="C31" s="137"/>
      <c r="D31" s="137"/>
      <c r="E31" s="137"/>
      <c r="F31" s="137"/>
      <c r="G31" s="136"/>
      <c r="H31" s="137"/>
      <c r="I31" s="137"/>
      <c r="J31" s="138"/>
      <c r="K31" s="137"/>
      <c r="L31" s="137"/>
      <c r="M31" s="139"/>
      <c r="N31" s="137"/>
      <c r="O31" s="137"/>
      <c r="P31" s="139"/>
      <c r="Q31" s="137"/>
      <c r="R31" s="137"/>
      <c r="S31" s="137"/>
      <c r="T31" s="137"/>
      <c r="U31" s="137"/>
      <c r="V31" s="150"/>
      <c r="W31" s="26"/>
    </row>
    <row r="32" spans="1:23" ht="20" customHeight="1">
      <c r="A32" s="384"/>
      <c r="B32" s="156"/>
      <c r="C32" s="137"/>
      <c r="D32" s="137"/>
      <c r="E32" s="137"/>
      <c r="F32" s="137"/>
      <c r="G32" s="136"/>
      <c r="H32" s="137"/>
      <c r="I32" s="137"/>
      <c r="J32" s="138"/>
      <c r="K32" s="137"/>
      <c r="L32" s="137"/>
      <c r="M32" s="139"/>
      <c r="N32" s="137"/>
      <c r="O32" s="137"/>
      <c r="P32" s="139"/>
      <c r="Q32" s="137"/>
      <c r="R32" s="137"/>
      <c r="S32" s="137"/>
      <c r="T32" s="137"/>
      <c r="U32" s="137"/>
      <c r="V32" s="150"/>
      <c r="W32" s="26"/>
    </row>
    <row r="33" spans="1:23" ht="20" customHeight="1">
      <c r="A33" s="384"/>
      <c r="B33" s="156"/>
      <c r="C33" s="137"/>
      <c r="D33" s="137"/>
      <c r="E33" s="137"/>
      <c r="F33" s="137"/>
      <c r="G33" s="136"/>
      <c r="H33" s="137"/>
      <c r="I33" s="137"/>
      <c r="J33" s="138"/>
      <c r="K33" s="137"/>
      <c r="L33" s="137"/>
      <c r="M33" s="139"/>
      <c r="N33" s="137"/>
      <c r="O33" s="137"/>
      <c r="P33" s="139"/>
      <c r="Q33" s="137"/>
      <c r="R33" s="137"/>
      <c r="S33" s="137"/>
      <c r="T33" s="137"/>
      <c r="U33" s="137"/>
      <c r="V33" s="150"/>
      <c r="W33" s="26"/>
    </row>
    <row r="34" spans="1:23" ht="20" customHeight="1">
      <c r="A34" s="384"/>
      <c r="B34" s="156"/>
      <c r="C34" s="137"/>
      <c r="D34" s="137"/>
      <c r="E34" s="137"/>
      <c r="F34" s="137"/>
      <c r="G34" s="136"/>
      <c r="H34" s="137"/>
      <c r="I34" s="137"/>
      <c r="J34" s="138"/>
      <c r="K34" s="137"/>
      <c r="L34" s="137"/>
      <c r="M34" s="139"/>
      <c r="N34" s="137"/>
      <c r="O34" s="137"/>
      <c r="P34" s="139"/>
      <c r="Q34" s="137"/>
      <c r="R34" s="137"/>
      <c r="S34" s="137"/>
      <c r="T34" s="137"/>
      <c r="U34" s="137"/>
      <c r="V34" s="150"/>
      <c r="W34" s="26"/>
    </row>
    <row r="35" spans="1:23" ht="20" customHeight="1">
      <c r="A35" s="384"/>
      <c r="B35" s="156"/>
      <c r="C35" s="137"/>
      <c r="D35" s="137"/>
      <c r="E35" s="137"/>
      <c r="F35" s="137"/>
      <c r="G35" s="136"/>
      <c r="H35" s="137"/>
      <c r="I35" s="137"/>
      <c r="J35" s="138"/>
      <c r="K35" s="137"/>
      <c r="L35" s="137"/>
      <c r="M35" s="139"/>
      <c r="N35" s="137"/>
      <c r="O35" s="137"/>
      <c r="P35" s="139"/>
      <c r="Q35" s="137"/>
      <c r="R35" s="137"/>
      <c r="S35" s="137"/>
      <c r="T35" s="137"/>
      <c r="U35" s="137"/>
      <c r="V35" s="150"/>
      <c r="W35" s="26"/>
    </row>
    <row r="36" spans="1:23" ht="20" customHeight="1">
      <c r="A36" s="384"/>
      <c r="B36" s="156"/>
      <c r="C36" s="137"/>
      <c r="D36" s="137"/>
      <c r="E36" s="137"/>
      <c r="F36" s="137"/>
      <c r="G36" s="136"/>
      <c r="H36" s="137"/>
      <c r="I36" s="137"/>
      <c r="J36" s="138"/>
      <c r="K36" s="137"/>
      <c r="L36" s="137"/>
      <c r="M36" s="139"/>
      <c r="N36" s="137"/>
      <c r="O36" s="137"/>
      <c r="P36" s="139"/>
      <c r="Q36" s="137"/>
      <c r="R36" s="137"/>
      <c r="S36" s="137"/>
      <c r="T36" s="137"/>
      <c r="U36" s="137"/>
      <c r="V36" s="150"/>
      <c r="W36" s="26"/>
    </row>
    <row r="37" spans="1:23" ht="20" customHeight="1">
      <c r="A37" s="384"/>
      <c r="B37" s="156"/>
      <c r="C37" s="137"/>
      <c r="D37" s="137"/>
      <c r="E37" s="137"/>
      <c r="F37" s="137"/>
      <c r="G37" s="136"/>
      <c r="H37" s="137"/>
      <c r="I37" s="137"/>
      <c r="J37" s="138"/>
      <c r="K37" s="137"/>
      <c r="L37" s="137"/>
      <c r="M37" s="139"/>
      <c r="N37" s="137"/>
      <c r="O37" s="137"/>
      <c r="P37" s="139"/>
      <c r="Q37" s="137"/>
      <c r="R37" s="137"/>
      <c r="S37" s="137"/>
      <c r="T37" s="137"/>
      <c r="U37" s="137"/>
      <c r="V37" s="150"/>
      <c r="W37" s="26"/>
    </row>
    <row r="38" spans="1:23" ht="20" customHeight="1">
      <c r="A38" s="384"/>
      <c r="B38" s="156"/>
      <c r="C38" s="137"/>
      <c r="D38" s="137"/>
      <c r="E38" s="137"/>
      <c r="F38" s="137"/>
      <c r="G38" s="136"/>
      <c r="H38" s="137"/>
      <c r="I38" s="137"/>
      <c r="J38" s="138"/>
      <c r="K38" s="137"/>
      <c r="L38" s="137"/>
      <c r="M38" s="139"/>
      <c r="N38" s="137"/>
      <c r="O38" s="137"/>
      <c r="P38" s="139"/>
      <c r="Q38" s="137"/>
      <c r="R38" s="137"/>
      <c r="S38" s="137"/>
      <c r="T38" s="137"/>
      <c r="U38" s="137"/>
      <c r="V38" s="150"/>
      <c r="W38" s="26"/>
    </row>
    <row r="39" spans="1:23" ht="20" customHeight="1">
      <c r="A39" s="384"/>
      <c r="B39" s="156"/>
      <c r="C39" s="137"/>
      <c r="D39" s="137"/>
      <c r="E39" s="137"/>
      <c r="F39" s="137"/>
      <c r="G39" s="136"/>
      <c r="H39" s="137"/>
      <c r="I39" s="137"/>
      <c r="J39" s="138"/>
      <c r="K39" s="137"/>
      <c r="L39" s="137"/>
      <c r="M39" s="139"/>
      <c r="N39" s="137"/>
      <c r="O39" s="137"/>
      <c r="P39" s="139"/>
      <c r="Q39" s="137"/>
      <c r="R39" s="137"/>
      <c r="S39" s="137"/>
      <c r="T39" s="137"/>
      <c r="U39" s="137"/>
      <c r="V39" s="150"/>
      <c r="W39" s="26"/>
    </row>
    <row r="40" spans="1:23" ht="20" customHeight="1">
      <c r="A40" s="384"/>
      <c r="B40" s="156"/>
      <c r="C40" s="137"/>
      <c r="D40" s="137"/>
      <c r="E40" s="137"/>
      <c r="F40" s="137"/>
      <c r="G40" s="136"/>
      <c r="H40" s="137"/>
      <c r="I40" s="137"/>
      <c r="J40" s="138"/>
      <c r="K40" s="137"/>
      <c r="L40" s="137"/>
      <c r="M40" s="139"/>
      <c r="N40" s="137"/>
      <c r="O40" s="137"/>
      <c r="P40" s="139"/>
      <c r="Q40" s="137"/>
      <c r="R40" s="137"/>
      <c r="S40" s="137"/>
      <c r="T40" s="137"/>
      <c r="U40" s="137"/>
      <c r="V40" s="150"/>
      <c r="W40" s="26"/>
    </row>
    <row r="41" spans="1:23" ht="20" customHeight="1">
      <c r="A41" s="384"/>
      <c r="B41" s="156"/>
      <c r="C41" s="137"/>
      <c r="D41" s="137"/>
      <c r="E41" s="137"/>
      <c r="F41" s="137"/>
      <c r="G41" s="136"/>
      <c r="H41" s="137"/>
      <c r="I41" s="137"/>
      <c r="J41" s="138"/>
      <c r="K41" s="137"/>
      <c r="L41" s="137"/>
      <c r="M41" s="139"/>
      <c r="N41" s="137"/>
      <c r="O41" s="137"/>
      <c r="P41" s="139"/>
      <c r="Q41" s="137"/>
      <c r="R41" s="137"/>
      <c r="S41" s="137"/>
      <c r="T41" s="137"/>
      <c r="U41" s="137"/>
      <c r="V41" s="150"/>
      <c r="W41" s="26"/>
    </row>
    <row r="42" spans="1:23" ht="20" customHeight="1">
      <c r="A42" s="384"/>
      <c r="B42" s="156"/>
      <c r="C42" s="137"/>
      <c r="D42" s="137"/>
      <c r="E42" s="137"/>
      <c r="F42" s="137"/>
      <c r="G42" s="136"/>
      <c r="H42" s="137"/>
      <c r="I42" s="137"/>
      <c r="J42" s="138"/>
      <c r="K42" s="137"/>
      <c r="L42" s="137"/>
      <c r="M42" s="139"/>
      <c r="N42" s="137"/>
      <c r="O42" s="137"/>
      <c r="P42" s="139"/>
      <c r="Q42" s="137"/>
      <c r="R42" s="137"/>
      <c r="S42" s="137"/>
      <c r="T42" s="137"/>
      <c r="U42" s="137"/>
      <c r="V42" s="150"/>
      <c r="W42" s="26"/>
    </row>
    <row r="43" spans="1:23" ht="20" customHeight="1">
      <c r="A43" s="384"/>
      <c r="B43" s="156"/>
      <c r="C43" s="137"/>
      <c r="D43" s="137"/>
      <c r="E43" s="137"/>
      <c r="F43" s="137"/>
      <c r="G43" s="136"/>
      <c r="H43" s="137"/>
      <c r="I43" s="137"/>
      <c r="J43" s="138"/>
      <c r="K43" s="137"/>
      <c r="L43" s="137"/>
      <c r="M43" s="139"/>
      <c r="N43" s="137"/>
      <c r="O43" s="137"/>
      <c r="P43" s="139"/>
      <c r="Q43" s="137"/>
      <c r="R43" s="137"/>
      <c r="S43" s="137"/>
      <c r="T43" s="137"/>
      <c r="U43" s="137"/>
      <c r="V43" s="150"/>
      <c r="W43" s="26"/>
    </row>
    <row r="44" spans="1:23" ht="20" customHeight="1">
      <c r="A44" s="384"/>
      <c r="B44" s="156"/>
      <c r="C44" s="137"/>
      <c r="D44" s="137"/>
      <c r="E44" s="137"/>
      <c r="F44" s="137"/>
      <c r="G44" s="136"/>
      <c r="H44" s="137"/>
      <c r="I44" s="137"/>
      <c r="J44" s="138"/>
      <c r="K44" s="137"/>
      <c r="L44" s="137"/>
      <c r="M44" s="139"/>
      <c r="N44" s="137"/>
      <c r="O44" s="137"/>
      <c r="P44" s="139"/>
      <c r="Q44" s="137"/>
      <c r="R44" s="137"/>
      <c r="S44" s="137"/>
      <c r="T44" s="137"/>
      <c r="U44" s="137"/>
      <c r="V44" s="150"/>
      <c r="W44" s="26"/>
    </row>
    <row r="45" spans="1:23" ht="20" customHeight="1" thickBot="1">
      <c r="A45" s="385"/>
      <c r="B45" s="157"/>
      <c r="C45" s="151"/>
      <c r="D45" s="151"/>
      <c r="E45" s="151"/>
      <c r="F45" s="151"/>
      <c r="G45" s="152"/>
      <c r="H45" s="151"/>
      <c r="I45" s="151"/>
      <c r="J45" s="153"/>
      <c r="K45" s="151"/>
      <c r="L45" s="151"/>
      <c r="M45" s="154"/>
      <c r="N45" s="151"/>
      <c r="O45" s="151"/>
      <c r="P45" s="154"/>
      <c r="Q45" s="151"/>
      <c r="R45" s="151"/>
      <c r="S45" s="151"/>
      <c r="T45" s="151"/>
      <c r="U45" s="151"/>
      <c r="V45" s="155"/>
      <c r="W45" s="26"/>
    </row>
    <row r="46" spans="1:23" ht="20" customHeight="1">
      <c r="A46" s="383" t="str">
        <f>'Read Me First'!C13</f>
        <v>Bicester AC</v>
      </c>
      <c r="B46" s="144" t="str" cm="1">
        <f t="array" ref="B46">_xlfn.LET(_xlpm.x, _xlfn._xlws.SORT(_xlfn._xlws.FILTER(Data!$A$54:$U$341,(Data!$C$54:$C$341=$A46)*(Data!$D$54:$D$341=$E$4)*(Data!$E$54:$E$341="U10")),18),_xlpm.y,_xlfn._xlws.SORT(_xlfn._xlws.FILTER(Data!$A$54:$U$341,(Data!$C$54:$C$341=$A46)*(Data!$D$54:$D$341=$E$4)*(Data!$E$54:$E$341="U12")),19), IFERROR(_xlfn.VSTACK(_xlpm.x,_xlpm.y), IFERROR(_xlpm.y,IFERROR(_xlpm.x, ""))))</f>
        <v/>
      </c>
      <c r="C46" s="145"/>
      <c r="D46" s="145"/>
      <c r="E46" s="145"/>
      <c r="F46" s="145"/>
      <c r="G46" s="146"/>
      <c r="H46" s="145"/>
      <c r="I46" s="145"/>
      <c r="J46" s="147"/>
      <c r="K46" s="145"/>
      <c r="L46" s="145"/>
      <c r="M46" s="148"/>
      <c r="N46" s="145"/>
      <c r="O46" s="145"/>
      <c r="P46" s="148"/>
      <c r="Q46" s="145"/>
      <c r="R46" s="145"/>
      <c r="S46" s="145"/>
      <c r="T46" s="145"/>
      <c r="U46" s="145"/>
      <c r="V46" s="149"/>
      <c r="W46" s="26"/>
    </row>
    <row r="47" spans="1:23" ht="20" customHeight="1">
      <c r="A47" s="384"/>
      <c r="B47" s="156"/>
      <c r="C47" s="137"/>
      <c r="D47" s="137"/>
      <c r="E47" s="137"/>
      <c r="F47" s="137"/>
      <c r="G47" s="136"/>
      <c r="H47" s="137"/>
      <c r="I47" s="137"/>
      <c r="J47" s="138"/>
      <c r="K47" s="137"/>
      <c r="L47" s="137"/>
      <c r="M47" s="139"/>
      <c r="N47" s="137"/>
      <c r="O47" s="137"/>
      <c r="P47" s="139"/>
      <c r="Q47" s="137"/>
      <c r="R47" s="137"/>
      <c r="S47" s="137"/>
      <c r="T47" s="137"/>
      <c r="U47" s="137"/>
      <c r="V47" s="150"/>
      <c r="W47" s="26"/>
    </row>
    <row r="48" spans="1:23" ht="20" customHeight="1">
      <c r="A48" s="384"/>
      <c r="B48" s="156"/>
      <c r="C48" s="137"/>
      <c r="D48" s="137"/>
      <c r="E48" s="137"/>
      <c r="F48" s="137"/>
      <c r="G48" s="136"/>
      <c r="H48" s="137"/>
      <c r="I48" s="137"/>
      <c r="J48" s="138"/>
      <c r="K48" s="137"/>
      <c r="L48" s="137"/>
      <c r="M48" s="139"/>
      <c r="N48" s="137"/>
      <c r="O48" s="137"/>
      <c r="P48" s="139"/>
      <c r="Q48" s="137"/>
      <c r="R48" s="137"/>
      <c r="S48" s="137"/>
      <c r="T48" s="137"/>
      <c r="U48" s="137"/>
      <c r="V48" s="150"/>
      <c r="W48" s="56"/>
    </row>
    <row r="49" spans="1:23" ht="20" customHeight="1">
      <c r="A49" s="384"/>
      <c r="B49" s="156"/>
      <c r="C49" s="137"/>
      <c r="D49" s="137"/>
      <c r="E49" s="137"/>
      <c r="F49" s="137"/>
      <c r="G49" s="136"/>
      <c r="H49" s="137"/>
      <c r="I49" s="137"/>
      <c r="J49" s="138"/>
      <c r="K49" s="137"/>
      <c r="L49" s="137"/>
      <c r="M49" s="139"/>
      <c r="N49" s="137"/>
      <c r="O49" s="137"/>
      <c r="P49" s="139"/>
      <c r="Q49" s="137"/>
      <c r="R49" s="137"/>
      <c r="S49" s="137"/>
      <c r="T49" s="137"/>
      <c r="U49" s="137"/>
      <c r="V49" s="150"/>
      <c r="W49" s="26"/>
    </row>
    <row r="50" spans="1:23" ht="20" customHeight="1">
      <c r="A50" s="384"/>
      <c r="B50" s="156"/>
      <c r="C50" s="137"/>
      <c r="D50" s="137"/>
      <c r="E50" s="137"/>
      <c r="F50" s="137"/>
      <c r="G50" s="136"/>
      <c r="H50" s="137"/>
      <c r="I50" s="137"/>
      <c r="J50" s="138"/>
      <c r="K50" s="137"/>
      <c r="L50" s="137"/>
      <c r="M50" s="139"/>
      <c r="N50" s="137"/>
      <c r="O50" s="137"/>
      <c r="P50" s="139"/>
      <c r="Q50" s="137"/>
      <c r="R50" s="137"/>
      <c r="S50" s="137"/>
      <c r="T50" s="137"/>
      <c r="U50" s="137"/>
      <c r="V50" s="150"/>
      <c r="W50" s="26"/>
    </row>
    <row r="51" spans="1:23" ht="20" customHeight="1">
      <c r="A51" s="384"/>
      <c r="B51" s="156"/>
      <c r="C51" s="137"/>
      <c r="D51" s="137"/>
      <c r="E51" s="137"/>
      <c r="F51" s="137"/>
      <c r="G51" s="136"/>
      <c r="H51" s="137"/>
      <c r="I51" s="137"/>
      <c r="J51" s="138"/>
      <c r="K51" s="137"/>
      <c r="L51" s="137"/>
      <c r="M51" s="139"/>
      <c r="N51" s="137"/>
      <c r="O51" s="137"/>
      <c r="P51" s="139"/>
      <c r="Q51" s="137"/>
      <c r="R51" s="137"/>
      <c r="S51" s="137"/>
      <c r="T51" s="137"/>
      <c r="U51" s="137"/>
      <c r="V51" s="150"/>
      <c r="W51" s="26"/>
    </row>
    <row r="52" spans="1:23" ht="20" customHeight="1">
      <c r="A52" s="384"/>
      <c r="B52" s="156"/>
      <c r="C52" s="137"/>
      <c r="D52" s="137"/>
      <c r="E52" s="137"/>
      <c r="F52" s="137"/>
      <c r="G52" s="136"/>
      <c r="H52" s="137"/>
      <c r="I52" s="137"/>
      <c r="J52" s="138"/>
      <c r="K52" s="137"/>
      <c r="L52" s="137"/>
      <c r="M52" s="139"/>
      <c r="N52" s="137"/>
      <c r="O52" s="137"/>
      <c r="P52" s="139"/>
      <c r="Q52" s="137"/>
      <c r="R52" s="137"/>
      <c r="S52" s="137"/>
      <c r="T52" s="137"/>
      <c r="U52" s="137"/>
      <c r="V52" s="150"/>
      <c r="W52" s="26"/>
    </row>
    <row r="53" spans="1:23" ht="20" customHeight="1">
      <c r="A53" s="384"/>
      <c r="B53" s="156"/>
      <c r="C53" s="137"/>
      <c r="D53" s="137"/>
      <c r="E53" s="137"/>
      <c r="F53" s="137"/>
      <c r="G53" s="136"/>
      <c r="H53" s="137"/>
      <c r="I53" s="137"/>
      <c r="J53" s="138"/>
      <c r="K53" s="137"/>
      <c r="L53" s="137"/>
      <c r="M53" s="139"/>
      <c r="N53" s="137"/>
      <c r="O53" s="137"/>
      <c r="P53" s="139"/>
      <c r="Q53" s="137"/>
      <c r="R53" s="137"/>
      <c r="S53" s="137"/>
      <c r="T53" s="137"/>
      <c r="U53" s="137"/>
      <c r="V53" s="150"/>
      <c r="W53" s="26"/>
    </row>
    <row r="54" spans="1:23" ht="20" customHeight="1">
      <c r="A54" s="384"/>
      <c r="B54" s="156"/>
      <c r="C54" s="137"/>
      <c r="D54" s="137"/>
      <c r="E54" s="137"/>
      <c r="F54" s="137"/>
      <c r="G54" s="136"/>
      <c r="H54" s="137"/>
      <c r="I54" s="137"/>
      <c r="J54" s="138"/>
      <c r="K54" s="137"/>
      <c r="L54" s="137"/>
      <c r="M54" s="139"/>
      <c r="N54" s="137"/>
      <c r="O54" s="137"/>
      <c r="P54" s="139"/>
      <c r="Q54" s="137"/>
      <c r="R54" s="137"/>
      <c r="S54" s="137"/>
      <c r="T54" s="137"/>
      <c r="U54" s="137"/>
      <c r="V54" s="150"/>
      <c r="W54" s="26"/>
    </row>
    <row r="55" spans="1:23" ht="20" customHeight="1">
      <c r="A55" s="384"/>
      <c r="B55" s="156"/>
      <c r="C55" s="137"/>
      <c r="D55" s="137"/>
      <c r="E55" s="137"/>
      <c r="F55" s="137"/>
      <c r="G55" s="136"/>
      <c r="H55" s="137"/>
      <c r="I55" s="137"/>
      <c r="J55" s="138"/>
      <c r="K55" s="137"/>
      <c r="L55" s="137"/>
      <c r="M55" s="139"/>
      <c r="N55" s="137"/>
      <c r="O55" s="137"/>
      <c r="P55" s="139"/>
      <c r="Q55" s="137"/>
      <c r="R55" s="137"/>
      <c r="S55" s="137"/>
      <c r="T55" s="137"/>
      <c r="U55" s="137"/>
      <c r="V55" s="150"/>
      <c r="W55" s="26"/>
    </row>
    <row r="56" spans="1:23" ht="20" customHeight="1">
      <c r="A56" s="384"/>
      <c r="B56" s="156"/>
      <c r="C56" s="137"/>
      <c r="D56" s="137"/>
      <c r="E56" s="137"/>
      <c r="F56" s="137"/>
      <c r="G56" s="136"/>
      <c r="H56" s="137"/>
      <c r="I56" s="137"/>
      <c r="J56" s="138"/>
      <c r="K56" s="137"/>
      <c r="L56" s="137"/>
      <c r="M56" s="139"/>
      <c r="N56" s="137"/>
      <c r="O56" s="137"/>
      <c r="P56" s="139"/>
      <c r="Q56" s="137"/>
      <c r="R56" s="137"/>
      <c r="S56" s="137"/>
      <c r="T56" s="137"/>
      <c r="U56" s="137"/>
      <c r="V56" s="150"/>
      <c r="W56" s="26"/>
    </row>
    <row r="57" spans="1:23" ht="20" customHeight="1">
      <c r="A57" s="384"/>
      <c r="B57" s="156"/>
      <c r="C57" s="137"/>
      <c r="D57" s="137"/>
      <c r="E57" s="137"/>
      <c r="F57" s="137"/>
      <c r="G57" s="136"/>
      <c r="H57" s="137"/>
      <c r="I57" s="137"/>
      <c r="J57" s="138"/>
      <c r="K57" s="137"/>
      <c r="L57" s="137"/>
      <c r="M57" s="139"/>
      <c r="N57" s="137"/>
      <c r="O57" s="137"/>
      <c r="P57" s="139"/>
      <c r="Q57" s="137"/>
      <c r="R57" s="137"/>
      <c r="S57" s="137"/>
      <c r="T57" s="137"/>
      <c r="U57" s="137"/>
      <c r="V57" s="150"/>
      <c r="W57" s="26"/>
    </row>
    <row r="58" spans="1:23" ht="20" customHeight="1">
      <c r="A58" s="384"/>
      <c r="B58" s="156"/>
      <c r="C58" s="137"/>
      <c r="D58" s="137"/>
      <c r="E58" s="137"/>
      <c r="F58" s="137"/>
      <c r="G58" s="136"/>
      <c r="H58" s="137"/>
      <c r="I58" s="137"/>
      <c r="J58" s="138"/>
      <c r="K58" s="137"/>
      <c r="L58" s="137"/>
      <c r="M58" s="139"/>
      <c r="N58" s="137"/>
      <c r="O58" s="137"/>
      <c r="P58" s="139"/>
      <c r="Q58" s="137"/>
      <c r="R58" s="137"/>
      <c r="S58" s="137"/>
      <c r="T58" s="137"/>
      <c r="U58" s="137"/>
      <c r="V58" s="150"/>
      <c r="W58" s="26"/>
    </row>
    <row r="59" spans="1:23" ht="20" customHeight="1">
      <c r="A59" s="384"/>
      <c r="B59" s="156"/>
      <c r="C59" s="137"/>
      <c r="D59" s="137"/>
      <c r="E59" s="137"/>
      <c r="F59" s="137"/>
      <c r="G59" s="136"/>
      <c r="H59" s="137"/>
      <c r="I59" s="137"/>
      <c r="J59" s="138"/>
      <c r="K59" s="137"/>
      <c r="L59" s="137"/>
      <c r="M59" s="139"/>
      <c r="N59" s="137"/>
      <c r="O59" s="137"/>
      <c r="P59" s="139"/>
      <c r="Q59" s="137"/>
      <c r="R59" s="137"/>
      <c r="S59" s="137"/>
      <c r="T59" s="137"/>
      <c r="U59" s="137"/>
      <c r="V59" s="150"/>
      <c r="W59" s="26"/>
    </row>
    <row r="60" spans="1:23" ht="20" customHeight="1">
      <c r="A60" s="384"/>
      <c r="B60" s="156"/>
      <c r="C60" s="137"/>
      <c r="D60" s="137"/>
      <c r="E60" s="137"/>
      <c r="F60" s="137"/>
      <c r="G60" s="136"/>
      <c r="H60" s="137"/>
      <c r="I60" s="137"/>
      <c r="J60" s="138"/>
      <c r="K60" s="137"/>
      <c r="L60" s="137"/>
      <c r="M60" s="139"/>
      <c r="N60" s="137"/>
      <c r="O60" s="137"/>
      <c r="P60" s="139"/>
      <c r="Q60" s="137"/>
      <c r="R60" s="137"/>
      <c r="S60" s="137"/>
      <c r="T60" s="137"/>
      <c r="U60" s="137"/>
      <c r="V60" s="150"/>
      <c r="W60" s="26"/>
    </row>
    <row r="61" spans="1:23" ht="20" customHeight="1">
      <c r="A61" s="384"/>
      <c r="B61" s="156"/>
      <c r="C61" s="137"/>
      <c r="D61" s="137"/>
      <c r="E61" s="137"/>
      <c r="F61" s="137"/>
      <c r="G61" s="136"/>
      <c r="H61" s="137"/>
      <c r="I61" s="137"/>
      <c r="J61" s="138"/>
      <c r="K61" s="137"/>
      <c r="L61" s="137"/>
      <c r="M61" s="139"/>
      <c r="N61" s="137"/>
      <c r="O61" s="137"/>
      <c r="P61" s="139"/>
      <c r="Q61" s="137"/>
      <c r="R61" s="137"/>
      <c r="S61" s="137"/>
      <c r="T61" s="137"/>
      <c r="U61" s="137"/>
      <c r="V61" s="150"/>
      <c r="W61" s="26"/>
    </row>
    <row r="62" spans="1:23" ht="20" customHeight="1">
      <c r="A62" s="384"/>
      <c r="B62" s="156"/>
      <c r="C62" s="137"/>
      <c r="D62" s="137"/>
      <c r="E62" s="137"/>
      <c r="F62" s="137"/>
      <c r="G62" s="136"/>
      <c r="H62" s="137"/>
      <c r="I62" s="137"/>
      <c r="J62" s="138"/>
      <c r="K62" s="137"/>
      <c r="L62" s="137"/>
      <c r="M62" s="139"/>
      <c r="N62" s="137"/>
      <c r="O62" s="137"/>
      <c r="P62" s="139"/>
      <c r="Q62" s="137"/>
      <c r="R62" s="137"/>
      <c r="S62" s="137"/>
      <c r="T62" s="137"/>
      <c r="U62" s="137"/>
      <c r="V62" s="150"/>
      <c r="W62" s="26"/>
    </row>
    <row r="63" spans="1:23" ht="20" customHeight="1">
      <c r="A63" s="384"/>
      <c r="B63" s="156"/>
      <c r="C63" s="137"/>
      <c r="D63" s="137"/>
      <c r="E63" s="137"/>
      <c r="F63" s="137"/>
      <c r="G63" s="136"/>
      <c r="H63" s="137"/>
      <c r="I63" s="137"/>
      <c r="J63" s="138"/>
      <c r="K63" s="137"/>
      <c r="L63" s="137"/>
      <c r="M63" s="139"/>
      <c r="N63" s="137"/>
      <c r="O63" s="137"/>
      <c r="P63" s="139"/>
      <c r="Q63" s="137"/>
      <c r="R63" s="137"/>
      <c r="S63" s="137"/>
      <c r="T63" s="137"/>
      <c r="U63" s="137"/>
      <c r="V63" s="150"/>
      <c r="W63" s="26"/>
    </row>
    <row r="64" spans="1:23" ht="20" customHeight="1">
      <c r="A64" s="384"/>
      <c r="B64" s="156"/>
      <c r="C64" s="137"/>
      <c r="D64" s="137"/>
      <c r="E64" s="137"/>
      <c r="F64" s="137"/>
      <c r="G64" s="136"/>
      <c r="H64" s="137"/>
      <c r="I64" s="137"/>
      <c r="J64" s="138"/>
      <c r="K64" s="137"/>
      <c r="L64" s="137"/>
      <c r="M64" s="139"/>
      <c r="N64" s="137"/>
      <c r="O64" s="137"/>
      <c r="P64" s="139"/>
      <c r="Q64" s="137"/>
      <c r="R64" s="137"/>
      <c r="S64" s="137"/>
      <c r="T64" s="137"/>
      <c r="U64" s="137"/>
      <c r="V64" s="150"/>
      <c r="W64" s="26"/>
    </row>
    <row r="65" spans="1:23" ht="20" customHeight="1" thickBot="1">
      <c r="A65" s="385"/>
      <c r="B65" s="157"/>
      <c r="C65" s="151"/>
      <c r="D65" s="151"/>
      <c r="E65" s="151"/>
      <c r="F65" s="151"/>
      <c r="G65" s="152"/>
      <c r="H65" s="151"/>
      <c r="I65" s="151"/>
      <c r="J65" s="153"/>
      <c r="K65" s="151"/>
      <c r="L65" s="151"/>
      <c r="M65" s="154"/>
      <c r="N65" s="151"/>
      <c r="O65" s="151"/>
      <c r="P65" s="154"/>
      <c r="Q65" s="151"/>
      <c r="R65" s="151"/>
      <c r="S65" s="151"/>
      <c r="T65" s="151"/>
      <c r="U65" s="151"/>
      <c r="V65" s="155"/>
      <c r="W65" s="26"/>
    </row>
    <row r="66" spans="1:23" ht="20" customHeight="1">
      <c r="A66" s="383" t="str">
        <f>'Read Me First'!C14</f>
        <v>Oxford City AC</v>
      </c>
      <c r="B66" s="144" t="str" cm="1">
        <f t="array" ref="B66">_xlfn.LET(_xlpm.x, _xlfn._xlws.SORT(_xlfn._xlws.FILTER(Data!$A$54:$U$341,(Data!$C$54:$C$341=$A66)*(Data!$D$54:$D$341=$E$4)*(Data!$E$54:$E$341="U10")),18),_xlpm.y,_xlfn._xlws.SORT(_xlfn._xlws.FILTER(Data!$A$54:$U$341,(Data!$C$54:$C$341=$A66)*(Data!$D$54:$D$341=$E$4)*(Data!$E$54:$E$341="U12")),19), IFERROR(_xlfn.VSTACK(_xlpm.x,_xlpm.y), IFERROR(_xlpm.y,IFERROR(_xlpm.x, ""))))</f>
        <v/>
      </c>
      <c r="C66" s="145"/>
      <c r="D66" s="145"/>
      <c r="E66" s="145"/>
      <c r="F66" s="145"/>
      <c r="G66" s="146"/>
      <c r="H66" s="145"/>
      <c r="I66" s="145"/>
      <c r="J66" s="147"/>
      <c r="K66" s="145"/>
      <c r="L66" s="145"/>
      <c r="M66" s="148"/>
      <c r="N66" s="145"/>
      <c r="O66" s="145"/>
      <c r="P66" s="148"/>
      <c r="Q66" s="145"/>
      <c r="R66" s="145"/>
      <c r="S66" s="145"/>
      <c r="T66" s="145"/>
      <c r="U66" s="145"/>
      <c r="V66" s="149"/>
      <c r="W66" s="26"/>
    </row>
    <row r="67" spans="1:23" ht="20" customHeight="1">
      <c r="A67" s="384"/>
      <c r="B67" s="156"/>
      <c r="C67" s="137"/>
      <c r="D67" s="137"/>
      <c r="E67" s="137"/>
      <c r="F67" s="137"/>
      <c r="G67" s="136"/>
      <c r="H67" s="137"/>
      <c r="I67" s="137"/>
      <c r="J67" s="138"/>
      <c r="K67" s="137"/>
      <c r="L67" s="137"/>
      <c r="M67" s="139"/>
      <c r="N67" s="137"/>
      <c r="O67" s="137"/>
      <c r="P67" s="139"/>
      <c r="Q67" s="137"/>
      <c r="R67" s="137"/>
      <c r="S67" s="137"/>
      <c r="T67" s="137"/>
      <c r="U67" s="137"/>
      <c r="V67" s="150"/>
      <c r="W67" s="26"/>
    </row>
    <row r="68" spans="1:23" ht="20" customHeight="1">
      <c r="A68" s="384"/>
      <c r="B68" s="156"/>
      <c r="C68" s="137"/>
      <c r="D68" s="137"/>
      <c r="E68" s="137"/>
      <c r="F68" s="137"/>
      <c r="G68" s="136"/>
      <c r="H68" s="137"/>
      <c r="I68" s="137"/>
      <c r="J68" s="138"/>
      <c r="K68" s="137"/>
      <c r="L68" s="137"/>
      <c r="M68" s="139"/>
      <c r="N68" s="137"/>
      <c r="O68" s="137"/>
      <c r="P68" s="139"/>
      <c r="Q68" s="137"/>
      <c r="R68" s="137"/>
      <c r="S68" s="137"/>
      <c r="T68" s="137"/>
      <c r="U68" s="137"/>
      <c r="V68" s="150"/>
      <c r="W68" s="26"/>
    </row>
    <row r="69" spans="1:23" ht="20" customHeight="1">
      <c r="A69" s="384"/>
      <c r="B69" s="156"/>
      <c r="C69" s="137"/>
      <c r="D69" s="137"/>
      <c r="E69" s="137"/>
      <c r="F69" s="137"/>
      <c r="G69" s="136"/>
      <c r="H69" s="137"/>
      <c r="I69" s="137"/>
      <c r="J69" s="138"/>
      <c r="K69" s="137"/>
      <c r="L69" s="137"/>
      <c r="M69" s="139"/>
      <c r="N69" s="137"/>
      <c r="O69" s="137"/>
      <c r="P69" s="139"/>
      <c r="Q69" s="137"/>
      <c r="R69" s="137"/>
      <c r="S69" s="137"/>
      <c r="T69" s="137"/>
      <c r="U69" s="137"/>
      <c r="V69" s="150"/>
      <c r="W69" s="56"/>
    </row>
    <row r="70" spans="1:23" ht="20" customHeight="1">
      <c r="A70" s="384"/>
      <c r="B70" s="156"/>
      <c r="C70" s="137"/>
      <c r="D70" s="137"/>
      <c r="E70" s="137"/>
      <c r="F70" s="137"/>
      <c r="G70" s="136"/>
      <c r="H70" s="137"/>
      <c r="I70" s="137"/>
      <c r="J70" s="138"/>
      <c r="K70" s="137"/>
      <c r="L70" s="137"/>
      <c r="M70" s="139"/>
      <c r="N70" s="137"/>
      <c r="O70" s="137"/>
      <c r="P70" s="139"/>
      <c r="Q70" s="137"/>
      <c r="R70" s="137"/>
      <c r="S70" s="137"/>
      <c r="T70" s="137"/>
      <c r="U70" s="137"/>
      <c r="V70" s="150"/>
      <c r="W70" s="26"/>
    </row>
    <row r="71" spans="1:23" ht="20" customHeight="1">
      <c r="A71" s="384"/>
      <c r="B71" s="156"/>
      <c r="C71" s="137"/>
      <c r="D71" s="137"/>
      <c r="E71" s="137"/>
      <c r="F71" s="137"/>
      <c r="G71" s="136"/>
      <c r="H71" s="137"/>
      <c r="I71" s="137"/>
      <c r="J71" s="138"/>
      <c r="K71" s="137"/>
      <c r="L71" s="137"/>
      <c r="M71" s="139"/>
      <c r="N71" s="137"/>
      <c r="O71" s="137"/>
      <c r="P71" s="139"/>
      <c r="Q71" s="137"/>
      <c r="R71" s="137"/>
      <c r="S71" s="137"/>
      <c r="T71" s="137"/>
      <c r="U71" s="137"/>
      <c r="V71" s="150"/>
      <c r="W71" s="26"/>
    </row>
    <row r="72" spans="1:23" ht="20" customHeight="1">
      <c r="A72" s="384"/>
      <c r="B72" s="156"/>
      <c r="C72" s="137"/>
      <c r="D72" s="137"/>
      <c r="E72" s="137"/>
      <c r="F72" s="137"/>
      <c r="G72" s="136"/>
      <c r="H72" s="137"/>
      <c r="I72" s="137"/>
      <c r="J72" s="138"/>
      <c r="K72" s="137"/>
      <c r="L72" s="137"/>
      <c r="M72" s="139"/>
      <c r="N72" s="137"/>
      <c r="O72" s="137"/>
      <c r="P72" s="139"/>
      <c r="Q72" s="137"/>
      <c r="R72" s="137"/>
      <c r="S72" s="137"/>
      <c r="T72" s="137"/>
      <c r="U72" s="137"/>
      <c r="V72" s="150"/>
      <c r="W72" s="26"/>
    </row>
    <row r="73" spans="1:23" ht="20" customHeight="1">
      <c r="A73" s="384"/>
      <c r="B73" s="156"/>
      <c r="C73" s="137"/>
      <c r="D73" s="137"/>
      <c r="E73" s="137"/>
      <c r="F73" s="137"/>
      <c r="G73" s="136"/>
      <c r="H73" s="137"/>
      <c r="I73" s="137"/>
      <c r="J73" s="138"/>
      <c r="K73" s="137"/>
      <c r="L73" s="137"/>
      <c r="M73" s="139"/>
      <c r="N73" s="137"/>
      <c r="O73" s="137"/>
      <c r="P73" s="139"/>
      <c r="Q73" s="137"/>
      <c r="R73" s="137"/>
      <c r="S73" s="137"/>
      <c r="T73" s="137"/>
      <c r="U73" s="137"/>
      <c r="V73" s="150"/>
      <c r="W73" s="26"/>
    </row>
    <row r="74" spans="1:23" ht="20" customHeight="1">
      <c r="A74" s="384"/>
      <c r="B74" s="156"/>
      <c r="C74" s="137"/>
      <c r="D74" s="137"/>
      <c r="E74" s="137"/>
      <c r="F74" s="137"/>
      <c r="G74" s="136"/>
      <c r="H74" s="137"/>
      <c r="I74" s="137"/>
      <c r="J74" s="138"/>
      <c r="K74" s="137"/>
      <c r="L74" s="137"/>
      <c r="M74" s="139"/>
      <c r="N74" s="137"/>
      <c r="O74" s="137"/>
      <c r="P74" s="139"/>
      <c r="Q74" s="137"/>
      <c r="R74" s="137"/>
      <c r="S74" s="137"/>
      <c r="T74" s="137"/>
      <c r="U74" s="137"/>
      <c r="V74" s="150"/>
      <c r="W74" s="26"/>
    </row>
    <row r="75" spans="1:23" ht="20" customHeight="1">
      <c r="A75" s="384"/>
      <c r="B75" s="156"/>
      <c r="C75" s="137"/>
      <c r="D75" s="137"/>
      <c r="E75" s="137"/>
      <c r="F75" s="137"/>
      <c r="G75" s="136"/>
      <c r="H75" s="137"/>
      <c r="I75" s="137"/>
      <c r="J75" s="138"/>
      <c r="K75" s="137"/>
      <c r="L75" s="137"/>
      <c r="M75" s="139"/>
      <c r="N75" s="137"/>
      <c r="O75" s="137"/>
      <c r="P75" s="139"/>
      <c r="Q75" s="137"/>
      <c r="R75" s="137"/>
      <c r="S75" s="137"/>
      <c r="T75" s="137"/>
      <c r="U75" s="137"/>
      <c r="V75" s="150"/>
      <c r="W75" s="26"/>
    </row>
    <row r="76" spans="1:23" ht="20" customHeight="1">
      <c r="A76" s="384"/>
      <c r="B76" s="156"/>
      <c r="C76" s="137"/>
      <c r="D76" s="137"/>
      <c r="E76" s="137"/>
      <c r="F76" s="137"/>
      <c r="G76" s="136"/>
      <c r="H76" s="137"/>
      <c r="I76" s="137"/>
      <c r="J76" s="138"/>
      <c r="K76" s="137"/>
      <c r="L76" s="137"/>
      <c r="M76" s="139"/>
      <c r="N76" s="137"/>
      <c r="O76" s="137"/>
      <c r="P76" s="139"/>
      <c r="Q76" s="137"/>
      <c r="R76" s="137"/>
      <c r="S76" s="137"/>
      <c r="T76" s="137"/>
      <c r="U76" s="137"/>
      <c r="V76" s="150"/>
      <c r="W76" s="26"/>
    </row>
    <row r="77" spans="1:23" ht="20" customHeight="1">
      <c r="A77" s="384"/>
      <c r="B77" s="156"/>
      <c r="C77" s="137"/>
      <c r="D77" s="137"/>
      <c r="E77" s="137"/>
      <c r="F77" s="137"/>
      <c r="G77" s="136"/>
      <c r="H77" s="137"/>
      <c r="I77" s="137"/>
      <c r="J77" s="138"/>
      <c r="K77" s="137"/>
      <c r="L77" s="137"/>
      <c r="M77" s="139"/>
      <c r="N77" s="137"/>
      <c r="O77" s="137"/>
      <c r="P77" s="139"/>
      <c r="Q77" s="137"/>
      <c r="R77" s="137"/>
      <c r="S77" s="137"/>
      <c r="T77" s="137"/>
      <c r="U77" s="137"/>
      <c r="V77" s="150"/>
      <c r="W77" s="26"/>
    </row>
    <row r="78" spans="1:23" ht="20" customHeight="1">
      <c r="A78" s="384"/>
      <c r="B78" s="156"/>
      <c r="C78" s="137"/>
      <c r="D78" s="137"/>
      <c r="E78" s="137"/>
      <c r="F78" s="137"/>
      <c r="G78" s="136"/>
      <c r="H78" s="137"/>
      <c r="I78" s="137"/>
      <c r="J78" s="138"/>
      <c r="K78" s="137"/>
      <c r="L78" s="137"/>
      <c r="M78" s="139"/>
      <c r="N78" s="137"/>
      <c r="O78" s="137"/>
      <c r="P78" s="139"/>
      <c r="Q78" s="137"/>
      <c r="R78" s="137"/>
      <c r="S78" s="137"/>
      <c r="T78" s="137"/>
      <c r="U78" s="137"/>
      <c r="V78" s="150"/>
      <c r="W78" s="26"/>
    </row>
    <row r="79" spans="1:23" ht="20" customHeight="1">
      <c r="A79" s="384"/>
      <c r="B79" s="156"/>
      <c r="C79" s="137"/>
      <c r="D79" s="137"/>
      <c r="E79" s="137"/>
      <c r="F79" s="137"/>
      <c r="G79" s="136"/>
      <c r="H79" s="137"/>
      <c r="I79" s="137"/>
      <c r="J79" s="138"/>
      <c r="K79" s="137"/>
      <c r="L79" s="137"/>
      <c r="M79" s="139"/>
      <c r="N79" s="137"/>
      <c r="O79" s="137"/>
      <c r="P79" s="139"/>
      <c r="Q79" s="137"/>
      <c r="R79" s="137"/>
      <c r="S79" s="137"/>
      <c r="T79" s="137"/>
      <c r="U79" s="137"/>
      <c r="V79" s="150"/>
      <c r="W79" s="26"/>
    </row>
    <row r="80" spans="1:23" ht="20" customHeight="1">
      <c r="A80" s="384"/>
      <c r="B80" s="156"/>
      <c r="C80" s="137"/>
      <c r="D80" s="137"/>
      <c r="E80" s="137"/>
      <c r="F80" s="137"/>
      <c r="G80" s="136"/>
      <c r="H80" s="137"/>
      <c r="I80" s="137"/>
      <c r="J80" s="138"/>
      <c r="K80" s="137"/>
      <c r="L80" s="137"/>
      <c r="M80" s="139"/>
      <c r="N80" s="137"/>
      <c r="O80" s="137"/>
      <c r="P80" s="139"/>
      <c r="Q80" s="137"/>
      <c r="R80" s="137"/>
      <c r="S80" s="137"/>
      <c r="T80" s="137"/>
      <c r="U80" s="137"/>
      <c r="V80" s="150"/>
      <c r="W80" s="26"/>
    </row>
    <row r="81" spans="1:23" ht="20" customHeight="1">
      <c r="A81" s="384"/>
      <c r="B81" s="156"/>
      <c r="C81" s="137"/>
      <c r="D81" s="137"/>
      <c r="E81" s="137"/>
      <c r="F81" s="137"/>
      <c r="G81" s="136"/>
      <c r="H81" s="137"/>
      <c r="I81" s="137"/>
      <c r="J81" s="138"/>
      <c r="K81" s="137"/>
      <c r="L81" s="137"/>
      <c r="M81" s="139"/>
      <c r="N81" s="137"/>
      <c r="O81" s="137"/>
      <c r="P81" s="139"/>
      <c r="Q81" s="137"/>
      <c r="R81" s="137"/>
      <c r="S81" s="137"/>
      <c r="T81" s="137"/>
      <c r="U81" s="137"/>
      <c r="V81" s="150"/>
      <c r="W81" s="26"/>
    </row>
    <row r="82" spans="1:23" ht="20" customHeight="1">
      <c r="A82" s="384"/>
      <c r="B82" s="156"/>
      <c r="C82" s="137"/>
      <c r="D82" s="137"/>
      <c r="E82" s="137"/>
      <c r="F82" s="137"/>
      <c r="G82" s="136"/>
      <c r="H82" s="137"/>
      <c r="I82" s="137"/>
      <c r="J82" s="138"/>
      <c r="K82" s="137"/>
      <c r="L82" s="137"/>
      <c r="M82" s="139"/>
      <c r="N82" s="137"/>
      <c r="O82" s="137"/>
      <c r="P82" s="139"/>
      <c r="Q82" s="137"/>
      <c r="R82" s="137"/>
      <c r="S82" s="137"/>
      <c r="T82" s="137"/>
      <c r="U82" s="137"/>
      <c r="V82" s="150"/>
      <c r="W82" s="26"/>
    </row>
    <row r="83" spans="1:23" ht="20" customHeight="1">
      <c r="A83" s="384"/>
      <c r="B83" s="156"/>
      <c r="C83" s="137"/>
      <c r="D83" s="137"/>
      <c r="E83" s="137"/>
      <c r="F83" s="137"/>
      <c r="G83" s="136"/>
      <c r="H83" s="137"/>
      <c r="I83" s="137"/>
      <c r="J83" s="138"/>
      <c r="K83" s="137"/>
      <c r="L83" s="137"/>
      <c r="M83" s="139"/>
      <c r="N83" s="137"/>
      <c r="O83" s="137"/>
      <c r="P83" s="139"/>
      <c r="Q83" s="137"/>
      <c r="R83" s="137"/>
      <c r="S83" s="137"/>
      <c r="T83" s="137"/>
      <c r="U83" s="137"/>
      <c r="V83" s="150"/>
      <c r="W83" s="26"/>
    </row>
    <row r="84" spans="1:23" ht="20" customHeight="1">
      <c r="A84" s="384"/>
      <c r="B84" s="156"/>
      <c r="C84" s="137"/>
      <c r="D84" s="137"/>
      <c r="E84" s="137"/>
      <c r="F84" s="137"/>
      <c r="G84" s="136"/>
      <c r="H84" s="137"/>
      <c r="I84" s="137"/>
      <c r="J84" s="138"/>
      <c r="K84" s="137"/>
      <c r="L84" s="137"/>
      <c r="M84" s="139"/>
      <c r="N84" s="137"/>
      <c r="O84" s="137"/>
      <c r="P84" s="139"/>
      <c r="Q84" s="137"/>
      <c r="R84" s="137"/>
      <c r="S84" s="137"/>
      <c r="T84" s="137"/>
      <c r="U84" s="137"/>
      <c r="V84" s="150"/>
      <c r="W84" s="26"/>
    </row>
    <row r="85" spans="1:23" ht="20" customHeight="1" thickBot="1">
      <c r="A85" s="385"/>
      <c r="B85" s="157"/>
      <c r="C85" s="151"/>
      <c r="D85" s="151"/>
      <c r="E85" s="151"/>
      <c r="F85" s="151"/>
      <c r="G85" s="152"/>
      <c r="H85" s="151"/>
      <c r="I85" s="151"/>
      <c r="J85" s="153"/>
      <c r="K85" s="151"/>
      <c r="L85" s="151"/>
      <c r="M85" s="154"/>
      <c r="N85" s="151"/>
      <c r="O85" s="151"/>
      <c r="P85" s="154"/>
      <c r="Q85" s="151"/>
      <c r="R85" s="151"/>
      <c r="S85" s="151"/>
      <c r="T85" s="151"/>
      <c r="U85" s="151"/>
      <c r="V85" s="155"/>
      <c r="W85" s="26"/>
    </row>
    <row r="86" spans="1:23" ht="20" customHeight="1">
      <c r="A86" s="383" t="str">
        <f>'Read Me First'!C15</f>
        <v>Radley AC</v>
      </c>
      <c r="B86" s="144" t="str" cm="1">
        <f t="array" ref="B86">_xlfn.LET(_xlpm.x, _xlfn._xlws.SORT(_xlfn._xlws.FILTER(Data!$A$54:$U$341,(Data!$C$54:$C$341=$A86)*(Data!$D$54:$D$341=$E$4)*(Data!$E$54:$E$341="U10")),18),_xlpm.y,_xlfn._xlws.SORT(_xlfn._xlws.FILTER(Data!$A$54:$U$341,(Data!$C$54:$C$341=$A86)*(Data!$D$54:$D$341=$E$4)*(Data!$E$54:$E$341="U12")),19), IFERROR(_xlfn.VSTACK(_xlpm.x,_xlpm.y), IFERROR(_xlpm.y,IFERROR(_xlpm.x, ""))))</f>
        <v/>
      </c>
      <c r="C86" s="145"/>
      <c r="D86" s="145"/>
      <c r="E86" s="145"/>
      <c r="F86" s="145"/>
      <c r="G86" s="146"/>
      <c r="H86" s="145"/>
      <c r="I86" s="145"/>
      <c r="J86" s="147"/>
      <c r="K86" s="145"/>
      <c r="L86" s="145"/>
      <c r="M86" s="148"/>
      <c r="N86" s="145"/>
      <c r="O86" s="145"/>
      <c r="P86" s="148"/>
      <c r="Q86" s="145"/>
      <c r="R86" s="145"/>
      <c r="S86" s="145"/>
      <c r="T86" s="145"/>
      <c r="U86" s="145"/>
      <c r="V86" s="149"/>
      <c r="W86" s="26"/>
    </row>
    <row r="87" spans="1:23" ht="20" customHeight="1">
      <c r="A87" s="384"/>
      <c r="B87" s="156"/>
      <c r="C87" s="137"/>
      <c r="D87" s="137"/>
      <c r="E87" s="137"/>
      <c r="F87" s="137"/>
      <c r="G87" s="136"/>
      <c r="H87" s="137"/>
      <c r="I87" s="137"/>
      <c r="J87" s="138"/>
      <c r="K87" s="137"/>
      <c r="L87" s="137"/>
      <c r="M87" s="139"/>
      <c r="N87" s="137"/>
      <c r="O87" s="137"/>
      <c r="P87" s="139"/>
      <c r="Q87" s="137"/>
      <c r="R87" s="137"/>
      <c r="S87" s="137"/>
      <c r="T87" s="137"/>
      <c r="U87" s="137"/>
      <c r="V87" s="150"/>
      <c r="W87" s="26"/>
    </row>
    <row r="88" spans="1:23" ht="20" customHeight="1">
      <c r="A88" s="384"/>
      <c r="B88" s="156"/>
      <c r="C88" s="137"/>
      <c r="D88" s="137"/>
      <c r="E88" s="137"/>
      <c r="F88" s="137"/>
      <c r="G88" s="136"/>
      <c r="H88" s="137"/>
      <c r="I88" s="137"/>
      <c r="J88" s="138"/>
      <c r="K88" s="137"/>
      <c r="L88" s="137"/>
      <c r="M88" s="139"/>
      <c r="N88" s="137"/>
      <c r="O88" s="137"/>
      <c r="P88" s="139"/>
      <c r="Q88" s="137"/>
      <c r="R88" s="137"/>
      <c r="S88" s="137"/>
      <c r="T88" s="137"/>
      <c r="U88" s="137"/>
      <c r="V88" s="150"/>
      <c r="W88" s="26"/>
    </row>
    <row r="89" spans="1:23" ht="20" customHeight="1">
      <c r="A89" s="384"/>
      <c r="B89" s="156"/>
      <c r="C89" s="137"/>
      <c r="D89" s="137"/>
      <c r="E89" s="137"/>
      <c r="F89" s="137"/>
      <c r="G89" s="136"/>
      <c r="H89" s="137"/>
      <c r="I89" s="137"/>
      <c r="J89" s="138"/>
      <c r="K89" s="137"/>
      <c r="L89" s="137"/>
      <c r="M89" s="139"/>
      <c r="N89" s="137"/>
      <c r="O89" s="137"/>
      <c r="P89" s="139"/>
      <c r="Q89" s="137"/>
      <c r="R89" s="137"/>
      <c r="S89" s="137"/>
      <c r="T89" s="137"/>
      <c r="U89" s="137"/>
      <c r="V89" s="150"/>
      <c r="W89" s="26"/>
    </row>
    <row r="90" spans="1:23" ht="20" customHeight="1">
      <c r="A90" s="384"/>
      <c r="B90" s="156"/>
      <c r="C90" s="137"/>
      <c r="D90" s="137"/>
      <c r="E90" s="137"/>
      <c r="F90" s="137"/>
      <c r="G90" s="136"/>
      <c r="H90" s="137"/>
      <c r="I90" s="137"/>
      <c r="J90" s="138"/>
      <c r="K90" s="137"/>
      <c r="L90" s="137"/>
      <c r="M90" s="139"/>
      <c r="N90" s="137"/>
      <c r="O90" s="137"/>
      <c r="P90" s="139"/>
      <c r="Q90" s="137"/>
      <c r="R90" s="137"/>
      <c r="S90" s="137"/>
      <c r="T90" s="137"/>
      <c r="U90" s="137"/>
      <c r="V90" s="150"/>
      <c r="W90" s="56"/>
    </row>
    <row r="91" spans="1:23" ht="20" customHeight="1">
      <c r="A91" s="384"/>
      <c r="B91" s="156"/>
      <c r="C91" s="137"/>
      <c r="D91" s="137"/>
      <c r="E91" s="137"/>
      <c r="F91" s="137"/>
      <c r="G91" s="136"/>
      <c r="H91" s="137"/>
      <c r="I91" s="137"/>
      <c r="J91" s="138"/>
      <c r="K91" s="137"/>
      <c r="L91" s="137"/>
      <c r="M91" s="139"/>
      <c r="N91" s="137"/>
      <c r="O91" s="137"/>
      <c r="P91" s="139"/>
      <c r="Q91" s="137"/>
      <c r="R91" s="137"/>
      <c r="S91" s="137"/>
      <c r="T91" s="137"/>
      <c r="U91" s="137"/>
      <c r="V91" s="150"/>
      <c r="W91" s="26"/>
    </row>
    <row r="92" spans="1:23" ht="20" customHeight="1">
      <c r="A92" s="384"/>
      <c r="B92" s="156"/>
      <c r="C92" s="137"/>
      <c r="D92" s="137"/>
      <c r="E92" s="137"/>
      <c r="F92" s="137"/>
      <c r="G92" s="136"/>
      <c r="H92" s="137"/>
      <c r="I92" s="137"/>
      <c r="J92" s="138"/>
      <c r="K92" s="137"/>
      <c r="L92" s="137"/>
      <c r="M92" s="139"/>
      <c r="N92" s="137"/>
      <c r="O92" s="137"/>
      <c r="P92" s="139"/>
      <c r="Q92" s="137"/>
      <c r="R92" s="137"/>
      <c r="S92" s="137"/>
      <c r="T92" s="137"/>
      <c r="U92" s="137"/>
      <c r="V92" s="150"/>
      <c r="W92" s="26"/>
    </row>
    <row r="93" spans="1:23" ht="20" customHeight="1">
      <c r="A93" s="384"/>
      <c r="B93" s="156"/>
      <c r="C93" s="137"/>
      <c r="D93" s="137"/>
      <c r="E93" s="137"/>
      <c r="F93" s="137"/>
      <c r="G93" s="136"/>
      <c r="H93" s="137"/>
      <c r="I93" s="137"/>
      <c r="J93" s="138"/>
      <c r="K93" s="137"/>
      <c r="L93" s="137"/>
      <c r="M93" s="139"/>
      <c r="N93" s="137"/>
      <c r="O93" s="137"/>
      <c r="P93" s="139"/>
      <c r="Q93" s="137"/>
      <c r="R93" s="137"/>
      <c r="S93" s="137"/>
      <c r="T93" s="137"/>
      <c r="U93" s="137"/>
      <c r="V93" s="150"/>
      <c r="W93" s="26"/>
    </row>
    <row r="94" spans="1:23" ht="20" customHeight="1">
      <c r="A94" s="384"/>
      <c r="B94" s="156"/>
      <c r="C94" s="137"/>
      <c r="D94" s="137"/>
      <c r="E94" s="137"/>
      <c r="F94" s="137"/>
      <c r="G94" s="136"/>
      <c r="H94" s="137"/>
      <c r="I94" s="137"/>
      <c r="J94" s="138"/>
      <c r="K94" s="137"/>
      <c r="L94" s="137"/>
      <c r="M94" s="139"/>
      <c r="N94" s="137"/>
      <c r="O94" s="137"/>
      <c r="P94" s="139"/>
      <c r="Q94" s="137"/>
      <c r="R94" s="137"/>
      <c r="S94" s="137"/>
      <c r="T94" s="137"/>
      <c r="U94" s="137"/>
      <c r="V94" s="150"/>
      <c r="W94" s="26"/>
    </row>
    <row r="95" spans="1:23" ht="20" customHeight="1">
      <c r="A95" s="384"/>
      <c r="B95" s="156"/>
      <c r="C95" s="137"/>
      <c r="D95" s="137"/>
      <c r="E95" s="137"/>
      <c r="F95" s="137"/>
      <c r="G95" s="136"/>
      <c r="H95" s="137"/>
      <c r="I95" s="137"/>
      <c r="J95" s="138"/>
      <c r="K95" s="137"/>
      <c r="L95" s="137"/>
      <c r="M95" s="139"/>
      <c r="N95" s="137"/>
      <c r="O95" s="137"/>
      <c r="P95" s="139"/>
      <c r="Q95" s="137"/>
      <c r="R95" s="137"/>
      <c r="S95" s="137"/>
      <c r="T95" s="137"/>
      <c r="U95" s="137"/>
      <c r="V95" s="150"/>
      <c r="W95" s="26"/>
    </row>
    <row r="96" spans="1:23" ht="20" customHeight="1">
      <c r="A96" s="384"/>
      <c r="B96" s="156"/>
      <c r="C96" s="137"/>
      <c r="D96" s="137"/>
      <c r="E96" s="137"/>
      <c r="F96" s="137"/>
      <c r="G96" s="136"/>
      <c r="H96" s="137"/>
      <c r="I96" s="137"/>
      <c r="J96" s="138"/>
      <c r="K96" s="137"/>
      <c r="L96" s="137"/>
      <c r="M96" s="139"/>
      <c r="N96" s="137"/>
      <c r="O96" s="137"/>
      <c r="P96" s="139"/>
      <c r="Q96" s="137"/>
      <c r="R96" s="137"/>
      <c r="S96" s="137"/>
      <c r="T96" s="137"/>
      <c r="U96" s="137"/>
      <c r="V96" s="150"/>
      <c r="W96" s="26"/>
    </row>
    <row r="97" spans="1:23" ht="20" customHeight="1">
      <c r="A97" s="384"/>
      <c r="B97" s="156"/>
      <c r="C97" s="137"/>
      <c r="D97" s="137"/>
      <c r="E97" s="137"/>
      <c r="F97" s="137"/>
      <c r="G97" s="136"/>
      <c r="H97" s="137"/>
      <c r="I97" s="137"/>
      <c r="J97" s="138"/>
      <c r="K97" s="137"/>
      <c r="L97" s="137"/>
      <c r="M97" s="139"/>
      <c r="N97" s="137"/>
      <c r="O97" s="137"/>
      <c r="P97" s="139"/>
      <c r="Q97" s="137"/>
      <c r="R97" s="137"/>
      <c r="S97" s="137"/>
      <c r="T97" s="137"/>
      <c r="U97" s="137"/>
      <c r="V97" s="150"/>
      <c r="W97" s="26"/>
    </row>
    <row r="98" spans="1:23" ht="20" customHeight="1">
      <c r="A98" s="384"/>
      <c r="B98" s="156"/>
      <c r="C98" s="137"/>
      <c r="D98" s="137"/>
      <c r="E98" s="137"/>
      <c r="F98" s="137"/>
      <c r="G98" s="136"/>
      <c r="H98" s="137"/>
      <c r="I98" s="137"/>
      <c r="J98" s="138"/>
      <c r="K98" s="137"/>
      <c r="L98" s="137"/>
      <c r="M98" s="139"/>
      <c r="N98" s="137"/>
      <c r="O98" s="137"/>
      <c r="P98" s="139"/>
      <c r="Q98" s="137"/>
      <c r="R98" s="137"/>
      <c r="S98" s="137"/>
      <c r="T98" s="137"/>
      <c r="U98" s="137"/>
      <c r="V98" s="150"/>
      <c r="W98" s="26"/>
    </row>
    <row r="99" spans="1:23" ht="20" customHeight="1">
      <c r="A99" s="384"/>
      <c r="B99" s="156"/>
      <c r="C99" s="137"/>
      <c r="D99" s="137"/>
      <c r="E99" s="137"/>
      <c r="F99" s="137"/>
      <c r="G99" s="136"/>
      <c r="H99" s="137"/>
      <c r="I99" s="137"/>
      <c r="J99" s="138"/>
      <c r="K99" s="137"/>
      <c r="L99" s="137"/>
      <c r="M99" s="139"/>
      <c r="N99" s="137"/>
      <c r="O99" s="137"/>
      <c r="P99" s="139"/>
      <c r="Q99" s="137"/>
      <c r="R99" s="137"/>
      <c r="S99" s="137"/>
      <c r="T99" s="137"/>
      <c r="U99" s="137"/>
      <c r="V99" s="150"/>
      <c r="W99" s="26"/>
    </row>
    <row r="100" spans="1:23" ht="20" customHeight="1">
      <c r="A100" s="384"/>
      <c r="B100" s="156"/>
      <c r="C100" s="137"/>
      <c r="D100" s="137"/>
      <c r="E100" s="137"/>
      <c r="F100" s="137"/>
      <c r="G100" s="136"/>
      <c r="H100" s="137"/>
      <c r="I100" s="137"/>
      <c r="J100" s="138"/>
      <c r="K100" s="137"/>
      <c r="L100" s="137"/>
      <c r="M100" s="139"/>
      <c r="N100" s="137"/>
      <c r="O100" s="137"/>
      <c r="P100" s="139"/>
      <c r="Q100" s="137"/>
      <c r="R100" s="137"/>
      <c r="S100" s="137"/>
      <c r="T100" s="137"/>
      <c r="U100" s="137"/>
      <c r="V100" s="150"/>
      <c r="W100" s="26"/>
    </row>
    <row r="101" spans="1:23" ht="20" customHeight="1">
      <c r="A101" s="384"/>
      <c r="B101" s="156"/>
      <c r="C101" s="137"/>
      <c r="D101" s="137"/>
      <c r="E101" s="137"/>
      <c r="F101" s="137"/>
      <c r="G101" s="136"/>
      <c r="H101" s="137"/>
      <c r="I101" s="137"/>
      <c r="J101" s="138"/>
      <c r="K101" s="137"/>
      <c r="L101" s="137"/>
      <c r="M101" s="139"/>
      <c r="N101" s="137"/>
      <c r="O101" s="137"/>
      <c r="P101" s="139"/>
      <c r="Q101" s="137"/>
      <c r="R101" s="137"/>
      <c r="S101" s="137"/>
      <c r="T101" s="137"/>
      <c r="U101" s="137"/>
      <c r="V101" s="150"/>
      <c r="W101" s="26"/>
    </row>
    <row r="102" spans="1:23" ht="20" customHeight="1">
      <c r="A102" s="384"/>
      <c r="B102" s="156"/>
      <c r="C102" s="137"/>
      <c r="D102" s="137"/>
      <c r="E102" s="137"/>
      <c r="F102" s="137"/>
      <c r="G102" s="136"/>
      <c r="H102" s="137"/>
      <c r="I102" s="137"/>
      <c r="J102" s="138"/>
      <c r="K102" s="137"/>
      <c r="L102" s="137"/>
      <c r="M102" s="139"/>
      <c r="N102" s="137"/>
      <c r="O102" s="137"/>
      <c r="P102" s="139"/>
      <c r="Q102" s="137"/>
      <c r="R102" s="137"/>
      <c r="S102" s="137"/>
      <c r="T102" s="137"/>
      <c r="U102" s="137"/>
      <c r="V102" s="150"/>
      <c r="W102" s="26"/>
    </row>
    <row r="103" spans="1:23" ht="20" customHeight="1">
      <c r="A103" s="384"/>
      <c r="B103" s="156"/>
      <c r="C103" s="137"/>
      <c r="D103" s="137"/>
      <c r="E103" s="137"/>
      <c r="F103" s="137"/>
      <c r="G103" s="136"/>
      <c r="H103" s="137"/>
      <c r="I103" s="137"/>
      <c r="J103" s="138"/>
      <c r="K103" s="137"/>
      <c r="L103" s="137"/>
      <c r="M103" s="139"/>
      <c r="N103" s="137"/>
      <c r="O103" s="137"/>
      <c r="P103" s="139"/>
      <c r="Q103" s="137"/>
      <c r="R103" s="137"/>
      <c r="S103" s="137"/>
      <c r="T103" s="137"/>
      <c r="U103" s="137"/>
      <c r="V103" s="150"/>
      <c r="W103" s="26"/>
    </row>
    <row r="104" spans="1:23" ht="20" customHeight="1">
      <c r="A104" s="384"/>
      <c r="B104" s="156"/>
      <c r="C104" s="137"/>
      <c r="D104" s="137"/>
      <c r="E104" s="137"/>
      <c r="F104" s="137"/>
      <c r="G104" s="136"/>
      <c r="H104" s="137"/>
      <c r="I104" s="137"/>
      <c r="J104" s="138"/>
      <c r="K104" s="137"/>
      <c r="L104" s="137"/>
      <c r="M104" s="139"/>
      <c r="N104" s="137"/>
      <c r="O104" s="137"/>
      <c r="P104" s="139"/>
      <c r="Q104" s="137"/>
      <c r="R104" s="137"/>
      <c r="S104" s="137"/>
      <c r="T104" s="137"/>
      <c r="U104" s="137"/>
      <c r="V104" s="150"/>
      <c r="W104" s="26"/>
    </row>
    <row r="105" spans="1:23" ht="20" customHeight="1" thickBot="1">
      <c r="A105" s="385"/>
      <c r="B105" s="157"/>
      <c r="C105" s="151"/>
      <c r="D105" s="151"/>
      <c r="E105" s="151"/>
      <c r="F105" s="151"/>
      <c r="G105" s="152"/>
      <c r="H105" s="151"/>
      <c r="I105" s="151"/>
      <c r="J105" s="153"/>
      <c r="K105" s="151"/>
      <c r="L105" s="151"/>
      <c r="M105" s="154"/>
      <c r="N105" s="151"/>
      <c r="O105" s="151"/>
      <c r="P105" s="154"/>
      <c r="Q105" s="151"/>
      <c r="R105" s="151"/>
      <c r="S105" s="151"/>
      <c r="T105" s="151"/>
      <c r="U105" s="151"/>
      <c r="V105" s="155"/>
      <c r="W105" s="26"/>
    </row>
    <row r="106" spans="1:23" ht="20" customHeight="1">
      <c r="A106" s="383" t="str">
        <f>'Read Me First'!C16</f>
        <v>Team Kennet</v>
      </c>
      <c r="B106" s="144" t="str" cm="1">
        <f t="array" ref="B106">_xlfn.LET(_xlpm.x, _xlfn._xlws.SORT(_xlfn._xlws.FILTER(Data!$A$54:$U$341,(Data!$C$54:$C$341=$A106)*(Data!$D$54:$D$341=$E$4)*(Data!$E$54:$E$341="U10")),18),_xlpm.y,_xlfn._xlws.SORT(_xlfn._xlws.FILTER(Data!$A$54:$U$341,(Data!$C$54:$C$341=$A106)*(Data!$D$54:$D$341=$E$4)*(Data!$E$54:$E$341="U12")),19), IFERROR(_xlfn.VSTACK(_xlpm.x,_xlpm.y), IFERROR(_xlpm.y,IFERROR(_xlpm.x, ""))))</f>
        <v/>
      </c>
      <c r="C106" s="145"/>
      <c r="D106" s="145"/>
      <c r="E106" s="145"/>
      <c r="F106" s="145"/>
      <c r="G106" s="146"/>
      <c r="H106" s="145"/>
      <c r="I106" s="145"/>
      <c r="J106" s="147"/>
      <c r="K106" s="145"/>
      <c r="L106" s="145"/>
      <c r="M106" s="148"/>
      <c r="N106" s="145"/>
      <c r="O106" s="145"/>
      <c r="P106" s="148"/>
      <c r="Q106" s="145"/>
      <c r="R106" s="145"/>
      <c r="S106" s="145"/>
      <c r="T106" s="145"/>
      <c r="U106" s="145"/>
      <c r="V106" s="149"/>
      <c r="W106" s="26"/>
    </row>
    <row r="107" spans="1:23" ht="20" customHeight="1">
      <c r="A107" s="384"/>
      <c r="B107" s="156"/>
      <c r="C107" s="137"/>
      <c r="D107" s="137"/>
      <c r="E107" s="137"/>
      <c r="F107" s="137"/>
      <c r="G107" s="136"/>
      <c r="H107" s="137"/>
      <c r="I107" s="137"/>
      <c r="J107" s="138"/>
      <c r="K107" s="137"/>
      <c r="L107" s="137"/>
      <c r="M107" s="139"/>
      <c r="N107" s="137"/>
      <c r="O107" s="137"/>
      <c r="P107" s="139"/>
      <c r="Q107" s="137"/>
      <c r="R107" s="137"/>
      <c r="S107" s="137"/>
      <c r="T107" s="137"/>
      <c r="U107" s="137"/>
      <c r="V107" s="150"/>
      <c r="W107" s="26"/>
    </row>
    <row r="108" spans="1:23" ht="20" customHeight="1">
      <c r="A108" s="384"/>
      <c r="B108" s="156"/>
      <c r="C108" s="137"/>
      <c r="D108" s="137"/>
      <c r="E108" s="137"/>
      <c r="F108" s="137"/>
      <c r="G108" s="136"/>
      <c r="H108" s="137"/>
      <c r="I108" s="137"/>
      <c r="J108" s="138"/>
      <c r="K108" s="137"/>
      <c r="L108" s="137"/>
      <c r="M108" s="139"/>
      <c r="N108" s="137"/>
      <c r="O108" s="137"/>
      <c r="P108" s="139"/>
      <c r="Q108" s="137"/>
      <c r="R108" s="137"/>
      <c r="S108" s="137"/>
      <c r="T108" s="137"/>
      <c r="U108" s="137"/>
      <c r="V108" s="150"/>
      <c r="W108" s="26"/>
    </row>
    <row r="109" spans="1:23" ht="20" customHeight="1">
      <c r="A109" s="384"/>
      <c r="B109" s="156"/>
      <c r="C109" s="137"/>
      <c r="D109" s="137"/>
      <c r="E109" s="137"/>
      <c r="F109" s="137"/>
      <c r="G109" s="136"/>
      <c r="H109" s="137"/>
      <c r="I109" s="137"/>
      <c r="J109" s="138"/>
      <c r="K109" s="137"/>
      <c r="L109" s="137"/>
      <c r="M109" s="139"/>
      <c r="N109" s="137"/>
      <c r="O109" s="137"/>
      <c r="P109" s="139"/>
      <c r="Q109" s="137"/>
      <c r="R109" s="137"/>
      <c r="S109" s="137"/>
      <c r="T109" s="137"/>
      <c r="U109" s="137"/>
      <c r="V109" s="150"/>
      <c r="W109" s="26"/>
    </row>
    <row r="110" spans="1:23" ht="20" customHeight="1">
      <c r="A110" s="384"/>
      <c r="B110" s="156"/>
      <c r="C110" s="137"/>
      <c r="D110" s="137"/>
      <c r="E110" s="137"/>
      <c r="F110" s="137"/>
      <c r="G110" s="136"/>
      <c r="H110" s="137"/>
      <c r="I110" s="137"/>
      <c r="J110" s="138"/>
      <c r="K110" s="137"/>
      <c r="L110" s="137"/>
      <c r="M110" s="139"/>
      <c r="N110" s="137"/>
      <c r="O110" s="137"/>
      <c r="P110" s="139"/>
      <c r="Q110" s="137"/>
      <c r="R110" s="137"/>
      <c r="S110" s="137"/>
      <c r="T110" s="137"/>
      <c r="U110" s="137"/>
      <c r="V110" s="150"/>
      <c r="W110" s="26"/>
    </row>
    <row r="111" spans="1:23" ht="20" customHeight="1">
      <c r="A111" s="384"/>
      <c r="B111" s="156"/>
      <c r="C111" s="137"/>
      <c r="D111" s="137"/>
      <c r="E111" s="137"/>
      <c r="F111" s="137"/>
      <c r="G111" s="136"/>
      <c r="H111" s="137"/>
      <c r="I111" s="137"/>
      <c r="J111" s="138"/>
      <c r="K111" s="137"/>
      <c r="L111" s="137"/>
      <c r="M111" s="139"/>
      <c r="N111" s="137"/>
      <c r="O111" s="137"/>
      <c r="P111" s="139"/>
      <c r="Q111" s="137"/>
      <c r="R111" s="137"/>
      <c r="S111" s="137"/>
      <c r="T111" s="137"/>
      <c r="U111" s="137"/>
      <c r="V111" s="150"/>
      <c r="W111" s="56"/>
    </row>
    <row r="112" spans="1:23" ht="20" customHeight="1">
      <c r="A112" s="384"/>
      <c r="B112" s="156"/>
      <c r="C112" s="137"/>
      <c r="D112" s="137"/>
      <c r="E112" s="137"/>
      <c r="F112" s="137"/>
      <c r="G112" s="136"/>
      <c r="H112" s="137"/>
      <c r="I112" s="137"/>
      <c r="J112" s="138"/>
      <c r="K112" s="137"/>
      <c r="L112" s="137"/>
      <c r="M112" s="139"/>
      <c r="N112" s="137"/>
      <c r="O112" s="137"/>
      <c r="P112" s="139"/>
      <c r="Q112" s="137"/>
      <c r="R112" s="137"/>
      <c r="S112" s="137"/>
      <c r="T112" s="137"/>
      <c r="U112" s="137"/>
      <c r="V112" s="150"/>
      <c r="W112" s="56"/>
    </row>
    <row r="113" spans="1:23" ht="20" customHeight="1">
      <c r="A113" s="384"/>
      <c r="B113" s="156"/>
      <c r="C113" s="137"/>
      <c r="D113" s="137"/>
      <c r="E113" s="137"/>
      <c r="F113" s="137"/>
      <c r="G113" s="136"/>
      <c r="H113" s="137"/>
      <c r="I113" s="137"/>
      <c r="J113" s="138"/>
      <c r="K113" s="137"/>
      <c r="L113" s="137"/>
      <c r="M113" s="139"/>
      <c r="N113" s="137"/>
      <c r="O113" s="137"/>
      <c r="P113" s="139"/>
      <c r="Q113" s="137"/>
      <c r="R113" s="137"/>
      <c r="S113" s="137"/>
      <c r="T113" s="137"/>
      <c r="U113" s="137"/>
      <c r="V113" s="150"/>
      <c r="W113" s="56"/>
    </row>
    <row r="114" spans="1:23" ht="20" customHeight="1">
      <c r="A114" s="384"/>
      <c r="B114" s="156"/>
      <c r="C114" s="137"/>
      <c r="D114" s="137"/>
      <c r="E114" s="137"/>
      <c r="F114" s="137"/>
      <c r="G114" s="136"/>
      <c r="H114" s="137"/>
      <c r="I114" s="137"/>
      <c r="J114" s="138"/>
      <c r="K114" s="137"/>
      <c r="L114" s="137"/>
      <c r="M114" s="139"/>
      <c r="N114" s="137"/>
      <c r="O114" s="137"/>
      <c r="P114" s="139"/>
      <c r="Q114" s="137"/>
      <c r="R114" s="137"/>
      <c r="S114" s="137"/>
      <c r="T114" s="137"/>
      <c r="U114" s="137"/>
      <c r="V114" s="150"/>
      <c r="W114" s="56"/>
    </row>
    <row r="115" spans="1:23" ht="20" customHeight="1">
      <c r="A115" s="384"/>
      <c r="B115" s="156"/>
      <c r="C115" s="137"/>
      <c r="D115" s="137"/>
      <c r="E115" s="137"/>
      <c r="F115" s="137"/>
      <c r="G115" s="136"/>
      <c r="H115" s="137"/>
      <c r="I115" s="137"/>
      <c r="J115" s="138"/>
      <c r="K115" s="137"/>
      <c r="L115" s="137"/>
      <c r="M115" s="139"/>
      <c r="N115" s="137"/>
      <c r="O115" s="137"/>
      <c r="P115" s="139"/>
      <c r="Q115" s="137"/>
      <c r="R115" s="137"/>
      <c r="S115" s="137"/>
      <c r="T115" s="137"/>
      <c r="U115" s="137"/>
      <c r="V115" s="150"/>
      <c r="W115" s="56"/>
    </row>
    <row r="116" spans="1:23" ht="20" customHeight="1">
      <c r="A116" s="384"/>
      <c r="B116" s="156"/>
      <c r="C116" s="137"/>
      <c r="D116" s="137"/>
      <c r="E116" s="137"/>
      <c r="F116" s="137"/>
      <c r="G116" s="136"/>
      <c r="H116" s="137"/>
      <c r="I116" s="137"/>
      <c r="J116" s="138"/>
      <c r="K116" s="137"/>
      <c r="L116" s="137"/>
      <c r="M116" s="139"/>
      <c r="N116" s="137"/>
      <c r="O116" s="137"/>
      <c r="P116" s="139"/>
      <c r="Q116" s="137"/>
      <c r="R116" s="137"/>
      <c r="S116" s="137"/>
      <c r="T116" s="137"/>
      <c r="U116" s="137"/>
      <c r="V116" s="150"/>
      <c r="W116" s="26"/>
    </row>
    <row r="117" spans="1:23" ht="20" customHeight="1">
      <c r="A117" s="384"/>
      <c r="B117" s="156"/>
      <c r="C117" s="137"/>
      <c r="D117" s="137"/>
      <c r="E117" s="137"/>
      <c r="F117" s="137"/>
      <c r="G117" s="136"/>
      <c r="H117" s="137"/>
      <c r="I117" s="137"/>
      <c r="J117" s="138"/>
      <c r="K117" s="137"/>
      <c r="L117" s="137"/>
      <c r="M117" s="139"/>
      <c r="N117" s="137"/>
      <c r="O117" s="137"/>
      <c r="P117" s="139"/>
      <c r="Q117" s="137"/>
      <c r="R117" s="137"/>
      <c r="S117" s="137"/>
      <c r="T117" s="137"/>
      <c r="U117" s="137"/>
      <c r="V117" s="150"/>
      <c r="W117" s="26"/>
    </row>
    <row r="118" spans="1:23" ht="20" customHeight="1">
      <c r="A118" s="384"/>
      <c r="B118" s="156"/>
      <c r="C118" s="137"/>
      <c r="D118" s="137"/>
      <c r="E118" s="137"/>
      <c r="F118" s="137"/>
      <c r="G118" s="136"/>
      <c r="H118" s="137"/>
      <c r="I118" s="137"/>
      <c r="J118" s="138"/>
      <c r="K118" s="137"/>
      <c r="L118" s="137"/>
      <c r="M118" s="139"/>
      <c r="N118" s="137"/>
      <c r="O118" s="137"/>
      <c r="P118" s="139"/>
      <c r="Q118" s="137"/>
      <c r="R118" s="137"/>
      <c r="S118" s="137"/>
      <c r="T118" s="137"/>
      <c r="U118" s="137"/>
      <c r="V118" s="150"/>
      <c r="W118" s="26"/>
    </row>
    <row r="119" spans="1:23" ht="20" customHeight="1">
      <c r="A119" s="384"/>
      <c r="B119" s="156"/>
      <c r="C119" s="137"/>
      <c r="D119" s="137"/>
      <c r="E119" s="137"/>
      <c r="F119" s="137"/>
      <c r="G119" s="136"/>
      <c r="H119" s="137"/>
      <c r="I119" s="137"/>
      <c r="J119" s="138"/>
      <c r="K119" s="137"/>
      <c r="L119" s="137"/>
      <c r="M119" s="139"/>
      <c r="N119" s="137"/>
      <c r="O119" s="137"/>
      <c r="P119" s="139"/>
      <c r="Q119" s="137"/>
      <c r="R119" s="137"/>
      <c r="S119" s="137"/>
      <c r="T119" s="137"/>
      <c r="U119" s="137"/>
      <c r="V119" s="150"/>
      <c r="W119" s="26"/>
    </row>
    <row r="120" spans="1:23" ht="20" customHeight="1">
      <c r="A120" s="384"/>
      <c r="B120" s="156"/>
      <c r="C120" s="137"/>
      <c r="D120" s="137"/>
      <c r="E120" s="137"/>
      <c r="F120" s="137"/>
      <c r="G120" s="136"/>
      <c r="H120" s="137"/>
      <c r="I120" s="137"/>
      <c r="J120" s="138"/>
      <c r="K120" s="137"/>
      <c r="L120" s="137"/>
      <c r="M120" s="139"/>
      <c r="N120" s="137"/>
      <c r="O120" s="137"/>
      <c r="P120" s="139"/>
      <c r="Q120" s="137"/>
      <c r="R120" s="137"/>
      <c r="S120" s="137"/>
      <c r="T120" s="137"/>
      <c r="U120" s="137"/>
      <c r="V120" s="150"/>
      <c r="W120" s="26"/>
    </row>
    <row r="121" spans="1:23" ht="20" customHeight="1">
      <c r="A121" s="384"/>
      <c r="B121" s="156"/>
      <c r="C121" s="137"/>
      <c r="D121" s="137"/>
      <c r="E121" s="137"/>
      <c r="F121" s="137"/>
      <c r="G121" s="136"/>
      <c r="H121" s="137"/>
      <c r="I121" s="137"/>
      <c r="J121" s="138"/>
      <c r="K121" s="137"/>
      <c r="L121" s="137"/>
      <c r="M121" s="139"/>
      <c r="N121" s="137"/>
      <c r="O121" s="137"/>
      <c r="P121" s="139"/>
      <c r="Q121" s="137"/>
      <c r="R121" s="137"/>
      <c r="S121" s="137"/>
      <c r="T121" s="137"/>
      <c r="U121" s="137"/>
      <c r="V121" s="150"/>
      <c r="W121" s="26"/>
    </row>
    <row r="122" spans="1:23" ht="20" customHeight="1">
      <c r="A122" s="384"/>
      <c r="B122" s="156"/>
      <c r="C122" s="137"/>
      <c r="D122" s="137"/>
      <c r="E122" s="137"/>
      <c r="F122" s="137"/>
      <c r="G122" s="136"/>
      <c r="H122" s="137"/>
      <c r="I122" s="137"/>
      <c r="J122" s="138"/>
      <c r="K122" s="137"/>
      <c r="L122" s="137"/>
      <c r="M122" s="139"/>
      <c r="N122" s="137"/>
      <c r="O122" s="137"/>
      <c r="P122" s="139"/>
      <c r="Q122" s="137"/>
      <c r="R122" s="137"/>
      <c r="S122" s="137"/>
      <c r="T122" s="137"/>
      <c r="U122" s="137"/>
      <c r="V122" s="150"/>
      <c r="W122" s="26"/>
    </row>
    <row r="123" spans="1:23" ht="20" customHeight="1">
      <c r="A123" s="384"/>
      <c r="B123" s="156"/>
      <c r="C123" s="137"/>
      <c r="D123" s="137"/>
      <c r="E123" s="137"/>
      <c r="F123" s="137"/>
      <c r="G123" s="136"/>
      <c r="H123" s="137"/>
      <c r="I123" s="137"/>
      <c r="J123" s="138"/>
      <c r="K123" s="137"/>
      <c r="L123" s="137"/>
      <c r="M123" s="139"/>
      <c r="N123" s="137"/>
      <c r="O123" s="137"/>
      <c r="P123" s="139"/>
      <c r="Q123" s="137"/>
      <c r="R123" s="137"/>
      <c r="S123" s="137"/>
      <c r="T123" s="137"/>
      <c r="U123" s="137"/>
      <c r="V123" s="150"/>
      <c r="W123" s="26"/>
    </row>
    <row r="124" spans="1:23" ht="20" customHeight="1">
      <c r="A124" s="384"/>
      <c r="B124" s="156"/>
      <c r="C124" s="137"/>
      <c r="D124" s="137"/>
      <c r="E124" s="137"/>
      <c r="F124" s="137"/>
      <c r="G124" s="136"/>
      <c r="H124" s="137"/>
      <c r="I124" s="137"/>
      <c r="J124" s="138"/>
      <c r="K124" s="137"/>
      <c r="L124" s="137"/>
      <c r="M124" s="139"/>
      <c r="N124" s="137"/>
      <c r="O124" s="137"/>
      <c r="P124" s="139"/>
      <c r="Q124" s="137"/>
      <c r="R124" s="137"/>
      <c r="S124" s="137"/>
      <c r="T124" s="137"/>
      <c r="U124" s="137"/>
      <c r="V124" s="150"/>
      <c r="W124" s="26"/>
    </row>
    <row r="125" spans="1:23" ht="20" customHeight="1">
      <c r="A125" s="384"/>
      <c r="B125" s="156"/>
      <c r="C125" s="137"/>
      <c r="D125" s="137"/>
      <c r="E125" s="137"/>
      <c r="F125" s="137"/>
      <c r="G125" s="136"/>
      <c r="H125" s="137"/>
      <c r="I125" s="137"/>
      <c r="J125" s="138"/>
      <c r="K125" s="137"/>
      <c r="L125" s="137"/>
      <c r="M125" s="139"/>
      <c r="N125" s="137"/>
      <c r="O125" s="137"/>
      <c r="P125" s="139"/>
      <c r="Q125" s="137"/>
      <c r="R125" s="137"/>
      <c r="S125" s="137"/>
      <c r="T125" s="137"/>
      <c r="U125" s="137"/>
      <c r="V125" s="150"/>
      <c r="W125" s="26"/>
    </row>
    <row r="126" spans="1:23" ht="20" customHeight="1">
      <c r="A126" s="384"/>
      <c r="B126" s="156"/>
      <c r="C126" s="137"/>
      <c r="D126" s="137"/>
      <c r="E126" s="137"/>
      <c r="F126" s="137"/>
      <c r="G126" s="136"/>
      <c r="H126" s="137"/>
      <c r="I126" s="137"/>
      <c r="J126" s="138"/>
      <c r="K126" s="137"/>
      <c r="L126" s="137"/>
      <c r="M126" s="139"/>
      <c r="N126" s="137"/>
      <c r="O126" s="137"/>
      <c r="P126" s="139"/>
      <c r="Q126" s="137"/>
      <c r="R126" s="137"/>
      <c r="S126" s="137"/>
      <c r="T126" s="137"/>
      <c r="U126" s="137"/>
      <c r="V126" s="150"/>
      <c r="W126" s="26"/>
    </row>
    <row r="127" spans="1:23" ht="20" customHeight="1">
      <c r="A127" s="384"/>
      <c r="B127" s="156"/>
      <c r="C127" s="137"/>
      <c r="D127" s="137"/>
      <c r="E127" s="137"/>
      <c r="F127" s="137"/>
      <c r="G127" s="136"/>
      <c r="H127" s="137"/>
      <c r="I127" s="137"/>
      <c r="J127" s="138"/>
      <c r="K127" s="137"/>
      <c r="L127" s="137"/>
      <c r="M127" s="139"/>
      <c r="N127" s="137"/>
      <c r="O127" s="137"/>
      <c r="P127" s="139"/>
      <c r="Q127" s="137"/>
      <c r="R127" s="137"/>
      <c r="S127" s="137"/>
      <c r="T127" s="137"/>
      <c r="U127" s="137"/>
      <c r="V127" s="150"/>
      <c r="W127" s="26"/>
    </row>
    <row r="128" spans="1:23" ht="20" customHeight="1">
      <c r="A128" s="384"/>
      <c r="B128" s="156"/>
      <c r="C128" s="137"/>
      <c r="D128" s="137"/>
      <c r="E128" s="137"/>
      <c r="F128" s="137"/>
      <c r="G128" s="136"/>
      <c r="H128" s="137"/>
      <c r="I128" s="137"/>
      <c r="J128" s="138"/>
      <c r="K128" s="137"/>
      <c r="L128" s="137"/>
      <c r="M128" s="139"/>
      <c r="N128" s="137"/>
      <c r="O128" s="137"/>
      <c r="P128" s="139"/>
      <c r="Q128" s="137"/>
      <c r="R128" s="137"/>
      <c r="S128" s="137"/>
      <c r="T128" s="137"/>
      <c r="U128" s="137"/>
      <c r="V128" s="150"/>
      <c r="W128" s="26"/>
    </row>
    <row r="129" spans="1:23" ht="20" customHeight="1">
      <c r="A129" s="384"/>
      <c r="B129" s="156"/>
      <c r="C129" s="137"/>
      <c r="D129" s="137"/>
      <c r="E129" s="137"/>
      <c r="F129" s="137"/>
      <c r="G129" s="136"/>
      <c r="H129" s="137"/>
      <c r="I129" s="137"/>
      <c r="J129" s="138"/>
      <c r="K129" s="137"/>
      <c r="L129" s="137"/>
      <c r="M129" s="139"/>
      <c r="N129" s="137"/>
      <c r="O129" s="137"/>
      <c r="P129" s="139"/>
      <c r="Q129" s="137"/>
      <c r="R129" s="137"/>
      <c r="S129" s="137"/>
      <c r="T129" s="137"/>
      <c r="U129" s="137"/>
      <c r="V129" s="150"/>
      <c r="W129" s="26"/>
    </row>
    <row r="130" spans="1:23" ht="20" customHeight="1" thickBot="1">
      <c r="A130" s="385"/>
      <c r="B130" s="157"/>
      <c r="C130" s="151"/>
      <c r="D130" s="151"/>
      <c r="E130" s="151"/>
      <c r="F130" s="151"/>
      <c r="G130" s="152"/>
      <c r="H130" s="151"/>
      <c r="I130" s="151"/>
      <c r="J130" s="153"/>
      <c r="K130" s="151"/>
      <c r="L130" s="151"/>
      <c r="M130" s="154"/>
      <c r="N130" s="151"/>
      <c r="O130" s="151"/>
      <c r="P130" s="154"/>
      <c r="Q130" s="151"/>
      <c r="R130" s="151"/>
      <c r="S130" s="151"/>
      <c r="T130" s="151"/>
      <c r="U130" s="151"/>
      <c r="V130" s="155"/>
      <c r="W130" s="26"/>
    </row>
    <row r="131" spans="1:23" ht="20" customHeight="1">
      <c r="A131" s="383" t="str">
        <f>'Read Me First'!C17</f>
        <v>White Horse Harriers</v>
      </c>
      <c r="B131" s="144" t="str" cm="1">
        <f t="array" ref="B131">_xlfn.LET(_xlpm.x, _xlfn._xlws.SORT(_xlfn._xlws.FILTER(Data!$A$54:$U$341,(Data!$C$54:$C$341=$A131)*(Data!$D$54:$D$341=$E$4)*(Data!$E$54:$E$341="U10")),18),_xlpm.y,_xlfn._xlws.SORT(_xlfn._xlws.FILTER(Data!$A$54:$U$341,(Data!$C$54:$C$341=$A131)*(Data!$D$54:$D$341=$E$4)*(Data!$E$54:$E$341="U12")),19), IFERROR(_xlfn.VSTACK(_xlpm.x,_xlpm.y), IFERROR(_xlpm.y,IFERROR(_xlpm.x, ""))))</f>
        <v/>
      </c>
      <c r="C131" s="145"/>
      <c r="D131" s="145"/>
      <c r="E131" s="145"/>
      <c r="F131" s="145"/>
      <c r="G131" s="146"/>
      <c r="H131" s="145"/>
      <c r="I131" s="145"/>
      <c r="J131" s="147"/>
      <c r="K131" s="145"/>
      <c r="L131" s="145"/>
      <c r="M131" s="148"/>
      <c r="N131" s="145"/>
      <c r="O131" s="145"/>
      <c r="P131" s="148"/>
      <c r="Q131" s="145"/>
      <c r="R131" s="145"/>
      <c r="S131" s="145"/>
      <c r="T131" s="145"/>
      <c r="U131" s="145"/>
      <c r="V131" s="149"/>
      <c r="W131" s="26"/>
    </row>
    <row r="132" spans="1:23" ht="20" customHeight="1">
      <c r="A132" s="384"/>
      <c r="B132" s="156"/>
      <c r="C132" s="137"/>
      <c r="D132" s="137"/>
      <c r="E132" s="137"/>
      <c r="F132" s="137"/>
      <c r="G132" s="136"/>
      <c r="H132" s="137"/>
      <c r="I132" s="137"/>
      <c r="J132" s="138"/>
      <c r="K132" s="137"/>
      <c r="L132" s="137"/>
      <c r="M132" s="139"/>
      <c r="N132" s="137"/>
      <c r="O132" s="137"/>
      <c r="P132" s="139"/>
      <c r="Q132" s="137"/>
      <c r="R132" s="137"/>
      <c r="S132" s="137"/>
      <c r="T132" s="137"/>
      <c r="U132" s="137"/>
      <c r="V132" s="150"/>
      <c r="W132" s="56"/>
    </row>
    <row r="133" spans="1:23" ht="20" customHeight="1">
      <c r="A133" s="384"/>
      <c r="B133" s="156"/>
      <c r="C133" s="137"/>
      <c r="D133" s="137"/>
      <c r="E133" s="137"/>
      <c r="F133" s="137"/>
      <c r="G133" s="136"/>
      <c r="H133" s="137"/>
      <c r="I133" s="137"/>
      <c r="J133" s="138"/>
      <c r="K133" s="137"/>
      <c r="L133" s="137"/>
      <c r="M133" s="139"/>
      <c r="N133" s="137"/>
      <c r="O133" s="137"/>
      <c r="P133" s="139"/>
      <c r="Q133" s="137"/>
      <c r="R133" s="137"/>
      <c r="S133" s="137"/>
      <c r="T133" s="137"/>
      <c r="U133" s="137"/>
      <c r="V133" s="150"/>
      <c r="W133" s="26"/>
    </row>
    <row r="134" spans="1:23" ht="20" customHeight="1">
      <c r="A134" s="384"/>
      <c r="B134" s="156"/>
      <c r="C134" s="137"/>
      <c r="D134" s="137"/>
      <c r="E134" s="137"/>
      <c r="F134" s="137"/>
      <c r="G134" s="136"/>
      <c r="H134" s="137"/>
      <c r="I134" s="137"/>
      <c r="J134" s="138"/>
      <c r="K134" s="137"/>
      <c r="L134" s="137"/>
      <c r="M134" s="139"/>
      <c r="N134" s="137"/>
      <c r="O134" s="137"/>
      <c r="P134" s="139"/>
      <c r="Q134" s="137"/>
      <c r="R134" s="137"/>
      <c r="S134" s="137"/>
      <c r="T134" s="137"/>
      <c r="U134" s="137"/>
      <c r="V134" s="150"/>
      <c r="W134" s="26"/>
    </row>
    <row r="135" spans="1:23" ht="20" customHeight="1">
      <c r="A135" s="384"/>
      <c r="B135" s="156"/>
      <c r="C135" s="137"/>
      <c r="D135" s="137"/>
      <c r="E135" s="137"/>
      <c r="F135" s="137"/>
      <c r="G135" s="136"/>
      <c r="H135" s="137"/>
      <c r="I135" s="137"/>
      <c r="J135" s="138"/>
      <c r="K135" s="137"/>
      <c r="L135" s="137"/>
      <c r="M135" s="139"/>
      <c r="N135" s="137"/>
      <c r="O135" s="137"/>
      <c r="P135" s="139"/>
      <c r="Q135" s="137"/>
      <c r="R135" s="137"/>
      <c r="S135" s="137"/>
      <c r="T135" s="137"/>
      <c r="U135" s="137"/>
      <c r="V135" s="150"/>
      <c r="W135" s="26"/>
    </row>
    <row r="136" spans="1:23" ht="20" customHeight="1">
      <c r="A136" s="384"/>
      <c r="B136" s="156"/>
      <c r="C136" s="137"/>
      <c r="D136" s="137"/>
      <c r="E136" s="137"/>
      <c r="F136" s="137"/>
      <c r="G136" s="136"/>
      <c r="H136" s="137"/>
      <c r="I136" s="137"/>
      <c r="J136" s="138"/>
      <c r="K136" s="137"/>
      <c r="L136" s="137"/>
      <c r="M136" s="139"/>
      <c r="N136" s="137"/>
      <c r="O136" s="137"/>
      <c r="P136" s="139"/>
      <c r="Q136" s="137"/>
      <c r="R136" s="137"/>
      <c r="S136" s="137"/>
      <c r="T136" s="137"/>
      <c r="U136" s="137"/>
      <c r="V136" s="150"/>
      <c r="W136" s="26"/>
    </row>
    <row r="137" spans="1:23" ht="20" customHeight="1">
      <c r="A137" s="384"/>
      <c r="B137" s="156"/>
      <c r="C137" s="137"/>
      <c r="D137" s="137"/>
      <c r="E137" s="137"/>
      <c r="F137" s="137"/>
      <c r="G137" s="136"/>
      <c r="H137" s="137"/>
      <c r="I137" s="137"/>
      <c r="J137" s="138"/>
      <c r="K137" s="137"/>
      <c r="L137" s="137"/>
      <c r="M137" s="139"/>
      <c r="N137" s="137"/>
      <c r="O137" s="137"/>
      <c r="P137" s="139"/>
      <c r="Q137" s="137"/>
      <c r="R137" s="137"/>
      <c r="S137" s="137"/>
      <c r="T137" s="137"/>
      <c r="U137" s="137"/>
      <c r="V137" s="150"/>
      <c r="W137" s="26"/>
    </row>
    <row r="138" spans="1:23" ht="20" customHeight="1">
      <c r="A138" s="384"/>
      <c r="B138" s="156"/>
      <c r="C138" s="137"/>
      <c r="D138" s="137"/>
      <c r="E138" s="137"/>
      <c r="F138" s="137"/>
      <c r="G138" s="136"/>
      <c r="H138" s="137"/>
      <c r="I138" s="137"/>
      <c r="J138" s="138"/>
      <c r="K138" s="137"/>
      <c r="L138" s="137"/>
      <c r="M138" s="139"/>
      <c r="N138" s="137"/>
      <c r="O138" s="137"/>
      <c r="P138" s="139"/>
      <c r="Q138" s="137"/>
      <c r="R138" s="137"/>
      <c r="S138" s="137"/>
      <c r="T138" s="137"/>
      <c r="U138" s="137"/>
      <c r="V138" s="150"/>
      <c r="W138" s="26"/>
    </row>
    <row r="139" spans="1:23" ht="20" customHeight="1">
      <c r="A139" s="384"/>
      <c r="B139" s="156"/>
      <c r="C139" s="137"/>
      <c r="D139" s="137"/>
      <c r="E139" s="137"/>
      <c r="F139" s="137"/>
      <c r="G139" s="136"/>
      <c r="H139" s="137"/>
      <c r="I139" s="137"/>
      <c r="J139" s="138"/>
      <c r="K139" s="137"/>
      <c r="L139" s="137"/>
      <c r="M139" s="139"/>
      <c r="N139" s="137"/>
      <c r="O139" s="137"/>
      <c r="P139" s="139"/>
      <c r="Q139" s="137"/>
      <c r="R139" s="137"/>
      <c r="S139" s="137"/>
      <c r="T139" s="137"/>
      <c r="U139" s="137"/>
      <c r="V139" s="150"/>
      <c r="W139" s="26"/>
    </row>
    <row r="140" spans="1:23" ht="20" customHeight="1">
      <c r="A140" s="384"/>
      <c r="B140" s="156"/>
      <c r="C140" s="137"/>
      <c r="D140" s="137"/>
      <c r="E140" s="137"/>
      <c r="F140" s="137"/>
      <c r="G140" s="136"/>
      <c r="H140" s="137"/>
      <c r="I140" s="137"/>
      <c r="J140" s="138"/>
      <c r="K140" s="137"/>
      <c r="L140" s="137"/>
      <c r="M140" s="139"/>
      <c r="N140" s="137"/>
      <c r="O140" s="137"/>
      <c r="P140" s="139"/>
      <c r="Q140" s="137"/>
      <c r="R140" s="137"/>
      <c r="S140" s="137"/>
      <c r="T140" s="137"/>
      <c r="U140" s="137"/>
      <c r="V140" s="150"/>
      <c r="W140" s="26"/>
    </row>
    <row r="141" spans="1:23" ht="20" customHeight="1">
      <c r="A141" s="384"/>
      <c r="B141" s="156"/>
      <c r="C141" s="137"/>
      <c r="D141" s="137"/>
      <c r="E141" s="137"/>
      <c r="F141" s="137"/>
      <c r="G141" s="136"/>
      <c r="H141" s="137"/>
      <c r="I141" s="137"/>
      <c r="J141" s="138"/>
      <c r="K141" s="137"/>
      <c r="L141" s="137"/>
      <c r="M141" s="139"/>
      <c r="N141" s="137"/>
      <c r="O141" s="137"/>
      <c r="P141" s="139"/>
      <c r="Q141" s="137"/>
      <c r="R141" s="137"/>
      <c r="S141" s="137"/>
      <c r="T141" s="137"/>
      <c r="U141" s="137"/>
      <c r="V141" s="150"/>
      <c r="W141" s="26"/>
    </row>
    <row r="142" spans="1:23" ht="20" customHeight="1">
      <c r="A142" s="384"/>
      <c r="B142" s="156"/>
      <c r="C142" s="137"/>
      <c r="D142" s="137"/>
      <c r="E142" s="137"/>
      <c r="F142" s="137"/>
      <c r="G142" s="136"/>
      <c r="H142" s="137"/>
      <c r="I142" s="137"/>
      <c r="J142" s="138"/>
      <c r="K142" s="137"/>
      <c r="L142" s="137"/>
      <c r="M142" s="139"/>
      <c r="N142" s="137"/>
      <c r="O142" s="137"/>
      <c r="P142" s="139"/>
      <c r="Q142" s="137"/>
      <c r="R142" s="137"/>
      <c r="S142" s="137"/>
      <c r="T142" s="137"/>
      <c r="U142" s="137"/>
      <c r="V142" s="150"/>
      <c r="W142" s="26"/>
    </row>
    <row r="143" spans="1:23" ht="20" customHeight="1">
      <c r="A143" s="384"/>
      <c r="B143" s="156"/>
      <c r="C143" s="137"/>
      <c r="D143" s="137"/>
      <c r="E143" s="137"/>
      <c r="F143" s="137"/>
      <c r="G143" s="136"/>
      <c r="H143" s="137"/>
      <c r="I143" s="137"/>
      <c r="J143" s="138"/>
      <c r="K143" s="137"/>
      <c r="L143" s="137"/>
      <c r="M143" s="139"/>
      <c r="N143" s="137"/>
      <c r="O143" s="137"/>
      <c r="P143" s="139"/>
      <c r="Q143" s="137"/>
      <c r="R143" s="137"/>
      <c r="S143" s="137"/>
      <c r="T143" s="137"/>
      <c r="U143" s="137"/>
      <c r="V143" s="150"/>
      <c r="W143" s="26"/>
    </row>
    <row r="144" spans="1:23" ht="20" customHeight="1">
      <c r="A144" s="384"/>
      <c r="B144" s="156"/>
      <c r="C144" s="137"/>
      <c r="D144" s="137"/>
      <c r="E144" s="137"/>
      <c r="F144" s="137"/>
      <c r="G144" s="136"/>
      <c r="H144" s="137"/>
      <c r="I144" s="137"/>
      <c r="J144" s="138"/>
      <c r="K144" s="137"/>
      <c r="L144" s="137"/>
      <c r="M144" s="139"/>
      <c r="N144" s="137"/>
      <c r="O144" s="137"/>
      <c r="P144" s="139"/>
      <c r="Q144" s="137"/>
      <c r="R144" s="137"/>
      <c r="S144" s="137"/>
      <c r="T144" s="137"/>
      <c r="U144" s="137"/>
      <c r="V144" s="150"/>
      <c r="W144" s="26"/>
    </row>
    <row r="145" spans="1:23" ht="20" customHeight="1">
      <c r="A145" s="384"/>
      <c r="B145" s="156"/>
      <c r="C145" s="137"/>
      <c r="D145" s="137"/>
      <c r="E145" s="137"/>
      <c r="F145" s="137"/>
      <c r="G145" s="136"/>
      <c r="H145" s="137"/>
      <c r="I145" s="137"/>
      <c r="J145" s="138"/>
      <c r="K145" s="137"/>
      <c r="L145" s="137"/>
      <c r="M145" s="139"/>
      <c r="N145" s="137"/>
      <c r="O145" s="137"/>
      <c r="P145" s="139"/>
      <c r="Q145" s="137"/>
      <c r="R145" s="137"/>
      <c r="S145" s="137"/>
      <c r="T145" s="137"/>
      <c r="U145" s="137"/>
      <c r="V145" s="150"/>
      <c r="W145" s="26"/>
    </row>
    <row r="146" spans="1:23" ht="20" customHeight="1">
      <c r="A146" s="384"/>
      <c r="B146" s="156"/>
      <c r="C146" s="137"/>
      <c r="D146" s="137"/>
      <c r="E146" s="137"/>
      <c r="F146" s="137"/>
      <c r="G146" s="136"/>
      <c r="H146" s="137"/>
      <c r="I146" s="137"/>
      <c r="J146" s="138"/>
      <c r="K146" s="137"/>
      <c r="L146" s="137"/>
      <c r="M146" s="139"/>
      <c r="N146" s="137"/>
      <c r="O146" s="137"/>
      <c r="P146" s="139"/>
      <c r="Q146" s="137"/>
      <c r="R146" s="137"/>
      <c r="S146" s="137"/>
      <c r="T146" s="137"/>
      <c r="U146" s="137"/>
      <c r="V146" s="150"/>
      <c r="W146" s="26"/>
    </row>
    <row r="147" spans="1:23" ht="20" customHeight="1">
      <c r="A147" s="384"/>
      <c r="B147" s="156"/>
      <c r="C147" s="137"/>
      <c r="D147" s="137"/>
      <c r="E147" s="137"/>
      <c r="F147" s="137"/>
      <c r="G147" s="136"/>
      <c r="H147" s="137"/>
      <c r="I147" s="137"/>
      <c r="J147" s="138"/>
      <c r="K147" s="137"/>
      <c r="L147" s="137"/>
      <c r="M147" s="139"/>
      <c r="N147" s="137"/>
      <c r="O147" s="137"/>
      <c r="P147" s="139"/>
      <c r="Q147" s="137"/>
      <c r="R147" s="137"/>
      <c r="S147" s="137"/>
      <c r="T147" s="137"/>
      <c r="U147" s="137"/>
      <c r="V147" s="150"/>
      <c r="W147" s="26"/>
    </row>
    <row r="148" spans="1:23" ht="20" customHeight="1">
      <c r="A148" s="384"/>
      <c r="B148" s="156"/>
      <c r="C148" s="137"/>
      <c r="D148" s="137"/>
      <c r="E148" s="137"/>
      <c r="F148" s="137"/>
      <c r="G148" s="136"/>
      <c r="H148" s="137"/>
      <c r="I148" s="137"/>
      <c r="J148" s="138"/>
      <c r="K148" s="137"/>
      <c r="L148" s="137"/>
      <c r="M148" s="139"/>
      <c r="N148" s="137"/>
      <c r="O148" s="137"/>
      <c r="P148" s="139"/>
      <c r="Q148" s="137"/>
      <c r="R148" s="137"/>
      <c r="S148" s="137"/>
      <c r="T148" s="137"/>
      <c r="U148" s="137"/>
      <c r="V148" s="150"/>
      <c r="W148" s="26"/>
    </row>
    <row r="149" spans="1:23" ht="20" customHeight="1">
      <c r="A149" s="384"/>
      <c r="B149" s="156"/>
      <c r="C149" s="137"/>
      <c r="D149" s="137"/>
      <c r="E149" s="137"/>
      <c r="F149" s="137"/>
      <c r="G149" s="136"/>
      <c r="H149" s="137"/>
      <c r="I149" s="137"/>
      <c r="J149" s="138"/>
      <c r="K149" s="137"/>
      <c r="L149" s="137"/>
      <c r="M149" s="139"/>
      <c r="N149" s="137"/>
      <c r="O149" s="137"/>
      <c r="P149" s="139"/>
      <c r="Q149" s="137"/>
      <c r="R149" s="137"/>
      <c r="S149" s="137"/>
      <c r="T149" s="137"/>
      <c r="U149" s="137"/>
      <c r="V149" s="150"/>
      <c r="W149" s="26"/>
    </row>
    <row r="150" spans="1:23" ht="20" customHeight="1" thickBot="1">
      <c r="A150" s="385"/>
      <c r="B150" s="157"/>
      <c r="C150" s="151"/>
      <c r="D150" s="151"/>
      <c r="E150" s="151"/>
      <c r="F150" s="151"/>
      <c r="G150" s="152"/>
      <c r="H150" s="151"/>
      <c r="I150" s="151"/>
      <c r="J150" s="153"/>
      <c r="K150" s="151"/>
      <c r="L150" s="151"/>
      <c r="M150" s="154"/>
      <c r="N150" s="151"/>
      <c r="O150" s="151"/>
      <c r="P150" s="154"/>
      <c r="Q150" s="151"/>
      <c r="R150" s="151"/>
      <c r="S150" s="151"/>
      <c r="T150" s="151"/>
      <c r="U150" s="151"/>
      <c r="V150" s="155"/>
      <c r="W150" s="26"/>
    </row>
    <row r="151" spans="1:23" ht="20" customHeight="1">
      <c r="A151" s="383" t="str">
        <f>'Read Me First'!C18</f>
        <v>Witney Road Runners</v>
      </c>
      <c r="B151" s="144" t="str" cm="1">
        <f t="array" ref="B151">_xlfn.LET(_xlpm.x, _xlfn._xlws.SORT(_xlfn._xlws.FILTER(Data!$A$54:$U$341,(Data!$C$54:$C$341=$A151)*(Data!$D$54:$D$341=$E$4)*(Data!$E$54:$E$341="U10")),18),_xlpm.y,_xlfn._xlws.SORT(_xlfn._xlws.FILTER(Data!$A$54:$U$341,(Data!$C$54:$C$341=$A151)*(Data!$D$54:$D$341=$E$4)*(Data!$E$54:$E$341="U12")),19), IFERROR(_xlfn.VSTACK(_xlpm.x,_xlpm.y), IFERROR(_xlpm.y,IFERROR(_xlpm.x, ""))))</f>
        <v/>
      </c>
      <c r="C151" s="145"/>
      <c r="D151" s="145"/>
      <c r="E151" s="145"/>
      <c r="F151" s="145"/>
      <c r="G151" s="146"/>
      <c r="H151" s="145"/>
      <c r="I151" s="145"/>
      <c r="J151" s="147"/>
      <c r="K151" s="145"/>
      <c r="L151" s="145"/>
      <c r="M151" s="148"/>
      <c r="N151" s="145"/>
      <c r="O151" s="145"/>
      <c r="P151" s="148"/>
      <c r="Q151" s="145"/>
      <c r="R151" s="145"/>
      <c r="S151" s="145"/>
      <c r="T151" s="145"/>
      <c r="U151" s="145"/>
      <c r="V151" s="149"/>
      <c r="W151" s="26"/>
    </row>
    <row r="152" spans="1:23" ht="20" customHeight="1">
      <c r="A152" s="384"/>
      <c r="B152" s="156"/>
      <c r="C152" s="137"/>
      <c r="D152" s="137"/>
      <c r="E152" s="137"/>
      <c r="F152" s="137"/>
      <c r="G152" s="136"/>
      <c r="H152" s="137"/>
      <c r="I152" s="137"/>
      <c r="J152" s="138"/>
      <c r="K152" s="137"/>
      <c r="L152" s="137"/>
      <c r="M152" s="139"/>
      <c r="N152" s="137"/>
      <c r="O152" s="137"/>
      <c r="P152" s="139"/>
      <c r="Q152" s="137"/>
      <c r="R152" s="137"/>
      <c r="S152" s="137"/>
      <c r="T152" s="137"/>
      <c r="U152" s="137"/>
      <c r="V152" s="150"/>
      <c r="W152" s="26"/>
    </row>
    <row r="153" spans="1:23" s="9" customFormat="1" ht="20" customHeight="1">
      <c r="A153" s="384"/>
      <c r="B153" s="156"/>
      <c r="C153" s="137"/>
      <c r="D153" s="137"/>
      <c r="E153" s="137"/>
      <c r="F153" s="137"/>
      <c r="G153" s="136"/>
      <c r="H153" s="137"/>
      <c r="I153" s="137"/>
      <c r="J153" s="138"/>
      <c r="K153" s="137"/>
      <c r="L153" s="137"/>
      <c r="M153" s="139"/>
      <c r="N153" s="137"/>
      <c r="O153" s="137"/>
      <c r="P153" s="139"/>
      <c r="Q153" s="137"/>
      <c r="R153" s="137"/>
      <c r="S153" s="137"/>
      <c r="T153" s="137"/>
      <c r="U153" s="137"/>
      <c r="V153" s="150"/>
      <c r="W153" s="56"/>
    </row>
    <row r="154" spans="1:23" s="9" customFormat="1" ht="20" customHeight="1">
      <c r="A154" s="384"/>
      <c r="B154" s="156"/>
      <c r="C154" s="137"/>
      <c r="D154" s="137"/>
      <c r="E154" s="137"/>
      <c r="F154" s="137"/>
      <c r="G154" s="136"/>
      <c r="H154" s="137"/>
      <c r="I154" s="137"/>
      <c r="J154" s="138"/>
      <c r="K154" s="137"/>
      <c r="L154" s="137"/>
      <c r="M154" s="139"/>
      <c r="N154" s="137"/>
      <c r="O154" s="137"/>
      <c r="P154" s="139"/>
      <c r="Q154" s="137"/>
      <c r="R154" s="137"/>
      <c r="S154" s="137"/>
      <c r="T154" s="137"/>
      <c r="U154" s="137"/>
      <c r="V154" s="150"/>
      <c r="W154" s="56"/>
    </row>
    <row r="155" spans="1:23" s="9" customFormat="1" ht="20" customHeight="1">
      <c r="A155" s="384"/>
      <c r="B155" s="156"/>
      <c r="C155" s="137"/>
      <c r="D155" s="137"/>
      <c r="E155" s="137"/>
      <c r="F155" s="137"/>
      <c r="G155" s="136"/>
      <c r="H155" s="137"/>
      <c r="I155" s="137"/>
      <c r="J155" s="138"/>
      <c r="K155" s="137"/>
      <c r="L155" s="137"/>
      <c r="M155" s="139"/>
      <c r="N155" s="137"/>
      <c r="O155" s="137"/>
      <c r="P155" s="139"/>
      <c r="Q155" s="137"/>
      <c r="R155" s="137"/>
      <c r="S155" s="137"/>
      <c r="T155" s="137"/>
      <c r="U155" s="137"/>
      <c r="V155" s="150"/>
      <c r="W155" s="56"/>
    </row>
    <row r="156" spans="1:23" s="9" customFormat="1" ht="20" customHeight="1">
      <c r="A156" s="384"/>
      <c r="B156" s="156"/>
      <c r="C156" s="137"/>
      <c r="D156" s="137"/>
      <c r="E156" s="137"/>
      <c r="F156" s="137"/>
      <c r="G156" s="136"/>
      <c r="H156" s="137"/>
      <c r="I156" s="137"/>
      <c r="J156" s="138"/>
      <c r="K156" s="137"/>
      <c r="L156" s="137"/>
      <c r="M156" s="139"/>
      <c r="N156" s="137"/>
      <c r="O156" s="137"/>
      <c r="P156" s="139"/>
      <c r="Q156" s="137"/>
      <c r="R156" s="137"/>
      <c r="S156" s="137"/>
      <c r="T156" s="137"/>
      <c r="U156" s="137"/>
      <c r="V156" s="150"/>
      <c r="W156" s="56"/>
    </row>
    <row r="157" spans="1:23" s="9" customFormat="1" ht="20" customHeight="1">
      <c r="A157" s="384"/>
      <c r="B157" s="156"/>
      <c r="C157" s="137"/>
      <c r="D157" s="137"/>
      <c r="E157" s="137"/>
      <c r="F157" s="137"/>
      <c r="G157" s="136"/>
      <c r="H157" s="137"/>
      <c r="I157" s="137"/>
      <c r="J157" s="138"/>
      <c r="K157" s="137"/>
      <c r="L157" s="137"/>
      <c r="M157" s="139"/>
      <c r="N157" s="137"/>
      <c r="O157" s="137"/>
      <c r="P157" s="139"/>
      <c r="Q157" s="137"/>
      <c r="R157" s="137"/>
      <c r="S157" s="137"/>
      <c r="T157" s="137"/>
      <c r="U157" s="137"/>
      <c r="V157" s="150"/>
      <c r="W157" s="56"/>
    </row>
    <row r="158" spans="1:23" s="9" customFormat="1" ht="20" customHeight="1">
      <c r="A158" s="384"/>
      <c r="B158" s="156"/>
      <c r="C158" s="137"/>
      <c r="D158" s="137"/>
      <c r="E158" s="137"/>
      <c r="F158" s="137"/>
      <c r="G158" s="136"/>
      <c r="H158" s="137"/>
      <c r="I158" s="137"/>
      <c r="J158" s="138"/>
      <c r="K158" s="137"/>
      <c r="L158" s="137"/>
      <c r="M158" s="139"/>
      <c r="N158" s="137"/>
      <c r="O158" s="137"/>
      <c r="P158" s="139"/>
      <c r="Q158" s="137"/>
      <c r="R158" s="137"/>
      <c r="S158" s="137"/>
      <c r="T158" s="137"/>
      <c r="U158" s="137"/>
      <c r="V158" s="150"/>
      <c r="W158" s="26"/>
    </row>
    <row r="159" spans="1:23" s="4" customFormat="1" ht="20" customHeight="1">
      <c r="A159" s="384"/>
      <c r="B159" s="156"/>
      <c r="C159" s="137"/>
      <c r="D159" s="137"/>
      <c r="E159" s="137"/>
      <c r="F159" s="137"/>
      <c r="G159" s="136"/>
      <c r="H159" s="137"/>
      <c r="I159" s="137"/>
      <c r="J159" s="138"/>
      <c r="K159" s="137"/>
      <c r="L159" s="137"/>
      <c r="M159" s="139"/>
      <c r="N159" s="137"/>
      <c r="O159" s="137"/>
      <c r="P159" s="139"/>
      <c r="Q159" s="137"/>
      <c r="R159" s="137"/>
      <c r="S159" s="137"/>
      <c r="T159" s="137"/>
      <c r="U159" s="137"/>
      <c r="V159" s="150"/>
      <c r="W159" s="26"/>
    </row>
    <row r="160" spans="1:23" s="4" customFormat="1" ht="20" customHeight="1">
      <c r="A160" s="384"/>
      <c r="B160" s="156"/>
      <c r="C160" s="137"/>
      <c r="D160" s="137"/>
      <c r="E160" s="137"/>
      <c r="F160" s="137"/>
      <c r="G160" s="136"/>
      <c r="H160" s="137"/>
      <c r="I160" s="137"/>
      <c r="J160" s="138"/>
      <c r="K160" s="137"/>
      <c r="L160" s="137"/>
      <c r="M160" s="139"/>
      <c r="N160" s="137"/>
      <c r="O160" s="137"/>
      <c r="P160" s="139"/>
      <c r="Q160" s="137"/>
      <c r="R160" s="137"/>
      <c r="S160" s="137"/>
      <c r="T160" s="137"/>
      <c r="U160" s="137"/>
      <c r="V160" s="150"/>
      <c r="W160" s="26"/>
    </row>
    <row r="161" spans="1:23" s="4" customFormat="1" ht="20" customHeight="1">
      <c r="A161" s="384"/>
      <c r="B161" s="156"/>
      <c r="C161" s="137"/>
      <c r="D161" s="137"/>
      <c r="E161" s="137"/>
      <c r="F161" s="137"/>
      <c r="G161" s="136"/>
      <c r="H161" s="137"/>
      <c r="I161" s="137"/>
      <c r="J161" s="138"/>
      <c r="K161" s="137"/>
      <c r="L161" s="137"/>
      <c r="M161" s="139"/>
      <c r="N161" s="137"/>
      <c r="O161" s="137"/>
      <c r="P161" s="139"/>
      <c r="Q161" s="137"/>
      <c r="R161" s="137"/>
      <c r="S161" s="137"/>
      <c r="T161" s="137"/>
      <c r="U161" s="137"/>
      <c r="V161" s="150"/>
      <c r="W161" s="26"/>
    </row>
    <row r="162" spans="1:23" s="4" customFormat="1" ht="20" customHeight="1">
      <c r="A162" s="384"/>
      <c r="B162" s="156"/>
      <c r="C162" s="137"/>
      <c r="D162" s="137"/>
      <c r="E162" s="137"/>
      <c r="F162" s="137"/>
      <c r="G162" s="136"/>
      <c r="H162" s="137"/>
      <c r="I162" s="137"/>
      <c r="J162" s="138"/>
      <c r="K162" s="137"/>
      <c r="L162" s="137"/>
      <c r="M162" s="139"/>
      <c r="N162" s="137"/>
      <c r="O162" s="137"/>
      <c r="P162" s="139"/>
      <c r="Q162" s="137"/>
      <c r="R162" s="137"/>
      <c r="S162" s="137"/>
      <c r="T162" s="137"/>
      <c r="U162" s="137"/>
      <c r="V162" s="150"/>
      <c r="W162" s="26"/>
    </row>
    <row r="163" spans="1:23" ht="20" customHeight="1">
      <c r="A163" s="384"/>
      <c r="B163" s="156"/>
      <c r="C163" s="137"/>
      <c r="D163" s="137"/>
      <c r="E163" s="137"/>
      <c r="F163" s="137"/>
      <c r="G163" s="136"/>
      <c r="H163" s="137"/>
      <c r="I163" s="137"/>
      <c r="J163" s="138"/>
      <c r="K163" s="137"/>
      <c r="L163" s="137"/>
      <c r="M163" s="139"/>
      <c r="N163" s="137"/>
      <c r="O163" s="137"/>
      <c r="P163" s="139"/>
      <c r="Q163" s="137"/>
      <c r="R163" s="137"/>
      <c r="S163" s="137"/>
      <c r="T163" s="137"/>
      <c r="U163" s="137"/>
      <c r="V163" s="150"/>
      <c r="W163" s="26"/>
    </row>
    <row r="164" spans="1:23" ht="20" customHeight="1">
      <c r="A164" s="384"/>
      <c r="B164" s="156"/>
      <c r="C164" s="137"/>
      <c r="D164" s="137"/>
      <c r="E164" s="137"/>
      <c r="F164" s="137"/>
      <c r="G164" s="136"/>
      <c r="H164" s="137"/>
      <c r="I164" s="137"/>
      <c r="J164" s="138"/>
      <c r="K164" s="137"/>
      <c r="L164" s="137"/>
      <c r="M164" s="139"/>
      <c r="N164" s="137"/>
      <c r="O164" s="137"/>
      <c r="P164" s="139"/>
      <c r="Q164" s="137"/>
      <c r="R164" s="137"/>
      <c r="S164" s="137"/>
      <c r="T164" s="137"/>
      <c r="U164" s="137"/>
      <c r="V164" s="150"/>
      <c r="W164" s="26"/>
    </row>
    <row r="165" spans="1:23" ht="20" customHeight="1">
      <c r="A165" s="384"/>
      <c r="B165" s="156"/>
      <c r="C165" s="137"/>
      <c r="D165" s="137"/>
      <c r="E165" s="137"/>
      <c r="F165" s="137"/>
      <c r="G165" s="136"/>
      <c r="H165" s="137"/>
      <c r="I165" s="137"/>
      <c r="J165" s="138"/>
      <c r="K165" s="137"/>
      <c r="L165" s="137"/>
      <c r="M165" s="139"/>
      <c r="N165" s="137"/>
      <c r="O165" s="137"/>
      <c r="P165" s="139"/>
      <c r="Q165" s="137"/>
      <c r="R165" s="137"/>
      <c r="S165" s="137"/>
      <c r="T165" s="137"/>
      <c r="U165" s="137"/>
      <c r="V165" s="150"/>
      <c r="W165" s="26"/>
    </row>
    <row r="166" spans="1:23" ht="20" customHeight="1">
      <c r="A166" s="384"/>
      <c r="B166" s="156"/>
      <c r="C166" s="137"/>
      <c r="D166" s="137"/>
      <c r="E166" s="137"/>
      <c r="F166" s="137"/>
      <c r="G166" s="136"/>
      <c r="H166" s="137"/>
      <c r="I166" s="137"/>
      <c r="J166" s="138"/>
      <c r="K166" s="137"/>
      <c r="L166" s="137"/>
      <c r="M166" s="139"/>
      <c r="N166" s="137"/>
      <c r="O166" s="137"/>
      <c r="P166" s="139"/>
      <c r="Q166" s="137"/>
      <c r="R166" s="137"/>
      <c r="S166" s="137"/>
      <c r="T166" s="137"/>
      <c r="U166" s="137"/>
      <c r="V166" s="150"/>
      <c r="W166" s="26"/>
    </row>
    <row r="167" spans="1:23" ht="20" customHeight="1">
      <c r="A167" s="384"/>
      <c r="B167" s="156"/>
      <c r="C167" s="137"/>
      <c r="D167" s="137"/>
      <c r="E167" s="137"/>
      <c r="F167" s="137"/>
      <c r="G167" s="136"/>
      <c r="H167" s="137"/>
      <c r="I167" s="137"/>
      <c r="J167" s="138"/>
      <c r="K167" s="137"/>
      <c r="L167" s="137"/>
      <c r="M167" s="139"/>
      <c r="N167" s="137"/>
      <c r="O167" s="137"/>
      <c r="P167" s="139"/>
      <c r="Q167" s="137"/>
      <c r="R167" s="137"/>
      <c r="S167" s="137"/>
      <c r="T167" s="137"/>
      <c r="U167" s="137"/>
      <c r="V167" s="150"/>
      <c r="W167" s="26"/>
    </row>
    <row r="168" spans="1:23" ht="20" customHeight="1">
      <c r="A168" s="384"/>
      <c r="B168" s="156"/>
      <c r="C168" s="137"/>
      <c r="D168" s="137"/>
      <c r="E168" s="137"/>
      <c r="F168" s="137"/>
      <c r="G168" s="136"/>
      <c r="H168" s="137"/>
      <c r="I168" s="137"/>
      <c r="J168" s="138"/>
      <c r="K168" s="137"/>
      <c r="L168" s="137"/>
      <c r="M168" s="139"/>
      <c r="N168" s="137"/>
      <c r="O168" s="137"/>
      <c r="P168" s="139"/>
      <c r="Q168" s="137"/>
      <c r="R168" s="137"/>
      <c r="S168" s="137"/>
      <c r="T168" s="137"/>
      <c r="U168" s="137"/>
      <c r="V168" s="150"/>
      <c r="W168" s="26"/>
    </row>
    <row r="169" spans="1:23" ht="20" customHeight="1">
      <c r="A169" s="384"/>
      <c r="B169" s="156"/>
      <c r="C169" s="137"/>
      <c r="D169" s="137"/>
      <c r="E169" s="137"/>
      <c r="F169" s="137"/>
      <c r="G169" s="136"/>
      <c r="H169" s="137"/>
      <c r="I169" s="137"/>
      <c r="J169" s="138"/>
      <c r="K169" s="137"/>
      <c r="L169" s="137"/>
      <c r="M169" s="139"/>
      <c r="N169" s="137"/>
      <c r="O169" s="137"/>
      <c r="P169" s="139"/>
      <c r="Q169" s="137"/>
      <c r="R169" s="137"/>
      <c r="S169" s="137"/>
      <c r="T169" s="137"/>
      <c r="U169" s="137"/>
      <c r="V169" s="150"/>
      <c r="W169" s="26"/>
    </row>
    <row r="170" spans="1:23" ht="20" customHeight="1" thickBot="1">
      <c r="A170" s="385"/>
      <c r="B170" s="157"/>
      <c r="C170" s="151"/>
      <c r="D170" s="151"/>
      <c r="E170" s="151"/>
      <c r="F170" s="151"/>
      <c r="G170" s="152"/>
      <c r="H170" s="151"/>
      <c r="I170" s="151"/>
      <c r="J170" s="153"/>
      <c r="K170" s="151"/>
      <c r="L170" s="151"/>
      <c r="M170" s="154"/>
      <c r="N170" s="151"/>
      <c r="O170" s="151"/>
      <c r="P170" s="154"/>
      <c r="Q170" s="151"/>
      <c r="R170" s="151"/>
      <c r="S170" s="151"/>
      <c r="T170" s="151"/>
      <c r="U170" s="151"/>
      <c r="V170" s="155"/>
      <c r="W170" s="26"/>
    </row>
    <row r="171" spans="1:23" ht="20" customHeight="1">
      <c r="A171" s="383" t="str">
        <f>'Read Me First'!C19</f>
        <v>Great Milton AC</v>
      </c>
      <c r="B171" s="144" t="str" cm="1">
        <f t="array" ref="B171">_xlfn.LET(_xlpm.x, _xlfn._xlws.SORT(_xlfn._xlws.FILTER(Data!$A$54:$U$341,(Data!$C$54:$C$341=$A171)*(Data!$D$54:$D$341=$E$4)*(Data!$E$54:$E$341="U10")),18),_xlpm.y,_xlfn._xlws.SORT(_xlfn._xlws.FILTER(Data!$A$54:$U$341,(Data!$C$54:$C$341=$A171)*(Data!$D$54:$D$341=$E$4)*(Data!$E$54:$E$341="U12")),19), IFERROR(_xlfn.VSTACK(_xlpm.x,_xlpm.y), IFERROR(_xlpm.y,IFERROR(_xlpm.x, ""))))</f>
        <v/>
      </c>
      <c r="C171" s="145"/>
      <c r="D171" s="145"/>
      <c r="E171" s="145"/>
      <c r="F171" s="145"/>
      <c r="G171" s="146"/>
      <c r="H171" s="145"/>
      <c r="I171" s="145"/>
      <c r="J171" s="147"/>
      <c r="K171" s="145"/>
      <c r="L171" s="145"/>
      <c r="M171" s="148"/>
      <c r="N171" s="145"/>
      <c r="O171" s="145"/>
      <c r="P171" s="148"/>
      <c r="Q171" s="145"/>
      <c r="R171" s="145"/>
      <c r="S171" s="145"/>
      <c r="T171" s="145"/>
      <c r="U171" s="145"/>
      <c r="V171" s="149"/>
      <c r="W171" s="26"/>
    </row>
    <row r="172" spans="1:23" ht="20" customHeight="1">
      <c r="A172" s="384"/>
      <c r="B172" s="156"/>
      <c r="C172" s="137"/>
      <c r="D172" s="137"/>
      <c r="E172" s="137"/>
      <c r="F172" s="137"/>
      <c r="G172" s="136"/>
      <c r="H172" s="137"/>
      <c r="I172" s="137"/>
      <c r="J172" s="138"/>
      <c r="K172" s="137"/>
      <c r="L172" s="137"/>
      <c r="M172" s="139"/>
      <c r="N172" s="137"/>
      <c r="O172" s="137"/>
      <c r="P172" s="139"/>
      <c r="Q172" s="137"/>
      <c r="R172" s="137"/>
      <c r="S172" s="137"/>
      <c r="T172" s="137"/>
      <c r="U172" s="137"/>
      <c r="V172" s="150"/>
      <c r="W172" s="26"/>
    </row>
    <row r="173" spans="1:23" ht="20" customHeight="1">
      <c r="A173" s="384"/>
      <c r="B173" s="156"/>
      <c r="C173" s="137"/>
      <c r="D173" s="137"/>
      <c r="E173" s="137"/>
      <c r="F173" s="137"/>
      <c r="G173" s="136"/>
      <c r="H173" s="137"/>
      <c r="I173" s="137"/>
      <c r="J173" s="138"/>
      <c r="K173" s="137"/>
      <c r="L173" s="137"/>
      <c r="M173" s="139"/>
      <c r="N173" s="137"/>
      <c r="O173" s="137"/>
      <c r="P173" s="139"/>
      <c r="Q173" s="137"/>
      <c r="R173" s="137"/>
      <c r="S173" s="137"/>
      <c r="T173" s="137"/>
      <c r="U173" s="137"/>
      <c r="V173" s="150"/>
      <c r="W173" s="26"/>
    </row>
    <row r="174" spans="1:23" ht="20" customHeight="1">
      <c r="A174" s="384"/>
      <c r="B174" s="156"/>
      <c r="C174" s="137"/>
      <c r="D174" s="137"/>
      <c r="E174" s="137"/>
      <c r="F174" s="137"/>
      <c r="G174" s="136"/>
      <c r="H174" s="137"/>
      <c r="I174" s="137"/>
      <c r="J174" s="138"/>
      <c r="K174" s="137"/>
      <c r="L174" s="137"/>
      <c r="M174" s="139"/>
      <c r="N174" s="137"/>
      <c r="O174" s="137"/>
      <c r="P174" s="139"/>
      <c r="Q174" s="137"/>
      <c r="R174" s="137"/>
      <c r="S174" s="137"/>
      <c r="T174" s="137"/>
      <c r="U174" s="137"/>
      <c r="V174" s="150"/>
      <c r="W174" s="26"/>
    </row>
    <row r="175" spans="1:23" ht="20" customHeight="1">
      <c r="A175" s="384"/>
      <c r="B175" s="156"/>
      <c r="C175" s="137"/>
      <c r="D175" s="137"/>
      <c r="E175" s="137"/>
      <c r="F175" s="137"/>
      <c r="G175" s="136"/>
      <c r="H175" s="137"/>
      <c r="I175" s="137"/>
      <c r="J175" s="138"/>
      <c r="K175" s="137"/>
      <c r="L175" s="137"/>
      <c r="M175" s="139"/>
      <c r="N175" s="137"/>
      <c r="O175" s="137"/>
      <c r="P175" s="139"/>
      <c r="Q175" s="137"/>
      <c r="R175" s="137"/>
      <c r="S175" s="137"/>
      <c r="T175" s="137"/>
      <c r="U175" s="137"/>
      <c r="V175" s="150"/>
      <c r="W175" s="26"/>
    </row>
    <row r="176" spans="1:23" ht="20" customHeight="1">
      <c r="A176" s="384"/>
      <c r="B176" s="156"/>
      <c r="C176" s="137"/>
      <c r="D176" s="137"/>
      <c r="E176" s="137"/>
      <c r="F176" s="137"/>
      <c r="G176" s="136"/>
      <c r="H176" s="137"/>
      <c r="I176" s="137"/>
      <c r="J176" s="138"/>
      <c r="K176" s="137"/>
      <c r="L176" s="137"/>
      <c r="M176" s="139"/>
      <c r="N176" s="137"/>
      <c r="O176" s="137"/>
      <c r="P176" s="139"/>
      <c r="Q176" s="137"/>
      <c r="R176" s="137"/>
      <c r="S176" s="137"/>
      <c r="T176" s="137"/>
      <c r="U176" s="137"/>
      <c r="V176" s="150"/>
      <c r="W176" s="26"/>
    </row>
    <row r="177" spans="1:23" ht="20" customHeight="1">
      <c r="A177" s="384"/>
      <c r="B177" s="156"/>
      <c r="C177" s="137"/>
      <c r="D177" s="137"/>
      <c r="E177" s="137"/>
      <c r="F177" s="137"/>
      <c r="G177" s="136"/>
      <c r="H177" s="137"/>
      <c r="I177" s="137"/>
      <c r="J177" s="138"/>
      <c r="K177" s="137"/>
      <c r="L177" s="137"/>
      <c r="M177" s="139"/>
      <c r="N177" s="137"/>
      <c r="O177" s="137"/>
      <c r="P177" s="139"/>
      <c r="Q177" s="137"/>
      <c r="R177" s="137"/>
      <c r="S177" s="137"/>
      <c r="T177" s="137"/>
      <c r="U177" s="137"/>
      <c r="V177" s="150"/>
      <c r="W177" s="26"/>
    </row>
    <row r="178" spans="1:23" ht="20" customHeight="1">
      <c r="A178" s="384"/>
      <c r="B178" s="156"/>
      <c r="C178" s="137"/>
      <c r="D178" s="137"/>
      <c r="E178" s="137"/>
      <c r="F178" s="137"/>
      <c r="G178" s="136"/>
      <c r="H178" s="137"/>
      <c r="I178" s="137"/>
      <c r="J178" s="138"/>
      <c r="K178" s="137"/>
      <c r="L178" s="137"/>
      <c r="M178" s="139"/>
      <c r="N178" s="137"/>
      <c r="O178" s="137"/>
      <c r="P178" s="139"/>
      <c r="Q178" s="137"/>
      <c r="R178" s="137"/>
      <c r="S178" s="137"/>
      <c r="T178" s="137"/>
      <c r="U178" s="137"/>
      <c r="V178" s="150"/>
      <c r="W178" s="56"/>
    </row>
    <row r="179" spans="1:23" ht="20" customHeight="1">
      <c r="A179" s="384"/>
      <c r="B179" s="156"/>
      <c r="C179" s="137"/>
      <c r="D179" s="137"/>
      <c r="E179" s="137"/>
      <c r="F179" s="137"/>
      <c r="G179" s="136"/>
      <c r="H179" s="137"/>
      <c r="I179" s="137"/>
      <c r="J179" s="138"/>
      <c r="K179" s="137"/>
      <c r="L179" s="137"/>
      <c r="M179" s="139"/>
      <c r="N179" s="137"/>
      <c r="O179" s="137"/>
      <c r="P179" s="139"/>
      <c r="Q179" s="137"/>
      <c r="R179" s="137"/>
      <c r="S179" s="137"/>
      <c r="T179" s="137"/>
      <c r="U179" s="137"/>
      <c r="V179" s="150"/>
      <c r="W179" s="26"/>
    </row>
    <row r="180" spans="1:23" ht="20" customHeight="1">
      <c r="A180" s="384"/>
      <c r="B180" s="156"/>
      <c r="C180" s="137"/>
      <c r="D180" s="137"/>
      <c r="E180" s="137"/>
      <c r="F180" s="137"/>
      <c r="G180" s="136"/>
      <c r="H180" s="137"/>
      <c r="I180" s="137"/>
      <c r="J180" s="138"/>
      <c r="K180" s="137"/>
      <c r="L180" s="137"/>
      <c r="M180" s="139"/>
      <c r="N180" s="137"/>
      <c r="O180" s="137"/>
      <c r="P180" s="139"/>
      <c r="Q180" s="137"/>
      <c r="R180" s="137"/>
      <c r="S180" s="137"/>
      <c r="T180" s="137"/>
      <c r="U180" s="137"/>
      <c r="V180" s="150"/>
      <c r="W180" s="26"/>
    </row>
    <row r="181" spans="1:23" ht="20" customHeight="1">
      <c r="A181" s="384"/>
      <c r="B181" s="156"/>
      <c r="C181" s="137"/>
      <c r="D181" s="137"/>
      <c r="E181" s="137"/>
      <c r="F181" s="137"/>
      <c r="G181" s="136"/>
      <c r="H181" s="137"/>
      <c r="I181" s="137"/>
      <c r="J181" s="138"/>
      <c r="K181" s="137"/>
      <c r="L181" s="137"/>
      <c r="M181" s="139"/>
      <c r="N181" s="137"/>
      <c r="O181" s="137"/>
      <c r="P181" s="139"/>
      <c r="Q181" s="137"/>
      <c r="R181" s="137"/>
      <c r="S181" s="137"/>
      <c r="T181" s="137"/>
      <c r="U181" s="137"/>
      <c r="V181" s="150"/>
      <c r="W181" s="26"/>
    </row>
    <row r="182" spans="1:23" ht="20" customHeight="1">
      <c r="A182" s="384"/>
      <c r="B182" s="156"/>
      <c r="C182" s="137"/>
      <c r="D182" s="137"/>
      <c r="E182" s="137"/>
      <c r="F182" s="137"/>
      <c r="G182" s="136"/>
      <c r="H182" s="137"/>
      <c r="I182" s="137"/>
      <c r="J182" s="138"/>
      <c r="K182" s="137"/>
      <c r="L182" s="137"/>
      <c r="M182" s="139"/>
      <c r="N182" s="137"/>
      <c r="O182" s="137"/>
      <c r="P182" s="139"/>
      <c r="Q182" s="137"/>
      <c r="R182" s="137"/>
      <c r="S182" s="137"/>
      <c r="T182" s="137"/>
      <c r="U182" s="137"/>
      <c r="V182" s="150"/>
      <c r="W182" s="26"/>
    </row>
    <row r="183" spans="1:23" ht="20" customHeight="1">
      <c r="A183" s="384"/>
      <c r="B183" s="156"/>
      <c r="C183" s="137"/>
      <c r="D183" s="137"/>
      <c r="E183" s="137"/>
      <c r="F183" s="137"/>
      <c r="G183" s="136"/>
      <c r="H183" s="137"/>
      <c r="I183" s="137"/>
      <c r="J183" s="138"/>
      <c r="K183" s="137"/>
      <c r="L183" s="137"/>
      <c r="M183" s="139"/>
      <c r="N183" s="137"/>
      <c r="O183" s="137"/>
      <c r="P183" s="139"/>
      <c r="Q183" s="137"/>
      <c r="R183" s="137"/>
      <c r="S183" s="137"/>
      <c r="T183" s="137"/>
      <c r="U183" s="137"/>
      <c r="V183" s="150"/>
      <c r="W183" s="26"/>
    </row>
    <row r="184" spans="1:23" ht="20" customHeight="1">
      <c r="A184" s="384"/>
      <c r="B184" s="156"/>
      <c r="C184" s="137"/>
      <c r="D184" s="137"/>
      <c r="E184" s="137"/>
      <c r="F184" s="137"/>
      <c r="G184" s="136"/>
      <c r="H184" s="137"/>
      <c r="I184" s="137"/>
      <c r="J184" s="138"/>
      <c r="K184" s="137"/>
      <c r="L184" s="137"/>
      <c r="M184" s="139"/>
      <c r="N184" s="137"/>
      <c r="O184" s="137"/>
      <c r="P184" s="139"/>
      <c r="Q184" s="137"/>
      <c r="R184" s="137"/>
      <c r="S184" s="137"/>
      <c r="T184" s="137"/>
      <c r="U184" s="137"/>
      <c r="V184" s="150"/>
      <c r="W184" s="26"/>
    </row>
    <row r="185" spans="1:23" ht="20" customHeight="1">
      <c r="A185" s="384"/>
      <c r="B185" s="156"/>
      <c r="C185" s="137"/>
      <c r="D185" s="137"/>
      <c r="E185" s="137"/>
      <c r="F185" s="137"/>
      <c r="G185" s="136"/>
      <c r="H185" s="137"/>
      <c r="I185" s="137"/>
      <c r="J185" s="138"/>
      <c r="K185" s="137"/>
      <c r="L185" s="137"/>
      <c r="M185" s="139"/>
      <c r="N185" s="137"/>
      <c r="O185" s="137"/>
      <c r="P185" s="139"/>
      <c r="Q185" s="137"/>
      <c r="R185" s="137"/>
      <c r="S185" s="137"/>
      <c r="T185" s="137"/>
      <c r="U185" s="137"/>
      <c r="V185" s="150"/>
      <c r="W185" s="26"/>
    </row>
    <row r="186" spans="1:23" ht="20" customHeight="1">
      <c r="A186" s="384"/>
      <c r="B186" s="156"/>
      <c r="C186" s="137"/>
      <c r="D186" s="137"/>
      <c r="E186" s="137"/>
      <c r="F186" s="137"/>
      <c r="G186" s="136"/>
      <c r="H186" s="137"/>
      <c r="I186" s="137"/>
      <c r="J186" s="138"/>
      <c r="K186" s="137"/>
      <c r="L186" s="137"/>
      <c r="M186" s="139"/>
      <c r="N186" s="137"/>
      <c r="O186" s="137"/>
      <c r="P186" s="139"/>
      <c r="Q186" s="137"/>
      <c r="R186" s="137"/>
      <c r="S186" s="137"/>
      <c r="T186" s="137"/>
      <c r="U186" s="137"/>
      <c r="V186" s="150"/>
      <c r="W186" s="26"/>
    </row>
    <row r="187" spans="1:23" ht="20" customHeight="1">
      <c r="A187" s="384"/>
      <c r="B187" s="156"/>
      <c r="C187" s="137"/>
      <c r="D187" s="137"/>
      <c r="E187" s="137"/>
      <c r="F187" s="137"/>
      <c r="G187" s="136"/>
      <c r="H187" s="137"/>
      <c r="I187" s="137"/>
      <c r="J187" s="138"/>
      <c r="K187" s="137"/>
      <c r="L187" s="137"/>
      <c r="M187" s="139"/>
      <c r="N187" s="137"/>
      <c r="O187" s="137"/>
      <c r="P187" s="139"/>
      <c r="Q187" s="137"/>
      <c r="R187" s="137"/>
      <c r="S187" s="137"/>
      <c r="T187" s="137"/>
      <c r="U187" s="137"/>
      <c r="V187" s="150"/>
      <c r="W187" s="26"/>
    </row>
    <row r="188" spans="1:23" ht="20" customHeight="1">
      <c r="A188" s="384"/>
      <c r="B188" s="156"/>
      <c r="C188" s="137"/>
      <c r="D188" s="137"/>
      <c r="E188" s="137"/>
      <c r="F188" s="137"/>
      <c r="G188" s="136"/>
      <c r="H188" s="137"/>
      <c r="I188" s="137"/>
      <c r="J188" s="138"/>
      <c r="K188" s="137"/>
      <c r="L188" s="137"/>
      <c r="M188" s="139"/>
      <c r="N188" s="137"/>
      <c r="O188" s="137"/>
      <c r="P188" s="139"/>
      <c r="Q188" s="137"/>
      <c r="R188" s="137"/>
      <c r="S188" s="137"/>
      <c r="T188" s="137"/>
      <c r="U188" s="137"/>
      <c r="V188" s="150"/>
      <c r="W188" s="26"/>
    </row>
    <row r="189" spans="1:23" ht="20" customHeight="1">
      <c r="A189" s="384"/>
      <c r="B189" s="156"/>
      <c r="C189" s="137"/>
      <c r="D189" s="137"/>
      <c r="E189" s="137"/>
      <c r="F189" s="137"/>
      <c r="G189" s="136"/>
      <c r="H189" s="137"/>
      <c r="I189" s="137"/>
      <c r="J189" s="138"/>
      <c r="K189" s="137"/>
      <c r="L189" s="137"/>
      <c r="M189" s="139"/>
      <c r="N189" s="137"/>
      <c r="O189" s="137"/>
      <c r="P189" s="139"/>
      <c r="Q189" s="137"/>
      <c r="R189" s="137"/>
      <c r="S189" s="137"/>
      <c r="T189" s="137"/>
      <c r="U189" s="137"/>
      <c r="V189" s="150"/>
      <c r="W189" s="26"/>
    </row>
    <row r="190" spans="1:23" ht="20" customHeight="1" thickBot="1">
      <c r="A190" s="385"/>
      <c r="B190" s="157"/>
      <c r="C190" s="151"/>
      <c r="D190" s="151"/>
      <c r="E190" s="151"/>
      <c r="F190" s="151"/>
      <c r="G190" s="152"/>
      <c r="H190" s="151"/>
      <c r="I190" s="151"/>
      <c r="J190" s="153"/>
      <c r="K190" s="151"/>
      <c r="L190" s="151"/>
      <c r="M190" s="154"/>
      <c r="N190" s="151"/>
      <c r="O190" s="151"/>
      <c r="P190" s="154"/>
      <c r="Q190" s="151"/>
      <c r="R190" s="151"/>
      <c r="S190" s="151"/>
      <c r="T190" s="151"/>
      <c r="U190" s="151"/>
      <c r="V190" s="155"/>
      <c r="W190" s="26"/>
    </row>
    <row r="191" spans="1:23" ht="18" customHeight="1">
      <c r="B191" s="26"/>
      <c r="C191" s="42"/>
      <c r="D191" s="42"/>
      <c r="E191" s="42"/>
      <c r="F191" s="42"/>
      <c r="G191" s="43"/>
      <c r="H191" s="26"/>
      <c r="I191" s="26"/>
      <c r="J191" s="43"/>
      <c r="K191" s="26"/>
      <c r="L191" s="26"/>
      <c r="M191" s="44"/>
      <c r="N191" s="26"/>
      <c r="O191" s="26"/>
      <c r="P191" s="43"/>
      <c r="Q191" s="26"/>
      <c r="R191" s="26"/>
      <c r="S191" s="26"/>
      <c r="T191" s="26"/>
      <c r="U191" s="26"/>
      <c r="V191" s="26"/>
      <c r="W191" s="26"/>
    </row>
    <row r="192" spans="1:23" ht="18" customHeight="1">
      <c r="B192" s="26"/>
      <c r="C192" s="42"/>
      <c r="D192" s="42"/>
      <c r="E192" s="42"/>
      <c r="F192" s="42"/>
      <c r="G192" s="43"/>
      <c r="H192" s="26"/>
      <c r="I192" s="26"/>
      <c r="J192" s="43"/>
      <c r="K192" s="26"/>
      <c r="L192" s="26"/>
      <c r="M192" s="44"/>
      <c r="N192" s="26"/>
      <c r="O192" s="26"/>
      <c r="P192" s="43"/>
      <c r="Q192" s="26"/>
      <c r="R192" s="26"/>
      <c r="S192" s="26"/>
      <c r="T192" s="26"/>
      <c r="U192" s="26"/>
      <c r="V192" s="26"/>
      <c r="W192" s="26"/>
    </row>
    <row r="193" spans="1:23" ht="18" customHeight="1">
      <c r="B193" s="26"/>
      <c r="C193" s="42"/>
      <c r="D193" s="42"/>
      <c r="E193" s="42"/>
      <c r="F193" s="42"/>
      <c r="G193" s="43"/>
      <c r="H193" s="26"/>
      <c r="I193" s="26"/>
      <c r="J193" s="43"/>
      <c r="K193" s="26"/>
      <c r="L193" s="26"/>
      <c r="M193" s="44"/>
      <c r="N193" s="26"/>
      <c r="O193" s="26"/>
      <c r="P193" s="43"/>
      <c r="Q193" s="26"/>
      <c r="R193" s="26"/>
      <c r="S193" s="26"/>
      <c r="T193" s="26"/>
      <c r="U193" s="26"/>
      <c r="V193" s="26"/>
      <c r="W193" s="26"/>
    </row>
    <row r="194" spans="1:23" ht="18" customHeight="1">
      <c r="A194" s="42"/>
      <c r="B194" s="42"/>
      <c r="C194" s="42"/>
      <c r="D194" s="42"/>
      <c r="E194" s="42"/>
      <c r="F194" s="42"/>
      <c r="G194" s="43"/>
      <c r="H194" s="26"/>
      <c r="I194" s="26"/>
      <c r="J194" s="43"/>
      <c r="K194" s="26"/>
      <c r="L194" s="26"/>
      <c r="M194" s="44"/>
      <c r="N194" s="26"/>
      <c r="O194" s="26"/>
      <c r="P194" s="43"/>
      <c r="Q194" s="26"/>
      <c r="R194" s="26"/>
      <c r="S194" s="26"/>
      <c r="T194" s="26"/>
      <c r="U194" s="26"/>
      <c r="V194" s="26"/>
      <c r="W194" s="26"/>
    </row>
    <row r="195" spans="1:23" ht="18" customHeight="1">
      <c r="W195" s="26"/>
    </row>
    <row r="196" spans="1:23" ht="20" customHeight="1">
      <c r="A196" s="386"/>
      <c r="B196" s="386" t="s">
        <v>16</v>
      </c>
      <c r="C196" s="388" t="s">
        <v>91</v>
      </c>
      <c r="D196" s="388" t="s">
        <v>21</v>
      </c>
      <c r="E196" s="388" t="s">
        <v>14</v>
      </c>
      <c r="F196" s="393" t="s">
        <v>155</v>
      </c>
      <c r="G196" s="395" t="s">
        <v>2</v>
      </c>
      <c r="H196" s="396"/>
      <c r="I196" s="397"/>
      <c r="J196" s="395" t="s">
        <v>3</v>
      </c>
      <c r="K196" s="396"/>
      <c r="L196" s="397"/>
      <c r="M196" s="395" t="s">
        <v>26</v>
      </c>
      <c r="N196" s="396"/>
      <c r="O196" s="397"/>
      <c r="P196" s="398" t="s">
        <v>27</v>
      </c>
      <c r="Q196" s="399"/>
      <c r="R196" s="80" t="s">
        <v>1</v>
      </c>
      <c r="S196" s="390" t="s">
        <v>97</v>
      </c>
      <c r="T196" s="391"/>
      <c r="U196" s="390" t="s">
        <v>98</v>
      </c>
      <c r="V196" s="391"/>
      <c r="W196" s="26"/>
    </row>
    <row r="197" spans="1:23" ht="20" customHeight="1" thickBot="1">
      <c r="A197" s="387"/>
      <c r="B197" s="387"/>
      <c r="C197" s="389"/>
      <c r="D197" s="389"/>
      <c r="E197" s="389"/>
      <c r="F197" s="394"/>
      <c r="G197" s="141" t="s">
        <v>17</v>
      </c>
      <c r="H197" s="142" t="s">
        <v>1</v>
      </c>
      <c r="I197" s="142" t="s">
        <v>187</v>
      </c>
      <c r="J197" s="143" t="s">
        <v>17</v>
      </c>
      <c r="K197" s="142" t="s">
        <v>1</v>
      </c>
      <c r="L197" s="142" t="s">
        <v>187</v>
      </c>
      <c r="M197" s="141" t="s">
        <v>18</v>
      </c>
      <c r="N197" s="142" t="s">
        <v>1</v>
      </c>
      <c r="O197" s="142" t="s">
        <v>187</v>
      </c>
      <c r="P197" s="141" t="s">
        <v>18</v>
      </c>
      <c r="Q197" s="142" t="s">
        <v>1</v>
      </c>
      <c r="R197" s="135" t="s">
        <v>71</v>
      </c>
      <c r="S197" s="135" t="s">
        <v>150</v>
      </c>
      <c r="T197" s="135" t="s">
        <v>145</v>
      </c>
      <c r="U197" s="135" t="s">
        <v>150</v>
      </c>
      <c r="V197" s="135" t="s">
        <v>145</v>
      </c>
      <c r="W197" s="26"/>
    </row>
    <row r="198" spans="1:23" ht="20" customHeight="1">
      <c r="A198" s="379" t="str">
        <f>'Read Me First'!C11</f>
        <v>Abingdon AC</v>
      </c>
      <c r="B198" s="144" t="str" cm="1">
        <f t="array" ref="B198">_xlfn.LET(_xlpm.x, _xlfn._xlws.SORT(_xlfn._xlws.FILTER(Data!$A$54:$U$341,(Data!$C$54:$C$341=$A198)*(Data!$D$54:$D$341=$E$196)*(Data!$E$54:$E$341="U10")),18),_xlpm.y,_xlfn._xlws.SORT(_xlfn._xlws.FILTER(Data!$A$54:$U$341,(Data!$C$54:$C$341=$A198)*(Data!$D$54:$D$341=$E$196)*(Data!$E$54:$E$341="U12")),19), IFERROR(_xlfn.VSTACK(_xlpm.x,_xlpm.y), IFERROR(_xlpm.y,IFERROR(_xlpm.x, ""))))</f>
        <v/>
      </c>
      <c r="C198" s="145"/>
      <c r="D198" s="145"/>
      <c r="E198" s="145"/>
      <c r="F198" s="145"/>
      <c r="G198" s="146"/>
      <c r="H198" s="145"/>
      <c r="I198" s="145"/>
      <c r="J198" s="147"/>
      <c r="K198" s="145"/>
      <c r="L198" s="145"/>
      <c r="M198" s="148"/>
      <c r="N198" s="145"/>
      <c r="O198" s="145"/>
      <c r="P198" s="148"/>
      <c r="Q198" s="145"/>
      <c r="R198" s="145"/>
      <c r="S198" s="145"/>
      <c r="T198" s="145"/>
      <c r="U198" s="145"/>
      <c r="V198" s="149"/>
      <c r="W198" s="26"/>
    </row>
    <row r="199" spans="1:23" ht="20" customHeight="1">
      <c r="A199" s="380"/>
      <c r="B199" s="156"/>
      <c r="C199" s="137"/>
      <c r="D199" s="137"/>
      <c r="E199" s="137"/>
      <c r="F199" s="137"/>
      <c r="G199" s="136"/>
      <c r="H199" s="137"/>
      <c r="I199" s="137"/>
      <c r="J199" s="138"/>
      <c r="K199" s="137"/>
      <c r="L199" s="137"/>
      <c r="M199" s="139"/>
      <c r="N199" s="137"/>
      <c r="O199" s="137"/>
      <c r="P199" s="139"/>
      <c r="Q199" s="137"/>
      <c r="R199" s="137"/>
      <c r="S199" s="137"/>
      <c r="T199" s="137"/>
      <c r="U199" s="137"/>
      <c r="V199" s="150"/>
    </row>
    <row r="200" spans="1:23" ht="20" customHeight="1">
      <c r="A200" s="380"/>
      <c r="B200" s="156"/>
      <c r="C200" s="137"/>
      <c r="D200" s="137"/>
      <c r="E200" s="137"/>
      <c r="F200" s="137"/>
      <c r="G200" s="136"/>
      <c r="H200" s="137"/>
      <c r="I200" s="137"/>
      <c r="J200" s="138"/>
      <c r="K200" s="137"/>
      <c r="L200" s="137"/>
      <c r="M200" s="139"/>
      <c r="N200" s="137"/>
      <c r="O200" s="137"/>
      <c r="P200" s="139"/>
      <c r="Q200" s="137"/>
      <c r="R200" s="137"/>
      <c r="S200" s="137"/>
      <c r="T200" s="137"/>
      <c r="U200" s="137"/>
      <c r="V200" s="150"/>
      <c r="W200" s="20"/>
    </row>
    <row r="201" spans="1:23" ht="20" customHeight="1">
      <c r="A201" s="380"/>
      <c r="B201" s="156"/>
      <c r="C201" s="137"/>
      <c r="D201" s="137"/>
      <c r="E201" s="137"/>
      <c r="F201" s="137"/>
      <c r="G201" s="136"/>
      <c r="H201" s="137"/>
      <c r="I201" s="137"/>
      <c r="J201" s="138"/>
      <c r="K201" s="137"/>
      <c r="L201" s="137"/>
      <c r="M201" s="139"/>
      <c r="N201" s="137"/>
      <c r="O201" s="137"/>
      <c r="P201" s="139"/>
      <c r="Q201" s="137"/>
      <c r="R201" s="137"/>
      <c r="S201" s="137"/>
      <c r="T201" s="137"/>
      <c r="U201" s="137"/>
      <c r="V201" s="150"/>
      <c r="W201" s="26"/>
    </row>
    <row r="202" spans="1:23" ht="20" customHeight="1">
      <c r="A202" s="380"/>
      <c r="B202" s="156"/>
      <c r="C202" s="137"/>
      <c r="D202" s="137"/>
      <c r="E202" s="137"/>
      <c r="F202" s="137"/>
      <c r="G202" s="136"/>
      <c r="H202" s="137"/>
      <c r="I202" s="137"/>
      <c r="J202" s="138"/>
      <c r="K202" s="137"/>
      <c r="L202" s="137"/>
      <c r="M202" s="139"/>
      <c r="N202" s="137"/>
      <c r="O202" s="137"/>
      <c r="P202" s="139"/>
      <c r="Q202" s="137"/>
      <c r="R202" s="137"/>
      <c r="S202" s="137"/>
      <c r="T202" s="137"/>
      <c r="U202" s="137"/>
      <c r="V202" s="150"/>
      <c r="W202" s="26"/>
    </row>
    <row r="203" spans="1:23" ht="20" customHeight="1">
      <c r="A203" s="380"/>
      <c r="B203" s="156"/>
      <c r="C203" s="137"/>
      <c r="D203" s="137"/>
      <c r="E203" s="137"/>
      <c r="F203" s="137"/>
      <c r="G203" s="136"/>
      <c r="H203" s="137"/>
      <c r="I203" s="137"/>
      <c r="J203" s="138"/>
      <c r="K203" s="137"/>
      <c r="L203" s="137"/>
      <c r="M203" s="139"/>
      <c r="N203" s="137"/>
      <c r="O203" s="137"/>
      <c r="P203" s="139"/>
      <c r="Q203" s="137"/>
      <c r="R203" s="137"/>
      <c r="S203" s="137"/>
      <c r="T203" s="137"/>
      <c r="U203" s="137"/>
      <c r="V203" s="150"/>
      <c r="W203" s="26"/>
    </row>
    <row r="204" spans="1:23" ht="20" customHeight="1">
      <c r="A204" s="380"/>
      <c r="B204" s="156"/>
      <c r="C204" s="137"/>
      <c r="D204" s="137"/>
      <c r="E204" s="137"/>
      <c r="F204" s="137"/>
      <c r="G204" s="136"/>
      <c r="H204" s="137"/>
      <c r="I204" s="137"/>
      <c r="J204" s="138"/>
      <c r="K204" s="137"/>
      <c r="L204" s="137"/>
      <c r="M204" s="139"/>
      <c r="N204" s="137"/>
      <c r="O204" s="137"/>
      <c r="P204" s="139"/>
      <c r="Q204" s="137"/>
      <c r="R204" s="137"/>
      <c r="S204" s="137"/>
      <c r="T204" s="137"/>
      <c r="U204" s="137"/>
      <c r="V204" s="150"/>
      <c r="W204" s="26"/>
    </row>
    <row r="205" spans="1:23" ht="20" customHeight="1">
      <c r="A205" s="380"/>
      <c r="B205" s="156"/>
      <c r="C205" s="137"/>
      <c r="D205" s="137"/>
      <c r="E205" s="137"/>
      <c r="F205" s="137"/>
      <c r="G205" s="136"/>
      <c r="H205" s="137"/>
      <c r="I205" s="137"/>
      <c r="J205" s="138"/>
      <c r="K205" s="137"/>
      <c r="L205" s="137"/>
      <c r="M205" s="139"/>
      <c r="N205" s="137"/>
      <c r="O205" s="137"/>
      <c r="P205" s="139"/>
      <c r="Q205" s="137"/>
      <c r="R205" s="137"/>
      <c r="S205" s="137"/>
      <c r="T205" s="137"/>
      <c r="U205" s="137"/>
      <c r="V205" s="150"/>
      <c r="W205" s="26"/>
    </row>
    <row r="206" spans="1:23" ht="20" customHeight="1">
      <c r="A206" s="380"/>
      <c r="B206" s="156"/>
      <c r="C206" s="137"/>
      <c r="D206" s="137"/>
      <c r="E206" s="137"/>
      <c r="F206" s="137"/>
      <c r="G206" s="136"/>
      <c r="H206" s="137"/>
      <c r="I206" s="137"/>
      <c r="J206" s="138"/>
      <c r="K206" s="137"/>
      <c r="L206" s="137"/>
      <c r="M206" s="139"/>
      <c r="N206" s="137"/>
      <c r="O206" s="137"/>
      <c r="P206" s="139"/>
      <c r="Q206" s="137"/>
      <c r="R206" s="137"/>
      <c r="S206" s="137"/>
      <c r="T206" s="137"/>
      <c r="U206" s="137"/>
      <c r="V206" s="150"/>
      <c r="W206" s="26"/>
    </row>
    <row r="207" spans="1:23" ht="20" customHeight="1">
      <c r="A207" s="380"/>
      <c r="B207" s="156"/>
      <c r="C207" s="137"/>
      <c r="D207" s="137"/>
      <c r="E207" s="137"/>
      <c r="F207" s="137"/>
      <c r="G207" s="136"/>
      <c r="H207" s="137"/>
      <c r="I207" s="137"/>
      <c r="J207" s="138"/>
      <c r="K207" s="137"/>
      <c r="L207" s="137"/>
      <c r="M207" s="139"/>
      <c r="N207" s="137"/>
      <c r="O207" s="137"/>
      <c r="P207" s="139"/>
      <c r="Q207" s="137"/>
      <c r="R207" s="137"/>
      <c r="S207" s="137"/>
      <c r="T207" s="137"/>
      <c r="U207" s="137"/>
      <c r="V207" s="150"/>
      <c r="W207" s="26"/>
    </row>
    <row r="208" spans="1:23" ht="20" customHeight="1">
      <c r="A208" s="380"/>
      <c r="B208" s="156"/>
      <c r="C208" s="137"/>
      <c r="D208" s="137"/>
      <c r="E208" s="137"/>
      <c r="F208" s="137"/>
      <c r="G208" s="136"/>
      <c r="H208" s="137"/>
      <c r="I208" s="137"/>
      <c r="J208" s="138"/>
      <c r="K208" s="137"/>
      <c r="L208" s="137"/>
      <c r="M208" s="139"/>
      <c r="N208" s="137"/>
      <c r="O208" s="137"/>
      <c r="P208" s="139"/>
      <c r="Q208" s="137"/>
      <c r="R208" s="137"/>
      <c r="S208" s="137"/>
      <c r="T208" s="137"/>
      <c r="U208" s="137"/>
      <c r="V208" s="150"/>
      <c r="W208" s="26"/>
    </row>
    <row r="209" spans="1:23" ht="20" customHeight="1">
      <c r="A209" s="380"/>
      <c r="B209" s="156"/>
      <c r="C209" s="137"/>
      <c r="D209" s="137"/>
      <c r="E209" s="137"/>
      <c r="F209" s="137"/>
      <c r="G209" s="136"/>
      <c r="H209" s="137"/>
      <c r="I209" s="137"/>
      <c r="J209" s="138"/>
      <c r="K209" s="137"/>
      <c r="L209" s="137"/>
      <c r="M209" s="139"/>
      <c r="N209" s="137"/>
      <c r="O209" s="137"/>
      <c r="P209" s="139"/>
      <c r="Q209" s="137"/>
      <c r="R209" s="137"/>
      <c r="S209" s="137"/>
      <c r="T209" s="137"/>
      <c r="U209" s="137"/>
      <c r="V209" s="150"/>
      <c r="W209" s="26"/>
    </row>
    <row r="210" spans="1:23" ht="20" customHeight="1">
      <c r="A210" s="380"/>
      <c r="B210" s="156"/>
      <c r="C210" s="137"/>
      <c r="D210" s="137"/>
      <c r="E210" s="137"/>
      <c r="F210" s="137"/>
      <c r="G210" s="136"/>
      <c r="H210" s="137"/>
      <c r="I210" s="137"/>
      <c r="J210" s="138"/>
      <c r="K210" s="137"/>
      <c r="L210" s="137"/>
      <c r="M210" s="139"/>
      <c r="N210" s="137"/>
      <c r="O210" s="137"/>
      <c r="P210" s="139"/>
      <c r="Q210" s="137"/>
      <c r="R210" s="137"/>
      <c r="S210" s="137"/>
      <c r="T210" s="137"/>
      <c r="U210" s="137"/>
      <c r="V210" s="150"/>
      <c r="W210" s="26"/>
    </row>
    <row r="211" spans="1:23" ht="20" customHeight="1">
      <c r="A211" s="380"/>
      <c r="B211" s="156"/>
      <c r="C211" s="137"/>
      <c r="D211" s="137"/>
      <c r="E211" s="137"/>
      <c r="F211" s="137"/>
      <c r="G211" s="136"/>
      <c r="H211" s="137"/>
      <c r="I211" s="137"/>
      <c r="J211" s="138"/>
      <c r="K211" s="137"/>
      <c r="L211" s="137"/>
      <c r="M211" s="139"/>
      <c r="N211" s="137"/>
      <c r="O211" s="137"/>
      <c r="P211" s="139"/>
      <c r="Q211" s="137"/>
      <c r="R211" s="137"/>
      <c r="S211" s="137"/>
      <c r="T211" s="137"/>
      <c r="U211" s="137"/>
      <c r="V211" s="150"/>
      <c r="W211" s="26"/>
    </row>
    <row r="212" spans="1:23" ht="20" customHeight="1">
      <c r="A212" s="380"/>
      <c r="B212" s="156"/>
      <c r="C212" s="137"/>
      <c r="D212" s="137"/>
      <c r="E212" s="137"/>
      <c r="F212" s="137"/>
      <c r="G212" s="136"/>
      <c r="H212" s="137"/>
      <c r="I212" s="137"/>
      <c r="J212" s="138"/>
      <c r="K212" s="137"/>
      <c r="L212" s="137"/>
      <c r="M212" s="139"/>
      <c r="N212" s="137"/>
      <c r="O212" s="137"/>
      <c r="P212" s="139"/>
      <c r="Q212" s="137"/>
      <c r="R212" s="137"/>
      <c r="S212" s="137"/>
      <c r="T212" s="137"/>
      <c r="U212" s="137"/>
      <c r="V212" s="150"/>
      <c r="W212" s="26"/>
    </row>
    <row r="213" spans="1:23" ht="20" customHeight="1">
      <c r="A213" s="380"/>
      <c r="B213" s="156"/>
      <c r="C213" s="137"/>
      <c r="D213" s="137"/>
      <c r="E213" s="137"/>
      <c r="F213" s="137"/>
      <c r="G213" s="136"/>
      <c r="H213" s="137"/>
      <c r="I213" s="137"/>
      <c r="J213" s="138"/>
      <c r="K213" s="137"/>
      <c r="L213" s="137"/>
      <c r="M213" s="139"/>
      <c r="N213" s="137"/>
      <c r="O213" s="137"/>
      <c r="P213" s="139"/>
      <c r="Q213" s="137"/>
      <c r="R213" s="137"/>
      <c r="S213" s="137"/>
      <c r="T213" s="137"/>
      <c r="U213" s="137"/>
      <c r="V213" s="150"/>
      <c r="W213" s="26"/>
    </row>
    <row r="214" spans="1:23" ht="20" customHeight="1">
      <c r="A214" s="380"/>
      <c r="B214" s="156"/>
      <c r="C214" s="137"/>
      <c r="D214" s="137"/>
      <c r="E214" s="137"/>
      <c r="F214" s="137"/>
      <c r="G214" s="136"/>
      <c r="H214" s="137"/>
      <c r="I214" s="137"/>
      <c r="J214" s="138"/>
      <c r="K214" s="137"/>
      <c r="L214" s="137"/>
      <c r="M214" s="139"/>
      <c r="N214" s="137"/>
      <c r="O214" s="137"/>
      <c r="P214" s="139"/>
      <c r="Q214" s="137"/>
      <c r="R214" s="137"/>
      <c r="S214" s="137"/>
      <c r="T214" s="137"/>
      <c r="U214" s="137"/>
      <c r="V214" s="150"/>
      <c r="W214" s="26"/>
    </row>
    <row r="215" spans="1:23" ht="20" customHeight="1">
      <c r="A215" s="380"/>
      <c r="B215" s="156"/>
      <c r="C215" s="137"/>
      <c r="D215" s="137"/>
      <c r="E215" s="137"/>
      <c r="F215" s="137"/>
      <c r="G215" s="136"/>
      <c r="H215" s="137"/>
      <c r="I215" s="137"/>
      <c r="J215" s="138"/>
      <c r="K215" s="137"/>
      <c r="L215" s="137"/>
      <c r="M215" s="139"/>
      <c r="N215" s="137"/>
      <c r="O215" s="137"/>
      <c r="P215" s="139"/>
      <c r="Q215" s="137"/>
      <c r="R215" s="137"/>
      <c r="S215" s="137"/>
      <c r="T215" s="137"/>
      <c r="U215" s="137"/>
      <c r="V215" s="150"/>
      <c r="W215" s="26"/>
    </row>
    <row r="216" spans="1:23" ht="20" customHeight="1">
      <c r="A216" s="380"/>
      <c r="B216" s="156"/>
      <c r="C216" s="137"/>
      <c r="D216" s="137"/>
      <c r="E216" s="137"/>
      <c r="F216" s="137"/>
      <c r="G216" s="136"/>
      <c r="H216" s="137"/>
      <c r="I216" s="137"/>
      <c r="J216" s="138"/>
      <c r="K216" s="137"/>
      <c r="L216" s="137"/>
      <c r="M216" s="139"/>
      <c r="N216" s="137"/>
      <c r="O216" s="137"/>
      <c r="P216" s="139"/>
      <c r="Q216" s="137"/>
      <c r="R216" s="137"/>
      <c r="S216" s="137"/>
      <c r="T216" s="137"/>
      <c r="U216" s="137"/>
      <c r="V216" s="150"/>
      <c r="W216" s="26"/>
    </row>
    <row r="217" spans="1:23" ht="20" customHeight="1" thickBot="1">
      <c r="A217" s="381"/>
      <c r="B217" s="157"/>
      <c r="C217" s="151"/>
      <c r="D217" s="151"/>
      <c r="E217" s="151"/>
      <c r="F217" s="151"/>
      <c r="G217" s="152"/>
      <c r="H217" s="151"/>
      <c r="I217" s="151"/>
      <c r="J217" s="153"/>
      <c r="K217" s="151"/>
      <c r="L217" s="151"/>
      <c r="M217" s="154"/>
      <c r="N217" s="151"/>
      <c r="O217" s="151"/>
      <c r="P217" s="154"/>
      <c r="Q217" s="151"/>
      <c r="R217" s="151"/>
      <c r="S217" s="151"/>
      <c r="T217" s="151"/>
      <c r="U217" s="151"/>
      <c r="V217" s="155"/>
      <c r="W217" s="26"/>
    </row>
    <row r="218" spans="1:23" ht="20" customHeight="1">
      <c r="A218" s="379" t="str">
        <f>'Read Me First'!C12</f>
        <v>Banbury Harriers AC</v>
      </c>
      <c r="B218" s="144" t="str" cm="1">
        <f t="array" ref="B218">_xlfn.LET(_xlpm.x, _xlfn._xlws.SORT(_xlfn._xlws.FILTER(Data!$A$54:$U$341,(Data!$C$54:$C$341=$A218)*(Data!$D$54:$D$341=$E$196)*(Data!$E$54:$E$341="U10")),18),_xlpm.y,_xlfn._xlws.SORT(_xlfn._xlws.FILTER(Data!$A$54:$U$341,(Data!$C$54:$C$341=$A218)*(Data!$D$54:$D$341=$E$196)*(Data!$E$54:$E$341="U12")),19), IFERROR(_xlfn.VSTACK(_xlpm.x,_xlpm.y), IFERROR(_xlpm.y,IFERROR(_xlpm.x, ""))))</f>
        <v/>
      </c>
      <c r="C218" s="145"/>
      <c r="D218" s="145"/>
      <c r="E218" s="145"/>
      <c r="F218" s="145"/>
      <c r="G218" s="146"/>
      <c r="H218" s="145"/>
      <c r="I218" s="145"/>
      <c r="J218" s="147"/>
      <c r="K218" s="145"/>
      <c r="L218" s="145"/>
      <c r="M218" s="148"/>
      <c r="N218" s="145"/>
      <c r="O218" s="145"/>
      <c r="P218" s="148"/>
      <c r="Q218" s="145"/>
      <c r="R218" s="145"/>
      <c r="S218" s="145"/>
      <c r="T218" s="145"/>
      <c r="U218" s="145"/>
      <c r="V218" s="149"/>
      <c r="W218" s="26"/>
    </row>
    <row r="219" spans="1:23" ht="20" customHeight="1">
      <c r="A219" s="380"/>
      <c r="B219" s="156"/>
      <c r="C219" s="137"/>
      <c r="D219" s="137"/>
      <c r="E219" s="137"/>
      <c r="F219" s="137"/>
      <c r="G219" s="136"/>
      <c r="H219" s="137"/>
      <c r="I219" s="137"/>
      <c r="J219" s="138"/>
      <c r="K219" s="137"/>
      <c r="L219" s="137"/>
      <c r="M219" s="139"/>
      <c r="N219" s="137"/>
      <c r="O219" s="137"/>
      <c r="P219" s="139"/>
      <c r="Q219" s="137"/>
      <c r="R219" s="137"/>
      <c r="S219" s="137"/>
      <c r="T219" s="137"/>
      <c r="U219" s="137"/>
      <c r="V219" s="150"/>
      <c r="W219" s="26"/>
    </row>
    <row r="220" spans="1:23" ht="20" customHeight="1">
      <c r="A220" s="380"/>
      <c r="B220" s="156"/>
      <c r="C220" s="137"/>
      <c r="D220" s="137"/>
      <c r="E220" s="137"/>
      <c r="F220" s="137"/>
      <c r="G220" s="136"/>
      <c r="H220" s="137"/>
      <c r="I220" s="137"/>
      <c r="J220" s="138"/>
      <c r="K220" s="137"/>
      <c r="L220" s="137"/>
      <c r="M220" s="139"/>
      <c r="N220" s="137"/>
      <c r="O220" s="137"/>
      <c r="P220" s="139"/>
      <c r="Q220" s="137"/>
      <c r="R220" s="137"/>
      <c r="S220" s="137"/>
      <c r="T220" s="137"/>
      <c r="U220" s="137"/>
      <c r="V220" s="150"/>
      <c r="W220" s="26"/>
    </row>
    <row r="221" spans="1:23" ht="20" customHeight="1">
      <c r="A221" s="380"/>
      <c r="B221" s="156"/>
      <c r="C221" s="137"/>
      <c r="D221" s="137"/>
      <c r="E221" s="137"/>
      <c r="F221" s="137"/>
      <c r="G221" s="136"/>
      <c r="H221" s="137"/>
      <c r="I221" s="137"/>
      <c r="J221" s="138"/>
      <c r="K221" s="137"/>
      <c r="L221" s="137"/>
      <c r="M221" s="139"/>
      <c r="N221" s="137"/>
      <c r="O221" s="137"/>
      <c r="P221" s="139"/>
      <c r="Q221" s="137"/>
      <c r="R221" s="137"/>
      <c r="S221" s="137"/>
      <c r="T221" s="137"/>
      <c r="U221" s="137"/>
      <c r="V221" s="150"/>
      <c r="W221" s="20"/>
    </row>
    <row r="222" spans="1:23" ht="20" customHeight="1">
      <c r="A222" s="380"/>
      <c r="B222" s="156"/>
      <c r="C222" s="137"/>
      <c r="D222" s="137"/>
      <c r="E222" s="137"/>
      <c r="F222" s="137"/>
      <c r="G222" s="136"/>
      <c r="H222" s="137"/>
      <c r="I222" s="137"/>
      <c r="J222" s="138"/>
      <c r="K222" s="137"/>
      <c r="L222" s="137"/>
      <c r="M222" s="139"/>
      <c r="N222" s="137"/>
      <c r="O222" s="137"/>
      <c r="P222" s="139"/>
      <c r="Q222" s="137"/>
      <c r="R222" s="137"/>
      <c r="S222" s="137"/>
      <c r="T222" s="137"/>
      <c r="U222" s="137"/>
      <c r="V222" s="150"/>
      <c r="W222" s="20"/>
    </row>
    <row r="223" spans="1:23" ht="20" customHeight="1">
      <c r="A223" s="380"/>
      <c r="B223" s="156"/>
      <c r="C223" s="137"/>
      <c r="D223" s="137"/>
      <c r="E223" s="137"/>
      <c r="F223" s="137"/>
      <c r="G223" s="136"/>
      <c r="H223" s="137"/>
      <c r="I223" s="137"/>
      <c r="J223" s="138"/>
      <c r="K223" s="137"/>
      <c r="L223" s="137"/>
      <c r="M223" s="139"/>
      <c r="N223" s="137"/>
      <c r="O223" s="137"/>
      <c r="P223" s="139"/>
      <c r="Q223" s="137"/>
      <c r="R223" s="137"/>
      <c r="S223" s="137"/>
      <c r="T223" s="137"/>
      <c r="U223" s="137"/>
      <c r="V223" s="150"/>
      <c r="W223" s="20"/>
    </row>
    <row r="224" spans="1:23" ht="20" customHeight="1">
      <c r="A224" s="380"/>
      <c r="B224" s="156"/>
      <c r="C224" s="137"/>
      <c r="D224" s="137"/>
      <c r="E224" s="137"/>
      <c r="F224" s="137"/>
      <c r="G224" s="136"/>
      <c r="H224" s="137"/>
      <c r="I224" s="137"/>
      <c r="J224" s="138"/>
      <c r="K224" s="137"/>
      <c r="L224" s="137"/>
      <c r="M224" s="139"/>
      <c r="N224" s="137"/>
      <c r="O224" s="137"/>
      <c r="P224" s="139"/>
      <c r="Q224" s="137"/>
      <c r="R224" s="137"/>
      <c r="S224" s="137"/>
      <c r="T224" s="137"/>
      <c r="U224" s="137"/>
      <c r="V224" s="150"/>
      <c r="W224" s="20"/>
    </row>
    <row r="225" spans="1:23" ht="20" customHeight="1">
      <c r="A225" s="380"/>
      <c r="B225" s="156"/>
      <c r="C225" s="137"/>
      <c r="D225" s="137"/>
      <c r="E225" s="137"/>
      <c r="F225" s="137"/>
      <c r="G225" s="136"/>
      <c r="H225" s="137"/>
      <c r="I225" s="137"/>
      <c r="J225" s="138"/>
      <c r="K225" s="137"/>
      <c r="L225" s="137"/>
      <c r="M225" s="139"/>
      <c r="N225" s="137"/>
      <c r="O225" s="137"/>
      <c r="P225" s="139"/>
      <c r="Q225" s="137"/>
      <c r="R225" s="137"/>
      <c r="S225" s="137"/>
      <c r="T225" s="137"/>
      <c r="U225" s="137"/>
      <c r="V225" s="150"/>
      <c r="W225" s="20"/>
    </row>
    <row r="226" spans="1:23" ht="20" customHeight="1">
      <c r="A226" s="380"/>
      <c r="B226" s="156"/>
      <c r="C226" s="137"/>
      <c r="D226" s="137"/>
      <c r="E226" s="137"/>
      <c r="F226" s="137"/>
      <c r="G226" s="136"/>
      <c r="H226" s="137"/>
      <c r="I226" s="137"/>
      <c r="J226" s="138"/>
      <c r="K226" s="137"/>
      <c r="L226" s="137"/>
      <c r="M226" s="139"/>
      <c r="N226" s="137"/>
      <c r="O226" s="137"/>
      <c r="P226" s="139"/>
      <c r="Q226" s="137"/>
      <c r="R226" s="137"/>
      <c r="S226" s="137"/>
      <c r="T226" s="137"/>
      <c r="U226" s="137"/>
      <c r="V226" s="150"/>
      <c r="W226" s="26"/>
    </row>
    <row r="227" spans="1:23" ht="20" customHeight="1">
      <c r="A227" s="380"/>
      <c r="B227" s="156"/>
      <c r="C227" s="137"/>
      <c r="D227" s="137"/>
      <c r="E227" s="137"/>
      <c r="F227" s="137"/>
      <c r="G227" s="136"/>
      <c r="H227" s="137"/>
      <c r="I227" s="137"/>
      <c r="J227" s="138"/>
      <c r="K227" s="137"/>
      <c r="L227" s="137"/>
      <c r="M227" s="139"/>
      <c r="N227" s="137"/>
      <c r="O227" s="137"/>
      <c r="P227" s="139"/>
      <c r="Q227" s="137"/>
      <c r="R227" s="137"/>
      <c r="S227" s="137"/>
      <c r="T227" s="137"/>
      <c r="U227" s="137"/>
      <c r="V227" s="150"/>
      <c r="W227" s="26"/>
    </row>
    <row r="228" spans="1:23" ht="20" customHeight="1">
      <c r="A228" s="380"/>
      <c r="B228" s="156"/>
      <c r="C228" s="137"/>
      <c r="D228" s="137"/>
      <c r="E228" s="137"/>
      <c r="F228" s="137"/>
      <c r="G228" s="136"/>
      <c r="H228" s="137"/>
      <c r="I228" s="137"/>
      <c r="J228" s="138"/>
      <c r="K228" s="137"/>
      <c r="L228" s="137"/>
      <c r="M228" s="139"/>
      <c r="N228" s="137"/>
      <c r="O228" s="137"/>
      <c r="P228" s="139"/>
      <c r="Q228" s="137"/>
      <c r="R228" s="137"/>
      <c r="S228" s="137"/>
      <c r="T228" s="137"/>
      <c r="U228" s="137"/>
      <c r="V228" s="150"/>
      <c r="W228" s="26"/>
    </row>
    <row r="229" spans="1:23" ht="20" customHeight="1">
      <c r="A229" s="380"/>
      <c r="B229" s="156"/>
      <c r="C229" s="137"/>
      <c r="D229" s="137"/>
      <c r="E229" s="137"/>
      <c r="F229" s="137"/>
      <c r="G229" s="136"/>
      <c r="H229" s="137"/>
      <c r="I229" s="137"/>
      <c r="J229" s="138"/>
      <c r="K229" s="137"/>
      <c r="L229" s="137"/>
      <c r="M229" s="139"/>
      <c r="N229" s="137"/>
      <c r="O229" s="137"/>
      <c r="P229" s="139"/>
      <c r="Q229" s="137"/>
      <c r="R229" s="137"/>
      <c r="S229" s="137"/>
      <c r="T229" s="137"/>
      <c r="U229" s="137"/>
      <c r="V229" s="150"/>
      <c r="W229" s="26"/>
    </row>
    <row r="230" spans="1:23" ht="20" customHeight="1">
      <c r="A230" s="380"/>
      <c r="B230" s="156"/>
      <c r="C230" s="137"/>
      <c r="D230" s="137"/>
      <c r="E230" s="137"/>
      <c r="F230" s="137"/>
      <c r="G230" s="136"/>
      <c r="H230" s="137"/>
      <c r="I230" s="137"/>
      <c r="J230" s="138"/>
      <c r="K230" s="137"/>
      <c r="L230" s="137"/>
      <c r="M230" s="139"/>
      <c r="N230" s="137"/>
      <c r="O230" s="137"/>
      <c r="P230" s="139"/>
      <c r="Q230" s="137"/>
      <c r="R230" s="137"/>
      <c r="S230" s="137"/>
      <c r="T230" s="137"/>
      <c r="U230" s="137"/>
      <c r="V230" s="150"/>
      <c r="W230" s="26"/>
    </row>
    <row r="231" spans="1:23" ht="20" customHeight="1">
      <c r="A231" s="380"/>
      <c r="B231" s="156"/>
      <c r="C231" s="137"/>
      <c r="D231" s="137"/>
      <c r="E231" s="137"/>
      <c r="F231" s="137"/>
      <c r="G231" s="136"/>
      <c r="H231" s="137"/>
      <c r="I231" s="137"/>
      <c r="J231" s="138"/>
      <c r="K231" s="137"/>
      <c r="L231" s="137"/>
      <c r="M231" s="139"/>
      <c r="N231" s="137"/>
      <c r="O231" s="137"/>
      <c r="P231" s="139"/>
      <c r="Q231" s="137"/>
      <c r="R231" s="137"/>
      <c r="S231" s="137"/>
      <c r="T231" s="137"/>
      <c r="U231" s="137"/>
      <c r="V231" s="150"/>
      <c r="W231" s="26"/>
    </row>
    <row r="232" spans="1:23" ht="20" customHeight="1">
      <c r="A232" s="380"/>
      <c r="B232" s="156"/>
      <c r="C232" s="137"/>
      <c r="D232" s="137"/>
      <c r="E232" s="137"/>
      <c r="F232" s="137"/>
      <c r="G232" s="136"/>
      <c r="H232" s="137"/>
      <c r="I232" s="137"/>
      <c r="J232" s="138"/>
      <c r="K232" s="137"/>
      <c r="L232" s="137"/>
      <c r="M232" s="139"/>
      <c r="N232" s="137"/>
      <c r="O232" s="137"/>
      <c r="P232" s="139"/>
      <c r="Q232" s="137"/>
      <c r="R232" s="137"/>
      <c r="S232" s="137"/>
      <c r="T232" s="137"/>
      <c r="U232" s="137"/>
      <c r="V232" s="150"/>
      <c r="W232" s="26"/>
    </row>
    <row r="233" spans="1:23" ht="20" customHeight="1">
      <c r="A233" s="380"/>
      <c r="B233" s="156"/>
      <c r="C233" s="137"/>
      <c r="D233" s="137"/>
      <c r="E233" s="137"/>
      <c r="F233" s="137"/>
      <c r="G233" s="136"/>
      <c r="H233" s="137"/>
      <c r="I233" s="137"/>
      <c r="J233" s="138"/>
      <c r="K233" s="137"/>
      <c r="L233" s="137"/>
      <c r="M233" s="139"/>
      <c r="N233" s="137"/>
      <c r="O233" s="137"/>
      <c r="P233" s="139"/>
      <c r="Q233" s="137"/>
      <c r="R233" s="137"/>
      <c r="S233" s="137"/>
      <c r="T233" s="137"/>
      <c r="U233" s="137"/>
      <c r="V233" s="150"/>
      <c r="W233" s="26"/>
    </row>
    <row r="234" spans="1:23" ht="20" customHeight="1">
      <c r="A234" s="380"/>
      <c r="B234" s="156"/>
      <c r="C234" s="137"/>
      <c r="D234" s="137"/>
      <c r="E234" s="137"/>
      <c r="F234" s="137"/>
      <c r="G234" s="136"/>
      <c r="H234" s="137"/>
      <c r="I234" s="137"/>
      <c r="J234" s="138"/>
      <c r="K234" s="137"/>
      <c r="L234" s="137"/>
      <c r="M234" s="139"/>
      <c r="N234" s="137"/>
      <c r="O234" s="137"/>
      <c r="P234" s="139"/>
      <c r="Q234" s="137"/>
      <c r="R234" s="137"/>
      <c r="S234" s="137"/>
      <c r="T234" s="137"/>
      <c r="U234" s="137"/>
      <c r="V234" s="150"/>
      <c r="W234" s="26"/>
    </row>
    <row r="235" spans="1:23" ht="20" customHeight="1">
      <c r="A235" s="380"/>
      <c r="B235" s="156"/>
      <c r="C235" s="137"/>
      <c r="D235" s="137"/>
      <c r="E235" s="137"/>
      <c r="F235" s="137"/>
      <c r="G235" s="136"/>
      <c r="H235" s="137"/>
      <c r="I235" s="137"/>
      <c r="J235" s="138"/>
      <c r="K235" s="137"/>
      <c r="L235" s="137"/>
      <c r="M235" s="139"/>
      <c r="N235" s="137"/>
      <c r="O235" s="137"/>
      <c r="P235" s="139"/>
      <c r="Q235" s="137"/>
      <c r="R235" s="137"/>
      <c r="S235" s="137"/>
      <c r="T235" s="137"/>
      <c r="U235" s="137"/>
      <c r="V235" s="150"/>
      <c r="W235" s="26"/>
    </row>
    <row r="236" spans="1:23" ht="20" customHeight="1">
      <c r="A236" s="380"/>
      <c r="B236" s="156"/>
      <c r="C236" s="137"/>
      <c r="D236" s="137"/>
      <c r="E236" s="137"/>
      <c r="F236" s="137"/>
      <c r="G236" s="136"/>
      <c r="H236" s="137"/>
      <c r="I236" s="137"/>
      <c r="J236" s="138"/>
      <c r="K236" s="137"/>
      <c r="L236" s="137"/>
      <c r="M236" s="139"/>
      <c r="N236" s="137"/>
      <c r="O236" s="137"/>
      <c r="P236" s="139"/>
      <c r="Q236" s="137"/>
      <c r="R236" s="137"/>
      <c r="S236" s="137"/>
      <c r="T236" s="137"/>
      <c r="U236" s="137"/>
      <c r="V236" s="150"/>
      <c r="W236" s="26"/>
    </row>
    <row r="237" spans="1:23" ht="20" customHeight="1" thickBot="1">
      <c r="A237" s="381"/>
      <c r="B237" s="157"/>
      <c r="C237" s="151"/>
      <c r="D237" s="151"/>
      <c r="E237" s="151"/>
      <c r="F237" s="151"/>
      <c r="G237" s="152"/>
      <c r="H237" s="151"/>
      <c r="I237" s="151"/>
      <c r="J237" s="153"/>
      <c r="K237" s="151"/>
      <c r="L237" s="151"/>
      <c r="M237" s="154"/>
      <c r="N237" s="151"/>
      <c r="O237" s="151"/>
      <c r="P237" s="154"/>
      <c r="Q237" s="151"/>
      <c r="R237" s="151"/>
      <c r="S237" s="151"/>
      <c r="T237" s="151"/>
      <c r="U237" s="151"/>
      <c r="V237" s="155"/>
      <c r="W237" s="26"/>
    </row>
    <row r="238" spans="1:23" ht="20" customHeight="1">
      <c r="A238" s="379" t="str">
        <f>'Read Me First'!C13</f>
        <v>Bicester AC</v>
      </c>
      <c r="B238" s="144" t="str" cm="1">
        <f t="array" ref="B238">_xlfn.LET(_xlpm.x, _xlfn._xlws.SORT(_xlfn._xlws.FILTER(Data!$A$54:$U$341,(Data!$C$54:$C$341=$A238)*(Data!$D$54:$D$341=$E$196)*(Data!$E$54:$E$341="U10")),18),_xlpm.y,_xlfn._xlws.SORT(_xlfn._xlws.FILTER(Data!$A$54:$U$341,(Data!$C$54:$C$341=$A238)*(Data!$D$54:$D$341=$E$196)*(Data!$E$54:$E$341="U12")),19), IFERROR(_xlfn.VSTACK(_xlpm.x,_xlpm.y), IFERROR(_xlpm.y,IFERROR(_xlpm.x, ""))))</f>
        <v/>
      </c>
      <c r="C238" s="145"/>
      <c r="D238" s="145"/>
      <c r="E238" s="145"/>
      <c r="F238" s="145"/>
      <c r="G238" s="146"/>
      <c r="H238" s="145"/>
      <c r="I238" s="145"/>
      <c r="J238" s="147"/>
      <c r="K238" s="145"/>
      <c r="L238" s="145"/>
      <c r="M238" s="148"/>
      <c r="N238" s="145"/>
      <c r="O238" s="145"/>
      <c r="P238" s="148"/>
      <c r="Q238" s="145"/>
      <c r="R238" s="145"/>
      <c r="S238" s="145"/>
      <c r="T238" s="145"/>
      <c r="U238" s="145"/>
      <c r="V238" s="149"/>
      <c r="W238" s="26"/>
    </row>
    <row r="239" spans="1:23" ht="20" customHeight="1">
      <c r="A239" s="380"/>
      <c r="B239" s="156"/>
      <c r="C239" s="137"/>
      <c r="D239" s="137"/>
      <c r="E239" s="137"/>
      <c r="F239" s="137"/>
      <c r="G239" s="136"/>
      <c r="H239" s="137"/>
      <c r="I239" s="137"/>
      <c r="J239" s="138"/>
      <c r="K239" s="137"/>
      <c r="L239" s="137"/>
      <c r="M239" s="139"/>
      <c r="N239" s="137"/>
      <c r="O239" s="137"/>
      <c r="P239" s="139"/>
      <c r="Q239" s="137"/>
      <c r="R239" s="137"/>
      <c r="S239" s="137"/>
      <c r="T239" s="137"/>
      <c r="U239" s="137"/>
      <c r="V239" s="150"/>
      <c r="W239" s="26"/>
    </row>
    <row r="240" spans="1:23" ht="20" customHeight="1">
      <c r="A240" s="380"/>
      <c r="B240" s="156"/>
      <c r="C240" s="137"/>
      <c r="D240" s="137"/>
      <c r="E240" s="137"/>
      <c r="F240" s="137"/>
      <c r="G240" s="136"/>
      <c r="H240" s="137"/>
      <c r="I240" s="137"/>
      <c r="J240" s="138"/>
      <c r="K240" s="137"/>
      <c r="L240" s="137"/>
      <c r="M240" s="139"/>
      <c r="N240" s="137"/>
      <c r="O240" s="137"/>
      <c r="P240" s="139"/>
      <c r="Q240" s="137"/>
      <c r="R240" s="137"/>
      <c r="S240" s="137"/>
      <c r="T240" s="137"/>
      <c r="U240" s="137"/>
      <c r="V240" s="150"/>
      <c r="W240" s="26"/>
    </row>
    <row r="241" spans="1:23" ht="20" customHeight="1">
      <c r="A241" s="380"/>
      <c r="B241" s="156"/>
      <c r="C241" s="137"/>
      <c r="D241" s="137"/>
      <c r="E241" s="137"/>
      <c r="F241" s="137"/>
      <c r="G241" s="136"/>
      <c r="H241" s="137"/>
      <c r="I241" s="137"/>
      <c r="J241" s="138"/>
      <c r="K241" s="137"/>
      <c r="L241" s="137"/>
      <c r="M241" s="139"/>
      <c r="N241" s="137"/>
      <c r="O241" s="137"/>
      <c r="P241" s="139"/>
      <c r="Q241" s="137"/>
      <c r="R241" s="137"/>
      <c r="S241" s="137"/>
      <c r="T241" s="137"/>
      <c r="U241" s="137"/>
      <c r="V241" s="150"/>
      <c r="W241" s="26"/>
    </row>
    <row r="242" spans="1:23" ht="20" customHeight="1">
      <c r="A242" s="380"/>
      <c r="B242" s="156"/>
      <c r="C242" s="137"/>
      <c r="D242" s="137"/>
      <c r="E242" s="137"/>
      <c r="F242" s="137"/>
      <c r="G242" s="136"/>
      <c r="H242" s="137"/>
      <c r="I242" s="137"/>
      <c r="J242" s="138"/>
      <c r="K242" s="137"/>
      <c r="L242" s="137"/>
      <c r="M242" s="139"/>
      <c r="N242" s="137"/>
      <c r="O242" s="137"/>
      <c r="P242" s="139"/>
      <c r="Q242" s="137"/>
      <c r="R242" s="137"/>
      <c r="S242" s="137"/>
      <c r="T242" s="137"/>
      <c r="U242" s="137"/>
      <c r="V242" s="150"/>
      <c r="W242" s="26"/>
    </row>
    <row r="243" spans="1:23" ht="20" customHeight="1">
      <c r="A243" s="380"/>
      <c r="B243" s="156"/>
      <c r="C243" s="137"/>
      <c r="D243" s="137"/>
      <c r="E243" s="137"/>
      <c r="F243" s="137"/>
      <c r="G243" s="136"/>
      <c r="H243" s="137"/>
      <c r="I243" s="137"/>
      <c r="J243" s="138"/>
      <c r="K243" s="137"/>
      <c r="L243" s="137"/>
      <c r="M243" s="139"/>
      <c r="N243" s="137"/>
      <c r="O243" s="137"/>
      <c r="P243" s="139"/>
      <c r="Q243" s="137"/>
      <c r="R243" s="137"/>
      <c r="S243" s="137"/>
      <c r="T243" s="137"/>
      <c r="U243" s="137"/>
      <c r="V243" s="150"/>
      <c r="W243" s="26"/>
    </row>
    <row r="244" spans="1:23" ht="20" customHeight="1">
      <c r="A244" s="380"/>
      <c r="B244" s="156"/>
      <c r="C244" s="137"/>
      <c r="D244" s="137"/>
      <c r="E244" s="137"/>
      <c r="F244" s="137"/>
      <c r="G244" s="136"/>
      <c r="H244" s="137"/>
      <c r="I244" s="137"/>
      <c r="J244" s="138"/>
      <c r="K244" s="137"/>
      <c r="L244" s="137"/>
      <c r="M244" s="139"/>
      <c r="N244" s="137"/>
      <c r="O244" s="137"/>
      <c r="P244" s="139"/>
      <c r="Q244" s="137"/>
      <c r="R244" s="137"/>
      <c r="S244" s="137"/>
      <c r="T244" s="137"/>
      <c r="U244" s="137"/>
      <c r="V244" s="150"/>
      <c r="W244" s="26"/>
    </row>
    <row r="245" spans="1:23" ht="20" customHeight="1">
      <c r="A245" s="380"/>
      <c r="B245" s="156"/>
      <c r="C245" s="137"/>
      <c r="D245" s="137"/>
      <c r="E245" s="137"/>
      <c r="F245" s="137"/>
      <c r="G245" s="136"/>
      <c r="H245" s="137"/>
      <c r="I245" s="137"/>
      <c r="J245" s="138"/>
      <c r="K245" s="137"/>
      <c r="L245" s="137"/>
      <c r="M245" s="139"/>
      <c r="N245" s="137"/>
      <c r="O245" s="137"/>
      <c r="P245" s="139"/>
      <c r="Q245" s="137"/>
      <c r="R245" s="137"/>
      <c r="S245" s="137"/>
      <c r="T245" s="137"/>
      <c r="U245" s="137"/>
      <c r="V245" s="150"/>
      <c r="W245" s="26"/>
    </row>
    <row r="246" spans="1:23" ht="20" customHeight="1">
      <c r="A246" s="380"/>
      <c r="B246" s="156"/>
      <c r="C246" s="137"/>
      <c r="D246" s="137"/>
      <c r="E246" s="137"/>
      <c r="F246" s="137"/>
      <c r="G246" s="136"/>
      <c r="H246" s="137"/>
      <c r="I246" s="137"/>
      <c r="J246" s="138"/>
      <c r="K246" s="137"/>
      <c r="L246" s="137"/>
      <c r="M246" s="139"/>
      <c r="N246" s="137"/>
      <c r="O246" s="137"/>
      <c r="P246" s="139"/>
      <c r="Q246" s="137"/>
      <c r="R246" s="137"/>
      <c r="S246" s="137"/>
      <c r="T246" s="137"/>
      <c r="U246" s="137"/>
      <c r="V246" s="150"/>
      <c r="W246" s="20"/>
    </row>
    <row r="247" spans="1:23" ht="20" customHeight="1">
      <c r="A247" s="380"/>
      <c r="B247" s="156"/>
      <c r="C247" s="137"/>
      <c r="D247" s="137"/>
      <c r="E247" s="137"/>
      <c r="F247" s="137"/>
      <c r="G247" s="136"/>
      <c r="H247" s="137"/>
      <c r="I247" s="137"/>
      <c r="J247" s="138"/>
      <c r="K247" s="137"/>
      <c r="L247" s="137"/>
      <c r="M247" s="139"/>
      <c r="N247" s="137"/>
      <c r="O247" s="137"/>
      <c r="P247" s="139"/>
      <c r="Q247" s="137"/>
      <c r="R247" s="137"/>
      <c r="S247" s="137"/>
      <c r="T247" s="137"/>
      <c r="U247" s="137"/>
      <c r="V247" s="150"/>
      <c r="W247" s="26"/>
    </row>
    <row r="248" spans="1:23" ht="20" customHeight="1">
      <c r="A248" s="380"/>
      <c r="B248" s="156"/>
      <c r="C248" s="137"/>
      <c r="D248" s="137"/>
      <c r="E248" s="137"/>
      <c r="F248" s="137"/>
      <c r="G248" s="136"/>
      <c r="H248" s="137"/>
      <c r="I248" s="137"/>
      <c r="J248" s="138"/>
      <c r="K248" s="137"/>
      <c r="L248" s="137"/>
      <c r="M248" s="139"/>
      <c r="N248" s="137"/>
      <c r="O248" s="137"/>
      <c r="P248" s="139"/>
      <c r="Q248" s="137"/>
      <c r="R248" s="137"/>
      <c r="S248" s="137"/>
      <c r="T248" s="137"/>
      <c r="U248" s="137"/>
      <c r="V248" s="150"/>
      <c r="W248" s="26"/>
    </row>
    <row r="249" spans="1:23" ht="20" customHeight="1">
      <c r="A249" s="380"/>
      <c r="B249" s="156"/>
      <c r="C249" s="137"/>
      <c r="D249" s="137"/>
      <c r="E249" s="137"/>
      <c r="F249" s="137"/>
      <c r="G249" s="136"/>
      <c r="H249" s="137"/>
      <c r="I249" s="137"/>
      <c r="J249" s="138"/>
      <c r="K249" s="137"/>
      <c r="L249" s="137"/>
      <c r="M249" s="139"/>
      <c r="N249" s="137"/>
      <c r="O249" s="137"/>
      <c r="P249" s="139"/>
      <c r="Q249" s="137"/>
      <c r="R249" s="137"/>
      <c r="S249" s="137"/>
      <c r="T249" s="137"/>
      <c r="U249" s="137"/>
      <c r="V249" s="150"/>
      <c r="W249" s="26"/>
    </row>
    <row r="250" spans="1:23" ht="20" customHeight="1">
      <c r="A250" s="380"/>
      <c r="B250" s="156"/>
      <c r="C250" s="137"/>
      <c r="D250" s="137"/>
      <c r="E250" s="137"/>
      <c r="F250" s="137"/>
      <c r="G250" s="136"/>
      <c r="H250" s="137"/>
      <c r="I250" s="137"/>
      <c r="J250" s="138"/>
      <c r="K250" s="137"/>
      <c r="L250" s="137"/>
      <c r="M250" s="139"/>
      <c r="N250" s="137"/>
      <c r="O250" s="137"/>
      <c r="P250" s="139"/>
      <c r="Q250" s="137"/>
      <c r="R250" s="137"/>
      <c r="S250" s="137"/>
      <c r="T250" s="137"/>
      <c r="U250" s="137"/>
      <c r="V250" s="150"/>
      <c r="W250" s="26"/>
    </row>
    <row r="251" spans="1:23" ht="20" customHeight="1">
      <c r="A251" s="380"/>
      <c r="B251" s="156"/>
      <c r="C251" s="137"/>
      <c r="D251" s="137"/>
      <c r="E251" s="137"/>
      <c r="F251" s="137"/>
      <c r="G251" s="136"/>
      <c r="H251" s="137"/>
      <c r="I251" s="137"/>
      <c r="J251" s="138"/>
      <c r="K251" s="137"/>
      <c r="L251" s="137"/>
      <c r="M251" s="139"/>
      <c r="N251" s="137"/>
      <c r="O251" s="137"/>
      <c r="P251" s="139"/>
      <c r="Q251" s="137"/>
      <c r="R251" s="137"/>
      <c r="S251" s="137"/>
      <c r="T251" s="137"/>
      <c r="U251" s="137"/>
      <c r="V251" s="150"/>
      <c r="W251" s="26"/>
    </row>
    <row r="252" spans="1:23" ht="20" customHeight="1">
      <c r="A252" s="380"/>
      <c r="B252" s="156"/>
      <c r="C252" s="137"/>
      <c r="D252" s="137"/>
      <c r="E252" s="137"/>
      <c r="F252" s="137"/>
      <c r="G252" s="136"/>
      <c r="H252" s="137"/>
      <c r="I252" s="137"/>
      <c r="J252" s="138"/>
      <c r="K252" s="137"/>
      <c r="L252" s="137"/>
      <c r="M252" s="139"/>
      <c r="N252" s="137"/>
      <c r="O252" s="137"/>
      <c r="P252" s="139"/>
      <c r="Q252" s="137"/>
      <c r="R252" s="137"/>
      <c r="S252" s="137"/>
      <c r="T252" s="137"/>
      <c r="U252" s="137"/>
      <c r="V252" s="150"/>
      <c r="W252" s="26"/>
    </row>
    <row r="253" spans="1:23" ht="20" customHeight="1">
      <c r="A253" s="380"/>
      <c r="B253" s="156"/>
      <c r="C253" s="137"/>
      <c r="D253" s="137"/>
      <c r="E253" s="137"/>
      <c r="F253" s="137"/>
      <c r="G253" s="136"/>
      <c r="H253" s="137"/>
      <c r="I253" s="137"/>
      <c r="J253" s="138"/>
      <c r="K253" s="137"/>
      <c r="L253" s="137"/>
      <c r="M253" s="139"/>
      <c r="N253" s="137"/>
      <c r="O253" s="137"/>
      <c r="P253" s="139"/>
      <c r="Q253" s="137"/>
      <c r="R253" s="137"/>
      <c r="S253" s="137"/>
      <c r="T253" s="137"/>
      <c r="U253" s="137"/>
      <c r="V253" s="150"/>
      <c r="W253" s="26"/>
    </row>
    <row r="254" spans="1:23" ht="20" customHeight="1">
      <c r="A254" s="380"/>
      <c r="B254" s="156"/>
      <c r="C254" s="137"/>
      <c r="D254" s="137"/>
      <c r="E254" s="137"/>
      <c r="F254" s="137"/>
      <c r="G254" s="136"/>
      <c r="H254" s="137"/>
      <c r="I254" s="137"/>
      <c r="J254" s="138"/>
      <c r="K254" s="137"/>
      <c r="L254" s="137"/>
      <c r="M254" s="139"/>
      <c r="N254" s="137"/>
      <c r="O254" s="137"/>
      <c r="P254" s="139"/>
      <c r="Q254" s="137"/>
      <c r="R254" s="137"/>
      <c r="S254" s="137"/>
      <c r="T254" s="137"/>
      <c r="U254" s="137"/>
      <c r="V254" s="150"/>
      <c r="W254" s="26"/>
    </row>
    <row r="255" spans="1:23" ht="20" customHeight="1">
      <c r="A255" s="380"/>
      <c r="B255" s="156"/>
      <c r="C255" s="137"/>
      <c r="D255" s="137"/>
      <c r="E255" s="137"/>
      <c r="F255" s="137"/>
      <c r="G255" s="136"/>
      <c r="H255" s="137"/>
      <c r="I255" s="137"/>
      <c r="J255" s="138"/>
      <c r="K255" s="137"/>
      <c r="L255" s="137"/>
      <c r="M255" s="139"/>
      <c r="N255" s="137"/>
      <c r="O255" s="137"/>
      <c r="P255" s="139"/>
      <c r="Q255" s="137"/>
      <c r="R255" s="137"/>
      <c r="S255" s="137"/>
      <c r="T255" s="137"/>
      <c r="U255" s="137"/>
      <c r="V255" s="150"/>
      <c r="W255" s="26"/>
    </row>
    <row r="256" spans="1:23" ht="20" customHeight="1">
      <c r="A256" s="380"/>
      <c r="B256" s="156"/>
      <c r="C256" s="137"/>
      <c r="D256" s="137"/>
      <c r="E256" s="137"/>
      <c r="F256" s="137"/>
      <c r="G256" s="136"/>
      <c r="H256" s="137"/>
      <c r="I256" s="137"/>
      <c r="J256" s="138"/>
      <c r="K256" s="137"/>
      <c r="L256" s="137"/>
      <c r="M256" s="139"/>
      <c r="N256" s="137"/>
      <c r="O256" s="137"/>
      <c r="P256" s="139"/>
      <c r="Q256" s="137"/>
      <c r="R256" s="137"/>
      <c r="S256" s="137"/>
      <c r="T256" s="137"/>
      <c r="U256" s="137"/>
      <c r="V256" s="150"/>
      <c r="W256" s="26"/>
    </row>
    <row r="257" spans="1:23" ht="20" customHeight="1" thickBot="1">
      <c r="A257" s="381"/>
      <c r="B257" s="157"/>
      <c r="C257" s="151"/>
      <c r="D257" s="151"/>
      <c r="E257" s="151"/>
      <c r="F257" s="151"/>
      <c r="G257" s="152"/>
      <c r="H257" s="151"/>
      <c r="I257" s="151"/>
      <c r="J257" s="153"/>
      <c r="K257" s="151"/>
      <c r="L257" s="151"/>
      <c r="M257" s="154"/>
      <c r="N257" s="151"/>
      <c r="O257" s="151"/>
      <c r="P257" s="154"/>
      <c r="Q257" s="151"/>
      <c r="R257" s="151"/>
      <c r="S257" s="151"/>
      <c r="T257" s="151"/>
      <c r="U257" s="151"/>
      <c r="V257" s="155"/>
      <c r="W257" s="26"/>
    </row>
    <row r="258" spans="1:23" ht="20" customHeight="1">
      <c r="A258" s="379" t="str">
        <f>'Read Me First'!C14</f>
        <v>Oxford City AC</v>
      </c>
      <c r="B258" s="144" t="str" cm="1">
        <f t="array" ref="B258">_xlfn.LET(_xlpm.x, _xlfn._xlws.SORT(_xlfn._xlws.FILTER(Data!$A$54:$U$341,(Data!$C$54:$C$341=$A258)*(Data!$D$54:$D$341=$E$196)*(Data!$E$54:$E$341="U10")),18),_xlpm.y,_xlfn._xlws.SORT(_xlfn._xlws.FILTER(Data!$A$54:$U$341,(Data!$C$54:$C$341=$A258)*(Data!$D$54:$D$341=$E$196)*(Data!$E$54:$E$341="U12")),19), IFERROR(_xlfn.VSTACK(_xlpm.x,_xlpm.y), IFERROR(_xlpm.y,IFERROR(_xlpm.x, ""))))</f>
        <v/>
      </c>
      <c r="C258" s="145"/>
      <c r="D258" s="145"/>
      <c r="E258" s="145"/>
      <c r="F258" s="145"/>
      <c r="G258" s="146"/>
      <c r="H258" s="145"/>
      <c r="I258" s="145"/>
      <c r="J258" s="147"/>
      <c r="K258" s="145"/>
      <c r="L258" s="145"/>
      <c r="M258" s="148"/>
      <c r="N258" s="145"/>
      <c r="O258" s="145"/>
      <c r="P258" s="148"/>
      <c r="Q258" s="145"/>
      <c r="R258" s="145"/>
      <c r="S258" s="145"/>
      <c r="T258" s="145"/>
      <c r="U258" s="145"/>
      <c r="V258" s="149"/>
      <c r="W258" s="26"/>
    </row>
    <row r="259" spans="1:23" ht="20" customHeight="1">
      <c r="A259" s="380"/>
      <c r="B259" s="156"/>
      <c r="C259" s="137"/>
      <c r="D259" s="137"/>
      <c r="E259" s="137"/>
      <c r="F259" s="137"/>
      <c r="G259" s="136"/>
      <c r="H259" s="137"/>
      <c r="I259" s="137"/>
      <c r="J259" s="138"/>
      <c r="K259" s="137"/>
      <c r="L259" s="137"/>
      <c r="M259" s="139"/>
      <c r="N259" s="137"/>
      <c r="O259" s="137"/>
      <c r="P259" s="139"/>
      <c r="Q259" s="137"/>
      <c r="R259" s="137"/>
      <c r="S259" s="137"/>
      <c r="T259" s="137"/>
      <c r="U259" s="137"/>
      <c r="V259" s="150"/>
      <c r="W259" s="26"/>
    </row>
    <row r="260" spans="1:23" ht="20" customHeight="1">
      <c r="A260" s="380"/>
      <c r="B260" s="156"/>
      <c r="C260" s="137"/>
      <c r="D260" s="137"/>
      <c r="E260" s="137"/>
      <c r="F260" s="137"/>
      <c r="G260" s="136"/>
      <c r="H260" s="137"/>
      <c r="I260" s="137"/>
      <c r="J260" s="138"/>
      <c r="K260" s="137"/>
      <c r="L260" s="137"/>
      <c r="M260" s="139"/>
      <c r="N260" s="137"/>
      <c r="O260" s="137"/>
      <c r="P260" s="139"/>
      <c r="Q260" s="137"/>
      <c r="R260" s="137"/>
      <c r="S260" s="137"/>
      <c r="T260" s="137"/>
      <c r="U260" s="137"/>
      <c r="V260" s="150"/>
      <c r="W260" s="26"/>
    </row>
    <row r="261" spans="1:23" ht="20" customHeight="1">
      <c r="A261" s="380"/>
      <c r="B261" s="156"/>
      <c r="C261" s="137"/>
      <c r="D261" s="137"/>
      <c r="E261" s="137"/>
      <c r="F261" s="137"/>
      <c r="G261" s="136"/>
      <c r="H261" s="137"/>
      <c r="I261" s="137"/>
      <c r="J261" s="138"/>
      <c r="K261" s="137"/>
      <c r="L261" s="137"/>
      <c r="M261" s="139"/>
      <c r="N261" s="137"/>
      <c r="O261" s="137"/>
      <c r="P261" s="139"/>
      <c r="Q261" s="137"/>
      <c r="R261" s="137"/>
      <c r="S261" s="137"/>
      <c r="T261" s="137"/>
      <c r="U261" s="137"/>
      <c r="V261" s="150"/>
      <c r="W261" s="26"/>
    </row>
    <row r="262" spans="1:23" ht="20" customHeight="1">
      <c r="A262" s="380"/>
      <c r="B262" s="156"/>
      <c r="C262" s="137"/>
      <c r="D262" s="137"/>
      <c r="E262" s="137"/>
      <c r="F262" s="137"/>
      <c r="G262" s="136"/>
      <c r="H262" s="137"/>
      <c r="I262" s="137"/>
      <c r="J262" s="138"/>
      <c r="K262" s="137"/>
      <c r="L262" s="137"/>
      <c r="M262" s="139"/>
      <c r="N262" s="137"/>
      <c r="O262" s="137"/>
      <c r="P262" s="139"/>
      <c r="Q262" s="137"/>
      <c r="R262" s="137"/>
      <c r="S262" s="137"/>
      <c r="T262" s="137"/>
      <c r="U262" s="137"/>
      <c r="V262" s="150"/>
      <c r="W262" s="26"/>
    </row>
    <row r="263" spans="1:23" ht="20" customHeight="1">
      <c r="A263" s="380"/>
      <c r="B263" s="156"/>
      <c r="C263" s="137"/>
      <c r="D263" s="137"/>
      <c r="E263" s="137"/>
      <c r="F263" s="137"/>
      <c r="G263" s="136"/>
      <c r="H263" s="137"/>
      <c r="I263" s="137"/>
      <c r="J263" s="138"/>
      <c r="K263" s="137"/>
      <c r="L263" s="137"/>
      <c r="M263" s="139"/>
      <c r="N263" s="137"/>
      <c r="O263" s="137"/>
      <c r="P263" s="139"/>
      <c r="Q263" s="137"/>
      <c r="R263" s="137"/>
      <c r="S263" s="137"/>
      <c r="T263" s="137"/>
      <c r="U263" s="137"/>
      <c r="V263" s="150"/>
      <c r="W263" s="20"/>
    </row>
    <row r="264" spans="1:23" ht="20" customHeight="1">
      <c r="A264" s="380"/>
      <c r="B264" s="156"/>
      <c r="C264" s="137"/>
      <c r="D264" s="137"/>
      <c r="E264" s="137"/>
      <c r="F264" s="137"/>
      <c r="G264" s="136"/>
      <c r="H264" s="137"/>
      <c r="I264" s="137"/>
      <c r="J264" s="138"/>
      <c r="K264" s="137"/>
      <c r="L264" s="137"/>
      <c r="M264" s="139"/>
      <c r="N264" s="137"/>
      <c r="O264" s="137"/>
      <c r="P264" s="139"/>
      <c r="Q264" s="137"/>
      <c r="R264" s="137"/>
      <c r="S264" s="137"/>
      <c r="T264" s="137"/>
      <c r="U264" s="137"/>
      <c r="V264" s="150"/>
      <c r="W264" s="20"/>
    </row>
    <row r="265" spans="1:23" ht="20" customHeight="1">
      <c r="A265" s="380"/>
      <c r="B265" s="156"/>
      <c r="C265" s="137"/>
      <c r="D265" s="137"/>
      <c r="E265" s="137"/>
      <c r="F265" s="137"/>
      <c r="G265" s="136"/>
      <c r="H265" s="137"/>
      <c r="I265" s="137"/>
      <c r="J265" s="138"/>
      <c r="K265" s="137"/>
      <c r="L265" s="137"/>
      <c r="M265" s="139"/>
      <c r="N265" s="137"/>
      <c r="O265" s="137"/>
      <c r="P265" s="139"/>
      <c r="Q265" s="137"/>
      <c r="R265" s="137"/>
      <c r="S265" s="137"/>
      <c r="T265" s="137"/>
      <c r="U265" s="137"/>
      <c r="V265" s="150"/>
      <c r="W265" s="20"/>
    </row>
    <row r="266" spans="1:23" ht="20" customHeight="1">
      <c r="A266" s="380"/>
      <c r="B266" s="156"/>
      <c r="C266" s="137"/>
      <c r="D266" s="137"/>
      <c r="E266" s="137"/>
      <c r="F266" s="137"/>
      <c r="G266" s="136"/>
      <c r="H266" s="137"/>
      <c r="I266" s="137"/>
      <c r="J266" s="138"/>
      <c r="K266" s="137"/>
      <c r="L266" s="137"/>
      <c r="M266" s="139"/>
      <c r="N266" s="137"/>
      <c r="O266" s="137"/>
      <c r="P266" s="139"/>
      <c r="Q266" s="137"/>
      <c r="R266" s="137"/>
      <c r="S266" s="137"/>
      <c r="T266" s="137"/>
      <c r="U266" s="137"/>
      <c r="V266" s="150"/>
      <c r="W266" s="20"/>
    </row>
    <row r="267" spans="1:23" ht="20" customHeight="1">
      <c r="A267" s="380"/>
      <c r="B267" s="156"/>
      <c r="C267" s="137"/>
      <c r="D267" s="137"/>
      <c r="E267" s="137"/>
      <c r="F267" s="137"/>
      <c r="G267" s="136"/>
      <c r="H267" s="137"/>
      <c r="I267" s="137"/>
      <c r="J267" s="138"/>
      <c r="K267" s="137"/>
      <c r="L267" s="137"/>
      <c r="M267" s="139"/>
      <c r="N267" s="137"/>
      <c r="O267" s="137"/>
      <c r="P267" s="139"/>
      <c r="Q267" s="137"/>
      <c r="R267" s="137"/>
      <c r="S267" s="137"/>
      <c r="T267" s="137"/>
      <c r="U267" s="137"/>
      <c r="V267" s="150"/>
      <c r="W267" s="20"/>
    </row>
    <row r="268" spans="1:23" s="11" customFormat="1" ht="20" customHeight="1">
      <c r="A268" s="380"/>
      <c r="B268" s="156"/>
      <c r="C268" s="137"/>
      <c r="D268" s="137"/>
      <c r="E268" s="137"/>
      <c r="F268" s="137"/>
      <c r="G268" s="136"/>
      <c r="H268" s="137"/>
      <c r="I268" s="137"/>
      <c r="J268" s="138"/>
      <c r="K268" s="137"/>
      <c r="L268" s="137"/>
      <c r="M268" s="139"/>
      <c r="N268" s="137"/>
      <c r="O268" s="137"/>
      <c r="P268" s="139"/>
      <c r="Q268" s="137"/>
      <c r="R268" s="137"/>
      <c r="S268" s="137"/>
      <c r="T268" s="137"/>
      <c r="U268" s="137"/>
      <c r="V268" s="150"/>
      <c r="W268" s="26"/>
    </row>
    <row r="269" spans="1:23" ht="20" customHeight="1">
      <c r="A269" s="380"/>
      <c r="B269" s="156"/>
      <c r="C269" s="137"/>
      <c r="D269" s="137"/>
      <c r="E269" s="137"/>
      <c r="F269" s="137"/>
      <c r="G269" s="136"/>
      <c r="H269" s="137"/>
      <c r="I269" s="137"/>
      <c r="J269" s="138"/>
      <c r="K269" s="137"/>
      <c r="L269" s="137"/>
      <c r="M269" s="139"/>
      <c r="N269" s="137"/>
      <c r="O269" s="137"/>
      <c r="P269" s="139"/>
      <c r="Q269" s="137"/>
      <c r="R269" s="137"/>
      <c r="S269" s="137"/>
      <c r="T269" s="137"/>
      <c r="U269" s="137"/>
      <c r="V269" s="150"/>
      <c r="W269" s="26"/>
    </row>
    <row r="270" spans="1:23" ht="20" customHeight="1">
      <c r="A270" s="380"/>
      <c r="B270" s="156"/>
      <c r="C270" s="137"/>
      <c r="D270" s="137"/>
      <c r="E270" s="137"/>
      <c r="F270" s="137"/>
      <c r="G270" s="136"/>
      <c r="H270" s="137"/>
      <c r="I270" s="137"/>
      <c r="J270" s="138"/>
      <c r="K270" s="137"/>
      <c r="L270" s="137"/>
      <c r="M270" s="139"/>
      <c r="N270" s="137"/>
      <c r="O270" s="137"/>
      <c r="P270" s="139"/>
      <c r="Q270" s="137"/>
      <c r="R270" s="137"/>
      <c r="S270" s="137"/>
      <c r="T270" s="137"/>
      <c r="U270" s="137"/>
      <c r="V270" s="150"/>
      <c r="W270" s="26"/>
    </row>
    <row r="271" spans="1:23" ht="20" customHeight="1">
      <c r="A271" s="380"/>
      <c r="B271" s="156"/>
      <c r="C271" s="137"/>
      <c r="D271" s="137"/>
      <c r="E271" s="137"/>
      <c r="F271" s="137"/>
      <c r="G271" s="136"/>
      <c r="H271" s="137"/>
      <c r="I271" s="137"/>
      <c r="J271" s="138"/>
      <c r="K271" s="137"/>
      <c r="L271" s="137"/>
      <c r="M271" s="139"/>
      <c r="N271" s="137"/>
      <c r="O271" s="137"/>
      <c r="P271" s="139"/>
      <c r="Q271" s="137"/>
      <c r="R271" s="137"/>
      <c r="S271" s="137"/>
      <c r="T271" s="137"/>
      <c r="U271" s="137"/>
      <c r="V271" s="150"/>
      <c r="W271" s="26"/>
    </row>
    <row r="272" spans="1:23" ht="20" customHeight="1">
      <c r="A272" s="380"/>
      <c r="B272" s="156"/>
      <c r="C272" s="137"/>
      <c r="D272" s="137"/>
      <c r="E272" s="137"/>
      <c r="F272" s="137"/>
      <c r="G272" s="136"/>
      <c r="H272" s="137"/>
      <c r="I272" s="137"/>
      <c r="J272" s="138"/>
      <c r="K272" s="137"/>
      <c r="L272" s="137"/>
      <c r="M272" s="139"/>
      <c r="N272" s="137"/>
      <c r="O272" s="137"/>
      <c r="P272" s="139"/>
      <c r="Q272" s="137"/>
      <c r="R272" s="137"/>
      <c r="S272" s="137"/>
      <c r="T272" s="137"/>
      <c r="U272" s="137"/>
      <c r="V272" s="150"/>
      <c r="W272" s="26"/>
    </row>
    <row r="273" spans="1:23" ht="20" customHeight="1">
      <c r="A273" s="380"/>
      <c r="B273" s="156"/>
      <c r="C273" s="137"/>
      <c r="D273" s="137"/>
      <c r="E273" s="137"/>
      <c r="F273" s="137"/>
      <c r="G273" s="136"/>
      <c r="H273" s="137"/>
      <c r="I273" s="137"/>
      <c r="J273" s="138"/>
      <c r="K273" s="137"/>
      <c r="L273" s="137"/>
      <c r="M273" s="139"/>
      <c r="N273" s="137"/>
      <c r="O273" s="137"/>
      <c r="P273" s="139"/>
      <c r="Q273" s="137"/>
      <c r="R273" s="137"/>
      <c r="S273" s="137"/>
      <c r="T273" s="137"/>
      <c r="U273" s="137"/>
      <c r="V273" s="150"/>
      <c r="W273" s="26"/>
    </row>
    <row r="274" spans="1:23" ht="20" customHeight="1">
      <c r="A274" s="380"/>
      <c r="B274" s="156"/>
      <c r="C274" s="137"/>
      <c r="D274" s="137"/>
      <c r="E274" s="137"/>
      <c r="F274" s="137"/>
      <c r="G274" s="136"/>
      <c r="H274" s="137"/>
      <c r="I274" s="137"/>
      <c r="J274" s="138"/>
      <c r="K274" s="137"/>
      <c r="L274" s="137"/>
      <c r="M274" s="139"/>
      <c r="N274" s="137"/>
      <c r="O274" s="137"/>
      <c r="P274" s="139"/>
      <c r="Q274" s="137"/>
      <c r="R274" s="137"/>
      <c r="S274" s="137"/>
      <c r="T274" s="137"/>
      <c r="U274" s="137"/>
      <c r="V274" s="150"/>
      <c r="W274" s="26"/>
    </row>
    <row r="275" spans="1:23" ht="20" customHeight="1">
      <c r="A275" s="380"/>
      <c r="B275" s="156"/>
      <c r="C275" s="137"/>
      <c r="D275" s="137"/>
      <c r="E275" s="137"/>
      <c r="F275" s="137"/>
      <c r="G275" s="136"/>
      <c r="H275" s="137"/>
      <c r="I275" s="137"/>
      <c r="J275" s="138"/>
      <c r="K275" s="137"/>
      <c r="L275" s="137"/>
      <c r="M275" s="139"/>
      <c r="N275" s="137"/>
      <c r="O275" s="137"/>
      <c r="P275" s="139"/>
      <c r="Q275" s="137"/>
      <c r="R275" s="137"/>
      <c r="S275" s="137"/>
      <c r="T275" s="137"/>
      <c r="U275" s="137"/>
      <c r="V275" s="150"/>
      <c r="W275" s="26"/>
    </row>
    <row r="276" spans="1:23" ht="20" customHeight="1">
      <c r="A276" s="380"/>
      <c r="B276" s="156"/>
      <c r="C276" s="137"/>
      <c r="D276" s="137"/>
      <c r="E276" s="137"/>
      <c r="F276" s="137"/>
      <c r="G276" s="136"/>
      <c r="H276" s="137"/>
      <c r="I276" s="137"/>
      <c r="J276" s="138"/>
      <c r="K276" s="137"/>
      <c r="L276" s="137"/>
      <c r="M276" s="139"/>
      <c r="N276" s="137"/>
      <c r="O276" s="137"/>
      <c r="P276" s="139"/>
      <c r="Q276" s="137"/>
      <c r="R276" s="137"/>
      <c r="S276" s="137"/>
      <c r="T276" s="137"/>
      <c r="U276" s="137"/>
      <c r="V276" s="150"/>
      <c r="W276" s="26"/>
    </row>
    <row r="277" spans="1:23" ht="20" customHeight="1">
      <c r="A277" s="380"/>
      <c r="B277" s="156"/>
      <c r="C277" s="137"/>
      <c r="D277" s="137"/>
      <c r="E277" s="137"/>
      <c r="F277" s="137"/>
      <c r="G277" s="136"/>
      <c r="H277" s="137"/>
      <c r="I277" s="137"/>
      <c r="J277" s="138"/>
      <c r="K277" s="137"/>
      <c r="L277" s="137"/>
      <c r="M277" s="139"/>
      <c r="N277" s="137"/>
      <c r="O277" s="137"/>
      <c r="P277" s="139"/>
      <c r="Q277" s="137"/>
      <c r="R277" s="137"/>
      <c r="S277" s="137"/>
      <c r="T277" s="137"/>
      <c r="U277" s="137"/>
      <c r="V277" s="150"/>
      <c r="W277" s="26"/>
    </row>
    <row r="278" spans="1:23" ht="20" customHeight="1">
      <c r="A278" s="380"/>
      <c r="B278" s="156"/>
      <c r="C278" s="137"/>
      <c r="D278" s="137"/>
      <c r="E278" s="137"/>
      <c r="F278" s="137"/>
      <c r="G278" s="136"/>
      <c r="H278" s="137"/>
      <c r="I278" s="137"/>
      <c r="J278" s="138"/>
      <c r="K278" s="137"/>
      <c r="L278" s="137"/>
      <c r="M278" s="139"/>
      <c r="N278" s="137"/>
      <c r="O278" s="137"/>
      <c r="P278" s="139"/>
      <c r="Q278" s="137"/>
      <c r="R278" s="137"/>
      <c r="S278" s="137"/>
      <c r="T278" s="137"/>
      <c r="U278" s="137"/>
      <c r="V278" s="150"/>
      <c r="W278" s="26"/>
    </row>
    <row r="279" spans="1:23" ht="20" customHeight="1">
      <c r="A279" s="380"/>
      <c r="B279" s="156"/>
      <c r="C279" s="137"/>
      <c r="D279" s="137"/>
      <c r="E279" s="137"/>
      <c r="F279" s="137"/>
      <c r="G279" s="136"/>
      <c r="H279" s="137"/>
      <c r="I279" s="137"/>
      <c r="J279" s="138"/>
      <c r="K279" s="137"/>
      <c r="L279" s="137"/>
      <c r="M279" s="139"/>
      <c r="N279" s="137"/>
      <c r="O279" s="137"/>
      <c r="P279" s="139"/>
      <c r="Q279" s="137"/>
      <c r="R279" s="137"/>
      <c r="S279" s="137"/>
      <c r="T279" s="137"/>
      <c r="U279" s="137"/>
      <c r="V279" s="150"/>
      <c r="W279" s="26"/>
    </row>
    <row r="280" spans="1:23" ht="20" customHeight="1" thickBot="1">
      <c r="A280" s="381"/>
      <c r="B280" s="157"/>
      <c r="C280" s="151"/>
      <c r="D280" s="151"/>
      <c r="E280" s="151"/>
      <c r="F280" s="151"/>
      <c r="G280" s="152"/>
      <c r="H280" s="151"/>
      <c r="I280" s="151"/>
      <c r="J280" s="153"/>
      <c r="K280" s="151"/>
      <c r="L280" s="151"/>
      <c r="M280" s="154"/>
      <c r="N280" s="151"/>
      <c r="O280" s="151"/>
      <c r="P280" s="154"/>
      <c r="Q280" s="151"/>
      <c r="R280" s="151"/>
      <c r="S280" s="151"/>
      <c r="T280" s="151"/>
      <c r="U280" s="151"/>
      <c r="V280" s="155"/>
      <c r="W280" s="26"/>
    </row>
    <row r="281" spans="1:23" ht="20" customHeight="1">
      <c r="A281" s="379" t="str">
        <f>'Read Me First'!C15</f>
        <v>Radley AC</v>
      </c>
      <c r="B281" s="144" t="str" cm="1">
        <f t="array" ref="B281">_xlfn.LET(_xlpm.x, _xlfn._xlws.SORT(_xlfn._xlws.FILTER(Data!$A$54:$U$341,(Data!$C$54:$C$341=$A281)*(Data!$D$54:$D$341=$E$196)*(Data!$E$54:$E$341="U10")),18),_xlpm.y,_xlfn._xlws.SORT(_xlfn._xlws.FILTER(Data!$A$54:$U$341,(Data!$C$54:$C$341=$A281)*(Data!$D$54:$D$341=$E$196)*(Data!$E$54:$E$341="U12")),19), IFERROR(_xlfn.VSTACK(_xlpm.x,_xlpm.y), IFERROR(_xlpm.y,IFERROR(_xlpm.x, ""))))</f>
        <v/>
      </c>
      <c r="C281" s="145"/>
      <c r="D281" s="145"/>
      <c r="E281" s="145"/>
      <c r="F281" s="145"/>
      <c r="G281" s="146"/>
      <c r="H281" s="145"/>
      <c r="I281" s="145"/>
      <c r="J281" s="147"/>
      <c r="K281" s="145"/>
      <c r="L281" s="145"/>
      <c r="M281" s="148"/>
      <c r="N281" s="145"/>
      <c r="O281" s="145"/>
      <c r="P281" s="148"/>
      <c r="Q281" s="145"/>
      <c r="R281" s="145"/>
      <c r="S281" s="145"/>
      <c r="T281" s="145"/>
      <c r="U281" s="145"/>
      <c r="V281" s="149"/>
      <c r="W281" s="26"/>
    </row>
    <row r="282" spans="1:23" ht="20" customHeight="1">
      <c r="A282" s="380"/>
      <c r="B282" s="156"/>
      <c r="C282" s="137"/>
      <c r="D282" s="137"/>
      <c r="E282" s="137"/>
      <c r="F282" s="137"/>
      <c r="G282" s="136"/>
      <c r="H282" s="137"/>
      <c r="I282" s="137"/>
      <c r="J282" s="138"/>
      <c r="K282" s="137"/>
      <c r="L282" s="137"/>
      <c r="M282" s="139"/>
      <c r="N282" s="137"/>
      <c r="O282" s="137"/>
      <c r="P282" s="139"/>
      <c r="Q282" s="137"/>
      <c r="R282" s="137"/>
      <c r="S282" s="137"/>
      <c r="T282" s="137"/>
      <c r="U282" s="137"/>
      <c r="V282" s="150"/>
      <c r="W282" s="26"/>
    </row>
    <row r="283" spans="1:23" ht="20" customHeight="1">
      <c r="A283" s="380"/>
      <c r="B283" s="156"/>
      <c r="C283" s="137"/>
      <c r="D283" s="137"/>
      <c r="E283" s="137"/>
      <c r="F283" s="137"/>
      <c r="G283" s="136"/>
      <c r="H283" s="137"/>
      <c r="I283" s="137"/>
      <c r="J283" s="138"/>
      <c r="K283" s="137"/>
      <c r="L283" s="137"/>
      <c r="M283" s="139"/>
      <c r="N283" s="137"/>
      <c r="O283" s="137"/>
      <c r="P283" s="139"/>
      <c r="Q283" s="137"/>
      <c r="R283" s="137"/>
      <c r="S283" s="137"/>
      <c r="T283" s="137"/>
      <c r="U283" s="137"/>
      <c r="V283" s="150"/>
      <c r="W283" s="26"/>
    </row>
    <row r="284" spans="1:23" ht="20" customHeight="1">
      <c r="A284" s="380"/>
      <c r="B284" s="156"/>
      <c r="C284" s="137"/>
      <c r="D284" s="137"/>
      <c r="E284" s="137"/>
      <c r="F284" s="137"/>
      <c r="G284" s="136"/>
      <c r="H284" s="137"/>
      <c r="I284" s="137"/>
      <c r="J284" s="138"/>
      <c r="K284" s="137"/>
      <c r="L284" s="137"/>
      <c r="M284" s="139"/>
      <c r="N284" s="137"/>
      <c r="O284" s="137"/>
      <c r="P284" s="139"/>
      <c r="Q284" s="137"/>
      <c r="R284" s="137"/>
      <c r="S284" s="137"/>
      <c r="T284" s="137"/>
      <c r="U284" s="137"/>
      <c r="V284" s="150"/>
      <c r="W284" s="20"/>
    </row>
    <row r="285" spans="1:23" ht="20" customHeight="1">
      <c r="A285" s="380"/>
      <c r="B285" s="156"/>
      <c r="C285" s="137"/>
      <c r="D285" s="137"/>
      <c r="E285" s="137"/>
      <c r="F285" s="137"/>
      <c r="G285" s="136"/>
      <c r="H285" s="137"/>
      <c r="I285" s="137"/>
      <c r="J285" s="138"/>
      <c r="K285" s="137"/>
      <c r="L285" s="137"/>
      <c r="M285" s="139"/>
      <c r="N285" s="137"/>
      <c r="O285" s="137"/>
      <c r="P285" s="139"/>
      <c r="Q285" s="137"/>
      <c r="R285" s="137"/>
      <c r="S285" s="137"/>
      <c r="T285" s="137"/>
      <c r="U285" s="137"/>
      <c r="V285" s="150"/>
      <c r="W285" s="26"/>
    </row>
    <row r="286" spans="1:23" ht="20" customHeight="1">
      <c r="A286" s="380"/>
      <c r="B286" s="156"/>
      <c r="C286" s="137"/>
      <c r="D286" s="137"/>
      <c r="E286" s="137"/>
      <c r="F286" s="137"/>
      <c r="G286" s="136"/>
      <c r="H286" s="137"/>
      <c r="I286" s="137"/>
      <c r="J286" s="138"/>
      <c r="K286" s="137"/>
      <c r="L286" s="137"/>
      <c r="M286" s="139"/>
      <c r="N286" s="137"/>
      <c r="O286" s="137"/>
      <c r="P286" s="139"/>
      <c r="Q286" s="137"/>
      <c r="R286" s="137"/>
      <c r="S286" s="137"/>
      <c r="T286" s="137"/>
      <c r="U286" s="137"/>
      <c r="V286" s="150"/>
      <c r="W286" s="26"/>
    </row>
    <row r="287" spans="1:23" ht="20" customHeight="1">
      <c r="A287" s="380"/>
      <c r="B287" s="156"/>
      <c r="C287" s="137"/>
      <c r="D287" s="137"/>
      <c r="E287" s="137"/>
      <c r="F287" s="137"/>
      <c r="G287" s="136"/>
      <c r="H287" s="137"/>
      <c r="I287" s="137"/>
      <c r="J287" s="138"/>
      <c r="K287" s="137"/>
      <c r="L287" s="137"/>
      <c r="M287" s="139"/>
      <c r="N287" s="137"/>
      <c r="O287" s="137"/>
      <c r="P287" s="139"/>
      <c r="Q287" s="137"/>
      <c r="R287" s="137"/>
      <c r="S287" s="137"/>
      <c r="T287" s="137"/>
      <c r="U287" s="137"/>
      <c r="V287" s="150"/>
      <c r="W287" s="26"/>
    </row>
    <row r="288" spans="1:23" ht="20" customHeight="1">
      <c r="A288" s="380"/>
      <c r="B288" s="156"/>
      <c r="C288" s="137"/>
      <c r="D288" s="137"/>
      <c r="E288" s="137"/>
      <c r="F288" s="137"/>
      <c r="G288" s="136"/>
      <c r="H288" s="137"/>
      <c r="I288" s="137"/>
      <c r="J288" s="138"/>
      <c r="K288" s="137"/>
      <c r="L288" s="137"/>
      <c r="M288" s="139"/>
      <c r="N288" s="137"/>
      <c r="O288" s="137"/>
      <c r="P288" s="139"/>
      <c r="Q288" s="137"/>
      <c r="R288" s="137"/>
      <c r="S288" s="137"/>
      <c r="T288" s="137"/>
      <c r="U288" s="137"/>
      <c r="V288" s="150"/>
      <c r="W288" s="26"/>
    </row>
    <row r="289" spans="1:23" ht="20" customHeight="1">
      <c r="A289" s="380"/>
      <c r="B289" s="156"/>
      <c r="C289" s="137"/>
      <c r="D289" s="137"/>
      <c r="E289" s="137"/>
      <c r="F289" s="137"/>
      <c r="G289" s="136"/>
      <c r="H289" s="137"/>
      <c r="I289" s="137"/>
      <c r="J289" s="138"/>
      <c r="K289" s="137"/>
      <c r="L289" s="137"/>
      <c r="M289" s="139"/>
      <c r="N289" s="137"/>
      <c r="O289" s="137"/>
      <c r="P289" s="139"/>
      <c r="Q289" s="137"/>
      <c r="R289" s="137"/>
      <c r="S289" s="137"/>
      <c r="T289" s="137"/>
      <c r="U289" s="137"/>
      <c r="V289" s="150"/>
      <c r="W289" s="26"/>
    </row>
    <row r="290" spans="1:23" ht="20" customHeight="1">
      <c r="A290" s="380"/>
      <c r="B290" s="156"/>
      <c r="C290" s="137"/>
      <c r="D290" s="137"/>
      <c r="E290" s="137"/>
      <c r="F290" s="137"/>
      <c r="G290" s="136"/>
      <c r="H290" s="137"/>
      <c r="I290" s="137"/>
      <c r="J290" s="138"/>
      <c r="K290" s="137"/>
      <c r="L290" s="137"/>
      <c r="M290" s="139"/>
      <c r="N290" s="137"/>
      <c r="O290" s="137"/>
      <c r="P290" s="139"/>
      <c r="Q290" s="137"/>
      <c r="R290" s="137"/>
      <c r="S290" s="137"/>
      <c r="T290" s="137"/>
      <c r="U290" s="137"/>
      <c r="V290" s="150"/>
      <c r="W290" s="26"/>
    </row>
    <row r="291" spans="1:23" ht="20" customHeight="1">
      <c r="A291" s="380"/>
      <c r="B291" s="156"/>
      <c r="C291" s="137"/>
      <c r="D291" s="137"/>
      <c r="E291" s="137"/>
      <c r="F291" s="137"/>
      <c r="G291" s="136"/>
      <c r="H291" s="137"/>
      <c r="I291" s="137"/>
      <c r="J291" s="138"/>
      <c r="K291" s="137"/>
      <c r="L291" s="137"/>
      <c r="M291" s="139"/>
      <c r="N291" s="137"/>
      <c r="O291" s="137"/>
      <c r="P291" s="139"/>
      <c r="Q291" s="137"/>
      <c r="R291" s="137"/>
      <c r="S291" s="137"/>
      <c r="T291" s="137"/>
      <c r="U291" s="137"/>
      <c r="V291" s="150"/>
      <c r="W291" s="26"/>
    </row>
    <row r="292" spans="1:23" ht="20" customHeight="1">
      <c r="A292" s="380"/>
      <c r="B292" s="156"/>
      <c r="C292" s="137"/>
      <c r="D292" s="137"/>
      <c r="E292" s="137"/>
      <c r="F292" s="137"/>
      <c r="G292" s="136"/>
      <c r="H292" s="137"/>
      <c r="I292" s="137"/>
      <c r="J292" s="138"/>
      <c r="K292" s="137"/>
      <c r="L292" s="137"/>
      <c r="M292" s="139"/>
      <c r="N292" s="137"/>
      <c r="O292" s="137"/>
      <c r="P292" s="139"/>
      <c r="Q292" s="137"/>
      <c r="R292" s="137"/>
      <c r="S292" s="137"/>
      <c r="T292" s="137"/>
      <c r="U292" s="137"/>
      <c r="V292" s="150"/>
      <c r="W292" s="26"/>
    </row>
    <row r="293" spans="1:23" ht="20" customHeight="1">
      <c r="A293" s="380"/>
      <c r="B293" s="156"/>
      <c r="C293" s="137"/>
      <c r="D293" s="137"/>
      <c r="E293" s="137"/>
      <c r="F293" s="137"/>
      <c r="G293" s="136"/>
      <c r="H293" s="137"/>
      <c r="I293" s="137"/>
      <c r="J293" s="138"/>
      <c r="K293" s="137"/>
      <c r="L293" s="137"/>
      <c r="M293" s="139"/>
      <c r="N293" s="137"/>
      <c r="O293" s="137"/>
      <c r="P293" s="139"/>
      <c r="Q293" s="137"/>
      <c r="R293" s="137"/>
      <c r="S293" s="137"/>
      <c r="T293" s="137"/>
      <c r="U293" s="137"/>
      <c r="V293" s="150"/>
      <c r="W293" s="26"/>
    </row>
    <row r="294" spans="1:23" ht="20" customHeight="1">
      <c r="A294" s="380"/>
      <c r="B294" s="156"/>
      <c r="C294" s="137"/>
      <c r="D294" s="137"/>
      <c r="E294" s="137"/>
      <c r="F294" s="137"/>
      <c r="G294" s="136"/>
      <c r="H294" s="137"/>
      <c r="I294" s="137"/>
      <c r="J294" s="138"/>
      <c r="K294" s="137"/>
      <c r="L294" s="137"/>
      <c r="M294" s="139"/>
      <c r="N294" s="137"/>
      <c r="O294" s="137"/>
      <c r="P294" s="139"/>
      <c r="Q294" s="137"/>
      <c r="R294" s="137"/>
      <c r="S294" s="137"/>
      <c r="T294" s="137"/>
      <c r="U294" s="137"/>
      <c r="V294" s="150"/>
      <c r="W294" s="26"/>
    </row>
    <row r="295" spans="1:23" ht="20" customHeight="1">
      <c r="A295" s="380"/>
      <c r="B295" s="156"/>
      <c r="C295" s="137"/>
      <c r="D295" s="137"/>
      <c r="E295" s="137"/>
      <c r="F295" s="137"/>
      <c r="G295" s="136"/>
      <c r="H295" s="137"/>
      <c r="I295" s="137"/>
      <c r="J295" s="138"/>
      <c r="K295" s="137"/>
      <c r="L295" s="137"/>
      <c r="M295" s="139"/>
      <c r="N295" s="137"/>
      <c r="O295" s="137"/>
      <c r="P295" s="139"/>
      <c r="Q295" s="137"/>
      <c r="R295" s="137"/>
      <c r="S295" s="137"/>
      <c r="T295" s="137"/>
      <c r="U295" s="137"/>
      <c r="V295" s="150"/>
      <c r="W295" s="26"/>
    </row>
    <row r="296" spans="1:23" ht="20" customHeight="1">
      <c r="A296" s="380"/>
      <c r="B296" s="156"/>
      <c r="C296" s="137"/>
      <c r="D296" s="137"/>
      <c r="E296" s="137"/>
      <c r="F296" s="137"/>
      <c r="G296" s="136"/>
      <c r="H296" s="137"/>
      <c r="I296" s="137"/>
      <c r="J296" s="138"/>
      <c r="K296" s="137"/>
      <c r="L296" s="137"/>
      <c r="M296" s="139"/>
      <c r="N296" s="137"/>
      <c r="O296" s="137"/>
      <c r="P296" s="139"/>
      <c r="Q296" s="137"/>
      <c r="R296" s="137"/>
      <c r="S296" s="137"/>
      <c r="T296" s="137"/>
      <c r="U296" s="137"/>
      <c r="V296" s="150"/>
      <c r="W296" s="26"/>
    </row>
    <row r="297" spans="1:23" ht="20" customHeight="1">
      <c r="A297" s="380"/>
      <c r="B297" s="156"/>
      <c r="C297" s="137"/>
      <c r="D297" s="137"/>
      <c r="E297" s="137"/>
      <c r="F297" s="137"/>
      <c r="G297" s="136"/>
      <c r="H297" s="137"/>
      <c r="I297" s="137"/>
      <c r="J297" s="138"/>
      <c r="K297" s="137"/>
      <c r="L297" s="137"/>
      <c r="M297" s="139"/>
      <c r="N297" s="137"/>
      <c r="O297" s="137"/>
      <c r="P297" s="139"/>
      <c r="Q297" s="137"/>
      <c r="R297" s="137"/>
      <c r="S297" s="137"/>
      <c r="T297" s="137"/>
      <c r="U297" s="137"/>
      <c r="V297" s="150"/>
      <c r="W297" s="26"/>
    </row>
    <row r="298" spans="1:23" ht="20" customHeight="1">
      <c r="A298" s="380"/>
      <c r="B298" s="156"/>
      <c r="C298" s="137"/>
      <c r="D298" s="137"/>
      <c r="E298" s="137"/>
      <c r="F298" s="137"/>
      <c r="G298" s="136"/>
      <c r="H298" s="137"/>
      <c r="I298" s="137"/>
      <c r="J298" s="138"/>
      <c r="K298" s="137"/>
      <c r="L298" s="137"/>
      <c r="M298" s="139"/>
      <c r="N298" s="137"/>
      <c r="O298" s="137"/>
      <c r="P298" s="139"/>
      <c r="Q298" s="137"/>
      <c r="R298" s="137"/>
      <c r="S298" s="137"/>
      <c r="T298" s="137"/>
      <c r="U298" s="137"/>
      <c r="V298" s="150"/>
      <c r="W298" s="26"/>
    </row>
    <row r="299" spans="1:23" ht="20" customHeight="1">
      <c r="A299" s="380"/>
      <c r="B299" s="156"/>
      <c r="C299" s="137"/>
      <c r="D299" s="137"/>
      <c r="E299" s="137"/>
      <c r="F299" s="137"/>
      <c r="G299" s="136"/>
      <c r="H299" s="137"/>
      <c r="I299" s="137"/>
      <c r="J299" s="138"/>
      <c r="K299" s="137"/>
      <c r="L299" s="137"/>
      <c r="M299" s="139"/>
      <c r="N299" s="137"/>
      <c r="O299" s="137"/>
      <c r="P299" s="139"/>
      <c r="Q299" s="137"/>
      <c r="R299" s="137"/>
      <c r="S299" s="137"/>
      <c r="T299" s="137"/>
      <c r="U299" s="137"/>
      <c r="V299" s="150"/>
      <c r="W299" s="26"/>
    </row>
    <row r="300" spans="1:23" ht="20" customHeight="1" thickBot="1">
      <c r="A300" s="381"/>
      <c r="B300" s="157"/>
      <c r="C300" s="151"/>
      <c r="D300" s="151"/>
      <c r="E300" s="151"/>
      <c r="F300" s="151"/>
      <c r="G300" s="152"/>
      <c r="H300" s="151"/>
      <c r="I300" s="151"/>
      <c r="J300" s="153"/>
      <c r="K300" s="151"/>
      <c r="L300" s="151"/>
      <c r="M300" s="154"/>
      <c r="N300" s="151"/>
      <c r="O300" s="151"/>
      <c r="P300" s="154"/>
      <c r="Q300" s="151"/>
      <c r="R300" s="151"/>
      <c r="S300" s="151"/>
      <c r="T300" s="151"/>
      <c r="U300" s="151"/>
      <c r="V300" s="155"/>
      <c r="W300" s="26"/>
    </row>
    <row r="301" spans="1:23" ht="20" customHeight="1">
      <c r="A301" s="379" t="str">
        <f>'Read Me First'!C16</f>
        <v>Team Kennet</v>
      </c>
      <c r="B301" s="144" t="str" cm="1">
        <f t="array" ref="B301">_xlfn.LET(_xlpm.x, _xlfn._xlws.SORT(_xlfn._xlws.FILTER(Data!$A$54:$U$341,(Data!$C$54:$C$341=$A301)*(Data!$D$54:$D$341=$E$196)*(Data!$E$54:$E$341="U10")),18),_xlpm.y,_xlfn._xlws.SORT(_xlfn._xlws.FILTER(Data!$A$54:$U$341,(Data!$C$54:$C$341=$A301)*(Data!$D$54:$D$341=$E$196)*(Data!$E$54:$E$341="U12")),19), IFERROR(_xlfn.VSTACK(_xlpm.x,_xlpm.y), IFERROR(_xlpm.y,IFERROR(_xlpm.x, ""))))</f>
        <v/>
      </c>
      <c r="C301" s="145"/>
      <c r="D301" s="145"/>
      <c r="E301" s="145"/>
      <c r="F301" s="145"/>
      <c r="G301" s="146"/>
      <c r="H301" s="145"/>
      <c r="I301" s="145"/>
      <c r="J301" s="147"/>
      <c r="K301" s="145"/>
      <c r="L301" s="145"/>
      <c r="M301" s="148"/>
      <c r="N301" s="145"/>
      <c r="O301" s="145"/>
      <c r="P301" s="148"/>
      <c r="Q301" s="145"/>
      <c r="R301" s="145"/>
      <c r="S301" s="145"/>
      <c r="T301" s="145"/>
      <c r="U301" s="145"/>
      <c r="V301" s="149"/>
      <c r="W301" s="26"/>
    </row>
    <row r="302" spans="1:23" ht="20" customHeight="1">
      <c r="A302" s="380"/>
      <c r="B302" s="156"/>
      <c r="C302" s="137"/>
      <c r="D302" s="137"/>
      <c r="E302" s="137"/>
      <c r="F302" s="137"/>
      <c r="G302" s="136"/>
      <c r="H302" s="137"/>
      <c r="I302" s="137"/>
      <c r="J302" s="138"/>
      <c r="K302" s="137"/>
      <c r="L302" s="137"/>
      <c r="M302" s="139"/>
      <c r="N302" s="137"/>
      <c r="O302" s="137"/>
      <c r="P302" s="139"/>
      <c r="Q302" s="137"/>
      <c r="R302" s="137"/>
      <c r="S302" s="137"/>
      <c r="T302" s="137"/>
      <c r="U302" s="137"/>
      <c r="V302" s="150"/>
      <c r="W302" s="26"/>
    </row>
    <row r="303" spans="1:23" ht="20" customHeight="1">
      <c r="A303" s="380"/>
      <c r="B303" s="156"/>
      <c r="C303" s="137"/>
      <c r="D303" s="137"/>
      <c r="E303" s="137"/>
      <c r="F303" s="137"/>
      <c r="G303" s="136"/>
      <c r="H303" s="137"/>
      <c r="I303" s="137"/>
      <c r="J303" s="138"/>
      <c r="K303" s="137"/>
      <c r="L303" s="137"/>
      <c r="M303" s="139"/>
      <c r="N303" s="137"/>
      <c r="O303" s="137"/>
      <c r="P303" s="139"/>
      <c r="Q303" s="137"/>
      <c r="R303" s="137"/>
      <c r="S303" s="137"/>
      <c r="T303" s="137"/>
      <c r="U303" s="137"/>
      <c r="V303" s="150"/>
      <c r="W303" s="26"/>
    </row>
    <row r="304" spans="1:23" ht="20" customHeight="1">
      <c r="A304" s="380"/>
      <c r="B304" s="156"/>
      <c r="C304" s="137"/>
      <c r="D304" s="137"/>
      <c r="E304" s="137"/>
      <c r="F304" s="137"/>
      <c r="G304" s="136"/>
      <c r="H304" s="137"/>
      <c r="I304" s="137"/>
      <c r="J304" s="138"/>
      <c r="K304" s="137"/>
      <c r="L304" s="137"/>
      <c r="M304" s="139"/>
      <c r="N304" s="137"/>
      <c r="O304" s="137"/>
      <c r="P304" s="139"/>
      <c r="Q304" s="137"/>
      <c r="R304" s="137"/>
      <c r="S304" s="137"/>
      <c r="T304" s="137"/>
      <c r="U304" s="137"/>
      <c r="V304" s="150"/>
      <c r="W304" s="26"/>
    </row>
    <row r="305" spans="1:23" ht="20" customHeight="1">
      <c r="A305" s="380"/>
      <c r="B305" s="156"/>
      <c r="C305" s="137"/>
      <c r="D305" s="137"/>
      <c r="E305" s="137"/>
      <c r="F305" s="137"/>
      <c r="G305" s="136"/>
      <c r="H305" s="137"/>
      <c r="I305" s="137"/>
      <c r="J305" s="138"/>
      <c r="K305" s="137"/>
      <c r="L305" s="137"/>
      <c r="M305" s="139"/>
      <c r="N305" s="137"/>
      <c r="O305" s="137"/>
      <c r="P305" s="139"/>
      <c r="Q305" s="137"/>
      <c r="R305" s="137"/>
      <c r="S305" s="137"/>
      <c r="T305" s="137"/>
      <c r="U305" s="137"/>
      <c r="V305" s="150"/>
      <c r="W305" s="20"/>
    </row>
    <row r="306" spans="1:23" ht="20" customHeight="1">
      <c r="A306" s="380"/>
      <c r="B306" s="156"/>
      <c r="C306" s="137"/>
      <c r="D306" s="137"/>
      <c r="E306" s="137"/>
      <c r="F306" s="137"/>
      <c r="G306" s="136"/>
      <c r="H306" s="137"/>
      <c r="I306" s="137"/>
      <c r="J306" s="138"/>
      <c r="K306" s="137"/>
      <c r="L306" s="137"/>
      <c r="M306" s="139"/>
      <c r="N306" s="137"/>
      <c r="O306" s="137"/>
      <c r="P306" s="139"/>
      <c r="Q306" s="137"/>
      <c r="R306" s="137"/>
      <c r="S306" s="137"/>
      <c r="T306" s="137"/>
      <c r="U306" s="137"/>
      <c r="V306" s="150"/>
      <c r="W306" s="26"/>
    </row>
    <row r="307" spans="1:23" ht="20" customHeight="1">
      <c r="A307" s="380"/>
      <c r="B307" s="156"/>
      <c r="C307" s="137"/>
      <c r="D307" s="137"/>
      <c r="E307" s="137"/>
      <c r="F307" s="137"/>
      <c r="G307" s="136"/>
      <c r="H307" s="137"/>
      <c r="I307" s="137"/>
      <c r="J307" s="138"/>
      <c r="K307" s="137"/>
      <c r="L307" s="137"/>
      <c r="M307" s="139"/>
      <c r="N307" s="137"/>
      <c r="O307" s="137"/>
      <c r="P307" s="139"/>
      <c r="Q307" s="137"/>
      <c r="R307" s="137"/>
      <c r="S307" s="137"/>
      <c r="T307" s="137"/>
      <c r="U307" s="137"/>
      <c r="V307" s="150"/>
      <c r="W307" s="26"/>
    </row>
    <row r="308" spans="1:23" ht="20" customHeight="1">
      <c r="A308" s="380"/>
      <c r="B308" s="156"/>
      <c r="C308" s="137"/>
      <c r="D308" s="137"/>
      <c r="E308" s="137"/>
      <c r="F308" s="137"/>
      <c r="G308" s="136"/>
      <c r="H308" s="137"/>
      <c r="I308" s="137"/>
      <c r="J308" s="138"/>
      <c r="K308" s="137"/>
      <c r="L308" s="137"/>
      <c r="M308" s="139"/>
      <c r="N308" s="137"/>
      <c r="O308" s="137"/>
      <c r="P308" s="139"/>
      <c r="Q308" s="137"/>
      <c r="R308" s="137"/>
      <c r="S308" s="137"/>
      <c r="T308" s="137"/>
      <c r="U308" s="137"/>
      <c r="V308" s="150"/>
      <c r="W308" s="26"/>
    </row>
    <row r="309" spans="1:23" ht="20" customHeight="1">
      <c r="A309" s="380"/>
      <c r="B309" s="156"/>
      <c r="C309" s="137"/>
      <c r="D309" s="137"/>
      <c r="E309" s="137"/>
      <c r="F309" s="137"/>
      <c r="G309" s="136"/>
      <c r="H309" s="137"/>
      <c r="I309" s="137"/>
      <c r="J309" s="138"/>
      <c r="K309" s="137"/>
      <c r="L309" s="137"/>
      <c r="M309" s="139"/>
      <c r="N309" s="137"/>
      <c r="O309" s="137"/>
      <c r="P309" s="139"/>
      <c r="Q309" s="137"/>
      <c r="R309" s="137"/>
      <c r="S309" s="137"/>
      <c r="T309" s="137"/>
      <c r="U309" s="137"/>
      <c r="V309" s="150"/>
      <c r="W309" s="26"/>
    </row>
    <row r="310" spans="1:23" ht="20" customHeight="1">
      <c r="A310" s="380"/>
      <c r="B310" s="156"/>
      <c r="C310" s="137"/>
      <c r="D310" s="137"/>
      <c r="E310" s="137"/>
      <c r="F310" s="137"/>
      <c r="G310" s="136"/>
      <c r="H310" s="137"/>
      <c r="I310" s="137"/>
      <c r="J310" s="138"/>
      <c r="K310" s="137"/>
      <c r="L310" s="137"/>
      <c r="M310" s="139"/>
      <c r="N310" s="137"/>
      <c r="O310" s="137"/>
      <c r="P310" s="139"/>
      <c r="Q310" s="137"/>
      <c r="R310" s="137"/>
      <c r="S310" s="137"/>
      <c r="T310" s="137"/>
      <c r="U310" s="137"/>
      <c r="V310" s="150"/>
      <c r="W310" s="26"/>
    </row>
    <row r="311" spans="1:23" ht="20" customHeight="1">
      <c r="A311" s="380"/>
      <c r="B311" s="156"/>
      <c r="C311" s="137"/>
      <c r="D311" s="137"/>
      <c r="E311" s="137"/>
      <c r="F311" s="137"/>
      <c r="G311" s="136"/>
      <c r="H311" s="137"/>
      <c r="I311" s="137"/>
      <c r="J311" s="138"/>
      <c r="K311" s="137"/>
      <c r="L311" s="137"/>
      <c r="M311" s="139"/>
      <c r="N311" s="137"/>
      <c r="O311" s="137"/>
      <c r="P311" s="139"/>
      <c r="Q311" s="137"/>
      <c r="R311" s="137"/>
      <c r="S311" s="137"/>
      <c r="T311" s="137"/>
      <c r="U311" s="137"/>
      <c r="V311" s="150"/>
      <c r="W311" s="26"/>
    </row>
    <row r="312" spans="1:23" ht="20" customHeight="1">
      <c r="A312" s="380"/>
      <c r="B312" s="156"/>
      <c r="C312" s="137"/>
      <c r="D312" s="137"/>
      <c r="E312" s="137"/>
      <c r="F312" s="137"/>
      <c r="G312" s="136"/>
      <c r="H312" s="137"/>
      <c r="I312" s="137"/>
      <c r="J312" s="138"/>
      <c r="K312" s="137"/>
      <c r="L312" s="137"/>
      <c r="M312" s="139"/>
      <c r="N312" s="137"/>
      <c r="O312" s="137"/>
      <c r="P312" s="139"/>
      <c r="Q312" s="137"/>
      <c r="R312" s="137"/>
      <c r="S312" s="137"/>
      <c r="T312" s="137"/>
      <c r="U312" s="137"/>
      <c r="V312" s="150"/>
      <c r="W312" s="26"/>
    </row>
    <row r="313" spans="1:23" ht="20" customHeight="1">
      <c r="A313" s="380"/>
      <c r="B313" s="156"/>
      <c r="C313" s="137"/>
      <c r="D313" s="137"/>
      <c r="E313" s="137"/>
      <c r="F313" s="137"/>
      <c r="G313" s="136"/>
      <c r="H313" s="137"/>
      <c r="I313" s="137"/>
      <c r="J313" s="138"/>
      <c r="K313" s="137"/>
      <c r="L313" s="137"/>
      <c r="M313" s="139"/>
      <c r="N313" s="137"/>
      <c r="O313" s="137"/>
      <c r="P313" s="139"/>
      <c r="Q313" s="137"/>
      <c r="R313" s="137"/>
      <c r="S313" s="137"/>
      <c r="T313" s="137"/>
      <c r="U313" s="137"/>
      <c r="V313" s="150"/>
      <c r="W313" s="26"/>
    </row>
    <row r="314" spans="1:23" ht="20" customHeight="1">
      <c r="A314" s="380"/>
      <c r="B314" s="156"/>
      <c r="C314" s="137"/>
      <c r="D314" s="137"/>
      <c r="E314" s="137"/>
      <c r="F314" s="137"/>
      <c r="G314" s="136"/>
      <c r="H314" s="137"/>
      <c r="I314" s="137"/>
      <c r="J314" s="138"/>
      <c r="K314" s="137"/>
      <c r="L314" s="137"/>
      <c r="M314" s="139"/>
      <c r="N314" s="137"/>
      <c r="O314" s="137"/>
      <c r="P314" s="139"/>
      <c r="Q314" s="137"/>
      <c r="R314" s="137"/>
      <c r="S314" s="137"/>
      <c r="T314" s="137"/>
      <c r="U314" s="137"/>
      <c r="V314" s="150"/>
      <c r="W314" s="26"/>
    </row>
    <row r="315" spans="1:23" ht="20" customHeight="1">
      <c r="A315" s="380"/>
      <c r="B315" s="156"/>
      <c r="C315" s="137"/>
      <c r="D315" s="137"/>
      <c r="E315" s="137"/>
      <c r="F315" s="137"/>
      <c r="G315" s="136"/>
      <c r="H315" s="137"/>
      <c r="I315" s="137"/>
      <c r="J315" s="138"/>
      <c r="K315" s="137"/>
      <c r="L315" s="137"/>
      <c r="M315" s="139"/>
      <c r="N315" s="137"/>
      <c r="O315" s="137"/>
      <c r="P315" s="139"/>
      <c r="Q315" s="137"/>
      <c r="R315" s="137"/>
      <c r="S315" s="137"/>
      <c r="T315" s="137"/>
      <c r="U315" s="137"/>
      <c r="V315" s="150"/>
      <c r="W315" s="26"/>
    </row>
    <row r="316" spans="1:23" ht="20" customHeight="1">
      <c r="A316" s="380"/>
      <c r="B316" s="156"/>
      <c r="C316" s="137"/>
      <c r="D316" s="137"/>
      <c r="E316" s="137"/>
      <c r="F316" s="137"/>
      <c r="G316" s="136"/>
      <c r="H316" s="137"/>
      <c r="I316" s="137"/>
      <c r="J316" s="138"/>
      <c r="K316" s="137"/>
      <c r="L316" s="137"/>
      <c r="M316" s="139"/>
      <c r="N316" s="137"/>
      <c r="O316" s="137"/>
      <c r="P316" s="139"/>
      <c r="Q316" s="137"/>
      <c r="R316" s="137"/>
      <c r="S316" s="137"/>
      <c r="T316" s="137"/>
      <c r="U316" s="137"/>
      <c r="V316" s="150"/>
      <c r="W316" s="26"/>
    </row>
    <row r="317" spans="1:23" ht="20" customHeight="1">
      <c r="A317" s="380"/>
      <c r="B317" s="156"/>
      <c r="C317" s="137"/>
      <c r="D317" s="137"/>
      <c r="E317" s="137"/>
      <c r="F317" s="137"/>
      <c r="G317" s="136"/>
      <c r="H317" s="137"/>
      <c r="I317" s="137"/>
      <c r="J317" s="138"/>
      <c r="K317" s="137"/>
      <c r="L317" s="137"/>
      <c r="M317" s="139"/>
      <c r="N317" s="137"/>
      <c r="O317" s="137"/>
      <c r="P317" s="139"/>
      <c r="Q317" s="137"/>
      <c r="R317" s="137"/>
      <c r="S317" s="137"/>
      <c r="T317" s="137"/>
      <c r="U317" s="137"/>
      <c r="V317" s="150"/>
      <c r="W317" s="26"/>
    </row>
    <row r="318" spans="1:23" ht="20" customHeight="1">
      <c r="A318" s="380"/>
      <c r="B318" s="156"/>
      <c r="C318" s="137"/>
      <c r="D318" s="137"/>
      <c r="E318" s="137"/>
      <c r="F318" s="137"/>
      <c r="G318" s="136"/>
      <c r="H318" s="137"/>
      <c r="I318" s="137"/>
      <c r="J318" s="138"/>
      <c r="K318" s="137"/>
      <c r="L318" s="137"/>
      <c r="M318" s="139"/>
      <c r="N318" s="137"/>
      <c r="O318" s="137"/>
      <c r="P318" s="139"/>
      <c r="Q318" s="137"/>
      <c r="R318" s="137"/>
      <c r="S318" s="137"/>
      <c r="T318" s="137"/>
      <c r="U318" s="137"/>
      <c r="V318" s="150"/>
      <c r="W318" s="26"/>
    </row>
    <row r="319" spans="1:23" ht="20" customHeight="1">
      <c r="A319" s="380"/>
      <c r="B319" s="156"/>
      <c r="C319" s="137"/>
      <c r="D319" s="137"/>
      <c r="E319" s="137"/>
      <c r="F319" s="137"/>
      <c r="G319" s="136"/>
      <c r="H319" s="137"/>
      <c r="I319" s="137"/>
      <c r="J319" s="138"/>
      <c r="K319" s="137"/>
      <c r="L319" s="137"/>
      <c r="M319" s="139"/>
      <c r="N319" s="137"/>
      <c r="O319" s="137"/>
      <c r="P319" s="139"/>
      <c r="Q319" s="137"/>
      <c r="R319" s="137"/>
      <c r="S319" s="137"/>
      <c r="T319" s="137"/>
      <c r="U319" s="137"/>
      <c r="V319" s="150"/>
      <c r="W319" s="26"/>
    </row>
    <row r="320" spans="1:23" ht="20" customHeight="1">
      <c r="A320" s="380"/>
      <c r="B320" s="156"/>
      <c r="C320" s="137"/>
      <c r="D320" s="137"/>
      <c r="E320" s="137"/>
      <c r="F320" s="137"/>
      <c r="G320" s="136"/>
      <c r="H320" s="137"/>
      <c r="I320" s="137"/>
      <c r="J320" s="138"/>
      <c r="K320" s="137"/>
      <c r="L320" s="137"/>
      <c r="M320" s="139"/>
      <c r="N320" s="137"/>
      <c r="O320" s="137"/>
      <c r="P320" s="139"/>
      <c r="Q320" s="137"/>
      <c r="R320" s="137"/>
      <c r="S320" s="137"/>
      <c r="T320" s="137"/>
      <c r="U320" s="137"/>
      <c r="V320" s="150"/>
      <c r="W320" s="26"/>
    </row>
    <row r="321" spans="1:23" ht="20" customHeight="1">
      <c r="A321" s="380"/>
      <c r="B321" s="156"/>
      <c r="C321" s="137"/>
      <c r="D321" s="137"/>
      <c r="E321" s="137"/>
      <c r="F321" s="137"/>
      <c r="G321" s="136"/>
      <c r="H321" s="137"/>
      <c r="I321" s="137"/>
      <c r="J321" s="138"/>
      <c r="K321" s="137"/>
      <c r="L321" s="137"/>
      <c r="M321" s="139"/>
      <c r="N321" s="137"/>
      <c r="O321" s="137"/>
      <c r="P321" s="139"/>
      <c r="Q321" s="137"/>
      <c r="R321" s="137"/>
      <c r="S321" s="137"/>
      <c r="T321" s="137"/>
      <c r="U321" s="137"/>
      <c r="V321" s="150"/>
      <c r="W321" s="26"/>
    </row>
    <row r="322" spans="1:23" ht="20" customHeight="1">
      <c r="A322" s="380"/>
      <c r="B322" s="156"/>
      <c r="C322" s="137"/>
      <c r="D322" s="137"/>
      <c r="E322" s="137"/>
      <c r="F322" s="137"/>
      <c r="G322" s="136"/>
      <c r="H322" s="137"/>
      <c r="I322" s="137"/>
      <c r="J322" s="138"/>
      <c r="K322" s="137"/>
      <c r="L322" s="137"/>
      <c r="M322" s="139"/>
      <c r="N322" s="137"/>
      <c r="O322" s="137"/>
      <c r="P322" s="139"/>
      <c r="Q322" s="137"/>
      <c r="R322" s="137"/>
      <c r="S322" s="137"/>
      <c r="T322" s="137"/>
      <c r="U322" s="137"/>
      <c r="V322" s="150"/>
      <c r="W322" s="26"/>
    </row>
    <row r="323" spans="1:23" ht="20" customHeight="1">
      <c r="A323" s="380"/>
      <c r="B323" s="156"/>
      <c r="C323" s="137"/>
      <c r="D323" s="137"/>
      <c r="E323" s="137"/>
      <c r="F323" s="137"/>
      <c r="G323" s="136"/>
      <c r="H323" s="137"/>
      <c r="I323" s="137"/>
      <c r="J323" s="138"/>
      <c r="K323" s="137"/>
      <c r="L323" s="137"/>
      <c r="M323" s="139"/>
      <c r="N323" s="137"/>
      <c r="O323" s="137"/>
      <c r="P323" s="139"/>
      <c r="Q323" s="137"/>
      <c r="R323" s="137"/>
      <c r="S323" s="137"/>
      <c r="T323" s="137"/>
      <c r="U323" s="137"/>
      <c r="V323" s="150"/>
      <c r="W323" s="26"/>
    </row>
    <row r="324" spans="1:23" ht="20" customHeight="1">
      <c r="A324" s="380"/>
      <c r="B324" s="156"/>
      <c r="C324" s="137"/>
      <c r="D324" s="137"/>
      <c r="E324" s="137"/>
      <c r="F324" s="137"/>
      <c r="G324" s="136"/>
      <c r="H324" s="137"/>
      <c r="I324" s="137"/>
      <c r="J324" s="138"/>
      <c r="K324" s="137"/>
      <c r="L324" s="137"/>
      <c r="M324" s="139"/>
      <c r="N324" s="137"/>
      <c r="O324" s="137"/>
      <c r="P324" s="139"/>
      <c r="Q324" s="137"/>
      <c r="R324" s="137"/>
      <c r="S324" s="137"/>
      <c r="T324" s="137"/>
      <c r="U324" s="137"/>
      <c r="V324" s="150"/>
      <c r="W324" s="26"/>
    </row>
    <row r="325" spans="1:23" ht="20" customHeight="1" thickBot="1">
      <c r="A325" s="381"/>
      <c r="B325" s="157"/>
      <c r="C325" s="151"/>
      <c r="D325" s="151"/>
      <c r="E325" s="151"/>
      <c r="F325" s="151"/>
      <c r="G325" s="152"/>
      <c r="H325" s="151"/>
      <c r="I325" s="151"/>
      <c r="J325" s="153"/>
      <c r="K325" s="151"/>
      <c r="L325" s="151"/>
      <c r="M325" s="154"/>
      <c r="N325" s="151"/>
      <c r="O325" s="151"/>
      <c r="P325" s="154"/>
      <c r="Q325" s="151"/>
      <c r="R325" s="151"/>
      <c r="S325" s="151"/>
      <c r="T325" s="151"/>
      <c r="U325" s="151"/>
      <c r="V325" s="155"/>
      <c r="W325" s="26"/>
    </row>
    <row r="326" spans="1:23" ht="20" customHeight="1">
      <c r="A326" s="379" t="str">
        <f>'Read Me First'!C17</f>
        <v>White Horse Harriers</v>
      </c>
      <c r="B326" s="144" t="str" cm="1">
        <f t="array" ref="B326">_xlfn.LET(_xlpm.x, _xlfn._xlws.SORT(_xlfn._xlws.FILTER(Data!$A$54:$U$341,(Data!$C$54:$C$341=$A326)*(Data!$D$54:$D$341=$E$196)*(Data!$E$54:$E$341="U10")),18),_xlpm.y,_xlfn._xlws.SORT(_xlfn._xlws.FILTER(Data!$A$54:$U$341,(Data!$C$54:$C$341=$A326)*(Data!$D$54:$D$341=$E$196)*(Data!$E$54:$E$341="U12")),19), IFERROR(_xlfn.VSTACK(_xlpm.x,_xlpm.y), IFERROR(_xlpm.y,IFERROR(_xlpm.x, ""))))</f>
        <v/>
      </c>
      <c r="C326" s="145"/>
      <c r="D326" s="145"/>
      <c r="E326" s="145"/>
      <c r="F326" s="145"/>
      <c r="G326" s="146"/>
      <c r="H326" s="145"/>
      <c r="I326" s="145"/>
      <c r="J326" s="147"/>
      <c r="K326" s="145"/>
      <c r="L326" s="145"/>
      <c r="M326" s="148"/>
      <c r="N326" s="145"/>
      <c r="O326" s="145"/>
      <c r="P326" s="148"/>
      <c r="Q326" s="145"/>
      <c r="R326" s="145"/>
      <c r="S326" s="145"/>
      <c r="T326" s="145"/>
      <c r="U326" s="145"/>
      <c r="V326" s="149"/>
      <c r="W326" s="20"/>
    </row>
    <row r="327" spans="1:23" ht="20" customHeight="1">
      <c r="A327" s="380"/>
      <c r="B327" s="156"/>
      <c r="C327" s="137"/>
      <c r="D327" s="137"/>
      <c r="E327" s="137"/>
      <c r="F327" s="137"/>
      <c r="G327" s="136"/>
      <c r="H327" s="137"/>
      <c r="I327" s="137"/>
      <c r="J327" s="138"/>
      <c r="K327" s="137"/>
      <c r="L327" s="137"/>
      <c r="M327" s="139"/>
      <c r="N327" s="137"/>
      <c r="O327" s="137"/>
      <c r="P327" s="139"/>
      <c r="Q327" s="137"/>
      <c r="R327" s="137"/>
      <c r="S327" s="137"/>
      <c r="T327" s="137"/>
      <c r="U327" s="137"/>
      <c r="V327" s="150"/>
      <c r="W327" s="26"/>
    </row>
    <row r="328" spans="1:23" ht="20" customHeight="1">
      <c r="A328" s="380"/>
      <c r="B328" s="156"/>
      <c r="C328" s="137"/>
      <c r="D328" s="137"/>
      <c r="E328" s="137"/>
      <c r="F328" s="137"/>
      <c r="G328" s="136"/>
      <c r="H328" s="137"/>
      <c r="I328" s="137"/>
      <c r="J328" s="138"/>
      <c r="K328" s="137"/>
      <c r="L328" s="137"/>
      <c r="M328" s="139"/>
      <c r="N328" s="137"/>
      <c r="O328" s="137"/>
      <c r="P328" s="139"/>
      <c r="Q328" s="137"/>
      <c r="R328" s="137"/>
      <c r="S328" s="137"/>
      <c r="T328" s="137"/>
      <c r="U328" s="137"/>
      <c r="V328" s="150"/>
      <c r="W328" s="26"/>
    </row>
    <row r="329" spans="1:23" ht="20" customHeight="1">
      <c r="A329" s="380"/>
      <c r="B329" s="156"/>
      <c r="C329" s="137"/>
      <c r="D329" s="137"/>
      <c r="E329" s="137"/>
      <c r="F329" s="137"/>
      <c r="G329" s="136"/>
      <c r="H329" s="137"/>
      <c r="I329" s="137"/>
      <c r="J329" s="138"/>
      <c r="K329" s="137"/>
      <c r="L329" s="137"/>
      <c r="M329" s="139"/>
      <c r="N329" s="137"/>
      <c r="O329" s="137"/>
      <c r="P329" s="139"/>
      <c r="Q329" s="137"/>
      <c r="R329" s="137"/>
      <c r="S329" s="137"/>
      <c r="T329" s="137"/>
      <c r="U329" s="137"/>
      <c r="V329" s="150"/>
      <c r="W329" s="26"/>
    </row>
    <row r="330" spans="1:23" ht="20" customHeight="1">
      <c r="A330" s="380"/>
      <c r="B330" s="156"/>
      <c r="C330" s="137"/>
      <c r="D330" s="137"/>
      <c r="E330" s="137"/>
      <c r="F330" s="137"/>
      <c r="G330" s="136"/>
      <c r="H330" s="137"/>
      <c r="I330" s="137"/>
      <c r="J330" s="138"/>
      <c r="K330" s="137"/>
      <c r="L330" s="137"/>
      <c r="M330" s="139"/>
      <c r="N330" s="137"/>
      <c r="O330" s="137"/>
      <c r="P330" s="139"/>
      <c r="Q330" s="137"/>
      <c r="R330" s="137"/>
      <c r="S330" s="137"/>
      <c r="T330" s="137"/>
      <c r="U330" s="137"/>
      <c r="V330" s="150"/>
      <c r="W330" s="26"/>
    </row>
    <row r="331" spans="1:23" ht="20" customHeight="1">
      <c r="A331" s="380"/>
      <c r="B331" s="156"/>
      <c r="C331" s="137"/>
      <c r="D331" s="137"/>
      <c r="E331" s="137"/>
      <c r="F331" s="137"/>
      <c r="G331" s="136"/>
      <c r="H331" s="137"/>
      <c r="I331" s="137"/>
      <c r="J331" s="138"/>
      <c r="K331" s="137"/>
      <c r="L331" s="137"/>
      <c r="M331" s="139"/>
      <c r="N331" s="137"/>
      <c r="O331" s="137"/>
      <c r="P331" s="139"/>
      <c r="Q331" s="137"/>
      <c r="R331" s="137"/>
      <c r="S331" s="137"/>
      <c r="T331" s="137"/>
      <c r="U331" s="137"/>
      <c r="V331" s="150"/>
      <c r="W331" s="26"/>
    </row>
    <row r="332" spans="1:23" ht="20" customHeight="1">
      <c r="A332" s="380"/>
      <c r="B332" s="156"/>
      <c r="C332" s="137"/>
      <c r="D332" s="137"/>
      <c r="E332" s="137"/>
      <c r="F332" s="137"/>
      <c r="G332" s="136"/>
      <c r="H332" s="137"/>
      <c r="I332" s="137"/>
      <c r="J332" s="138"/>
      <c r="K332" s="137"/>
      <c r="L332" s="137"/>
      <c r="M332" s="139"/>
      <c r="N332" s="137"/>
      <c r="O332" s="137"/>
      <c r="P332" s="139"/>
      <c r="Q332" s="137"/>
      <c r="R332" s="137"/>
      <c r="S332" s="137"/>
      <c r="T332" s="137"/>
      <c r="U332" s="137"/>
      <c r="V332" s="150"/>
      <c r="W332" s="26"/>
    </row>
    <row r="333" spans="1:23" ht="20" customHeight="1">
      <c r="A333" s="380"/>
      <c r="B333" s="156"/>
      <c r="C333" s="137"/>
      <c r="D333" s="137"/>
      <c r="E333" s="137"/>
      <c r="F333" s="137"/>
      <c r="G333" s="136"/>
      <c r="H333" s="137"/>
      <c r="I333" s="137"/>
      <c r="J333" s="138"/>
      <c r="K333" s="137"/>
      <c r="L333" s="137"/>
      <c r="M333" s="139"/>
      <c r="N333" s="137"/>
      <c r="O333" s="137"/>
      <c r="P333" s="139"/>
      <c r="Q333" s="137"/>
      <c r="R333" s="137"/>
      <c r="S333" s="137"/>
      <c r="T333" s="137"/>
      <c r="U333" s="137"/>
      <c r="V333" s="150"/>
      <c r="W333" s="26"/>
    </row>
    <row r="334" spans="1:23" ht="20" customHeight="1">
      <c r="A334" s="380"/>
      <c r="B334" s="156"/>
      <c r="C334" s="137"/>
      <c r="D334" s="137"/>
      <c r="E334" s="137"/>
      <c r="F334" s="137"/>
      <c r="G334" s="136"/>
      <c r="H334" s="137"/>
      <c r="I334" s="137"/>
      <c r="J334" s="138"/>
      <c r="K334" s="137"/>
      <c r="L334" s="137"/>
      <c r="M334" s="139"/>
      <c r="N334" s="137"/>
      <c r="O334" s="137"/>
      <c r="P334" s="139"/>
      <c r="Q334" s="137"/>
      <c r="R334" s="137"/>
      <c r="S334" s="137"/>
      <c r="T334" s="137"/>
      <c r="U334" s="137"/>
      <c r="V334" s="150"/>
      <c r="W334" s="26"/>
    </row>
    <row r="335" spans="1:23" ht="20" customHeight="1">
      <c r="A335" s="380"/>
      <c r="B335" s="156"/>
      <c r="C335" s="137"/>
      <c r="D335" s="137"/>
      <c r="E335" s="137"/>
      <c r="F335" s="137"/>
      <c r="G335" s="136"/>
      <c r="H335" s="137"/>
      <c r="I335" s="137"/>
      <c r="J335" s="138"/>
      <c r="K335" s="137"/>
      <c r="L335" s="137"/>
      <c r="M335" s="139"/>
      <c r="N335" s="137"/>
      <c r="O335" s="137"/>
      <c r="P335" s="139"/>
      <c r="Q335" s="137"/>
      <c r="R335" s="137"/>
      <c r="S335" s="137"/>
      <c r="T335" s="137"/>
      <c r="U335" s="137"/>
      <c r="V335" s="150"/>
      <c r="W335" s="26"/>
    </row>
    <row r="336" spans="1:23" ht="20" customHeight="1">
      <c r="A336" s="380"/>
      <c r="B336" s="156"/>
      <c r="C336" s="137"/>
      <c r="D336" s="137"/>
      <c r="E336" s="137"/>
      <c r="F336" s="137"/>
      <c r="G336" s="136"/>
      <c r="H336" s="137"/>
      <c r="I336" s="137"/>
      <c r="J336" s="138"/>
      <c r="K336" s="137"/>
      <c r="L336" s="137"/>
      <c r="M336" s="139"/>
      <c r="N336" s="137"/>
      <c r="O336" s="137"/>
      <c r="P336" s="139"/>
      <c r="Q336" s="137"/>
      <c r="R336" s="137"/>
      <c r="S336" s="137"/>
      <c r="T336" s="137"/>
      <c r="U336" s="137"/>
      <c r="V336" s="150"/>
      <c r="W336" s="26"/>
    </row>
    <row r="337" spans="1:23" ht="20" customHeight="1">
      <c r="A337" s="380"/>
      <c r="B337" s="156"/>
      <c r="C337" s="137"/>
      <c r="D337" s="137"/>
      <c r="E337" s="137"/>
      <c r="F337" s="137"/>
      <c r="G337" s="136"/>
      <c r="H337" s="137"/>
      <c r="I337" s="137"/>
      <c r="J337" s="138"/>
      <c r="K337" s="137"/>
      <c r="L337" s="137"/>
      <c r="M337" s="139"/>
      <c r="N337" s="137"/>
      <c r="O337" s="137"/>
      <c r="P337" s="139"/>
      <c r="Q337" s="137"/>
      <c r="R337" s="137"/>
      <c r="S337" s="137"/>
      <c r="T337" s="137"/>
      <c r="U337" s="137"/>
      <c r="V337" s="150"/>
      <c r="W337" s="26"/>
    </row>
    <row r="338" spans="1:23" ht="20" customHeight="1">
      <c r="A338" s="380"/>
      <c r="B338" s="156"/>
      <c r="C338" s="137"/>
      <c r="D338" s="137"/>
      <c r="E338" s="137"/>
      <c r="F338" s="137"/>
      <c r="G338" s="136"/>
      <c r="H338" s="137"/>
      <c r="I338" s="137"/>
      <c r="J338" s="138"/>
      <c r="K338" s="137"/>
      <c r="L338" s="137"/>
      <c r="M338" s="139"/>
      <c r="N338" s="137"/>
      <c r="O338" s="137"/>
      <c r="P338" s="139"/>
      <c r="Q338" s="137"/>
      <c r="R338" s="137"/>
      <c r="S338" s="137"/>
      <c r="T338" s="137"/>
      <c r="U338" s="137"/>
      <c r="V338" s="150"/>
      <c r="W338" s="26"/>
    </row>
    <row r="339" spans="1:23" ht="20" customHeight="1">
      <c r="A339" s="380"/>
      <c r="B339" s="156"/>
      <c r="C339" s="137"/>
      <c r="D339" s="137"/>
      <c r="E339" s="137"/>
      <c r="F339" s="137"/>
      <c r="G339" s="136"/>
      <c r="H339" s="137"/>
      <c r="I339" s="137"/>
      <c r="J339" s="138"/>
      <c r="K339" s="137"/>
      <c r="L339" s="137"/>
      <c r="M339" s="139"/>
      <c r="N339" s="137"/>
      <c r="O339" s="137"/>
      <c r="P339" s="139"/>
      <c r="Q339" s="137"/>
      <c r="R339" s="137"/>
      <c r="S339" s="137"/>
      <c r="T339" s="137"/>
      <c r="U339" s="137"/>
      <c r="V339" s="150"/>
      <c r="W339" s="26"/>
    </row>
    <row r="340" spans="1:23" ht="20" customHeight="1">
      <c r="A340" s="380"/>
      <c r="B340" s="156"/>
      <c r="C340" s="137"/>
      <c r="D340" s="137"/>
      <c r="E340" s="137"/>
      <c r="F340" s="137"/>
      <c r="G340" s="136"/>
      <c r="H340" s="137"/>
      <c r="I340" s="137"/>
      <c r="J340" s="138"/>
      <c r="K340" s="137"/>
      <c r="L340" s="137"/>
      <c r="M340" s="139"/>
      <c r="N340" s="137"/>
      <c r="O340" s="137"/>
      <c r="P340" s="139"/>
      <c r="Q340" s="137"/>
      <c r="R340" s="137"/>
      <c r="S340" s="137"/>
      <c r="T340" s="137"/>
      <c r="U340" s="137"/>
      <c r="V340" s="150"/>
      <c r="W340" s="26"/>
    </row>
    <row r="341" spans="1:23" ht="20" customHeight="1">
      <c r="A341" s="380"/>
      <c r="B341" s="156"/>
      <c r="C341" s="137"/>
      <c r="D341" s="137"/>
      <c r="E341" s="137"/>
      <c r="F341" s="137"/>
      <c r="G341" s="136"/>
      <c r="H341" s="137"/>
      <c r="I341" s="137"/>
      <c r="J341" s="138"/>
      <c r="K341" s="137"/>
      <c r="L341" s="137"/>
      <c r="M341" s="139"/>
      <c r="N341" s="137"/>
      <c r="O341" s="137"/>
      <c r="P341" s="139"/>
      <c r="Q341" s="137"/>
      <c r="R341" s="137"/>
      <c r="S341" s="137"/>
      <c r="T341" s="137"/>
      <c r="U341" s="137"/>
      <c r="V341" s="150"/>
      <c r="W341" s="26"/>
    </row>
    <row r="342" spans="1:23" ht="20" customHeight="1">
      <c r="A342" s="380"/>
      <c r="B342" s="156"/>
      <c r="C342" s="137"/>
      <c r="D342" s="137"/>
      <c r="E342" s="137"/>
      <c r="F342" s="137"/>
      <c r="G342" s="136"/>
      <c r="H342" s="137"/>
      <c r="I342" s="137"/>
      <c r="J342" s="138"/>
      <c r="K342" s="137"/>
      <c r="L342" s="137"/>
      <c r="M342" s="139"/>
      <c r="N342" s="137"/>
      <c r="O342" s="137"/>
      <c r="P342" s="139"/>
      <c r="Q342" s="137"/>
      <c r="R342" s="137"/>
      <c r="S342" s="137"/>
      <c r="T342" s="137"/>
      <c r="U342" s="137"/>
      <c r="V342" s="150"/>
      <c r="W342" s="26"/>
    </row>
    <row r="343" spans="1:23" ht="20" customHeight="1">
      <c r="A343" s="380"/>
      <c r="B343" s="156"/>
      <c r="C343" s="137"/>
      <c r="D343" s="137"/>
      <c r="E343" s="137"/>
      <c r="F343" s="137"/>
      <c r="G343" s="136"/>
      <c r="H343" s="137"/>
      <c r="I343" s="137"/>
      <c r="J343" s="138"/>
      <c r="K343" s="137"/>
      <c r="L343" s="137"/>
      <c r="M343" s="139"/>
      <c r="N343" s="137"/>
      <c r="O343" s="137"/>
      <c r="P343" s="139"/>
      <c r="Q343" s="137"/>
      <c r="R343" s="137"/>
      <c r="S343" s="137"/>
      <c r="T343" s="137"/>
      <c r="U343" s="137"/>
      <c r="V343" s="150"/>
      <c r="W343" s="26"/>
    </row>
    <row r="344" spans="1:23" ht="20" customHeight="1">
      <c r="A344" s="380"/>
      <c r="B344" s="156"/>
      <c r="C344" s="137"/>
      <c r="D344" s="137"/>
      <c r="E344" s="137"/>
      <c r="F344" s="137"/>
      <c r="G344" s="136"/>
      <c r="H344" s="137"/>
      <c r="I344" s="137"/>
      <c r="J344" s="138"/>
      <c r="K344" s="137"/>
      <c r="L344" s="137"/>
      <c r="M344" s="139"/>
      <c r="N344" s="137"/>
      <c r="O344" s="137"/>
      <c r="P344" s="139"/>
      <c r="Q344" s="137"/>
      <c r="R344" s="137"/>
      <c r="S344" s="137"/>
      <c r="T344" s="137"/>
      <c r="U344" s="137"/>
      <c r="V344" s="150"/>
      <c r="W344" s="26"/>
    </row>
    <row r="345" spans="1:23" ht="20" customHeight="1" thickBot="1">
      <c r="A345" s="381"/>
      <c r="B345" s="157"/>
      <c r="C345" s="151"/>
      <c r="D345" s="151"/>
      <c r="E345" s="151"/>
      <c r="F345" s="151"/>
      <c r="G345" s="152"/>
      <c r="H345" s="151"/>
      <c r="I345" s="151"/>
      <c r="J345" s="153"/>
      <c r="K345" s="151"/>
      <c r="L345" s="151"/>
      <c r="M345" s="154"/>
      <c r="N345" s="151"/>
      <c r="O345" s="151"/>
      <c r="P345" s="154"/>
      <c r="Q345" s="151"/>
      <c r="R345" s="151"/>
      <c r="S345" s="151"/>
      <c r="T345" s="151"/>
      <c r="U345" s="151"/>
      <c r="V345" s="155"/>
      <c r="W345" s="26"/>
    </row>
    <row r="346" spans="1:23" ht="20" customHeight="1">
      <c r="A346" s="379" t="str">
        <f>'Read Me First'!C18</f>
        <v>Witney Road Runners</v>
      </c>
      <c r="B346" s="144" t="str" cm="1">
        <f t="array" ref="B346">_xlfn.LET(_xlpm.x, _xlfn._xlws.SORT(_xlfn._xlws.FILTER(Data!$A$54:$U$341,(Data!$C$54:$C$341=$A346)*(Data!$D$54:$D$341=$E$196)*(Data!$E$54:$E$341="U10")),18),_xlpm.y,_xlfn._xlws.SORT(_xlfn._xlws.FILTER(Data!$A$54:$U$341,(Data!$C$54:$C$341=$A346)*(Data!$D$54:$D$341=$E$196)*(Data!$E$54:$E$341="U12")),19), IFERROR(_xlfn.VSTACK(_xlpm.x,_xlpm.y), IFERROR(_xlpm.y,IFERROR(_xlpm.x, ""))))</f>
        <v/>
      </c>
      <c r="C346" s="145"/>
      <c r="D346" s="145"/>
      <c r="E346" s="145"/>
      <c r="F346" s="145"/>
      <c r="G346" s="146"/>
      <c r="H346" s="145"/>
      <c r="I346" s="145"/>
      <c r="J346" s="147"/>
      <c r="K346" s="145"/>
      <c r="L346" s="145"/>
      <c r="M346" s="148"/>
      <c r="N346" s="145"/>
      <c r="O346" s="145"/>
      <c r="P346" s="148"/>
      <c r="Q346" s="145"/>
      <c r="R346" s="145"/>
      <c r="S346" s="145"/>
      <c r="T346" s="145"/>
      <c r="U346" s="145"/>
      <c r="V346" s="149"/>
      <c r="W346" s="26"/>
    </row>
    <row r="347" spans="1:23" ht="20" customHeight="1">
      <c r="A347" s="380"/>
      <c r="B347" s="156"/>
      <c r="C347" s="137"/>
      <c r="D347" s="137"/>
      <c r="E347" s="137"/>
      <c r="F347" s="137"/>
      <c r="G347" s="136"/>
      <c r="H347" s="137"/>
      <c r="I347" s="137"/>
      <c r="J347" s="138"/>
      <c r="K347" s="137"/>
      <c r="L347" s="137"/>
      <c r="M347" s="139"/>
      <c r="N347" s="137"/>
      <c r="O347" s="137"/>
      <c r="P347" s="139"/>
      <c r="Q347" s="137"/>
      <c r="R347" s="137"/>
      <c r="S347" s="137"/>
      <c r="T347" s="137"/>
      <c r="U347" s="137"/>
      <c r="V347" s="150"/>
      <c r="W347" s="20"/>
    </row>
    <row r="348" spans="1:23" ht="20" customHeight="1">
      <c r="A348" s="380"/>
      <c r="B348" s="156"/>
      <c r="C348" s="137"/>
      <c r="D348" s="137"/>
      <c r="E348" s="137"/>
      <c r="F348" s="137"/>
      <c r="G348" s="136"/>
      <c r="H348" s="137"/>
      <c r="I348" s="137"/>
      <c r="J348" s="138"/>
      <c r="K348" s="137"/>
      <c r="L348" s="137"/>
      <c r="M348" s="139"/>
      <c r="N348" s="137"/>
      <c r="O348" s="137"/>
      <c r="P348" s="139"/>
      <c r="Q348" s="137"/>
      <c r="R348" s="137"/>
      <c r="S348" s="137"/>
      <c r="T348" s="137"/>
      <c r="U348" s="137"/>
      <c r="V348" s="150"/>
      <c r="W348" s="26"/>
    </row>
    <row r="349" spans="1:23" ht="20" customHeight="1">
      <c r="A349" s="380"/>
      <c r="B349" s="156"/>
      <c r="C349" s="137"/>
      <c r="D349" s="137"/>
      <c r="E349" s="137"/>
      <c r="F349" s="137"/>
      <c r="G349" s="136"/>
      <c r="H349" s="137"/>
      <c r="I349" s="137"/>
      <c r="J349" s="138"/>
      <c r="K349" s="137"/>
      <c r="L349" s="137"/>
      <c r="M349" s="139"/>
      <c r="N349" s="137"/>
      <c r="O349" s="137"/>
      <c r="P349" s="139"/>
      <c r="Q349" s="137"/>
      <c r="R349" s="137"/>
      <c r="S349" s="137"/>
      <c r="T349" s="137"/>
      <c r="U349" s="137"/>
      <c r="V349" s="150"/>
      <c r="W349" s="26"/>
    </row>
    <row r="350" spans="1:23" ht="20" customHeight="1">
      <c r="A350" s="380"/>
      <c r="B350" s="156"/>
      <c r="C350" s="137"/>
      <c r="D350" s="137"/>
      <c r="E350" s="137"/>
      <c r="F350" s="137"/>
      <c r="G350" s="136"/>
      <c r="H350" s="137"/>
      <c r="I350" s="137"/>
      <c r="J350" s="138"/>
      <c r="K350" s="137"/>
      <c r="L350" s="137"/>
      <c r="M350" s="139"/>
      <c r="N350" s="137"/>
      <c r="O350" s="137"/>
      <c r="P350" s="139"/>
      <c r="Q350" s="137"/>
      <c r="R350" s="137"/>
      <c r="S350" s="137"/>
      <c r="T350" s="137"/>
      <c r="U350" s="137"/>
      <c r="V350" s="150"/>
      <c r="W350" s="26"/>
    </row>
    <row r="351" spans="1:23" ht="20" customHeight="1">
      <c r="A351" s="380"/>
      <c r="B351" s="156"/>
      <c r="C351" s="137"/>
      <c r="D351" s="137"/>
      <c r="E351" s="137"/>
      <c r="F351" s="137"/>
      <c r="G351" s="136"/>
      <c r="H351" s="137"/>
      <c r="I351" s="137"/>
      <c r="J351" s="138"/>
      <c r="K351" s="137"/>
      <c r="L351" s="137"/>
      <c r="M351" s="139"/>
      <c r="N351" s="137"/>
      <c r="O351" s="137"/>
      <c r="P351" s="139"/>
      <c r="Q351" s="137"/>
      <c r="R351" s="137"/>
      <c r="S351" s="137"/>
      <c r="T351" s="137"/>
      <c r="U351" s="137"/>
      <c r="V351" s="150"/>
      <c r="W351" s="26"/>
    </row>
    <row r="352" spans="1:23" ht="20" customHeight="1">
      <c r="A352" s="380"/>
      <c r="B352" s="156"/>
      <c r="C352" s="137"/>
      <c r="D352" s="137"/>
      <c r="E352" s="137"/>
      <c r="F352" s="137"/>
      <c r="G352" s="136"/>
      <c r="H352" s="137"/>
      <c r="I352" s="137"/>
      <c r="J352" s="138"/>
      <c r="K352" s="137"/>
      <c r="L352" s="137"/>
      <c r="M352" s="139"/>
      <c r="N352" s="137"/>
      <c r="O352" s="137"/>
      <c r="P352" s="139"/>
      <c r="Q352" s="137"/>
      <c r="R352" s="137"/>
      <c r="S352" s="137"/>
      <c r="T352" s="137"/>
      <c r="U352" s="137"/>
      <c r="V352" s="150"/>
      <c r="W352" s="26"/>
    </row>
    <row r="353" spans="1:23" ht="20" customHeight="1">
      <c r="A353" s="380"/>
      <c r="B353" s="156"/>
      <c r="C353" s="137"/>
      <c r="D353" s="137"/>
      <c r="E353" s="137"/>
      <c r="F353" s="137"/>
      <c r="G353" s="136"/>
      <c r="H353" s="137"/>
      <c r="I353" s="137"/>
      <c r="J353" s="138"/>
      <c r="K353" s="137"/>
      <c r="L353" s="137"/>
      <c r="M353" s="139"/>
      <c r="N353" s="137"/>
      <c r="O353" s="137"/>
      <c r="P353" s="139"/>
      <c r="Q353" s="137"/>
      <c r="R353" s="137"/>
      <c r="S353" s="137"/>
      <c r="T353" s="137"/>
      <c r="U353" s="137"/>
      <c r="V353" s="150"/>
      <c r="W353" s="26"/>
    </row>
    <row r="354" spans="1:23" ht="20" customHeight="1">
      <c r="A354" s="380"/>
      <c r="B354" s="156"/>
      <c r="C354" s="137"/>
      <c r="D354" s="137"/>
      <c r="E354" s="137"/>
      <c r="F354" s="137"/>
      <c r="G354" s="136"/>
      <c r="H354" s="137"/>
      <c r="I354" s="137"/>
      <c r="J354" s="138"/>
      <c r="K354" s="137"/>
      <c r="L354" s="137"/>
      <c r="M354" s="139"/>
      <c r="N354" s="137"/>
      <c r="O354" s="137"/>
      <c r="P354" s="139"/>
      <c r="Q354" s="137"/>
      <c r="R354" s="137"/>
      <c r="S354" s="137"/>
      <c r="T354" s="137"/>
      <c r="U354" s="137"/>
      <c r="V354" s="150"/>
      <c r="W354" s="26"/>
    </row>
    <row r="355" spans="1:23" ht="20" customHeight="1">
      <c r="A355" s="380"/>
      <c r="B355" s="156"/>
      <c r="C355" s="137"/>
      <c r="D355" s="137"/>
      <c r="E355" s="137"/>
      <c r="F355" s="137"/>
      <c r="G355" s="136"/>
      <c r="H355" s="137"/>
      <c r="I355" s="137"/>
      <c r="J355" s="138"/>
      <c r="K355" s="137"/>
      <c r="L355" s="137"/>
      <c r="M355" s="139"/>
      <c r="N355" s="137"/>
      <c r="O355" s="137"/>
      <c r="P355" s="139"/>
      <c r="Q355" s="137"/>
      <c r="R355" s="137"/>
      <c r="S355" s="137"/>
      <c r="T355" s="137"/>
      <c r="U355" s="137"/>
      <c r="V355" s="150"/>
      <c r="W355" s="26"/>
    </row>
    <row r="356" spans="1:23" ht="20" customHeight="1">
      <c r="A356" s="380"/>
      <c r="B356" s="156"/>
      <c r="C356" s="137"/>
      <c r="D356" s="137"/>
      <c r="E356" s="137"/>
      <c r="F356" s="137"/>
      <c r="G356" s="136"/>
      <c r="H356" s="137"/>
      <c r="I356" s="137"/>
      <c r="J356" s="138"/>
      <c r="K356" s="137"/>
      <c r="L356" s="137"/>
      <c r="M356" s="139"/>
      <c r="N356" s="137"/>
      <c r="O356" s="137"/>
      <c r="P356" s="139"/>
      <c r="Q356" s="137"/>
      <c r="R356" s="137"/>
      <c r="S356" s="137"/>
      <c r="T356" s="137"/>
      <c r="U356" s="137"/>
      <c r="V356" s="150"/>
      <c r="W356" s="26"/>
    </row>
    <row r="357" spans="1:23" ht="20" customHeight="1">
      <c r="A357" s="380"/>
      <c r="B357" s="156"/>
      <c r="C357" s="137"/>
      <c r="D357" s="137"/>
      <c r="E357" s="137"/>
      <c r="F357" s="137"/>
      <c r="G357" s="136"/>
      <c r="H357" s="137"/>
      <c r="I357" s="137"/>
      <c r="J357" s="138"/>
      <c r="K357" s="137"/>
      <c r="L357" s="137"/>
      <c r="M357" s="139"/>
      <c r="N357" s="137"/>
      <c r="O357" s="137"/>
      <c r="P357" s="139"/>
      <c r="Q357" s="137"/>
      <c r="R357" s="137"/>
      <c r="S357" s="137"/>
      <c r="T357" s="137"/>
      <c r="U357" s="137"/>
      <c r="V357" s="150"/>
      <c r="W357" s="26"/>
    </row>
    <row r="358" spans="1:23" ht="20" customHeight="1">
      <c r="A358" s="380"/>
      <c r="B358" s="156"/>
      <c r="C358" s="137"/>
      <c r="D358" s="137"/>
      <c r="E358" s="137"/>
      <c r="F358" s="137"/>
      <c r="G358" s="136"/>
      <c r="H358" s="137"/>
      <c r="I358" s="137"/>
      <c r="J358" s="138"/>
      <c r="K358" s="137"/>
      <c r="L358" s="137"/>
      <c r="M358" s="139"/>
      <c r="N358" s="137"/>
      <c r="O358" s="137"/>
      <c r="P358" s="139"/>
      <c r="Q358" s="137"/>
      <c r="R358" s="137"/>
      <c r="S358" s="137"/>
      <c r="T358" s="137"/>
      <c r="U358" s="137"/>
      <c r="V358" s="150"/>
      <c r="W358" s="26"/>
    </row>
    <row r="359" spans="1:23" ht="20" customHeight="1">
      <c r="A359" s="380"/>
      <c r="B359" s="156"/>
      <c r="C359" s="137"/>
      <c r="D359" s="137"/>
      <c r="E359" s="137"/>
      <c r="F359" s="137"/>
      <c r="G359" s="136"/>
      <c r="H359" s="137"/>
      <c r="I359" s="137"/>
      <c r="J359" s="138"/>
      <c r="K359" s="137"/>
      <c r="L359" s="137"/>
      <c r="M359" s="139"/>
      <c r="N359" s="137"/>
      <c r="O359" s="137"/>
      <c r="P359" s="139"/>
      <c r="Q359" s="137"/>
      <c r="R359" s="137"/>
      <c r="S359" s="137"/>
      <c r="T359" s="137"/>
      <c r="U359" s="137"/>
      <c r="V359" s="150"/>
      <c r="W359" s="26"/>
    </row>
    <row r="360" spans="1:23" ht="20" customHeight="1">
      <c r="A360" s="380"/>
      <c r="B360" s="156"/>
      <c r="C360" s="137"/>
      <c r="D360" s="137"/>
      <c r="E360" s="137"/>
      <c r="F360" s="137"/>
      <c r="G360" s="136"/>
      <c r="H360" s="137"/>
      <c r="I360" s="137"/>
      <c r="J360" s="138"/>
      <c r="K360" s="137"/>
      <c r="L360" s="137"/>
      <c r="M360" s="139"/>
      <c r="N360" s="137"/>
      <c r="O360" s="137"/>
      <c r="P360" s="139"/>
      <c r="Q360" s="137"/>
      <c r="R360" s="137"/>
      <c r="S360" s="137"/>
      <c r="T360" s="137"/>
      <c r="U360" s="137"/>
      <c r="V360" s="150"/>
      <c r="W360" s="26"/>
    </row>
    <row r="361" spans="1:23" ht="20" customHeight="1">
      <c r="A361" s="380"/>
      <c r="B361" s="156"/>
      <c r="C361" s="137"/>
      <c r="D361" s="137"/>
      <c r="E361" s="137"/>
      <c r="F361" s="137"/>
      <c r="G361" s="136"/>
      <c r="H361" s="137"/>
      <c r="I361" s="137"/>
      <c r="J361" s="138"/>
      <c r="K361" s="137"/>
      <c r="L361" s="137"/>
      <c r="M361" s="139"/>
      <c r="N361" s="137"/>
      <c r="O361" s="137"/>
      <c r="P361" s="139"/>
      <c r="Q361" s="137"/>
      <c r="R361" s="137"/>
      <c r="S361" s="137"/>
      <c r="T361" s="137"/>
      <c r="U361" s="137"/>
      <c r="V361" s="150"/>
      <c r="W361" s="26"/>
    </row>
    <row r="362" spans="1:23" ht="20" customHeight="1">
      <c r="A362" s="380"/>
      <c r="B362" s="156"/>
      <c r="C362" s="137"/>
      <c r="D362" s="137"/>
      <c r="E362" s="137"/>
      <c r="F362" s="137"/>
      <c r="G362" s="136"/>
      <c r="H362" s="137"/>
      <c r="I362" s="137"/>
      <c r="J362" s="138"/>
      <c r="K362" s="137"/>
      <c r="L362" s="137"/>
      <c r="M362" s="139"/>
      <c r="N362" s="137"/>
      <c r="O362" s="137"/>
      <c r="P362" s="139"/>
      <c r="Q362" s="137"/>
      <c r="R362" s="137"/>
      <c r="S362" s="137"/>
      <c r="T362" s="137"/>
      <c r="U362" s="137"/>
      <c r="V362" s="150"/>
      <c r="W362" s="26"/>
    </row>
    <row r="363" spans="1:23" ht="20" customHeight="1">
      <c r="A363" s="380"/>
      <c r="B363" s="156"/>
      <c r="C363" s="137"/>
      <c r="D363" s="137"/>
      <c r="E363" s="137"/>
      <c r="F363" s="137"/>
      <c r="G363" s="136"/>
      <c r="H363" s="137"/>
      <c r="I363" s="137"/>
      <c r="J363" s="138"/>
      <c r="K363" s="137"/>
      <c r="L363" s="137"/>
      <c r="M363" s="139"/>
      <c r="N363" s="137"/>
      <c r="O363" s="137"/>
      <c r="P363" s="139"/>
      <c r="Q363" s="137"/>
      <c r="R363" s="137"/>
      <c r="S363" s="137"/>
      <c r="T363" s="137"/>
      <c r="U363" s="137"/>
      <c r="V363" s="150"/>
      <c r="W363" s="26"/>
    </row>
    <row r="364" spans="1:23" ht="20" customHeight="1">
      <c r="A364" s="380"/>
      <c r="B364" s="156"/>
      <c r="C364" s="137"/>
      <c r="D364" s="137"/>
      <c r="E364" s="137"/>
      <c r="F364" s="137"/>
      <c r="G364" s="136"/>
      <c r="H364" s="137"/>
      <c r="I364" s="137"/>
      <c r="J364" s="138"/>
      <c r="K364" s="137"/>
      <c r="L364" s="137"/>
      <c r="M364" s="139"/>
      <c r="N364" s="137"/>
      <c r="O364" s="137"/>
      <c r="P364" s="139"/>
      <c r="Q364" s="137"/>
      <c r="R364" s="137"/>
      <c r="S364" s="137"/>
      <c r="T364" s="137"/>
      <c r="U364" s="137"/>
      <c r="V364" s="150"/>
      <c r="W364" s="26"/>
    </row>
    <row r="365" spans="1:23" ht="20" customHeight="1" thickBot="1">
      <c r="A365" s="381"/>
      <c r="B365" s="157"/>
      <c r="C365" s="151"/>
      <c r="D365" s="151"/>
      <c r="E365" s="151"/>
      <c r="F365" s="151"/>
      <c r="G365" s="152"/>
      <c r="H365" s="151"/>
      <c r="I365" s="151"/>
      <c r="J365" s="153"/>
      <c r="K365" s="151"/>
      <c r="L365" s="151"/>
      <c r="M365" s="154"/>
      <c r="N365" s="151"/>
      <c r="O365" s="151"/>
      <c r="P365" s="154"/>
      <c r="Q365" s="151"/>
      <c r="R365" s="151"/>
      <c r="S365" s="151"/>
      <c r="T365" s="151"/>
      <c r="U365" s="151"/>
      <c r="V365" s="155"/>
      <c r="W365" s="26"/>
    </row>
    <row r="366" spans="1:23" ht="20" customHeight="1">
      <c r="A366" s="379" t="str">
        <f>'Read Me First'!C19</f>
        <v>Great Milton AC</v>
      </c>
      <c r="B366" s="144" t="str" cm="1">
        <f t="array" ref="B366">_xlfn.LET(_xlpm.x, _xlfn._xlws.SORT(_xlfn._xlws.FILTER(Data!$A$54:$U$341,(Data!$C$54:$C$341=$A366)*(Data!$D$54:$D$341=$E$196)*(Data!$E$54:$E$341="U10")),18),_xlpm.y,_xlfn._xlws.SORT(_xlfn._xlws.FILTER(Data!$A$54:$U$341,(Data!$C$54:$C$341=$A366)*(Data!$D$54:$D$341=$E$196)*(Data!$E$54:$E$341="U12")),19), IFERROR(_xlfn.VSTACK(_xlpm.x,_xlpm.y), IFERROR(_xlpm.y,IFERROR(_xlpm.x, ""))))</f>
        <v/>
      </c>
      <c r="C366" s="145"/>
      <c r="D366" s="145"/>
      <c r="E366" s="145"/>
      <c r="F366" s="145"/>
      <c r="G366" s="146"/>
      <c r="H366" s="145"/>
      <c r="I366" s="145"/>
      <c r="J366" s="147"/>
      <c r="K366" s="145"/>
      <c r="L366" s="145"/>
      <c r="M366" s="148"/>
      <c r="N366" s="145"/>
      <c r="O366" s="145"/>
      <c r="P366" s="148"/>
      <c r="Q366" s="145"/>
      <c r="R366" s="145"/>
      <c r="S366" s="145"/>
      <c r="T366" s="145"/>
      <c r="U366" s="145"/>
      <c r="V366" s="149"/>
      <c r="W366" s="26"/>
    </row>
    <row r="367" spans="1:23" ht="20" customHeight="1">
      <c r="A367" s="380"/>
      <c r="B367" s="156"/>
      <c r="C367" s="137"/>
      <c r="D367" s="137"/>
      <c r="E367" s="137"/>
      <c r="F367" s="137"/>
      <c r="G367" s="136"/>
      <c r="H367" s="137"/>
      <c r="I367" s="137"/>
      <c r="J367" s="138"/>
      <c r="K367" s="137"/>
      <c r="L367" s="137"/>
      <c r="M367" s="139"/>
      <c r="N367" s="137"/>
      <c r="O367" s="137"/>
      <c r="P367" s="139"/>
      <c r="Q367" s="137"/>
      <c r="R367" s="137"/>
      <c r="S367" s="137"/>
      <c r="T367" s="137"/>
      <c r="U367" s="137"/>
      <c r="V367" s="150"/>
      <c r="W367" s="26"/>
    </row>
    <row r="368" spans="1:23" ht="20" customHeight="1">
      <c r="A368" s="380"/>
      <c r="B368" s="156"/>
      <c r="C368" s="137"/>
      <c r="D368" s="137"/>
      <c r="E368" s="137"/>
      <c r="F368" s="137"/>
      <c r="G368" s="136"/>
      <c r="H368" s="137"/>
      <c r="I368" s="137"/>
      <c r="J368" s="138"/>
      <c r="K368" s="137"/>
      <c r="L368" s="137"/>
      <c r="M368" s="139"/>
      <c r="N368" s="137"/>
      <c r="O368" s="137"/>
      <c r="P368" s="139"/>
      <c r="Q368" s="137"/>
      <c r="R368" s="137"/>
      <c r="S368" s="137"/>
      <c r="T368" s="137"/>
      <c r="U368" s="137"/>
      <c r="V368" s="150"/>
      <c r="W368" s="20"/>
    </row>
    <row r="369" spans="1:23" ht="20" customHeight="1">
      <c r="A369" s="380"/>
      <c r="B369" s="156"/>
      <c r="C369" s="137"/>
      <c r="D369" s="137"/>
      <c r="E369" s="137"/>
      <c r="F369" s="137"/>
      <c r="G369" s="136"/>
      <c r="H369" s="137"/>
      <c r="I369" s="137"/>
      <c r="J369" s="138"/>
      <c r="K369" s="137"/>
      <c r="L369" s="137"/>
      <c r="M369" s="139"/>
      <c r="N369" s="137"/>
      <c r="O369" s="137"/>
      <c r="P369" s="139"/>
      <c r="Q369" s="137"/>
      <c r="R369" s="137"/>
      <c r="S369" s="137"/>
      <c r="T369" s="137"/>
      <c r="U369" s="137"/>
      <c r="V369" s="150"/>
      <c r="W369" s="26"/>
    </row>
    <row r="370" spans="1:23" ht="20" customHeight="1">
      <c r="A370" s="380"/>
      <c r="B370" s="156"/>
      <c r="C370" s="137"/>
      <c r="D370" s="137"/>
      <c r="E370" s="137"/>
      <c r="F370" s="137"/>
      <c r="G370" s="136"/>
      <c r="H370" s="137"/>
      <c r="I370" s="137"/>
      <c r="J370" s="138"/>
      <c r="K370" s="137"/>
      <c r="L370" s="137"/>
      <c r="M370" s="139"/>
      <c r="N370" s="137"/>
      <c r="O370" s="137"/>
      <c r="P370" s="139"/>
      <c r="Q370" s="137"/>
      <c r="R370" s="137"/>
      <c r="S370" s="137"/>
      <c r="T370" s="137"/>
      <c r="U370" s="137"/>
      <c r="V370" s="150"/>
      <c r="W370" s="26"/>
    </row>
    <row r="371" spans="1:23" ht="20" customHeight="1">
      <c r="A371" s="380"/>
      <c r="B371" s="156"/>
      <c r="C371" s="137"/>
      <c r="D371" s="137"/>
      <c r="E371" s="137"/>
      <c r="F371" s="137"/>
      <c r="G371" s="136"/>
      <c r="H371" s="137"/>
      <c r="I371" s="137"/>
      <c r="J371" s="138"/>
      <c r="K371" s="137"/>
      <c r="L371" s="137"/>
      <c r="M371" s="139"/>
      <c r="N371" s="137"/>
      <c r="O371" s="137"/>
      <c r="P371" s="139"/>
      <c r="Q371" s="137"/>
      <c r="R371" s="137"/>
      <c r="S371" s="137"/>
      <c r="T371" s="137"/>
      <c r="U371" s="137"/>
      <c r="V371" s="150"/>
      <c r="W371" s="26"/>
    </row>
    <row r="372" spans="1:23" ht="20" customHeight="1">
      <c r="A372" s="380"/>
      <c r="B372" s="156"/>
      <c r="C372" s="137"/>
      <c r="D372" s="137"/>
      <c r="E372" s="137"/>
      <c r="F372" s="137"/>
      <c r="G372" s="136"/>
      <c r="H372" s="137"/>
      <c r="I372" s="137"/>
      <c r="J372" s="138"/>
      <c r="K372" s="137"/>
      <c r="L372" s="137"/>
      <c r="M372" s="139"/>
      <c r="N372" s="137"/>
      <c r="O372" s="137"/>
      <c r="P372" s="139"/>
      <c r="Q372" s="137"/>
      <c r="R372" s="137"/>
      <c r="S372" s="137"/>
      <c r="T372" s="137"/>
      <c r="U372" s="137"/>
      <c r="V372" s="150"/>
      <c r="W372" s="26"/>
    </row>
    <row r="373" spans="1:23" ht="20" customHeight="1">
      <c r="A373" s="380"/>
      <c r="B373" s="156"/>
      <c r="C373" s="137"/>
      <c r="D373" s="137"/>
      <c r="E373" s="137"/>
      <c r="F373" s="137"/>
      <c r="G373" s="136"/>
      <c r="H373" s="137"/>
      <c r="I373" s="137"/>
      <c r="J373" s="138"/>
      <c r="K373" s="137"/>
      <c r="L373" s="137"/>
      <c r="M373" s="139"/>
      <c r="N373" s="137"/>
      <c r="O373" s="137"/>
      <c r="P373" s="139"/>
      <c r="Q373" s="137"/>
      <c r="R373" s="137"/>
      <c r="S373" s="137"/>
      <c r="T373" s="137"/>
      <c r="U373" s="137"/>
      <c r="V373" s="150"/>
      <c r="W373" s="26"/>
    </row>
    <row r="374" spans="1:23" ht="20" customHeight="1">
      <c r="A374" s="380"/>
      <c r="B374" s="156"/>
      <c r="C374" s="137"/>
      <c r="D374" s="137"/>
      <c r="E374" s="137"/>
      <c r="F374" s="137"/>
      <c r="G374" s="136"/>
      <c r="H374" s="137"/>
      <c r="I374" s="137"/>
      <c r="J374" s="138"/>
      <c r="K374" s="137"/>
      <c r="L374" s="137"/>
      <c r="M374" s="139"/>
      <c r="N374" s="137"/>
      <c r="O374" s="137"/>
      <c r="P374" s="139"/>
      <c r="Q374" s="137"/>
      <c r="R374" s="137"/>
      <c r="S374" s="137"/>
      <c r="T374" s="137"/>
      <c r="U374" s="137"/>
      <c r="V374" s="150"/>
      <c r="W374" s="26"/>
    </row>
    <row r="375" spans="1:23" ht="20" customHeight="1">
      <c r="A375" s="380"/>
      <c r="B375" s="156"/>
      <c r="C375" s="137"/>
      <c r="D375" s="137"/>
      <c r="E375" s="137"/>
      <c r="F375" s="137"/>
      <c r="G375" s="136"/>
      <c r="H375" s="137"/>
      <c r="I375" s="137"/>
      <c r="J375" s="138"/>
      <c r="K375" s="137"/>
      <c r="L375" s="137"/>
      <c r="M375" s="139"/>
      <c r="N375" s="137"/>
      <c r="O375" s="137"/>
      <c r="P375" s="139"/>
      <c r="Q375" s="137"/>
      <c r="R375" s="137"/>
      <c r="S375" s="137"/>
      <c r="T375" s="137"/>
      <c r="U375" s="137"/>
      <c r="V375" s="150"/>
      <c r="W375" s="26"/>
    </row>
    <row r="376" spans="1:23" ht="20" customHeight="1">
      <c r="A376" s="380"/>
      <c r="B376" s="156"/>
      <c r="C376" s="137"/>
      <c r="D376" s="137"/>
      <c r="E376" s="137"/>
      <c r="F376" s="137"/>
      <c r="G376" s="136"/>
      <c r="H376" s="137"/>
      <c r="I376" s="137"/>
      <c r="J376" s="138"/>
      <c r="K376" s="137"/>
      <c r="L376" s="137"/>
      <c r="M376" s="139"/>
      <c r="N376" s="137"/>
      <c r="O376" s="137"/>
      <c r="P376" s="139"/>
      <c r="Q376" s="137"/>
      <c r="R376" s="137"/>
      <c r="S376" s="137"/>
      <c r="T376" s="137"/>
      <c r="U376" s="137"/>
      <c r="V376" s="150"/>
      <c r="W376" s="26"/>
    </row>
    <row r="377" spans="1:23" ht="20" customHeight="1">
      <c r="A377" s="380"/>
      <c r="B377" s="156"/>
      <c r="C377" s="137"/>
      <c r="D377" s="137"/>
      <c r="E377" s="137"/>
      <c r="F377" s="137"/>
      <c r="G377" s="136"/>
      <c r="H377" s="137"/>
      <c r="I377" s="137"/>
      <c r="J377" s="138"/>
      <c r="K377" s="137"/>
      <c r="L377" s="137"/>
      <c r="M377" s="139"/>
      <c r="N377" s="137"/>
      <c r="O377" s="137"/>
      <c r="P377" s="139"/>
      <c r="Q377" s="137"/>
      <c r="R377" s="137"/>
      <c r="S377" s="137"/>
      <c r="T377" s="137"/>
      <c r="U377" s="137"/>
      <c r="V377" s="150"/>
      <c r="W377" s="26"/>
    </row>
    <row r="378" spans="1:23" ht="20" customHeight="1">
      <c r="A378" s="380"/>
      <c r="B378" s="156"/>
      <c r="C378" s="137"/>
      <c r="D378" s="137"/>
      <c r="E378" s="137"/>
      <c r="F378" s="137"/>
      <c r="G378" s="136"/>
      <c r="H378" s="137"/>
      <c r="I378" s="137"/>
      <c r="J378" s="138"/>
      <c r="K378" s="137"/>
      <c r="L378" s="137"/>
      <c r="M378" s="139"/>
      <c r="N378" s="137"/>
      <c r="O378" s="137"/>
      <c r="P378" s="139"/>
      <c r="Q378" s="137"/>
      <c r="R378" s="137"/>
      <c r="S378" s="137"/>
      <c r="T378" s="137"/>
      <c r="U378" s="137"/>
      <c r="V378" s="150"/>
      <c r="W378" s="26"/>
    </row>
    <row r="379" spans="1:23" ht="20" customHeight="1">
      <c r="A379" s="380"/>
      <c r="B379" s="156"/>
      <c r="C379" s="137"/>
      <c r="D379" s="137"/>
      <c r="E379" s="137"/>
      <c r="F379" s="137"/>
      <c r="G379" s="136"/>
      <c r="H379" s="137"/>
      <c r="I379" s="137"/>
      <c r="J379" s="138"/>
      <c r="K379" s="137"/>
      <c r="L379" s="137"/>
      <c r="M379" s="139"/>
      <c r="N379" s="137"/>
      <c r="O379" s="137"/>
      <c r="P379" s="139"/>
      <c r="Q379" s="137"/>
      <c r="R379" s="137"/>
      <c r="S379" s="137"/>
      <c r="T379" s="137"/>
      <c r="U379" s="137"/>
      <c r="V379" s="150"/>
      <c r="W379" s="26"/>
    </row>
    <row r="380" spans="1:23" ht="20" customHeight="1">
      <c r="A380" s="380"/>
      <c r="B380" s="156"/>
      <c r="C380" s="137"/>
      <c r="D380" s="137"/>
      <c r="E380" s="137"/>
      <c r="F380" s="137"/>
      <c r="G380" s="136"/>
      <c r="H380" s="137"/>
      <c r="I380" s="137"/>
      <c r="J380" s="138"/>
      <c r="K380" s="137"/>
      <c r="L380" s="137"/>
      <c r="M380" s="139"/>
      <c r="N380" s="137"/>
      <c r="O380" s="137"/>
      <c r="P380" s="139"/>
      <c r="Q380" s="137"/>
      <c r="R380" s="137"/>
      <c r="S380" s="137"/>
      <c r="T380" s="137"/>
      <c r="U380" s="137"/>
      <c r="V380" s="150"/>
      <c r="W380" s="26"/>
    </row>
    <row r="381" spans="1:23" ht="20" customHeight="1">
      <c r="A381" s="380"/>
      <c r="B381" s="156"/>
      <c r="C381" s="137"/>
      <c r="D381" s="137"/>
      <c r="E381" s="137"/>
      <c r="F381" s="137"/>
      <c r="G381" s="136"/>
      <c r="H381" s="137"/>
      <c r="I381" s="137"/>
      <c r="J381" s="138"/>
      <c r="K381" s="137"/>
      <c r="L381" s="137"/>
      <c r="M381" s="139"/>
      <c r="N381" s="137"/>
      <c r="O381" s="137"/>
      <c r="P381" s="139"/>
      <c r="Q381" s="137"/>
      <c r="R381" s="137"/>
      <c r="S381" s="137"/>
      <c r="T381" s="137"/>
      <c r="U381" s="137"/>
      <c r="V381" s="150"/>
      <c r="W381" s="26"/>
    </row>
    <row r="382" spans="1:23" ht="20" customHeight="1">
      <c r="A382" s="380"/>
      <c r="B382" s="156"/>
      <c r="C382" s="137"/>
      <c r="D382" s="137"/>
      <c r="E382" s="137"/>
      <c r="F382" s="137"/>
      <c r="G382" s="136"/>
      <c r="H382" s="137"/>
      <c r="I382" s="137"/>
      <c r="J382" s="138"/>
      <c r="K382" s="137"/>
      <c r="L382" s="137"/>
      <c r="M382" s="139"/>
      <c r="N382" s="137"/>
      <c r="O382" s="137"/>
      <c r="P382" s="139"/>
      <c r="Q382" s="137"/>
      <c r="R382" s="137"/>
      <c r="S382" s="137"/>
      <c r="T382" s="137"/>
      <c r="U382" s="137"/>
      <c r="V382" s="150"/>
      <c r="W382" s="26"/>
    </row>
    <row r="383" spans="1:23" ht="20" customHeight="1">
      <c r="A383" s="380"/>
      <c r="B383" s="156"/>
      <c r="C383" s="137"/>
      <c r="D383" s="137"/>
      <c r="E383" s="137"/>
      <c r="F383" s="137"/>
      <c r="G383" s="136"/>
      <c r="H383" s="137"/>
      <c r="I383" s="137"/>
      <c r="J383" s="138"/>
      <c r="K383" s="137"/>
      <c r="L383" s="137"/>
      <c r="M383" s="139"/>
      <c r="N383" s="137"/>
      <c r="O383" s="137"/>
      <c r="P383" s="139"/>
      <c r="Q383" s="137"/>
      <c r="R383" s="137"/>
      <c r="S383" s="137"/>
      <c r="T383" s="137"/>
      <c r="U383" s="137"/>
      <c r="V383" s="150"/>
      <c r="W383" s="26"/>
    </row>
    <row r="384" spans="1:23" ht="20" customHeight="1">
      <c r="A384" s="380"/>
      <c r="B384" s="156"/>
      <c r="C384" s="137"/>
      <c r="D384" s="137"/>
      <c r="E384" s="137"/>
      <c r="F384" s="137"/>
      <c r="G384" s="136"/>
      <c r="H384" s="137"/>
      <c r="I384" s="137"/>
      <c r="J384" s="138"/>
      <c r="K384" s="137"/>
      <c r="L384" s="137"/>
      <c r="M384" s="139"/>
      <c r="N384" s="137"/>
      <c r="O384" s="137"/>
      <c r="P384" s="139"/>
      <c r="Q384" s="137"/>
      <c r="R384" s="137"/>
      <c r="S384" s="137"/>
      <c r="T384" s="137"/>
      <c r="U384" s="137"/>
      <c r="V384" s="150"/>
      <c r="W384" s="26"/>
    </row>
    <row r="385" spans="1:23" ht="20" customHeight="1" thickBot="1">
      <c r="A385" s="381"/>
      <c r="B385" s="157"/>
      <c r="C385" s="151"/>
      <c r="D385" s="151"/>
      <c r="E385" s="151"/>
      <c r="F385" s="151"/>
      <c r="G385" s="152"/>
      <c r="H385" s="151"/>
      <c r="I385" s="151"/>
      <c r="J385" s="153"/>
      <c r="K385" s="151"/>
      <c r="L385" s="151"/>
      <c r="M385" s="154"/>
      <c r="N385" s="151"/>
      <c r="O385" s="151"/>
      <c r="P385" s="154"/>
      <c r="Q385" s="151"/>
      <c r="R385" s="151"/>
      <c r="S385" s="151"/>
      <c r="T385" s="151"/>
      <c r="U385" s="151"/>
      <c r="V385" s="155"/>
      <c r="W385" s="26"/>
    </row>
    <row r="386" spans="1:23" ht="18">
      <c r="W386" s="26"/>
    </row>
    <row r="387" spans="1:23" ht="18">
      <c r="W387" s="26"/>
    </row>
    <row r="388" spans="1:23" ht="18">
      <c r="W388" s="26"/>
    </row>
    <row r="389" spans="1:23" ht="17" customHeight="1">
      <c r="B389" s="187"/>
      <c r="C389" s="187"/>
      <c r="D389" s="187"/>
      <c r="E389" s="187"/>
      <c r="F389" s="187"/>
      <c r="G389" s="187"/>
      <c r="H389" s="187"/>
      <c r="I389" s="187"/>
      <c r="J389" s="187"/>
      <c r="K389" s="187"/>
      <c r="L389" s="187"/>
      <c r="M389" s="187"/>
      <c r="N389" s="187"/>
      <c r="O389" s="187"/>
      <c r="P389" s="187"/>
      <c r="Q389" s="187"/>
      <c r="R389" s="187"/>
      <c r="S389" s="187"/>
      <c r="T389" s="187"/>
      <c r="U389" s="187"/>
      <c r="V389" s="26"/>
      <c r="W389"/>
    </row>
    <row r="390" spans="1:23" ht="18">
      <c r="W390" s="26"/>
    </row>
    <row r="391" spans="1:23" ht="18">
      <c r="W391" s="26"/>
    </row>
    <row r="392" spans="1:23" ht="18">
      <c r="W392" s="26"/>
    </row>
    <row r="393" spans="1:23" ht="18">
      <c r="W393" s="26"/>
    </row>
    <row r="394" spans="1:23" ht="18">
      <c r="W394" s="26"/>
    </row>
    <row r="395" spans="1:23" ht="45">
      <c r="B395" s="403" t="s">
        <v>101</v>
      </c>
      <c r="C395" s="404"/>
      <c r="D395" s="404"/>
      <c r="E395" s="404"/>
      <c r="F395" s="404"/>
      <c r="G395" s="404"/>
      <c r="H395" s="404"/>
      <c r="I395" s="404"/>
      <c r="J395" s="404"/>
      <c r="K395" s="404"/>
      <c r="L395" s="404"/>
      <c r="M395" s="404"/>
      <c r="N395" s="404"/>
      <c r="O395" s="404"/>
      <c r="P395" s="404"/>
      <c r="Q395" s="404"/>
      <c r="R395" s="404"/>
      <c r="S395" s="404"/>
      <c r="T395" s="404"/>
      <c r="U395" s="405"/>
      <c r="V395" s="26"/>
      <c r="W395"/>
    </row>
    <row r="396" spans="1:23" ht="20" customHeight="1">
      <c r="B396" s="167"/>
      <c r="C396" s="167"/>
      <c r="D396" s="167"/>
      <c r="E396" s="167"/>
      <c r="F396" s="167"/>
      <c r="G396" s="167"/>
      <c r="H396" s="167"/>
      <c r="I396" s="172"/>
      <c r="J396" s="172"/>
      <c r="K396" s="167"/>
      <c r="L396" s="167"/>
      <c r="M396" s="167"/>
      <c r="N396" s="167"/>
      <c r="O396" s="167"/>
      <c r="P396" s="167"/>
      <c r="Q396" s="167"/>
      <c r="R396" s="167"/>
      <c r="S396" s="167"/>
      <c r="T396" s="167"/>
      <c r="U396" s="167"/>
      <c r="V396" s="26"/>
      <c r="W396"/>
    </row>
    <row r="397" spans="1:23" ht="31" customHeight="1">
      <c r="A397" s="41"/>
      <c r="B397" s="400" t="s">
        <v>167</v>
      </c>
      <c r="C397" s="370"/>
      <c r="D397" s="165" t="s">
        <v>1</v>
      </c>
      <c r="E397" s="374" t="s">
        <v>99</v>
      </c>
      <c r="F397" s="375"/>
      <c r="G397" s="171" t="s">
        <v>100</v>
      </c>
      <c r="H397" s="170"/>
      <c r="K397" s="366" t="s">
        <v>169</v>
      </c>
      <c r="L397" s="366"/>
      <c r="M397" s="366"/>
      <c r="N397" s="366"/>
      <c r="O397" s="366"/>
      <c r="P397" s="366" t="s">
        <v>1</v>
      </c>
      <c r="Q397" s="366"/>
      <c r="R397" s="401" t="s">
        <v>99</v>
      </c>
      <c r="S397" s="375"/>
      <c r="T397" s="374" t="s">
        <v>100</v>
      </c>
      <c r="U397" s="375"/>
      <c r="W397"/>
    </row>
    <row r="398" spans="1:23" ht="31" customHeight="1">
      <c r="A398" s="41"/>
      <c r="B398" s="372" t="str">
        <f>IF(Data!M353=0,"",Data!M353)</f>
        <v/>
      </c>
      <c r="C398" s="373"/>
      <c r="D398" s="164" t="str">
        <f>IF(Data!N353=0,"",Data!N353)</f>
        <v/>
      </c>
      <c r="E398" s="372" t="str">
        <f>IF(Data!O353=0,"",Data!O353)</f>
        <v/>
      </c>
      <c r="F398" s="373"/>
      <c r="G398" s="372" t="str">
        <f>IF(Data!P353=0,"",Data!P353)</f>
        <v/>
      </c>
      <c r="H398" s="373"/>
      <c r="K398" s="372" t="str">
        <f>IF(Data!A353=0,"",Data!A353)</f>
        <v/>
      </c>
      <c r="L398" s="402"/>
      <c r="M398" s="402"/>
      <c r="N398" s="402"/>
      <c r="O398" s="373"/>
      <c r="P398" s="372" t="str">
        <f>IF(Data!B353=0,"",Data!B353)</f>
        <v/>
      </c>
      <c r="Q398" s="373"/>
      <c r="R398" s="372" t="str">
        <f>IF(Data!C353=0,"",Data!C353)</f>
        <v/>
      </c>
      <c r="S398" s="373"/>
      <c r="T398" s="372" t="str">
        <f>IF(Data!D353=0,"",Data!D353)</f>
        <v/>
      </c>
      <c r="U398" s="373"/>
      <c r="W398"/>
    </row>
    <row r="399" spans="1:23" ht="31" customHeight="1">
      <c r="A399" s="41"/>
      <c r="B399" s="372" t="str">
        <f>IF(Data!M354=0,"",Data!M354)</f>
        <v/>
      </c>
      <c r="C399" s="373"/>
      <c r="D399" s="164" t="str">
        <f>IF(Data!N354=0,"",Data!N354)</f>
        <v/>
      </c>
      <c r="E399" s="372" t="str">
        <f>IF(Data!O354=0,"",Data!O354)</f>
        <v/>
      </c>
      <c r="F399" s="373"/>
      <c r="G399" s="372" t="str">
        <f>IF(Data!P354=0,"",Data!P354)</f>
        <v/>
      </c>
      <c r="H399" s="373"/>
      <c r="K399" s="372" t="str">
        <f>IF(Data!A354=0,"",Data!A354)</f>
        <v/>
      </c>
      <c r="L399" s="402"/>
      <c r="M399" s="402"/>
      <c r="N399" s="402"/>
      <c r="O399" s="373"/>
      <c r="P399" s="372" t="str">
        <f>IF(Data!B354=0,"",Data!B354)</f>
        <v/>
      </c>
      <c r="Q399" s="373"/>
      <c r="R399" s="372" t="str">
        <f>IF(Data!C354=0,"",Data!C354)</f>
        <v/>
      </c>
      <c r="S399" s="373"/>
      <c r="T399" s="372" t="str">
        <f>IF(Data!D354=0,"",Data!D354)</f>
        <v/>
      </c>
      <c r="U399" s="373"/>
      <c r="W399"/>
    </row>
    <row r="400" spans="1:23" ht="31" customHeight="1">
      <c r="A400" s="41"/>
      <c r="B400" s="372" t="str">
        <f>IF(Data!M355=0,"",Data!M355)</f>
        <v/>
      </c>
      <c r="C400" s="373"/>
      <c r="D400" s="164" t="str">
        <f>IF(Data!N355=0,"",Data!N355)</f>
        <v/>
      </c>
      <c r="E400" s="372" t="str">
        <f>IF(Data!O355=0,"",Data!O355)</f>
        <v/>
      </c>
      <c r="F400" s="373"/>
      <c r="G400" s="372" t="str">
        <f>IF(Data!P355=0,"",Data!P355)</f>
        <v/>
      </c>
      <c r="H400" s="373"/>
      <c r="K400" s="372" t="str">
        <f>IF(Data!A355=0,"",Data!A355)</f>
        <v/>
      </c>
      <c r="L400" s="402"/>
      <c r="M400" s="402"/>
      <c r="N400" s="402"/>
      <c r="O400" s="373"/>
      <c r="P400" s="372" t="str">
        <f>IF(Data!B355=0,"",Data!B355)</f>
        <v/>
      </c>
      <c r="Q400" s="373"/>
      <c r="R400" s="372" t="str">
        <f>IF(Data!C355=0,"",Data!C355)</f>
        <v/>
      </c>
      <c r="S400" s="373"/>
      <c r="T400" s="372" t="str">
        <f>IF(Data!D355=0,"",Data!D355)</f>
        <v/>
      </c>
      <c r="U400" s="373"/>
      <c r="W400"/>
    </row>
    <row r="401" spans="1:23" ht="31" customHeight="1">
      <c r="A401" s="41"/>
      <c r="B401" s="372" t="str">
        <f>IF(Data!M356=0,"",Data!M356)</f>
        <v/>
      </c>
      <c r="C401" s="373"/>
      <c r="D401" s="164" t="str">
        <f>IF(Data!N356=0,"",Data!N356)</f>
        <v/>
      </c>
      <c r="E401" s="372" t="str">
        <f>IF(Data!O356=0,"",Data!O356)</f>
        <v/>
      </c>
      <c r="F401" s="373"/>
      <c r="G401" s="372" t="str">
        <f>IF(Data!P356=0,"",Data!P356)</f>
        <v/>
      </c>
      <c r="H401" s="373"/>
      <c r="K401" s="372" t="str">
        <f>IF(Data!A356=0,"",Data!A356)</f>
        <v/>
      </c>
      <c r="L401" s="402"/>
      <c r="M401" s="402"/>
      <c r="N401" s="402"/>
      <c r="O401" s="373"/>
      <c r="P401" s="372" t="str">
        <f>IF(Data!B356=0,"",Data!B356)</f>
        <v/>
      </c>
      <c r="Q401" s="373"/>
      <c r="R401" s="372" t="str">
        <f>IF(Data!C356=0,"",Data!C356)</f>
        <v/>
      </c>
      <c r="S401" s="373"/>
      <c r="T401" s="372" t="str">
        <f>IF(Data!D356=0,"",Data!D356)</f>
        <v/>
      </c>
      <c r="U401" s="373"/>
      <c r="V401"/>
      <c r="W401"/>
    </row>
    <row r="402" spans="1:23" ht="31" customHeight="1">
      <c r="A402" s="41"/>
      <c r="B402" s="372" t="str">
        <f>IF(Data!M357=0,"",Data!M357)</f>
        <v/>
      </c>
      <c r="C402" s="373"/>
      <c r="D402" s="164" t="str">
        <f>IF(Data!N357=0,"",Data!N357)</f>
        <v/>
      </c>
      <c r="E402" s="372" t="str">
        <f>IF(Data!O357=0,"",Data!O357)</f>
        <v/>
      </c>
      <c r="F402" s="373"/>
      <c r="G402" s="372" t="str">
        <f>IF(Data!P357=0,"",Data!P357)</f>
        <v/>
      </c>
      <c r="H402" s="373"/>
      <c r="K402" s="372" t="str">
        <f>IF(Data!A357=0,"",Data!A357)</f>
        <v/>
      </c>
      <c r="L402" s="402"/>
      <c r="M402" s="402"/>
      <c r="N402" s="402"/>
      <c r="O402" s="373"/>
      <c r="P402" s="372" t="str">
        <f>IF(Data!B357=0,"",Data!B357)</f>
        <v/>
      </c>
      <c r="Q402" s="373"/>
      <c r="R402" s="372" t="str">
        <f>IF(Data!C357=0,"",Data!C357)</f>
        <v/>
      </c>
      <c r="S402" s="373"/>
      <c r="T402" s="372" t="str">
        <f>IF(Data!D357=0,"",Data!D357)</f>
        <v/>
      </c>
      <c r="U402" s="373"/>
      <c r="V402"/>
      <c r="W402"/>
    </row>
    <row r="403" spans="1:23" ht="31" customHeight="1">
      <c r="A403" s="41"/>
      <c r="B403" s="372" t="str">
        <f>IF(Data!M358=0,"",Data!M358)</f>
        <v/>
      </c>
      <c r="C403" s="373"/>
      <c r="D403" s="164" t="str">
        <f>IF(Data!N358=0,"",Data!N358)</f>
        <v/>
      </c>
      <c r="E403" s="372" t="str">
        <f>IF(Data!O358=0,"",Data!O358)</f>
        <v/>
      </c>
      <c r="F403" s="373"/>
      <c r="G403" s="372" t="str">
        <f>IF(Data!P358=0,"",Data!P358)</f>
        <v/>
      </c>
      <c r="H403" s="373"/>
      <c r="K403" s="372" t="str">
        <f>IF(Data!A358=0,"",Data!A358)</f>
        <v/>
      </c>
      <c r="L403" s="402"/>
      <c r="M403" s="402"/>
      <c r="N403" s="402"/>
      <c r="O403" s="373"/>
      <c r="P403" s="372" t="str">
        <f>IF(Data!B358=0,"",Data!B358)</f>
        <v/>
      </c>
      <c r="Q403" s="373"/>
      <c r="R403" s="372" t="str">
        <f>IF(Data!C358=0,"",Data!C358)</f>
        <v/>
      </c>
      <c r="S403" s="373"/>
      <c r="T403" s="372" t="str">
        <f>IF(Data!D358=0,"",Data!D358)</f>
        <v/>
      </c>
      <c r="U403" s="373"/>
      <c r="V403"/>
      <c r="W403"/>
    </row>
    <row r="404" spans="1:23" ht="31" customHeight="1">
      <c r="A404" s="41"/>
      <c r="B404" s="372" t="str">
        <f>IF(Data!M359=0,"",Data!M359)</f>
        <v/>
      </c>
      <c r="C404" s="373"/>
      <c r="D404" s="164" t="str">
        <f>IF(Data!N359=0,"",Data!N359)</f>
        <v/>
      </c>
      <c r="E404" s="372" t="str">
        <f>IF(Data!O359=0,"",Data!O359)</f>
        <v/>
      </c>
      <c r="F404" s="373"/>
      <c r="G404" s="372" t="str">
        <f>IF(Data!P359=0,"",Data!P359)</f>
        <v/>
      </c>
      <c r="H404" s="373"/>
      <c r="K404" s="372" t="str">
        <f>IF(Data!A359=0,"",Data!A359)</f>
        <v/>
      </c>
      <c r="L404" s="402"/>
      <c r="M404" s="402"/>
      <c r="N404" s="402"/>
      <c r="O404" s="373"/>
      <c r="P404" s="372" t="str">
        <f>IF(Data!B359=0,"",Data!B359)</f>
        <v/>
      </c>
      <c r="Q404" s="373"/>
      <c r="R404" s="372" t="str">
        <f>IF(Data!C359=0,"",Data!C359)</f>
        <v/>
      </c>
      <c r="S404" s="373"/>
      <c r="T404" s="372" t="str">
        <f>IF(Data!D359=0,"",Data!D359)</f>
        <v/>
      </c>
      <c r="U404" s="373"/>
      <c r="V404"/>
      <c r="W404"/>
    </row>
    <row r="405" spans="1:23" ht="31" customHeight="1">
      <c r="A405" s="41"/>
      <c r="B405" s="372" t="str">
        <f>IF(Data!M360=0,"",Data!M360)</f>
        <v/>
      </c>
      <c r="C405" s="373"/>
      <c r="D405" s="164" t="str">
        <f>IF(Data!N360=0,"",Data!N360)</f>
        <v/>
      </c>
      <c r="E405" s="372" t="str">
        <f>IF(Data!O360=0,"",Data!O360)</f>
        <v/>
      </c>
      <c r="F405" s="373"/>
      <c r="G405" s="372" t="str">
        <f>IF(Data!P360=0,"",Data!P360)</f>
        <v/>
      </c>
      <c r="H405" s="373"/>
      <c r="K405" s="372" t="str">
        <f>IF(Data!A360=0,"",Data!A360)</f>
        <v/>
      </c>
      <c r="L405" s="402"/>
      <c r="M405" s="402"/>
      <c r="N405" s="402"/>
      <c r="O405" s="373"/>
      <c r="P405" s="372" t="str">
        <f>IF(Data!B360=0,"",Data!B360)</f>
        <v/>
      </c>
      <c r="Q405" s="373"/>
      <c r="R405" s="372" t="str">
        <f>IF(Data!C360=0,"",Data!C360)</f>
        <v/>
      </c>
      <c r="S405" s="373"/>
      <c r="T405" s="372" t="str">
        <f>IF(Data!D360=0,"",Data!D360)</f>
        <v/>
      </c>
      <c r="U405" s="373"/>
      <c r="V405"/>
      <c r="W405"/>
    </row>
    <row r="406" spans="1:23" ht="20" customHeight="1">
      <c r="E406" s="5"/>
      <c r="F406" s="5"/>
      <c r="G406" s="6"/>
      <c r="H406" s="6"/>
      <c r="K406" s="6"/>
      <c r="L406" s="15"/>
      <c r="M406"/>
      <c r="O406" s="6"/>
      <c r="P406" s="4"/>
      <c r="Q406" s="4"/>
      <c r="V406"/>
      <c r="W406"/>
    </row>
    <row r="407" spans="1:23" ht="31" customHeight="1">
      <c r="A407" s="41"/>
      <c r="B407" s="400" t="s">
        <v>168</v>
      </c>
      <c r="C407" s="370"/>
      <c r="D407" s="165" t="s">
        <v>1</v>
      </c>
      <c r="E407" s="374" t="s">
        <v>99</v>
      </c>
      <c r="F407" s="375"/>
      <c r="G407" s="171" t="s">
        <v>100</v>
      </c>
      <c r="H407" s="166"/>
      <c r="K407" s="366" t="s">
        <v>170</v>
      </c>
      <c r="L407" s="366"/>
      <c r="M407" s="366"/>
      <c r="N407" s="366"/>
      <c r="O407" s="366"/>
      <c r="P407" s="366" t="s">
        <v>1</v>
      </c>
      <c r="Q407" s="366"/>
      <c r="R407" s="401" t="s">
        <v>99</v>
      </c>
      <c r="S407" s="375"/>
      <c r="T407" s="374" t="s">
        <v>100</v>
      </c>
      <c r="U407" s="375"/>
      <c r="W407"/>
    </row>
    <row r="408" spans="1:23" ht="31" customHeight="1">
      <c r="A408" s="41"/>
      <c r="B408" s="372" t="str">
        <f>IF(Data!S353=0,"",Data!S353)</f>
        <v/>
      </c>
      <c r="C408" s="373"/>
      <c r="D408" s="164" t="str">
        <f>IF(Data!T353=0,"",Data!T353)</f>
        <v/>
      </c>
      <c r="E408" s="372" t="str">
        <f>IF(Data!U353=0,"",Data!U353)</f>
        <v/>
      </c>
      <c r="F408" s="373"/>
      <c r="G408" s="372" t="str">
        <f>IF(Data!V353=0,"",Data!V353)</f>
        <v/>
      </c>
      <c r="H408" s="373"/>
      <c r="K408" s="372" t="str">
        <f>IF(Data!H353=0,"",Data!H353)</f>
        <v/>
      </c>
      <c r="L408" s="402"/>
      <c r="M408" s="402"/>
      <c r="N408" s="402"/>
      <c r="O408" s="373"/>
      <c r="P408" s="372" t="str">
        <f>IF(Data!I353=0,"",Data!I353)</f>
        <v/>
      </c>
      <c r="Q408" s="373"/>
      <c r="R408" s="372" t="str">
        <f>IF(Data!J353=0,"",Data!J353)</f>
        <v/>
      </c>
      <c r="S408" s="373"/>
      <c r="T408" s="372" t="str">
        <f>IF(Data!K353=0,"",Data!K353)</f>
        <v/>
      </c>
      <c r="U408" s="373"/>
      <c r="V408" s="163"/>
      <c r="W408"/>
    </row>
    <row r="409" spans="1:23" ht="31" customHeight="1">
      <c r="A409" s="41"/>
      <c r="B409" s="372" t="str">
        <f>IF(Data!S354=0,"",Data!S354)</f>
        <v/>
      </c>
      <c r="C409" s="373"/>
      <c r="D409" s="164" t="str">
        <f>IF(Data!T354=0,"",Data!T354)</f>
        <v/>
      </c>
      <c r="E409" s="372" t="str">
        <f>IF(Data!U354=0,"",Data!U354)</f>
        <v/>
      </c>
      <c r="F409" s="373"/>
      <c r="G409" s="372" t="str">
        <f>IF(Data!V354=0,"",Data!V354)</f>
        <v/>
      </c>
      <c r="H409" s="373"/>
      <c r="K409" s="372" t="str">
        <f>IF(Data!H354=0,"",Data!H354)</f>
        <v/>
      </c>
      <c r="L409" s="402"/>
      <c r="M409" s="402"/>
      <c r="N409" s="402"/>
      <c r="O409" s="373"/>
      <c r="P409" s="372" t="str">
        <f>IF(Data!I354=0,"",Data!I354)</f>
        <v/>
      </c>
      <c r="Q409" s="373"/>
      <c r="R409" s="372" t="str">
        <f>IF(Data!J354=0,"",Data!J354)</f>
        <v/>
      </c>
      <c r="S409" s="373"/>
      <c r="T409" s="372" t="str">
        <f>IF(Data!K354=0,"",Data!K354)</f>
        <v/>
      </c>
      <c r="U409" s="373"/>
      <c r="W409"/>
    </row>
    <row r="410" spans="1:23" ht="31" customHeight="1">
      <c r="A410" s="41"/>
      <c r="B410" s="372" t="str">
        <f>IF(Data!S355=0,"",Data!S355)</f>
        <v/>
      </c>
      <c r="C410" s="373"/>
      <c r="D410" s="164" t="str">
        <f>IF(Data!T355=0,"",Data!T355)</f>
        <v/>
      </c>
      <c r="E410" s="372" t="str">
        <f>IF(Data!U355=0,"",Data!U355)</f>
        <v/>
      </c>
      <c r="F410" s="373"/>
      <c r="G410" s="372" t="str">
        <f>IF(Data!V355=0,"",Data!V355)</f>
        <v/>
      </c>
      <c r="H410" s="373"/>
      <c r="K410" s="372" t="str">
        <f>IF(Data!H355=0,"",Data!H355)</f>
        <v/>
      </c>
      <c r="L410" s="402"/>
      <c r="M410" s="402"/>
      <c r="N410" s="402"/>
      <c r="O410" s="373"/>
      <c r="P410" s="372" t="str">
        <f>IF(Data!I355=0,"",Data!I355)</f>
        <v/>
      </c>
      <c r="Q410" s="373"/>
      <c r="R410" s="372" t="str">
        <f>IF(Data!J355=0,"",Data!J355)</f>
        <v/>
      </c>
      <c r="S410" s="373"/>
      <c r="T410" s="372" t="str">
        <f>IF(Data!K355=0,"",Data!K355)</f>
        <v/>
      </c>
      <c r="U410" s="373"/>
      <c r="W410"/>
    </row>
    <row r="411" spans="1:23" ht="31" customHeight="1">
      <c r="A411" s="41"/>
      <c r="B411" s="372" t="str">
        <f>IF(Data!S356=0,"",Data!S356)</f>
        <v/>
      </c>
      <c r="C411" s="373"/>
      <c r="D411" s="164" t="str">
        <f>IF(Data!T356=0,"",Data!T356)</f>
        <v/>
      </c>
      <c r="E411" s="372" t="str">
        <f>IF(Data!U356=0,"",Data!U356)</f>
        <v/>
      </c>
      <c r="F411" s="373"/>
      <c r="G411" s="372" t="str">
        <f>IF(Data!V356=0,"",Data!V356)</f>
        <v/>
      </c>
      <c r="H411" s="373"/>
      <c r="K411" s="372" t="str">
        <f>IF(Data!H356=0,"",Data!H356)</f>
        <v/>
      </c>
      <c r="L411" s="402"/>
      <c r="M411" s="402"/>
      <c r="N411" s="402"/>
      <c r="O411" s="373"/>
      <c r="P411" s="372" t="str">
        <f>IF(Data!I356=0,"",Data!I356)</f>
        <v/>
      </c>
      <c r="Q411" s="373"/>
      <c r="R411" s="372" t="str">
        <f>IF(Data!J356=0,"",Data!J356)</f>
        <v/>
      </c>
      <c r="S411" s="373"/>
      <c r="T411" s="372" t="str">
        <f>IF(Data!K356=0,"",Data!K356)</f>
        <v/>
      </c>
      <c r="U411" s="373"/>
      <c r="V411"/>
      <c r="W411"/>
    </row>
    <row r="412" spans="1:23" ht="31" customHeight="1">
      <c r="A412" s="41"/>
      <c r="B412" s="372" t="str">
        <f>IF(Data!S357=0,"",Data!S357)</f>
        <v/>
      </c>
      <c r="C412" s="373"/>
      <c r="D412" s="164" t="str">
        <f>IF(Data!T357=0,"",Data!T357)</f>
        <v/>
      </c>
      <c r="E412" s="372" t="str">
        <f>IF(Data!U357=0,"",Data!U357)</f>
        <v/>
      </c>
      <c r="F412" s="373"/>
      <c r="G412" s="372" t="str">
        <f>IF(Data!V357=0,"",Data!V357)</f>
        <v/>
      </c>
      <c r="H412" s="373"/>
      <c r="K412" s="372" t="str">
        <f>IF(Data!H357=0,"",Data!H357)</f>
        <v/>
      </c>
      <c r="L412" s="402"/>
      <c r="M412" s="402"/>
      <c r="N412" s="402"/>
      <c r="O412" s="373"/>
      <c r="P412" s="372" t="str">
        <f>IF(Data!I357=0,"",Data!I357)</f>
        <v/>
      </c>
      <c r="Q412" s="373"/>
      <c r="R412" s="372" t="str">
        <f>IF(Data!J357=0,"",Data!J357)</f>
        <v/>
      </c>
      <c r="S412" s="373"/>
      <c r="T412" s="372" t="str">
        <f>IF(Data!K357=0,"",Data!K357)</f>
        <v/>
      </c>
      <c r="U412" s="373"/>
      <c r="V412"/>
      <c r="W412"/>
    </row>
    <row r="413" spans="1:23" ht="31" customHeight="1">
      <c r="A413" s="41"/>
      <c r="B413" s="372" t="str">
        <f>IF(Data!S358=0,"",Data!S358)</f>
        <v/>
      </c>
      <c r="C413" s="373"/>
      <c r="D413" s="164" t="str">
        <f>IF(Data!T358=0,"",Data!T358)</f>
        <v/>
      </c>
      <c r="E413" s="372" t="str">
        <f>IF(Data!U358=0,"",Data!U358)</f>
        <v/>
      </c>
      <c r="F413" s="373"/>
      <c r="G413" s="372" t="str">
        <f>IF(Data!V358=0,"",Data!V358)</f>
        <v/>
      </c>
      <c r="H413" s="373"/>
      <c r="K413" s="372" t="str">
        <f>IF(Data!H358=0,"",Data!H358)</f>
        <v/>
      </c>
      <c r="L413" s="402"/>
      <c r="M413" s="402"/>
      <c r="N413" s="402"/>
      <c r="O413" s="373"/>
      <c r="P413" s="372" t="str">
        <f>IF(Data!I358=0,"",Data!I358)</f>
        <v/>
      </c>
      <c r="Q413" s="373"/>
      <c r="R413" s="372" t="str">
        <f>IF(Data!J358=0,"",Data!J358)</f>
        <v/>
      </c>
      <c r="S413" s="373"/>
      <c r="T413" s="372" t="str">
        <f>IF(Data!K358=0,"",Data!K358)</f>
        <v/>
      </c>
      <c r="U413" s="373"/>
      <c r="V413"/>
      <c r="W413"/>
    </row>
    <row r="414" spans="1:23" ht="31" customHeight="1">
      <c r="A414" s="41"/>
      <c r="B414" s="372" t="str">
        <f>IF(Data!S359=0,"",Data!S359)</f>
        <v/>
      </c>
      <c r="C414" s="373"/>
      <c r="D414" s="164" t="str">
        <f>IF(Data!T359=0,"",Data!T359)</f>
        <v/>
      </c>
      <c r="E414" s="372" t="str">
        <f>IF(Data!U359=0,"",Data!U359)</f>
        <v/>
      </c>
      <c r="F414" s="373"/>
      <c r="G414" s="372" t="str">
        <f>IF(Data!V359=0,"",Data!V359)</f>
        <v/>
      </c>
      <c r="H414" s="373"/>
      <c r="K414" s="372" t="str">
        <f>IF(Data!H359=0,"",Data!H359)</f>
        <v/>
      </c>
      <c r="L414" s="402"/>
      <c r="M414" s="402"/>
      <c r="N414" s="402"/>
      <c r="O414" s="373"/>
      <c r="P414" s="372" t="str">
        <f>IF(Data!I359=0,"",Data!I359)</f>
        <v/>
      </c>
      <c r="Q414" s="373"/>
      <c r="R414" s="372" t="str">
        <f>IF(Data!J359=0,"",Data!J359)</f>
        <v/>
      </c>
      <c r="S414" s="373"/>
      <c r="T414" s="372" t="str">
        <f>IF(Data!K359=0,"",Data!K359)</f>
        <v/>
      </c>
      <c r="U414" s="373"/>
      <c r="V414"/>
      <c r="W414"/>
    </row>
    <row r="415" spans="1:23" ht="31" customHeight="1">
      <c r="A415" s="41"/>
      <c r="B415" s="372" t="str">
        <f>IF(Data!S360=0,"",Data!S360)</f>
        <v/>
      </c>
      <c r="C415" s="373"/>
      <c r="D415" s="164" t="str">
        <f>IF(Data!T360=0,"",Data!T360)</f>
        <v/>
      </c>
      <c r="E415" s="372" t="str">
        <f>IF(Data!U360=0,"",Data!U360)</f>
        <v/>
      </c>
      <c r="F415" s="373"/>
      <c r="G415" s="372" t="str">
        <f>IF(Data!V360=0,"",Data!V360)</f>
        <v/>
      </c>
      <c r="H415" s="373"/>
      <c r="K415" s="372" t="str">
        <f>IF(Data!H360=0,"",Data!H360)</f>
        <v/>
      </c>
      <c r="L415" s="402"/>
      <c r="M415" s="402"/>
      <c r="N415" s="402"/>
      <c r="O415" s="373"/>
      <c r="P415" s="372" t="str">
        <f>IF(Data!I360=0,"",Data!I360)</f>
        <v/>
      </c>
      <c r="Q415" s="373"/>
      <c r="R415" s="372" t="str">
        <f>IF(Data!J360=0,"",Data!J360)</f>
        <v/>
      </c>
      <c r="S415" s="373"/>
      <c r="T415" s="372" t="str">
        <f>IF(Data!K360=0,"",Data!K360)</f>
        <v/>
      </c>
      <c r="U415" s="373"/>
      <c r="V415"/>
      <c r="W415"/>
    </row>
    <row r="416" spans="1:23" ht="18" customHeight="1">
      <c r="F416" s="5"/>
      <c r="G416" s="4"/>
      <c r="I416" s="6"/>
      <c r="J416" s="15"/>
      <c r="K416" s="15"/>
      <c r="M416" s="6"/>
      <c r="N416" s="6"/>
      <c r="P416"/>
      <c r="Q416" s="4"/>
      <c r="V416"/>
      <c r="W416"/>
    </row>
    <row r="417" spans="1:23" ht="18" customHeight="1">
      <c r="F417" s="5"/>
      <c r="G417" s="4"/>
      <c r="I417" s="6"/>
      <c r="J417"/>
      <c r="L417" s="15"/>
      <c r="M417"/>
      <c r="O417" s="6"/>
      <c r="P417"/>
      <c r="Q417" s="4"/>
      <c r="V417"/>
      <c r="W417"/>
    </row>
    <row r="418" spans="1:23" ht="18" customHeight="1">
      <c r="F418" s="5"/>
      <c r="G418" s="4"/>
      <c r="I418" s="6"/>
      <c r="J418"/>
      <c r="L418" s="15"/>
      <c r="M418"/>
      <c r="O418" s="6"/>
      <c r="P418"/>
      <c r="Q418" s="4"/>
      <c r="V418"/>
      <c r="W418"/>
    </row>
    <row r="419" spans="1:23" ht="45">
      <c r="D419" s="376" t="s">
        <v>103</v>
      </c>
      <c r="E419" s="377"/>
      <c r="F419" s="377"/>
      <c r="G419" s="377"/>
      <c r="H419" s="377"/>
      <c r="I419" s="377"/>
      <c r="J419" s="377"/>
      <c r="K419" s="377"/>
      <c r="L419" s="377"/>
      <c r="M419" s="377"/>
      <c r="N419" s="377"/>
      <c r="O419" s="377"/>
      <c r="P419" s="378"/>
      <c r="Q419" s="4"/>
      <c r="U419"/>
      <c r="V419"/>
      <c r="W419"/>
    </row>
    <row r="420" spans="1:23" ht="31" customHeight="1">
      <c r="A420" s="94"/>
      <c r="B420" s="95"/>
      <c r="C420" s="95"/>
      <c r="D420" s="371" t="s">
        <v>70</v>
      </c>
      <c r="E420" s="371"/>
      <c r="F420" s="371"/>
      <c r="G420" s="371"/>
      <c r="H420" s="367" t="s">
        <v>1</v>
      </c>
      <c r="I420" s="367"/>
      <c r="J420" s="368"/>
      <c r="K420" s="369" t="s">
        <v>100</v>
      </c>
      <c r="L420" s="369"/>
      <c r="M420" s="370"/>
      <c r="N420" s="369" t="s">
        <v>99</v>
      </c>
      <c r="O420" s="369"/>
      <c r="P420" s="370"/>
      <c r="Q420" s="95"/>
      <c r="R420" s="95"/>
      <c r="S420" s="95"/>
      <c r="T420" s="95"/>
      <c r="V420"/>
      <c r="W420"/>
    </row>
    <row r="421" spans="1:23" ht="31" customHeight="1">
      <c r="D421" s="365" t="str">
        <f>IFERROR(IF(Data!H364=0,"",Data!H364),"")</f>
        <v/>
      </c>
      <c r="E421" s="365"/>
      <c r="F421" s="365"/>
      <c r="G421" s="365"/>
      <c r="H421" s="365" t="str">
        <f>IF(Data!I364=0,"",Data!I364)</f>
        <v/>
      </c>
      <c r="I421" s="365"/>
      <c r="J421" s="365"/>
      <c r="K421" s="366" t="str">
        <f>IF(Data!J364=0,"",Data!J364)</f>
        <v/>
      </c>
      <c r="L421" s="366"/>
      <c r="M421" s="366"/>
      <c r="N421" s="366" t="str">
        <f>IF(Data!K364=0,"",Data!K364)</f>
        <v/>
      </c>
      <c r="O421" s="366"/>
      <c r="P421" s="366"/>
      <c r="Q421" s="4"/>
      <c r="V421"/>
      <c r="W421"/>
    </row>
    <row r="422" spans="1:23" ht="31" customHeight="1">
      <c r="D422" s="365" t="str">
        <f>IF(Data!H365=0,"",Data!H365)</f>
        <v/>
      </c>
      <c r="E422" s="365"/>
      <c r="F422" s="365"/>
      <c r="G422" s="365"/>
      <c r="H422" s="365" t="str">
        <f>IF(Data!I365=0,"",Data!I365)</f>
        <v/>
      </c>
      <c r="I422" s="365"/>
      <c r="J422" s="365"/>
      <c r="K422" s="366" t="str">
        <f>IF(Data!J365=0,"",Data!J365)</f>
        <v/>
      </c>
      <c r="L422" s="366"/>
      <c r="M422" s="366"/>
      <c r="N422" s="366" t="str">
        <f>IF(Data!K365=0,"",Data!K365)</f>
        <v/>
      </c>
      <c r="O422" s="366"/>
      <c r="P422" s="366"/>
      <c r="Q422" s="4"/>
      <c r="V422"/>
      <c r="W422"/>
    </row>
    <row r="423" spans="1:23" ht="31" customHeight="1">
      <c r="D423" s="365" t="str">
        <f>IF(Data!H366=0,"",Data!H366)</f>
        <v/>
      </c>
      <c r="E423" s="365"/>
      <c r="F423" s="365"/>
      <c r="G423" s="365"/>
      <c r="H423" s="365" t="str">
        <f>IF(Data!I366=0,"",Data!I366)</f>
        <v/>
      </c>
      <c r="I423" s="365"/>
      <c r="J423" s="365"/>
      <c r="K423" s="366" t="str">
        <f>IF(Data!J366=0,"",Data!J366)</f>
        <v/>
      </c>
      <c r="L423" s="366"/>
      <c r="M423" s="366"/>
      <c r="N423" s="366" t="str">
        <f>IF(Data!K366=0,"",Data!K366)</f>
        <v/>
      </c>
      <c r="O423" s="366"/>
      <c r="P423" s="366"/>
      <c r="Q423" s="4"/>
      <c r="U423"/>
      <c r="V423"/>
      <c r="W423"/>
    </row>
    <row r="424" spans="1:23" s="16" customFormat="1" ht="31" customHeight="1">
      <c r="A424" s="9"/>
      <c r="B424" s="4"/>
      <c r="C424" s="4"/>
      <c r="D424" s="365" t="str">
        <f>IF(Data!H367=0,"",Data!H367)</f>
        <v/>
      </c>
      <c r="E424" s="365"/>
      <c r="F424" s="365"/>
      <c r="G424" s="365"/>
      <c r="H424" s="365" t="str">
        <f>IF(Data!I367=0,"",Data!I367)</f>
        <v/>
      </c>
      <c r="I424" s="365"/>
      <c r="J424" s="365"/>
      <c r="K424" s="366" t="str">
        <f>IF(Data!J367=0,"",Data!J367)</f>
        <v/>
      </c>
      <c r="L424" s="366"/>
      <c r="M424" s="366"/>
      <c r="N424" s="366" t="str">
        <f>IF(Data!K367=0,"",Data!K367)</f>
        <v/>
      </c>
      <c r="O424" s="366"/>
      <c r="P424" s="366"/>
      <c r="Q424" s="4"/>
      <c r="R424" s="4"/>
      <c r="S424" s="4"/>
      <c r="T424" s="4"/>
    </row>
    <row r="425" spans="1:23" ht="31" customHeight="1">
      <c r="D425" s="365" t="str">
        <f>IF(Data!H368=0,"",Data!H368)</f>
        <v/>
      </c>
      <c r="E425" s="365"/>
      <c r="F425" s="365"/>
      <c r="G425" s="365"/>
      <c r="H425" s="365" t="str">
        <f>IF(Data!I368=0,"",Data!I368)</f>
        <v/>
      </c>
      <c r="I425" s="365"/>
      <c r="J425" s="365"/>
      <c r="K425" s="366" t="str">
        <f>IF(Data!J368=0,"",Data!J368)</f>
        <v/>
      </c>
      <c r="L425" s="366"/>
      <c r="M425" s="366"/>
      <c r="N425" s="366" t="str">
        <f>IF(Data!K368=0,"",Data!K368)</f>
        <v/>
      </c>
      <c r="O425" s="366"/>
      <c r="P425" s="366"/>
      <c r="Q425" s="4"/>
      <c r="U425"/>
      <c r="V425"/>
      <c r="W425"/>
    </row>
    <row r="426" spans="1:23" ht="31" customHeight="1">
      <c r="D426" s="365" t="str">
        <f>IF(Data!H369=0,"",Data!H369)</f>
        <v/>
      </c>
      <c r="E426" s="365"/>
      <c r="F426" s="365"/>
      <c r="G426" s="365"/>
      <c r="H426" s="365" t="str">
        <f>IF(Data!I369=0,"",Data!I369)</f>
        <v/>
      </c>
      <c r="I426" s="365"/>
      <c r="J426" s="365"/>
      <c r="K426" s="366" t="str">
        <f>IF(Data!J369=0,"",Data!J369)</f>
        <v/>
      </c>
      <c r="L426" s="366"/>
      <c r="M426" s="366"/>
      <c r="N426" s="366" t="str">
        <f>IF(Data!K369=0,"",Data!K369)</f>
        <v/>
      </c>
      <c r="O426" s="366"/>
      <c r="P426" s="366"/>
      <c r="Q426" s="4"/>
      <c r="U426"/>
      <c r="V426"/>
      <c r="W426"/>
    </row>
    <row r="427" spans="1:23" ht="31" customHeight="1">
      <c r="D427" s="365" t="str">
        <f>IF(Data!H370=0,"",Data!H370)</f>
        <v/>
      </c>
      <c r="E427" s="365"/>
      <c r="F427" s="365"/>
      <c r="G427" s="365"/>
      <c r="H427" s="365" t="str">
        <f>IF(Data!I370=0,"",Data!I370)</f>
        <v/>
      </c>
      <c r="I427" s="365"/>
      <c r="J427" s="365"/>
      <c r="K427" s="366" t="str">
        <f>IF(Data!J370=0,"",Data!J370)</f>
        <v/>
      </c>
      <c r="L427" s="366"/>
      <c r="M427" s="366"/>
      <c r="N427" s="366" t="str">
        <f>IF(Data!K370=0,"",Data!K370)</f>
        <v/>
      </c>
      <c r="O427" s="366"/>
      <c r="P427" s="366"/>
      <c r="Q427" s="4"/>
      <c r="U427"/>
      <c r="V427"/>
      <c r="W427"/>
    </row>
    <row r="428" spans="1:23" ht="31" customHeight="1">
      <c r="D428" s="365" t="str">
        <f>IF(Data!H371=0,"",Data!H371)</f>
        <v/>
      </c>
      <c r="E428" s="365"/>
      <c r="F428" s="365"/>
      <c r="G428" s="365"/>
      <c r="H428" s="365" t="str">
        <f>IF(Data!I371=0,"",Data!I371)</f>
        <v/>
      </c>
      <c r="I428" s="365"/>
      <c r="J428" s="365"/>
      <c r="K428" s="366" t="str">
        <f>IF(Data!J371=0,"",Data!J371)</f>
        <v/>
      </c>
      <c r="L428" s="366"/>
      <c r="M428" s="366"/>
      <c r="N428" s="366" t="str">
        <f>IF(Data!K371=0,"",Data!K371)</f>
        <v/>
      </c>
      <c r="O428" s="366"/>
      <c r="P428" s="366"/>
      <c r="Q428" s="4"/>
      <c r="U428"/>
      <c r="V428"/>
      <c r="W428"/>
    </row>
    <row r="430" spans="1:23" ht="45" customHeight="1">
      <c r="D430" s="376" t="s">
        <v>103</v>
      </c>
      <c r="E430" s="377"/>
      <c r="F430" s="377"/>
      <c r="G430" s="377"/>
      <c r="H430" s="377"/>
      <c r="I430" s="377"/>
      <c r="J430" s="377"/>
      <c r="K430" s="377"/>
      <c r="L430" s="377"/>
      <c r="M430" s="378"/>
      <c r="N430" s="4"/>
      <c r="O430" s="4"/>
      <c r="P430" s="4"/>
      <c r="Q430" s="4"/>
      <c r="R430"/>
      <c r="S430"/>
      <c r="T430"/>
      <c r="U430"/>
      <c r="V430"/>
      <c r="W430"/>
    </row>
    <row r="431" spans="1:23" ht="31" customHeight="1">
      <c r="A431" s="94"/>
      <c r="B431" s="95"/>
      <c r="C431" s="95"/>
      <c r="D431" s="371" t="s">
        <v>70</v>
      </c>
      <c r="E431" s="371"/>
      <c r="F431" s="371"/>
      <c r="G431" s="371"/>
      <c r="H431" s="367" t="s">
        <v>1</v>
      </c>
      <c r="I431" s="367"/>
      <c r="J431" s="368"/>
      <c r="K431" s="369" t="s">
        <v>99</v>
      </c>
      <c r="L431" s="369"/>
      <c r="M431" s="370"/>
      <c r="N431" s="95"/>
      <c r="O431" s="95"/>
      <c r="P431" s="95"/>
      <c r="Q431" s="95"/>
      <c r="S431"/>
      <c r="T431"/>
      <c r="U431"/>
      <c r="V431"/>
      <c r="W431"/>
    </row>
    <row r="432" spans="1:23" ht="31" customHeight="1">
      <c r="D432" s="365" t="str">
        <f>IFERROR(IF(Data!S364=0,"",Data!S364),"")</f>
        <v/>
      </c>
      <c r="E432" s="365"/>
      <c r="F432" s="365"/>
      <c r="G432" s="365"/>
      <c r="H432" s="365" t="str">
        <f>IF(Data!T364=0,"",Data!T364)</f>
        <v/>
      </c>
      <c r="I432" s="365"/>
      <c r="J432" s="365"/>
      <c r="K432" s="365" t="str">
        <f>IF(Data!U364=0,"",Data!U364)</f>
        <v/>
      </c>
      <c r="L432" s="365"/>
      <c r="M432" s="365"/>
      <c r="N432" s="4"/>
      <c r="O432" s="4"/>
      <c r="P432" s="4"/>
      <c r="Q432" s="4"/>
      <c r="S432"/>
      <c r="T432"/>
      <c r="U432"/>
      <c r="V432"/>
      <c r="W432"/>
    </row>
    <row r="433" spans="1:23" ht="31" customHeight="1">
      <c r="D433" s="365" t="str">
        <f>IFERROR(IF(Data!S365=0,"",Data!S365),"")</f>
        <v/>
      </c>
      <c r="E433" s="365"/>
      <c r="F433" s="365"/>
      <c r="G433" s="365"/>
      <c r="H433" s="365" t="str">
        <f>IF(Data!T365=0,"",Data!T365)</f>
        <v/>
      </c>
      <c r="I433" s="365"/>
      <c r="J433" s="365"/>
      <c r="K433" s="365" t="str">
        <f>IF(Data!U365=0,"",Data!U365)</f>
        <v/>
      </c>
      <c r="L433" s="365"/>
      <c r="M433" s="365"/>
      <c r="N433" s="4"/>
      <c r="O433" s="4"/>
      <c r="P433" s="4"/>
      <c r="Q433" s="4"/>
      <c r="S433"/>
      <c r="T433"/>
      <c r="U433"/>
      <c r="V433"/>
      <c r="W433"/>
    </row>
    <row r="434" spans="1:23" ht="31" customHeight="1">
      <c r="D434" s="365" t="str">
        <f>IFERROR(IF(Data!S366=0,"",Data!S366),"")</f>
        <v/>
      </c>
      <c r="E434" s="365"/>
      <c r="F434" s="365"/>
      <c r="G434" s="365"/>
      <c r="H434" s="365" t="str">
        <f>IF(Data!T366=0,"",Data!T366)</f>
        <v/>
      </c>
      <c r="I434" s="365"/>
      <c r="J434" s="365"/>
      <c r="K434" s="365" t="str">
        <f>IF(Data!U366=0,"",Data!U366)</f>
        <v/>
      </c>
      <c r="L434" s="365"/>
      <c r="M434" s="365"/>
      <c r="N434" s="4"/>
      <c r="O434" s="4"/>
      <c r="P434" s="4"/>
      <c r="Q434" s="4"/>
      <c r="R434"/>
      <c r="S434"/>
      <c r="T434"/>
      <c r="U434"/>
      <c r="V434"/>
      <c r="W434"/>
    </row>
    <row r="435" spans="1:23" s="16" customFormat="1" ht="31" customHeight="1">
      <c r="A435" s="9"/>
      <c r="B435" s="4"/>
      <c r="C435" s="4"/>
      <c r="D435" s="365" t="str">
        <f>IFERROR(IF(Data!S367=0,"",Data!S367),"")</f>
        <v/>
      </c>
      <c r="E435" s="365"/>
      <c r="F435" s="365"/>
      <c r="G435" s="365"/>
      <c r="H435" s="365" t="str">
        <f>IF(Data!T367=0,"",Data!T367)</f>
        <v/>
      </c>
      <c r="I435" s="365"/>
      <c r="J435" s="365"/>
      <c r="K435" s="365" t="str">
        <f>IF(Data!U367=0,"",Data!U367)</f>
        <v/>
      </c>
      <c r="L435" s="365"/>
      <c r="M435" s="365"/>
      <c r="N435" s="4"/>
      <c r="O435" s="4"/>
      <c r="P435" s="4"/>
      <c r="Q435" s="4"/>
    </row>
    <row r="436" spans="1:23" ht="31" customHeight="1">
      <c r="D436" s="365" t="str">
        <f>IFERROR(IF(Data!S368=0,"",Data!S368),"")</f>
        <v/>
      </c>
      <c r="E436" s="365"/>
      <c r="F436" s="365"/>
      <c r="G436" s="365"/>
      <c r="H436" s="365" t="str">
        <f>IF(Data!T368=0,"",Data!T368)</f>
        <v/>
      </c>
      <c r="I436" s="365"/>
      <c r="J436" s="365"/>
      <c r="K436" s="365" t="str">
        <f>IF(Data!U368=0,"",Data!U368)</f>
        <v/>
      </c>
      <c r="L436" s="365"/>
      <c r="M436" s="365"/>
      <c r="N436" s="4"/>
      <c r="O436" s="4"/>
      <c r="P436" s="4"/>
      <c r="Q436" s="4"/>
      <c r="R436"/>
      <c r="S436"/>
      <c r="T436"/>
      <c r="U436"/>
      <c r="V436"/>
      <c r="W436"/>
    </row>
    <row r="437" spans="1:23" ht="31" customHeight="1">
      <c r="D437" s="365" t="str">
        <f>IFERROR(IF(Data!S369=0,"",Data!S369),"")</f>
        <v/>
      </c>
      <c r="E437" s="365"/>
      <c r="F437" s="365"/>
      <c r="G437" s="365"/>
      <c r="H437" s="365" t="str">
        <f>IF(Data!T369=0,"",Data!T369)</f>
        <v/>
      </c>
      <c r="I437" s="365"/>
      <c r="J437" s="365"/>
      <c r="K437" s="365" t="str">
        <f>IF(Data!U369=0,"",Data!U369)</f>
        <v/>
      </c>
      <c r="L437" s="365"/>
      <c r="M437" s="365"/>
      <c r="N437" s="4"/>
      <c r="O437" s="4"/>
      <c r="P437" s="4"/>
      <c r="Q437" s="4"/>
      <c r="R437"/>
      <c r="S437"/>
      <c r="T437"/>
      <c r="U437"/>
      <c r="V437"/>
      <c r="W437"/>
    </row>
    <row r="438" spans="1:23" ht="31" customHeight="1">
      <c r="D438" s="365" t="str">
        <f>IFERROR(IF(Data!S370=0,"",Data!S370),"")</f>
        <v/>
      </c>
      <c r="E438" s="365"/>
      <c r="F438" s="365"/>
      <c r="G438" s="365"/>
      <c r="H438" s="365" t="str">
        <f>IF(Data!T370=0,"",Data!T370)</f>
        <v/>
      </c>
      <c r="I438" s="365"/>
      <c r="J438" s="365"/>
      <c r="K438" s="365" t="str">
        <f>IF(Data!U370=0,"",Data!U370)</f>
        <v/>
      </c>
      <c r="L438" s="365"/>
      <c r="M438" s="365"/>
      <c r="N438" s="4"/>
      <c r="O438" s="4"/>
      <c r="P438" s="4"/>
      <c r="Q438" s="4"/>
      <c r="R438"/>
      <c r="S438"/>
      <c r="T438"/>
      <c r="U438"/>
      <c r="V438"/>
      <c r="W438"/>
    </row>
    <row r="439" spans="1:23" ht="31" customHeight="1">
      <c r="D439" s="365" t="str">
        <f>IFERROR(IF(Data!S371=0,"",Data!S371),"")</f>
        <v/>
      </c>
      <c r="E439" s="365"/>
      <c r="F439" s="365"/>
      <c r="G439" s="365"/>
      <c r="H439" s="365" t="str">
        <f>IF(Data!T371=0,"",Data!T371)</f>
        <v/>
      </c>
      <c r="I439" s="365"/>
      <c r="J439" s="365"/>
      <c r="K439" s="365" t="str">
        <f>IF(Data!U371=0,"",Data!U371)</f>
        <v/>
      </c>
      <c r="L439" s="365"/>
      <c r="M439" s="365"/>
      <c r="N439" s="4"/>
      <c r="O439" s="4"/>
      <c r="P439" s="4"/>
      <c r="Q439" s="4"/>
      <c r="R439"/>
      <c r="S439"/>
      <c r="T439"/>
      <c r="U439"/>
      <c r="V439"/>
      <c r="W439"/>
    </row>
    <row r="441" spans="1:23" s="304" customFormat="1" ht="20" customHeight="1">
      <c r="A441" s="229"/>
      <c r="B441" s="282" t="s">
        <v>145</v>
      </c>
      <c r="C441" s="283" t="s">
        <v>15</v>
      </c>
      <c r="D441" s="298"/>
      <c r="E441" s="298"/>
      <c r="F441" s="298"/>
      <c r="G441" s="299"/>
      <c r="H441" s="298"/>
      <c r="I441" s="298"/>
      <c r="J441" s="358"/>
      <c r="K441" s="301"/>
      <c r="L441" s="301"/>
      <c r="M441" s="300"/>
      <c r="N441" s="301"/>
      <c r="O441" s="301"/>
      <c r="P441" s="300"/>
      <c r="Q441" s="301"/>
      <c r="R441" s="298"/>
      <c r="S441" s="298"/>
      <c r="T441" s="298"/>
      <c r="U441" s="298"/>
      <c r="V441" s="303"/>
      <c r="W441" s="229"/>
    </row>
    <row r="442" spans="1:23" s="304" customFormat="1" ht="20" customHeight="1">
      <c r="A442" s="229"/>
      <c r="B442" s="308" t="str" cm="1">
        <f t="array" ref="B442">IFERROR(_xlfn._xlws.SORT(_xlfn._xlws.FILTER($B$6:$V$385,($V$6:$V$385&lt;&gt;0)*($V$6:$V$385&lt;=5)*($E$6:$E$385=$C$441)*($F$6:$F$385=$B$441)),17,-1),"...")</f>
        <v>...</v>
      </c>
      <c r="C442" s="229"/>
      <c r="D442" s="229"/>
      <c r="E442" s="229"/>
      <c r="F442" s="229"/>
      <c r="G442" s="305"/>
      <c r="H442" s="229"/>
      <c r="I442" s="229"/>
      <c r="J442" s="359"/>
      <c r="M442" s="306"/>
      <c r="P442" s="306"/>
      <c r="R442" s="229"/>
      <c r="S442" s="229"/>
      <c r="T442" s="229"/>
      <c r="U442" s="229"/>
      <c r="V442" s="309"/>
      <c r="W442" s="229"/>
    </row>
    <row r="443" spans="1:23" s="304" customFormat="1" ht="20" customHeight="1">
      <c r="A443" s="229"/>
      <c r="B443" s="308"/>
      <c r="C443" s="229"/>
      <c r="D443" s="229"/>
      <c r="E443" s="229"/>
      <c r="F443" s="229"/>
      <c r="G443" s="305"/>
      <c r="H443" s="229"/>
      <c r="I443" s="229"/>
      <c r="J443" s="359"/>
      <c r="M443" s="306"/>
      <c r="P443" s="306"/>
      <c r="R443" s="229"/>
      <c r="S443" s="229"/>
      <c r="T443" s="229"/>
      <c r="U443" s="229"/>
      <c r="V443" s="309"/>
      <c r="W443" s="229"/>
    </row>
    <row r="444" spans="1:23" s="304" customFormat="1" ht="20" customHeight="1">
      <c r="A444" s="229"/>
      <c r="B444" s="308"/>
      <c r="C444" s="229"/>
      <c r="D444" s="229"/>
      <c r="E444" s="229"/>
      <c r="F444" s="229"/>
      <c r="G444" s="305"/>
      <c r="H444" s="229"/>
      <c r="I444" s="229"/>
      <c r="J444" s="359"/>
      <c r="M444" s="306"/>
      <c r="P444" s="306"/>
      <c r="R444" s="229"/>
      <c r="S444" s="229"/>
      <c r="T444" s="229"/>
      <c r="U444" s="229"/>
      <c r="V444" s="309"/>
      <c r="W444" s="229"/>
    </row>
    <row r="445" spans="1:23" s="304" customFormat="1" ht="20" customHeight="1">
      <c r="A445" s="229"/>
      <c r="B445" s="308"/>
      <c r="C445" s="229"/>
      <c r="D445" s="229"/>
      <c r="E445" s="229"/>
      <c r="F445" s="229"/>
      <c r="G445" s="305"/>
      <c r="H445" s="229"/>
      <c r="I445" s="229"/>
      <c r="J445" s="359"/>
      <c r="M445" s="306"/>
      <c r="P445" s="306"/>
      <c r="R445" s="229"/>
      <c r="S445" s="229"/>
      <c r="T445" s="229"/>
      <c r="U445" s="229"/>
      <c r="V445" s="309"/>
      <c r="W445" s="229"/>
    </row>
    <row r="446" spans="1:23" s="304" customFormat="1" ht="20" customHeight="1">
      <c r="A446" s="229"/>
      <c r="B446" s="310"/>
      <c r="C446" s="311"/>
      <c r="D446" s="311"/>
      <c r="E446" s="311"/>
      <c r="F446" s="311"/>
      <c r="G446" s="312"/>
      <c r="H446" s="311"/>
      <c r="I446" s="311"/>
      <c r="J446" s="360"/>
      <c r="K446" s="314"/>
      <c r="L446" s="314"/>
      <c r="M446" s="313"/>
      <c r="N446" s="314"/>
      <c r="O446" s="314"/>
      <c r="P446" s="313"/>
      <c r="Q446" s="314"/>
      <c r="R446" s="311"/>
      <c r="S446" s="311"/>
      <c r="T446" s="311"/>
      <c r="U446" s="311"/>
      <c r="V446" s="316"/>
      <c r="W446" s="229"/>
    </row>
    <row r="447" spans="1:23" s="304" customFormat="1" ht="20" customHeight="1">
      <c r="A447" s="229"/>
      <c r="B447" s="229"/>
      <c r="C447" s="229"/>
      <c r="D447" s="229"/>
      <c r="E447" s="229"/>
      <c r="F447" s="229"/>
      <c r="G447" s="305"/>
      <c r="H447" s="229"/>
      <c r="I447" s="229"/>
      <c r="J447" s="359"/>
      <c r="M447" s="306"/>
      <c r="P447" s="306"/>
      <c r="R447" s="229"/>
      <c r="S447" s="229"/>
      <c r="T447" s="229"/>
      <c r="U447" s="229"/>
      <c r="V447" s="229"/>
      <c r="W447" s="229"/>
    </row>
    <row r="448" spans="1:23" s="304" customFormat="1" ht="20" customHeight="1">
      <c r="A448" s="229"/>
      <c r="B448" s="282" t="s">
        <v>145</v>
      </c>
      <c r="C448" s="283" t="s">
        <v>14</v>
      </c>
      <c r="D448" s="298"/>
      <c r="E448" s="298"/>
      <c r="F448" s="298"/>
      <c r="G448" s="299"/>
      <c r="H448" s="298"/>
      <c r="I448" s="298"/>
      <c r="J448" s="358"/>
      <c r="K448" s="301"/>
      <c r="L448" s="301"/>
      <c r="M448" s="300"/>
      <c r="N448" s="301"/>
      <c r="O448" s="301"/>
      <c r="P448" s="300"/>
      <c r="Q448" s="301"/>
      <c r="R448" s="298"/>
      <c r="S448" s="298"/>
      <c r="T448" s="298"/>
      <c r="U448" s="298"/>
      <c r="V448" s="303"/>
      <c r="W448" s="229"/>
    </row>
    <row r="449" spans="1:23" s="304" customFormat="1" ht="20" customHeight="1">
      <c r="A449" s="229"/>
      <c r="B449" s="308" t="str" cm="1">
        <f t="array" ref="B449">IFERROR(_xlfn._xlws.SORT(_xlfn._xlws.FILTER($B$6:$V$385,($V$6:$V$385&lt;&gt;0)*($V$6:$V$385&lt;=5)*($E$6:$E$385=$C$448)*($F$6:$F$385=$B$448)),17,-1),"...")</f>
        <v>...</v>
      </c>
      <c r="C449" s="229"/>
      <c r="D449" s="229"/>
      <c r="E449" s="229"/>
      <c r="F449" s="229"/>
      <c r="G449" s="305"/>
      <c r="H449" s="229"/>
      <c r="I449" s="229"/>
      <c r="J449" s="359"/>
      <c r="M449" s="306"/>
      <c r="P449" s="306"/>
      <c r="R449" s="229"/>
      <c r="S449" s="229"/>
      <c r="T449" s="229"/>
      <c r="U449" s="229"/>
      <c r="V449" s="309"/>
      <c r="W449" s="229"/>
    </row>
    <row r="450" spans="1:23" s="304" customFormat="1" ht="20" customHeight="1">
      <c r="A450" s="229"/>
      <c r="B450" s="308"/>
      <c r="C450" s="229"/>
      <c r="D450" s="229"/>
      <c r="E450" s="229"/>
      <c r="F450" s="229"/>
      <c r="G450" s="305"/>
      <c r="H450" s="229"/>
      <c r="I450" s="229"/>
      <c r="J450" s="359"/>
      <c r="M450" s="306"/>
      <c r="P450" s="306"/>
      <c r="R450" s="229"/>
      <c r="S450" s="229"/>
      <c r="T450" s="229"/>
      <c r="U450" s="229"/>
      <c r="V450" s="309"/>
      <c r="W450" s="229"/>
    </row>
    <row r="451" spans="1:23" s="304" customFormat="1" ht="20" customHeight="1">
      <c r="A451" s="229"/>
      <c r="B451" s="308"/>
      <c r="C451" s="229"/>
      <c r="D451" s="229"/>
      <c r="E451" s="229"/>
      <c r="F451" s="229"/>
      <c r="G451" s="305"/>
      <c r="H451" s="229"/>
      <c r="I451" s="229"/>
      <c r="J451" s="359"/>
      <c r="M451" s="306"/>
      <c r="P451" s="306"/>
      <c r="R451" s="229"/>
      <c r="S451" s="229"/>
      <c r="T451" s="229"/>
      <c r="U451" s="229"/>
      <c r="V451" s="309"/>
      <c r="W451" s="229"/>
    </row>
    <row r="452" spans="1:23" s="304" customFormat="1" ht="20" customHeight="1">
      <c r="A452" s="229"/>
      <c r="B452" s="308"/>
      <c r="C452" s="229"/>
      <c r="D452" s="229"/>
      <c r="E452" s="229"/>
      <c r="F452" s="229"/>
      <c r="G452" s="305"/>
      <c r="H452" s="229"/>
      <c r="I452" s="229"/>
      <c r="J452" s="359"/>
      <c r="M452" s="306"/>
      <c r="P452" s="306"/>
      <c r="R452" s="229"/>
      <c r="S452" s="229"/>
      <c r="T452" s="229"/>
      <c r="U452" s="229"/>
      <c r="V452" s="309"/>
      <c r="W452" s="229"/>
    </row>
    <row r="453" spans="1:23" s="304" customFormat="1" ht="20" customHeight="1">
      <c r="A453" s="229"/>
      <c r="B453" s="310"/>
      <c r="C453" s="311"/>
      <c r="D453" s="311"/>
      <c r="E453" s="311"/>
      <c r="F453" s="311"/>
      <c r="G453" s="312"/>
      <c r="H453" s="311"/>
      <c r="I453" s="311"/>
      <c r="J453" s="360"/>
      <c r="K453" s="314"/>
      <c r="L453" s="314"/>
      <c r="M453" s="313"/>
      <c r="N453" s="314"/>
      <c r="O453" s="314"/>
      <c r="P453" s="313"/>
      <c r="Q453" s="314"/>
      <c r="R453" s="311"/>
      <c r="S453" s="311"/>
      <c r="T453" s="311"/>
      <c r="U453" s="311"/>
      <c r="V453" s="316"/>
      <c r="W453" s="229"/>
    </row>
    <row r="454" spans="1:23" s="304" customFormat="1" ht="20" customHeight="1">
      <c r="A454" s="229"/>
      <c r="B454" s="229"/>
      <c r="C454" s="229"/>
      <c r="D454" s="229"/>
      <c r="E454" s="229"/>
      <c r="F454" s="229"/>
      <c r="G454" s="305"/>
      <c r="H454" s="229"/>
      <c r="I454" s="229"/>
      <c r="J454" s="359"/>
      <c r="M454" s="306"/>
      <c r="P454" s="306"/>
      <c r="R454" s="229"/>
      <c r="S454" s="229"/>
      <c r="T454" s="229"/>
      <c r="U454" s="229"/>
      <c r="V454" s="229"/>
      <c r="W454" s="229"/>
    </row>
    <row r="455" spans="1:23" s="304" customFormat="1" ht="20" customHeight="1">
      <c r="A455" s="229"/>
      <c r="B455" s="282" t="s">
        <v>150</v>
      </c>
      <c r="C455" s="283" t="s">
        <v>15</v>
      </c>
      <c r="D455" s="298"/>
      <c r="E455" s="298"/>
      <c r="F455" s="298"/>
      <c r="G455" s="299"/>
      <c r="H455" s="298"/>
      <c r="I455" s="298"/>
      <c r="J455" s="358"/>
      <c r="K455" s="301"/>
      <c r="L455" s="301"/>
      <c r="M455" s="300"/>
      <c r="N455" s="301"/>
      <c r="O455" s="301"/>
      <c r="P455" s="300"/>
      <c r="Q455" s="301"/>
      <c r="R455" s="298"/>
      <c r="S455" s="298"/>
      <c r="T455" s="298"/>
      <c r="U455" s="298"/>
      <c r="V455" s="303"/>
      <c r="W455" s="229"/>
    </row>
    <row r="456" spans="1:23" s="304" customFormat="1" ht="20" customHeight="1">
      <c r="A456" s="229"/>
      <c r="B456" s="308" t="str" cm="1">
        <f t="array" ref="B456">IFERROR(_xlfn._xlws.SORT(_xlfn._xlws.FILTER($B$6:$U$385,($U$6:$U$385&lt;&gt;0)*($U$6:$U$385&lt;=5)*($E$6:$E$385=$C$455)*($F$6:$F$385=$B$455)),17,-1),"...")</f>
        <v>...</v>
      </c>
      <c r="C456" s="229"/>
      <c r="D456" s="229"/>
      <c r="E456" s="229"/>
      <c r="F456" s="229"/>
      <c r="G456" s="305"/>
      <c r="H456" s="229"/>
      <c r="I456" s="229"/>
      <c r="J456" s="359"/>
      <c r="M456" s="306"/>
      <c r="P456" s="306"/>
      <c r="R456" s="229"/>
      <c r="S456" s="229"/>
      <c r="T456" s="229"/>
      <c r="U456" s="229"/>
      <c r="V456" s="309"/>
      <c r="W456" s="229"/>
    </row>
    <row r="457" spans="1:23" s="304" customFormat="1" ht="20" customHeight="1">
      <c r="A457" s="229"/>
      <c r="B457" s="308"/>
      <c r="C457" s="229"/>
      <c r="D457" s="229"/>
      <c r="E457" s="229"/>
      <c r="F457" s="229"/>
      <c r="G457" s="305"/>
      <c r="H457" s="229"/>
      <c r="I457" s="229"/>
      <c r="J457" s="359"/>
      <c r="M457" s="306"/>
      <c r="P457" s="306"/>
      <c r="R457" s="229"/>
      <c r="S457" s="229"/>
      <c r="T457" s="229"/>
      <c r="U457" s="229"/>
      <c r="V457" s="309"/>
      <c r="W457" s="229"/>
    </row>
    <row r="458" spans="1:23" s="304" customFormat="1" ht="20" customHeight="1">
      <c r="A458" s="229"/>
      <c r="B458" s="308"/>
      <c r="C458" s="229"/>
      <c r="D458" s="229"/>
      <c r="E458" s="229"/>
      <c r="F458" s="229"/>
      <c r="G458" s="305"/>
      <c r="H458" s="229"/>
      <c r="I458" s="229"/>
      <c r="J458" s="359"/>
      <c r="M458" s="306"/>
      <c r="P458" s="306"/>
      <c r="R458" s="229"/>
      <c r="S458" s="229"/>
      <c r="T458" s="229"/>
      <c r="U458" s="229"/>
      <c r="V458" s="309"/>
      <c r="W458" s="229"/>
    </row>
    <row r="459" spans="1:23" s="304" customFormat="1" ht="20" customHeight="1">
      <c r="A459" s="229"/>
      <c r="B459" s="308"/>
      <c r="C459" s="229"/>
      <c r="D459" s="229"/>
      <c r="E459" s="229"/>
      <c r="F459" s="229"/>
      <c r="G459" s="305"/>
      <c r="H459" s="229"/>
      <c r="I459" s="229"/>
      <c r="J459" s="359"/>
      <c r="M459" s="306"/>
      <c r="P459" s="306"/>
      <c r="R459" s="229"/>
      <c r="S459" s="229"/>
      <c r="T459" s="229"/>
      <c r="U459" s="229"/>
      <c r="V459" s="309"/>
      <c r="W459" s="229"/>
    </row>
    <row r="460" spans="1:23" s="304" customFormat="1" ht="20" customHeight="1">
      <c r="A460" s="229"/>
      <c r="B460" s="310"/>
      <c r="C460" s="311"/>
      <c r="D460" s="311"/>
      <c r="E460" s="311"/>
      <c r="F460" s="311"/>
      <c r="G460" s="312"/>
      <c r="H460" s="311"/>
      <c r="I460" s="311"/>
      <c r="J460" s="360"/>
      <c r="K460" s="314"/>
      <c r="L460" s="314"/>
      <c r="M460" s="313"/>
      <c r="N460" s="314"/>
      <c r="O460" s="314"/>
      <c r="P460" s="313"/>
      <c r="Q460" s="314"/>
      <c r="R460" s="311"/>
      <c r="S460" s="311"/>
      <c r="T460" s="311"/>
      <c r="U460" s="311"/>
      <c r="V460" s="316"/>
      <c r="W460" s="229"/>
    </row>
    <row r="461" spans="1:23" s="304" customFormat="1" ht="20" customHeight="1">
      <c r="A461" s="229"/>
      <c r="B461" s="229"/>
      <c r="C461" s="229"/>
      <c r="D461" s="229"/>
      <c r="E461" s="229"/>
      <c r="F461" s="229"/>
      <c r="G461" s="305"/>
      <c r="H461" s="229"/>
      <c r="I461" s="229"/>
      <c r="J461" s="359"/>
      <c r="M461" s="306"/>
      <c r="P461" s="306"/>
      <c r="R461" s="229"/>
      <c r="S461" s="229"/>
      <c r="T461" s="229"/>
      <c r="U461" s="229"/>
      <c r="V461" s="229"/>
      <c r="W461" s="229"/>
    </row>
    <row r="462" spans="1:23" s="304" customFormat="1" ht="20" customHeight="1">
      <c r="A462" s="229"/>
      <c r="B462" s="282" t="s">
        <v>150</v>
      </c>
      <c r="C462" s="283" t="s">
        <v>14</v>
      </c>
      <c r="D462" s="298"/>
      <c r="E462" s="298"/>
      <c r="F462" s="298"/>
      <c r="G462" s="299"/>
      <c r="H462" s="298"/>
      <c r="I462" s="298"/>
      <c r="J462" s="358"/>
      <c r="K462" s="301"/>
      <c r="L462" s="301"/>
      <c r="M462" s="300"/>
      <c r="N462" s="301"/>
      <c r="O462" s="301"/>
      <c r="P462" s="300"/>
      <c r="Q462" s="301"/>
      <c r="R462" s="298"/>
      <c r="S462" s="298"/>
      <c r="T462" s="298"/>
      <c r="U462" s="298"/>
      <c r="V462" s="303"/>
      <c r="W462" s="229"/>
    </row>
    <row r="463" spans="1:23" s="304" customFormat="1" ht="20" customHeight="1">
      <c r="A463" s="229"/>
      <c r="B463" s="308" t="str" cm="1">
        <f t="array" ref="B463">IFERROR(_xlfn._xlws.SORT(_xlfn._xlws.FILTER($B$6:$U$385,($U$6:$U$385&lt;&gt;0)*($U$6:$U$385&lt;=5)*($E$6:$E$385=$C$462)*($F$6:$F$385=$B$462)),17,-1),"...")</f>
        <v>...</v>
      </c>
      <c r="C463" s="229"/>
      <c r="D463" s="229"/>
      <c r="E463" s="229"/>
      <c r="F463" s="229"/>
      <c r="G463" s="305"/>
      <c r="H463" s="229"/>
      <c r="I463" s="229"/>
      <c r="J463" s="359"/>
      <c r="M463" s="306"/>
      <c r="P463" s="306"/>
      <c r="R463" s="229"/>
      <c r="S463" s="229"/>
      <c r="T463" s="229"/>
      <c r="U463" s="229"/>
      <c r="V463" s="309"/>
      <c r="W463" s="229"/>
    </row>
    <row r="464" spans="1:23" s="304" customFormat="1" ht="20" customHeight="1">
      <c r="A464" s="229"/>
      <c r="B464" s="308"/>
      <c r="C464" s="229"/>
      <c r="D464" s="229"/>
      <c r="E464" s="229"/>
      <c r="F464" s="229"/>
      <c r="G464" s="305"/>
      <c r="H464" s="229"/>
      <c r="I464" s="229"/>
      <c r="J464" s="359"/>
      <c r="M464" s="306"/>
      <c r="P464" s="306"/>
      <c r="R464" s="229"/>
      <c r="S464" s="229"/>
      <c r="T464" s="229"/>
      <c r="U464" s="229"/>
      <c r="V464" s="309"/>
      <c r="W464" s="229"/>
    </row>
    <row r="465" spans="1:23" s="304" customFormat="1" ht="20" customHeight="1">
      <c r="A465" s="229"/>
      <c r="B465" s="308"/>
      <c r="C465" s="229"/>
      <c r="D465" s="229"/>
      <c r="E465" s="229"/>
      <c r="F465" s="229"/>
      <c r="G465" s="305"/>
      <c r="H465" s="229"/>
      <c r="I465" s="229"/>
      <c r="J465" s="359"/>
      <c r="M465" s="306"/>
      <c r="P465" s="306"/>
      <c r="R465" s="229"/>
      <c r="S465" s="229"/>
      <c r="T465" s="229"/>
      <c r="U465" s="229"/>
      <c r="V465" s="309"/>
      <c r="W465" s="229"/>
    </row>
    <row r="466" spans="1:23" s="304" customFormat="1" ht="20" customHeight="1">
      <c r="A466" s="229"/>
      <c r="B466" s="308"/>
      <c r="C466" s="229"/>
      <c r="D466" s="229"/>
      <c r="E466" s="229"/>
      <c r="F466" s="229"/>
      <c r="G466" s="305"/>
      <c r="H466" s="229"/>
      <c r="I466" s="229"/>
      <c r="J466" s="359"/>
      <c r="M466" s="306"/>
      <c r="P466" s="306"/>
      <c r="R466" s="229"/>
      <c r="S466" s="229"/>
      <c r="T466" s="229"/>
      <c r="U466" s="229"/>
      <c r="V466" s="309"/>
      <c r="W466" s="229"/>
    </row>
    <row r="467" spans="1:23" s="304" customFormat="1" ht="20" customHeight="1">
      <c r="A467" s="229"/>
      <c r="B467" s="310"/>
      <c r="C467" s="311"/>
      <c r="D467" s="311"/>
      <c r="E467" s="311"/>
      <c r="F467" s="311"/>
      <c r="G467" s="312"/>
      <c r="H467" s="311"/>
      <c r="I467" s="311"/>
      <c r="J467" s="360"/>
      <c r="K467" s="314"/>
      <c r="L467" s="314"/>
      <c r="M467" s="313"/>
      <c r="N467" s="314"/>
      <c r="O467" s="314"/>
      <c r="P467" s="313"/>
      <c r="Q467" s="314"/>
      <c r="R467" s="311"/>
      <c r="S467" s="311"/>
      <c r="T467" s="311"/>
      <c r="U467" s="311"/>
      <c r="V467" s="316"/>
      <c r="W467" s="229"/>
    </row>
  </sheetData>
  <sheetProtection sheet="1" objects="1" scenarios="1"/>
  <mergeCells count="241">
    <mergeCell ref="D439:G439"/>
    <mergeCell ref="H439:J439"/>
    <mergeCell ref="K439:M439"/>
    <mergeCell ref="D430:M430"/>
    <mergeCell ref="D436:G436"/>
    <mergeCell ref="H436:J436"/>
    <mergeCell ref="K436:M436"/>
    <mergeCell ref="D437:G437"/>
    <mergeCell ref="H437:J437"/>
    <mergeCell ref="K437:M437"/>
    <mergeCell ref="D438:G438"/>
    <mergeCell ref="H438:J438"/>
    <mergeCell ref="K438:M438"/>
    <mergeCell ref="D433:G433"/>
    <mergeCell ref="H433:J433"/>
    <mergeCell ref="K433:M433"/>
    <mergeCell ref="D434:G434"/>
    <mergeCell ref="H434:J434"/>
    <mergeCell ref="K434:M434"/>
    <mergeCell ref="D435:G435"/>
    <mergeCell ref="H435:J435"/>
    <mergeCell ref="K435:M435"/>
    <mergeCell ref="D431:G431"/>
    <mergeCell ref="H431:J431"/>
    <mergeCell ref="K431:M431"/>
    <mergeCell ref="D432:G432"/>
    <mergeCell ref="H432:J432"/>
    <mergeCell ref="K432:M432"/>
    <mergeCell ref="R415:S415"/>
    <mergeCell ref="K423:M423"/>
    <mergeCell ref="N423:P423"/>
    <mergeCell ref="D424:G424"/>
    <mergeCell ref="H424:J424"/>
    <mergeCell ref="K424:M424"/>
    <mergeCell ref="E413:F413"/>
    <mergeCell ref="G413:H413"/>
    <mergeCell ref="N424:P424"/>
    <mergeCell ref="K414:O414"/>
    <mergeCell ref="P414:Q414"/>
    <mergeCell ref="R414:S414"/>
    <mergeCell ref="D425:G425"/>
    <mergeCell ref="H425:J425"/>
    <mergeCell ref="K425:M425"/>
    <mergeCell ref="N425:P425"/>
    <mergeCell ref="R413:S413"/>
    <mergeCell ref="B415:C415"/>
    <mergeCell ref="K415:O415"/>
    <mergeCell ref="P415:Q415"/>
    <mergeCell ref="T415:U415"/>
    <mergeCell ref="R411:S411"/>
    <mergeCell ref="T411:U411"/>
    <mergeCell ref="B412:C412"/>
    <mergeCell ref="K412:O412"/>
    <mergeCell ref="P412:Q412"/>
    <mergeCell ref="R412:S412"/>
    <mergeCell ref="T412:U412"/>
    <mergeCell ref="B411:C411"/>
    <mergeCell ref="K411:O411"/>
    <mergeCell ref="P411:Q411"/>
    <mergeCell ref="E411:F411"/>
    <mergeCell ref="G411:H411"/>
    <mergeCell ref="E412:F412"/>
    <mergeCell ref="G412:H412"/>
    <mergeCell ref="T413:U413"/>
    <mergeCell ref="B414:C414"/>
    <mergeCell ref="T414:U414"/>
    <mergeCell ref="B413:C413"/>
    <mergeCell ref="K413:O413"/>
    <mergeCell ref="P413:Q413"/>
    <mergeCell ref="R409:S409"/>
    <mergeCell ref="T409:U409"/>
    <mergeCell ref="B410:C410"/>
    <mergeCell ref="K410:O410"/>
    <mergeCell ref="P410:Q410"/>
    <mergeCell ref="R410:S410"/>
    <mergeCell ref="T410:U410"/>
    <mergeCell ref="B409:C409"/>
    <mergeCell ref="K409:O409"/>
    <mergeCell ref="P409:Q409"/>
    <mergeCell ref="E409:F409"/>
    <mergeCell ref="G409:H409"/>
    <mergeCell ref="E410:F410"/>
    <mergeCell ref="G410:H410"/>
    <mergeCell ref="R407:S407"/>
    <mergeCell ref="T407:U407"/>
    <mergeCell ref="B408:C408"/>
    <mergeCell ref="K408:O408"/>
    <mergeCell ref="P408:Q408"/>
    <mergeCell ref="R408:S408"/>
    <mergeCell ref="T408:U408"/>
    <mergeCell ref="B407:C407"/>
    <mergeCell ref="K407:O407"/>
    <mergeCell ref="P407:Q407"/>
    <mergeCell ref="E407:F407"/>
    <mergeCell ref="E408:F408"/>
    <mergeCell ref="G408:H408"/>
    <mergeCell ref="R404:S404"/>
    <mergeCell ref="T404:U404"/>
    <mergeCell ref="B405:C405"/>
    <mergeCell ref="K405:O405"/>
    <mergeCell ref="P405:Q405"/>
    <mergeCell ref="R405:S405"/>
    <mergeCell ref="T405:U405"/>
    <mergeCell ref="B404:C404"/>
    <mergeCell ref="K404:O404"/>
    <mergeCell ref="P404:Q404"/>
    <mergeCell ref="E404:F404"/>
    <mergeCell ref="E405:F405"/>
    <mergeCell ref="G404:H404"/>
    <mergeCell ref="G405:H405"/>
    <mergeCell ref="R402:S402"/>
    <mergeCell ref="T402:U402"/>
    <mergeCell ref="B403:C403"/>
    <mergeCell ref="K403:O403"/>
    <mergeCell ref="P403:Q403"/>
    <mergeCell ref="R403:S403"/>
    <mergeCell ref="T403:U403"/>
    <mergeCell ref="B402:C402"/>
    <mergeCell ref="K402:O402"/>
    <mergeCell ref="P402:Q402"/>
    <mergeCell ref="G402:H402"/>
    <mergeCell ref="G403:H403"/>
    <mergeCell ref="E402:F402"/>
    <mergeCell ref="E403:F403"/>
    <mergeCell ref="B399:C399"/>
    <mergeCell ref="K399:O399"/>
    <mergeCell ref="P399:Q399"/>
    <mergeCell ref="R399:S399"/>
    <mergeCell ref="T399:U399"/>
    <mergeCell ref="G399:H399"/>
    <mergeCell ref="R400:S400"/>
    <mergeCell ref="T400:U400"/>
    <mergeCell ref="B401:C401"/>
    <mergeCell ref="K401:O401"/>
    <mergeCell ref="P401:Q401"/>
    <mergeCell ref="R401:S401"/>
    <mergeCell ref="T401:U401"/>
    <mergeCell ref="B400:C400"/>
    <mergeCell ref="K400:O400"/>
    <mergeCell ref="P400:Q400"/>
    <mergeCell ref="G400:H400"/>
    <mergeCell ref="G401:H401"/>
    <mergeCell ref="E400:F400"/>
    <mergeCell ref="E401:F401"/>
    <mergeCell ref="A366:A385"/>
    <mergeCell ref="B397:C397"/>
    <mergeCell ref="K397:O397"/>
    <mergeCell ref="P397:Q397"/>
    <mergeCell ref="R397:S397"/>
    <mergeCell ref="T397:U397"/>
    <mergeCell ref="B398:C398"/>
    <mergeCell ref="K398:O398"/>
    <mergeCell ref="P398:Q398"/>
    <mergeCell ref="R398:S398"/>
    <mergeCell ref="T398:U398"/>
    <mergeCell ref="B395:U395"/>
    <mergeCell ref="U196:V196"/>
    <mergeCell ref="A198:A217"/>
    <mergeCell ref="A218:A237"/>
    <mergeCell ref="A238:A257"/>
    <mergeCell ref="A258:A280"/>
    <mergeCell ref="A281:A300"/>
    <mergeCell ref="F196:F197"/>
    <mergeCell ref="G196:I196"/>
    <mergeCell ref="J196:L196"/>
    <mergeCell ref="M196:O196"/>
    <mergeCell ref="P196:Q196"/>
    <mergeCell ref="S196:T196"/>
    <mergeCell ref="U4:V4"/>
    <mergeCell ref="A3:V3"/>
    <mergeCell ref="A4:A5"/>
    <mergeCell ref="B4:B5"/>
    <mergeCell ref="C4:C5"/>
    <mergeCell ref="D4:D5"/>
    <mergeCell ref="E4:E5"/>
    <mergeCell ref="F4:F5"/>
    <mergeCell ref="G4:I4"/>
    <mergeCell ref="J4:L4"/>
    <mergeCell ref="M4:O4"/>
    <mergeCell ref="P4:Q4"/>
    <mergeCell ref="S4:T4"/>
    <mergeCell ref="A171:A190"/>
    <mergeCell ref="A196:A197"/>
    <mergeCell ref="B196:B197"/>
    <mergeCell ref="C196:C197"/>
    <mergeCell ref="D196:D197"/>
    <mergeCell ref="E196:E197"/>
    <mergeCell ref="A46:A65"/>
    <mergeCell ref="A66:A85"/>
    <mergeCell ref="A86:A105"/>
    <mergeCell ref="A106:A130"/>
    <mergeCell ref="A131:A150"/>
    <mergeCell ref="A151:A170"/>
    <mergeCell ref="A346:A365"/>
    <mergeCell ref="D428:G428"/>
    <mergeCell ref="H428:J428"/>
    <mergeCell ref="K428:M428"/>
    <mergeCell ref="N428:P428"/>
    <mergeCell ref="A1:F1"/>
    <mergeCell ref="G1:J1"/>
    <mergeCell ref="K1:Q1"/>
    <mergeCell ref="D426:G426"/>
    <mergeCell ref="H426:J426"/>
    <mergeCell ref="K426:M426"/>
    <mergeCell ref="N426:P426"/>
    <mergeCell ref="D427:G427"/>
    <mergeCell ref="H427:J427"/>
    <mergeCell ref="K427:M427"/>
    <mergeCell ref="N427:P427"/>
    <mergeCell ref="D422:G422"/>
    <mergeCell ref="H422:J422"/>
    <mergeCell ref="K422:M422"/>
    <mergeCell ref="N422:P422"/>
    <mergeCell ref="D423:G423"/>
    <mergeCell ref="H423:J423"/>
    <mergeCell ref="A26:A45"/>
    <mergeCell ref="A6:A25"/>
    <mergeCell ref="R1:V1"/>
    <mergeCell ref="A2:F2"/>
    <mergeCell ref="G2:J2"/>
    <mergeCell ref="K2:Q2"/>
    <mergeCell ref="R2:V2"/>
    <mergeCell ref="D421:G421"/>
    <mergeCell ref="H421:J421"/>
    <mergeCell ref="K421:M421"/>
    <mergeCell ref="N421:P421"/>
    <mergeCell ref="H420:J420"/>
    <mergeCell ref="N420:P420"/>
    <mergeCell ref="D420:G420"/>
    <mergeCell ref="K420:M420"/>
    <mergeCell ref="E398:F398"/>
    <mergeCell ref="G398:H398"/>
    <mergeCell ref="E397:F397"/>
    <mergeCell ref="E399:F399"/>
    <mergeCell ref="E414:F414"/>
    <mergeCell ref="G414:H414"/>
    <mergeCell ref="E415:F415"/>
    <mergeCell ref="G415:H415"/>
    <mergeCell ref="D419:P419"/>
    <mergeCell ref="A301:A325"/>
    <mergeCell ref="A326:A345"/>
  </mergeCells>
  <conditionalFormatting sqref="B6:V196 B197:H197 J197:K197 M197:N197 P197:V197 B198:V385">
    <cfRule type="expression" dxfId="1" priority="1">
      <formula>AND($C6&lt;&gt;"", $R6=0)</formula>
    </cfRule>
  </conditionalFormatting>
  <printOptions horizontalCentered="1"/>
  <pageMargins left="0" right="0" top="0.19685039370078741" bottom="0" header="0.51181102362204722" footer="0.51181102362204722"/>
  <pageSetup paperSize="9" scale="41" fitToHeight="0" orientation="landscape" r:id="rId1"/>
  <headerFooter alignWithMargins="0"/>
  <rowBreaks count="6" manualBreakCount="6">
    <brk id="65" max="16383" man="1"/>
    <brk id="130" max="16383" man="1"/>
    <brk id="195" max="16383" man="1"/>
    <brk id="257" max="16383" man="1"/>
    <brk id="325" max="16383" man="1"/>
    <brk id="388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F699C-4600-1E48-9BE7-6EC7BE524E62}">
  <sheetPr>
    <pageSetUpPr fitToPage="1"/>
  </sheetPr>
  <dimension ref="A1:AO695"/>
  <sheetViews>
    <sheetView zoomScale="85" zoomScaleNormal="60" zoomScaleSheetLayoutView="70" workbookViewId="0">
      <selection activeCell="F54" sqref="F54"/>
    </sheetView>
  </sheetViews>
  <sheetFormatPr baseColWidth="10" defaultColWidth="8.83203125" defaultRowHeight="13"/>
  <cols>
    <col min="1" max="1" width="5.1640625" style="4" bestFit="1" customWidth="1"/>
    <col min="2" max="2" width="20.6640625" style="87" bestFit="1" customWidth="1"/>
    <col min="3" max="3" width="18.1640625" style="87" customWidth="1"/>
    <col min="4" max="5" width="10.6640625" style="87" customWidth="1"/>
    <col min="6" max="8" width="10.6640625" style="4" customWidth="1"/>
    <col min="9" max="12" width="10.6640625" customWidth="1"/>
    <col min="13" max="13" width="18.5" bestFit="1" customWidth="1"/>
    <col min="14" max="14" width="8.33203125" bestFit="1" customWidth="1"/>
    <col min="15" max="15" width="7.83203125" bestFit="1" customWidth="1"/>
    <col min="16" max="16" width="6" bestFit="1" customWidth="1"/>
    <col min="17" max="17" width="8.33203125" bestFit="1" customWidth="1"/>
    <col min="18" max="18" width="9.5" bestFit="1" customWidth="1"/>
    <col min="19" max="19" width="10.33203125" bestFit="1" customWidth="1"/>
    <col min="20" max="20" width="10.6640625" bestFit="1" customWidth="1"/>
    <col min="21" max="21" width="11.5" bestFit="1" customWidth="1"/>
    <col min="22" max="22" width="10.83203125" customWidth="1"/>
    <col min="23" max="23" width="17.33203125" customWidth="1"/>
    <col min="25" max="25" width="10.5" customWidth="1"/>
    <col min="26" max="34" width="11.6640625" style="9" customWidth="1"/>
    <col min="35" max="35" width="17.1640625" style="9" customWidth="1"/>
    <col min="36" max="36" width="8.83203125" style="9"/>
  </cols>
  <sheetData>
    <row r="1" spans="1:36" s="4" customFormat="1" ht="20" customHeight="1" thickBot="1">
      <c r="A1" s="522" t="s">
        <v>198</v>
      </c>
      <c r="B1" s="523"/>
      <c r="C1" s="524"/>
      <c r="D1" s="98" t="s">
        <v>189</v>
      </c>
      <c r="E1" s="98" t="s">
        <v>190</v>
      </c>
      <c r="F1" s="98" t="s">
        <v>191</v>
      </c>
      <c r="G1" s="98" t="s">
        <v>192</v>
      </c>
      <c r="H1" s="98" t="s">
        <v>193</v>
      </c>
      <c r="I1" s="98" t="s">
        <v>194</v>
      </c>
      <c r="J1" s="98" t="s">
        <v>195</v>
      </c>
      <c r="K1" s="98" t="s">
        <v>196</v>
      </c>
      <c r="L1" s="99" t="s">
        <v>197</v>
      </c>
      <c r="M1" s="100" t="s">
        <v>94</v>
      </c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</row>
    <row r="2" spans="1:36" ht="20" customHeight="1">
      <c r="A2" s="525" t="s">
        <v>2</v>
      </c>
      <c r="B2" s="526"/>
      <c r="C2" s="527"/>
      <c r="D2" s="323">
        <v>0</v>
      </c>
      <c r="E2" s="324">
        <v>0</v>
      </c>
      <c r="F2" s="324">
        <v>0</v>
      </c>
      <c r="G2" s="323">
        <v>0</v>
      </c>
      <c r="H2" s="324">
        <v>0</v>
      </c>
      <c r="I2" s="324">
        <v>0</v>
      </c>
      <c r="J2" s="323">
        <v>0</v>
      </c>
      <c r="K2" s="324">
        <v>0</v>
      </c>
      <c r="L2" s="324">
        <v>0</v>
      </c>
      <c r="M2" s="104">
        <v>11.9</v>
      </c>
      <c r="O2" s="182" t="s">
        <v>107</v>
      </c>
    </row>
    <row r="3" spans="1:36" ht="20" customHeight="1">
      <c r="A3" s="528" t="s">
        <v>3</v>
      </c>
      <c r="B3" s="529"/>
      <c r="C3" s="530"/>
      <c r="D3" s="325">
        <v>0</v>
      </c>
      <c r="E3" s="325">
        <v>0</v>
      </c>
      <c r="F3" s="325">
        <v>0</v>
      </c>
      <c r="G3" s="325">
        <v>0</v>
      </c>
      <c r="H3" s="325">
        <v>0</v>
      </c>
      <c r="I3" s="325">
        <v>0</v>
      </c>
      <c r="J3" s="325">
        <v>0</v>
      </c>
      <c r="K3" s="325">
        <v>0</v>
      </c>
      <c r="L3" s="325">
        <v>0</v>
      </c>
      <c r="M3" s="108">
        <v>1.4050925925925928E-3</v>
      </c>
      <c r="O3" s="182" t="s">
        <v>108</v>
      </c>
    </row>
    <row r="4" spans="1:36" ht="20" customHeight="1">
      <c r="A4" s="534" t="s">
        <v>27</v>
      </c>
      <c r="B4" s="456"/>
      <c r="C4" s="535"/>
      <c r="D4" s="326">
        <v>8</v>
      </c>
      <c r="E4" s="327">
        <v>10</v>
      </c>
      <c r="F4" s="327">
        <v>12</v>
      </c>
      <c r="G4" s="327">
        <v>14</v>
      </c>
      <c r="H4" s="327">
        <v>16</v>
      </c>
      <c r="I4" s="327">
        <v>18</v>
      </c>
      <c r="J4" s="327">
        <v>20</v>
      </c>
      <c r="K4" s="327">
        <v>22</v>
      </c>
      <c r="L4" s="328">
        <v>24</v>
      </c>
      <c r="M4" s="285">
        <v>100</v>
      </c>
      <c r="O4" s="1" t="s">
        <v>201</v>
      </c>
    </row>
    <row r="5" spans="1:36" ht="20" customHeight="1" thickBot="1">
      <c r="A5" s="531" t="s">
        <v>26</v>
      </c>
      <c r="B5" s="532"/>
      <c r="C5" s="533"/>
      <c r="D5" s="109">
        <v>1.6</v>
      </c>
      <c r="E5" s="110">
        <v>1.7</v>
      </c>
      <c r="F5" s="110">
        <v>1.8</v>
      </c>
      <c r="G5" s="110">
        <v>1.9</v>
      </c>
      <c r="H5" s="110">
        <v>2</v>
      </c>
      <c r="I5" s="110">
        <v>2.25</v>
      </c>
      <c r="J5" s="110">
        <v>2.5</v>
      </c>
      <c r="K5" s="110">
        <v>2.75</v>
      </c>
      <c r="L5" s="111">
        <v>3</v>
      </c>
      <c r="M5" s="112">
        <v>3.45</v>
      </c>
    </row>
    <row r="6" spans="1:36" ht="20" customHeight="1" thickBot="1">
      <c r="A6" s="287"/>
      <c r="B6" s="286"/>
      <c r="C6" s="287"/>
      <c r="D6" s="287"/>
      <c r="E6" s="287"/>
      <c r="F6" s="287"/>
      <c r="G6" s="287"/>
      <c r="H6" s="287"/>
      <c r="I6" s="287"/>
      <c r="J6" s="287"/>
      <c r="K6" s="287"/>
      <c r="L6" s="287"/>
      <c r="M6" s="287"/>
    </row>
    <row r="7" spans="1:36" ht="20" customHeight="1" thickBot="1">
      <c r="A7" s="522" t="s">
        <v>188</v>
      </c>
      <c r="B7" s="523"/>
      <c r="C7" s="524"/>
      <c r="D7" s="98" t="s">
        <v>189</v>
      </c>
      <c r="E7" s="98" t="s">
        <v>190</v>
      </c>
      <c r="F7" s="98" t="s">
        <v>191</v>
      </c>
      <c r="G7" s="98" t="s">
        <v>192</v>
      </c>
      <c r="H7" s="98" t="s">
        <v>193</v>
      </c>
      <c r="I7" s="98" t="s">
        <v>194</v>
      </c>
      <c r="J7" s="98" t="s">
        <v>195</v>
      </c>
      <c r="K7" s="98" t="s">
        <v>196</v>
      </c>
      <c r="L7" s="98" t="s">
        <v>197</v>
      </c>
      <c r="M7" s="100" t="s">
        <v>94</v>
      </c>
    </row>
    <row r="8" spans="1:36" ht="20" customHeight="1">
      <c r="A8" s="536" t="s">
        <v>2</v>
      </c>
      <c r="B8" s="537"/>
      <c r="C8" s="538"/>
      <c r="D8" s="101">
        <v>15</v>
      </c>
      <c r="E8" s="102">
        <v>14.5</v>
      </c>
      <c r="F8" s="102">
        <v>14</v>
      </c>
      <c r="G8" s="102">
        <v>13.5</v>
      </c>
      <c r="H8" s="102">
        <v>13</v>
      </c>
      <c r="I8" s="102">
        <v>12.5</v>
      </c>
      <c r="J8" s="102">
        <v>12</v>
      </c>
      <c r="K8" s="102">
        <v>11.6</v>
      </c>
      <c r="L8" s="103">
        <v>11.2</v>
      </c>
      <c r="M8" s="288">
        <v>10.5</v>
      </c>
    </row>
    <row r="9" spans="1:36" ht="20" customHeight="1">
      <c r="A9" s="534" t="s">
        <v>3</v>
      </c>
      <c r="B9" s="456"/>
      <c r="C9" s="535"/>
      <c r="D9" s="105">
        <v>1.736111111111111E-3</v>
      </c>
      <c r="E9" s="106">
        <v>1.6203703703703703E-3</v>
      </c>
      <c r="F9" s="106">
        <v>1.5046296296296294E-3</v>
      </c>
      <c r="G9" s="106">
        <v>1.4467592592592594E-3</v>
      </c>
      <c r="H9" s="106">
        <v>1.3888888888888889E-3</v>
      </c>
      <c r="I9" s="106">
        <v>1.3310185185185185E-3</v>
      </c>
      <c r="J9" s="106">
        <v>1.2962962962962963E-3</v>
      </c>
      <c r="K9" s="106">
        <v>1.261574074074074E-3</v>
      </c>
      <c r="L9" s="107">
        <v>1.2268518518518518E-3</v>
      </c>
      <c r="M9" s="108">
        <v>1.238425925925926E-3</v>
      </c>
    </row>
    <row r="10" spans="1:36" ht="20" customHeight="1">
      <c r="A10" s="528" t="s">
        <v>95</v>
      </c>
      <c r="B10" s="529"/>
      <c r="C10" s="530"/>
      <c r="D10" s="113"/>
      <c r="E10" s="114"/>
      <c r="F10" s="114"/>
      <c r="G10" s="114"/>
      <c r="H10" s="114"/>
      <c r="I10" s="114"/>
      <c r="J10" s="114"/>
      <c r="K10" s="114"/>
      <c r="L10" s="115"/>
      <c r="M10" s="289">
        <v>61.6</v>
      </c>
    </row>
    <row r="11" spans="1:36" ht="20" customHeight="1">
      <c r="A11" s="534" t="s">
        <v>27</v>
      </c>
      <c r="B11" s="456"/>
      <c r="C11" s="535"/>
      <c r="D11" s="326">
        <v>14</v>
      </c>
      <c r="E11" s="327">
        <v>16</v>
      </c>
      <c r="F11" s="327">
        <v>18</v>
      </c>
      <c r="G11" s="327">
        <v>20</v>
      </c>
      <c r="H11" s="327">
        <v>22</v>
      </c>
      <c r="I11" s="327">
        <v>24</v>
      </c>
      <c r="J11" s="327">
        <v>26</v>
      </c>
      <c r="K11" s="327">
        <v>28</v>
      </c>
      <c r="L11" s="328">
        <v>30</v>
      </c>
      <c r="M11" s="285">
        <v>100</v>
      </c>
    </row>
    <row r="12" spans="1:36" ht="20" customHeight="1" thickBot="1">
      <c r="A12" s="531" t="s">
        <v>26</v>
      </c>
      <c r="B12" s="532"/>
      <c r="C12" s="533"/>
      <c r="D12" s="109">
        <v>2</v>
      </c>
      <c r="E12" s="110">
        <v>2.25</v>
      </c>
      <c r="F12" s="110">
        <v>2.5</v>
      </c>
      <c r="G12" s="110">
        <v>2.75</v>
      </c>
      <c r="H12" s="110">
        <v>3</v>
      </c>
      <c r="I12" s="110">
        <v>3.25</v>
      </c>
      <c r="J12" s="110">
        <v>3.5</v>
      </c>
      <c r="K12" s="110">
        <v>3.75</v>
      </c>
      <c r="L12" s="111">
        <v>4</v>
      </c>
      <c r="M12" s="290">
        <v>4.32</v>
      </c>
    </row>
    <row r="13" spans="1:36" ht="20" customHeight="1" thickBot="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</row>
    <row r="14" spans="1:36" ht="20" customHeight="1" thickBot="1">
      <c r="A14" s="542" t="s">
        <v>199</v>
      </c>
      <c r="B14" s="543"/>
      <c r="C14" s="544"/>
      <c r="D14" s="116" t="s">
        <v>189</v>
      </c>
      <c r="E14" s="116" t="s">
        <v>190</v>
      </c>
      <c r="F14" s="116" t="s">
        <v>191</v>
      </c>
      <c r="G14" s="116" t="s">
        <v>192</v>
      </c>
      <c r="H14" s="116" t="s">
        <v>193</v>
      </c>
      <c r="I14" s="116" t="s">
        <v>194</v>
      </c>
      <c r="J14" s="116" t="s">
        <v>195</v>
      </c>
      <c r="K14" s="116" t="s">
        <v>196</v>
      </c>
      <c r="L14" s="117" t="s">
        <v>197</v>
      </c>
      <c r="M14" s="118" t="s">
        <v>94</v>
      </c>
    </row>
    <row r="15" spans="1:36" ht="20" customHeight="1">
      <c r="A15" s="525" t="s">
        <v>2</v>
      </c>
      <c r="B15" s="526"/>
      <c r="C15" s="527"/>
      <c r="D15" s="323">
        <v>0</v>
      </c>
      <c r="E15" s="324">
        <v>0</v>
      </c>
      <c r="F15" s="324">
        <v>0</v>
      </c>
      <c r="G15" s="323">
        <v>0</v>
      </c>
      <c r="H15" s="324">
        <v>0</v>
      </c>
      <c r="I15" s="324">
        <v>0</v>
      </c>
      <c r="J15" s="323">
        <v>0</v>
      </c>
      <c r="K15" s="324">
        <v>0</v>
      </c>
      <c r="L15" s="324">
        <v>0</v>
      </c>
      <c r="M15" s="104">
        <v>12.3</v>
      </c>
    </row>
    <row r="16" spans="1:36" ht="20" customHeight="1">
      <c r="A16" s="528" t="s">
        <v>3</v>
      </c>
      <c r="B16" s="529"/>
      <c r="C16" s="530"/>
      <c r="D16" s="325">
        <v>0</v>
      </c>
      <c r="E16" s="325">
        <v>0</v>
      </c>
      <c r="F16" s="325">
        <v>0</v>
      </c>
      <c r="G16" s="325">
        <v>0</v>
      </c>
      <c r="H16" s="325">
        <v>0</v>
      </c>
      <c r="I16" s="325">
        <v>0</v>
      </c>
      <c r="J16" s="325">
        <v>0</v>
      </c>
      <c r="K16" s="325">
        <v>0</v>
      </c>
      <c r="L16" s="325">
        <v>0</v>
      </c>
      <c r="M16" s="108">
        <v>1.4918981481481482E-3</v>
      </c>
    </row>
    <row r="17" spans="1:36" ht="20" customHeight="1">
      <c r="A17" s="534" t="s">
        <v>27</v>
      </c>
      <c r="B17" s="456"/>
      <c r="C17" s="535"/>
      <c r="D17" s="326">
        <v>7</v>
      </c>
      <c r="E17" s="327">
        <v>8</v>
      </c>
      <c r="F17" s="327">
        <v>10</v>
      </c>
      <c r="G17" s="327">
        <v>12</v>
      </c>
      <c r="H17" s="327">
        <v>14</v>
      </c>
      <c r="I17" s="327">
        <v>16</v>
      </c>
      <c r="J17" s="327">
        <v>18</v>
      </c>
      <c r="K17" s="327">
        <v>20</v>
      </c>
      <c r="L17" s="328">
        <v>22</v>
      </c>
      <c r="M17" s="285">
        <v>100</v>
      </c>
    </row>
    <row r="18" spans="1:36" s="4" customFormat="1" ht="20" customHeight="1" thickBot="1">
      <c r="A18" s="531" t="s">
        <v>26</v>
      </c>
      <c r="B18" s="532"/>
      <c r="C18" s="533"/>
      <c r="D18" s="109">
        <v>1.5</v>
      </c>
      <c r="E18" s="110">
        <v>1.6</v>
      </c>
      <c r="F18" s="110">
        <v>1.7</v>
      </c>
      <c r="G18" s="110">
        <v>1.8</v>
      </c>
      <c r="H18" s="110">
        <v>1.9</v>
      </c>
      <c r="I18" s="110">
        <v>2</v>
      </c>
      <c r="J18" s="110">
        <v>2.25</v>
      </c>
      <c r="K18" s="110">
        <v>2.5</v>
      </c>
      <c r="L18" s="111">
        <v>2.75</v>
      </c>
      <c r="M18" s="112">
        <v>2.94</v>
      </c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</row>
    <row r="19" spans="1:36" ht="20" customHeight="1" thickBot="1">
      <c r="A19" s="287"/>
      <c r="B19" s="286"/>
      <c r="C19" s="287"/>
      <c r="D19" s="287"/>
      <c r="E19" s="287"/>
      <c r="F19" s="287"/>
      <c r="G19" s="287"/>
      <c r="H19" s="287"/>
      <c r="I19" s="287"/>
      <c r="J19" s="287"/>
      <c r="K19" s="287"/>
      <c r="L19" s="287"/>
      <c r="M19" s="287"/>
    </row>
    <row r="20" spans="1:36" ht="20" customHeight="1" thickBot="1">
      <c r="A20" s="542" t="s">
        <v>200</v>
      </c>
      <c r="B20" s="543"/>
      <c r="C20" s="544"/>
      <c r="D20" s="116" t="s">
        <v>189</v>
      </c>
      <c r="E20" s="116" t="s">
        <v>190</v>
      </c>
      <c r="F20" s="116" t="s">
        <v>191</v>
      </c>
      <c r="G20" s="116" t="s">
        <v>192</v>
      </c>
      <c r="H20" s="116" t="s">
        <v>193</v>
      </c>
      <c r="I20" s="116" t="s">
        <v>194</v>
      </c>
      <c r="J20" s="116" t="s">
        <v>195</v>
      </c>
      <c r="K20" s="116" t="s">
        <v>196</v>
      </c>
      <c r="L20" s="117" t="s">
        <v>197</v>
      </c>
      <c r="M20" s="118" t="s">
        <v>94</v>
      </c>
    </row>
    <row r="21" spans="1:36" ht="20" customHeight="1">
      <c r="A21" s="536" t="s">
        <v>2</v>
      </c>
      <c r="B21" s="537"/>
      <c r="C21" s="538"/>
      <c r="D21" s="101">
        <v>16</v>
      </c>
      <c r="E21" s="102">
        <v>15</v>
      </c>
      <c r="F21" s="102">
        <v>14.5</v>
      </c>
      <c r="G21" s="102">
        <v>14</v>
      </c>
      <c r="H21" s="102">
        <v>13.5</v>
      </c>
      <c r="I21" s="102">
        <v>13</v>
      </c>
      <c r="J21" s="102">
        <v>12.5</v>
      </c>
      <c r="K21" s="102">
        <v>12.1</v>
      </c>
      <c r="L21" s="103">
        <v>11.7</v>
      </c>
      <c r="M21" s="288">
        <v>10.7</v>
      </c>
    </row>
    <row r="22" spans="1:36" ht="20" customHeight="1">
      <c r="A22" s="534" t="s">
        <v>3</v>
      </c>
      <c r="B22" s="456"/>
      <c r="C22" s="535"/>
      <c r="D22" s="105">
        <v>1.7939814814814815E-3</v>
      </c>
      <c r="E22" s="106">
        <v>1.6782407407407406E-3</v>
      </c>
      <c r="F22" s="106">
        <v>1.5625000000000001E-3</v>
      </c>
      <c r="G22" s="106">
        <v>1.5046296296296296E-3</v>
      </c>
      <c r="H22" s="106">
        <v>1.4467592592592592E-3</v>
      </c>
      <c r="I22" s="106">
        <v>1.3888888888888889E-3</v>
      </c>
      <c r="J22" s="106">
        <v>1.3310185185185185E-3</v>
      </c>
      <c r="K22" s="106">
        <v>1.2731481481481483E-3</v>
      </c>
      <c r="L22" s="107">
        <v>1.238425925925926E-3</v>
      </c>
      <c r="M22" s="108">
        <v>1.2800925925925924E-3</v>
      </c>
    </row>
    <row r="23" spans="1:36" ht="20" customHeight="1">
      <c r="A23" s="528" t="s">
        <v>95</v>
      </c>
      <c r="B23" s="529"/>
      <c r="C23" s="530"/>
      <c r="D23" s="113"/>
      <c r="E23" s="114"/>
      <c r="F23" s="114"/>
      <c r="G23" s="114"/>
      <c r="H23" s="114"/>
      <c r="I23" s="114"/>
      <c r="J23" s="114"/>
      <c r="K23" s="114"/>
      <c r="L23" s="115"/>
      <c r="M23" s="291">
        <v>63</v>
      </c>
    </row>
    <row r="24" spans="1:36" ht="20" customHeight="1">
      <c r="A24" s="534" t="s">
        <v>27</v>
      </c>
      <c r="B24" s="456"/>
      <c r="C24" s="535"/>
      <c r="D24" s="326">
        <v>12</v>
      </c>
      <c r="E24" s="327">
        <v>14</v>
      </c>
      <c r="F24" s="327">
        <v>16</v>
      </c>
      <c r="G24" s="327">
        <v>18</v>
      </c>
      <c r="H24" s="327">
        <v>20</v>
      </c>
      <c r="I24" s="327">
        <v>22</v>
      </c>
      <c r="J24" s="327">
        <v>24</v>
      </c>
      <c r="K24" s="327">
        <v>26</v>
      </c>
      <c r="L24" s="328">
        <v>28</v>
      </c>
      <c r="M24" s="285">
        <v>100</v>
      </c>
    </row>
    <row r="25" spans="1:36" ht="20" customHeight="1" thickBot="1">
      <c r="A25" s="531" t="s">
        <v>26</v>
      </c>
      <c r="B25" s="532"/>
      <c r="C25" s="533"/>
      <c r="D25" s="109">
        <v>1.9</v>
      </c>
      <c r="E25" s="110">
        <v>2</v>
      </c>
      <c r="F25" s="110">
        <v>2.25</v>
      </c>
      <c r="G25" s="110">
        <v>2.5</v>
      </c>
      <c r="H25" s="110">
        <v>2.75</v>
      </c>
      <c r="I25" s="110">
        <v>3</v>
      </c>
      <c r="J25" s="110">
        <v>3.25</v>
      </c>
      <c r="K25" s="110">
        <v>3.5</v>
      </c>
      <c r="L25" s="111">
        <v>3.75</v>
      </c>
      <c r="M25" s="290">
        <v>4.08</v>
      </c>
    </row>
    <row r="26" spans="1:36" ht="20" customHeight="1"/>
    <row r="27" spans="1:36" ht="20" customHeight="1">
      <c r="D27" s="182" t="s">
        <v>110</v>
      </c>
      <c r="E27"/>
      <c r="F27"/>
      <c r="G27"/>
    </row>
    <row r="28" spans="1:36" ht="20" customHeight="1">
      <c r="D28" s="160" t="s">
        <v>151</v>
      </c>
      <c r="E28" s="48" t="s">
        <v>99</v>
      </c>
      <c r="F28" s="48" t="s">
        <v>100</v>
      </c>
      <c r="G28" s="48" t="s">
        <v>1</v>
      </c>
      <c r="I28" s="160" t="s">
        <v>153</v>
      </c>
      <c r="J28" s="48" t="s">
        <v>99</v>
      </c>
      <c r="K28" s="48" t="s">
        <v>100</v>
      </c>
      <c r="L28" s="48" t="s">
        <v>1</v>
      </c>
    </row>
    <row r="29" spans="1:36" ht="20" customHeight="1">
      <c r="D29" s="160" t="str">
        <f>'Read Me First'!C11</f>
        <v>Abingdon AC</v>
      </c>
      <c r="E29" s="52" t="str">
        <f t="shared" ref="E29:F36" si="0">Q343</f>
        <v/>
      </c>
      <c r="F29" s="52">
        <f t="shared" si="0"/>
        <v>0</v>
      </c>
      <c r="G29" s="52">
        <f t="shared" ref="G29:G36" si="1">P343</f>
        <v>0</v>
      </c>
      <c r="I29" s="160" t="str">
        <f t="shared" ref="I29:I36" si="2">D39</f>
        <v>Abingdon AC</v>
      </c>
      <c r="J29" s="52" t="str">
        <f t="shared" ref="J29:K36" si="3">E343</f>
        <v/>
      </c>
      <c r="K29" s="52">
        <f t="shared" si="3"/>
        <v>0</v>
      </c>
      <c r="L29" s="52">
        <f t="shared" ref="L29:L36" si="4">D343</f>
        <v>0</v>
      </c>
    </row>
    <row r="30" spans="1:36" ht="20" customHeight="1">
      <c r="D30" s="160" t="str">
        <f>'Read Me First'!C12</f>
        <v>Banbury Harriers AC</v>
      </c>
      <c r="E30" s="52" t="str">
        <f t="shared" si="0"/>
        <v/>
      </c>
      <c r="F30" s="52">
        <f t="shared" si="0"/>
        <v>0</v>
      </c>
      <c r="G30" s="52">
        <f t="shared" si="1"/>
        <v>0</v>
      </c>
      <c r="I30" s="160" t="str">
        <f t="shared" si="2"/>
        <v>Banbury Harriers AC</v>
      </c>
      <c r="J30" s="52" t="str">
        <f t="shared" si="3"/>
        <v/>
      </c>
      <c r="K30" s="52">
        <f t="shared" si="3"/>
        <v>0</v>
      </c>
      <c r="L30" s="52">
        <f t="shared" si="4"/>
        <v>0</v>
      </c>
    </row>
    <row r="31" spans="1:36" ht="20" customHeight="1">
      <c r="D31" s="160" t="str">
        <f>'Read Me First'!C13</f>
        <v>Bicester AC</v>
      </c>
      <c r="E31" s="52" t="str">
        <f t="shared" si="0"/>
        <v/>
      </c>
      <c r="F31" s="52">
        <f t="shared" si="0"/>
        <v>0</v>
      </c>
      <c r="G31" s="52">
        <f t="shared" si="1"/>
        <v>0</v>
      </c>
      <c r="I31" s="160" t="str">
        <f t="shared" si="2"/>
        <v>Bicester AC</v>
      </c>
      <c r="J31" s="52" t="str">
        <f t="shared" si="3"/>
        <v/>
      </c>
      <c r="K31" s="52">
        <f t="shared" si="3"/>
        <v>0</v>
      </c>
      <c r="L31" s="52">
        <f t="shared" si="4"/>
        <v>0</v>
      </c>
    </row>
    <row r="32" spans="1:36" ht="20" customHeight="1">
      <c r="D32" s="160" t="str">
        <f>'Read Me First'!C14</f>
        <v>Oxford City AC</v>
      </c>
      <c r="E32" s="52" t="str">
        <f t="shared" si="0"/>
        <v/>
      </c>
      <c r="F32" s="52">
        <f t="shared" si="0"/>
        <v>0</v>
      </c>
      <c r="G32" s="52">
        <f t="shared" si="1"/>
        <v>0</v>
      </c>
      <c r="I32" s="160" t="str">
        <f t="shared" si="2"/>
        <v>Oxford City AC</v>
      </c>
      <c r="J32" s="52" t="str">
        <f t="shared" si="3"/>
        <v/>
      </c>
      <c r="K32" s="52">
        <f t="shared" si="3"/>
        <v>0</v>
      </c>
      <c r="L32" s="52">
        <f t="shared" si="4"/>
        <v>0</v>
      </c>
    </row>
    <row r="33" spans="4:12" ht="20" customHeight="1">
      <c r="D33" s="160" t="str">
        <f>'Read Me First'!C15</f>
        <v>Radley AC</v>
      </c>
      <c r="E33" s="52" t="str">
        <f t="shared" si="0"/>
        <v/>
      </c>
      <c r="F33" s="52">
        <f t="shared" si="0"/>
        <v>0</v>
      </c>
      <c r="G33" s="52">
        <f t="shared" si="1"/>
        <v>0</v>
      </c>
      <c r="I33" s="160" t="str">
        <f t="shared" si="2"/>
        <v>Radley AC</v>
      </c>
      <c r="J33" s="52" t="str">
        <f t="shared" si="3"/>
        <v/>
      </c>
      <c r="K33" s="52">
        <f t="shared" si="3"/>
        <v>0</v>
      </c>
      <c r="L33" s="52">
        <f t="shared" si="4"/>
        <v>0</v>
      </c>
    </row>
    <row r="34" spans="4:12" ht="20" customHeight="1">
      <c r="D34" s="160" t="str">
        <f>'Read Me First'!C16</f>
        <v>Team Kennet</v>
      </c>
      <c r="E34" s="52" t="str">
        <f t="shared" si="0"/>
        <v/>
      </c>
      <c r="F34" s="52">
        <f t="shared" si="0"/>
        <v>0</v>
      </c>
      <c r="G34" s="52">
        <f t="shared" si="1"/>
        <v>0</v>
      </c>
      <c r="I34" s="160" t="str">
        <f t="shared" si="2"/>
        <v>Team Kennet</v>
      </c>
      <c r="J34" s="52" t="str">
        <f t="shared" si="3"/>
        <v/>
      </c>
      <c r="K34" s="52">
        <f t="shared" si="3"/>
        <v>0</v>
      </c>
      <c r="L34" s="52">
        <f t="shared" si="4"/>
        <v>0</v>
      </c>
    </row>
    <row r="35" spans="4:12" ht="20" customHeight="1">
      <c r="D35" s="160" t="str">
        <f>'Read Me First'!C17</f>
        <v>White Horse Harriers</v>
      </c>
      <c r="E35" s="52" t="str">
        <f t="shared" si="0"/>
        <v/>
      </c>
      <c r="F35" s="52">
        <f t="shared" si="0"/>
        <v>0</v>
      </c>
      <c r="G35" s="52">
        <f t="shared" si="1"/>
        <v>0</v>
      </c>
      <c r="I35" s="160" t="str">
        <f t="shared" si="2"/>
        <v>White Horse Harriers</v>
      </c>
      <c r="J35" s="52" t="str">
        <f t="shared" si="3"/>
        <v/>
      </c>
      <c r="K35" s="52">
        <f t="shared" si="3"/>
        <v>0</v>
      </c>
      <c r="L35" s="52">
        <f t="shared" si="4"/>
        <v>0</v>
      </c>
    </row>
    <row r="36" spans="4:12" ht="20" customHeight="1">
      <c r="D36" s="160" t="str">
        <f>'Read Me First'!C18</f>
        <v>Witney Road Runners</v>
      </c>
      <c r="E36" s="52" t="str">
        <f t="shared" si="0"/>
        <v/>
      </c>
      <c r="F36" s="52">
        <f t="shared" si="0"/>
        <v>0</v>
      </c>
      <c r="G36" s="52">
        <f t="shared" si="1"/>
        <v>0</v>
      </c>
      <c r="I36" s="160" t="str">
        <f t="shared" si="2"/>
        <v>Witney Road Runners</v>
      </c>
      <c r="J36" s="52" t="str">
        <f t="shared" si="3"/>
        <v/>
      </c>
      <c r="K36" s="52">
        <f t="shared" si="3"/>
        <v>0</v>
      </c>
      <c r="L36" s="52">
        <f t="shared" si="4"/>
        <v>0</v>
      </c>
    </row>
    <row r="37" spans="4:12" ht="20" customHeight="1">
      <c r="D37" s="86"/>
      <c r="E37" s="9"/>
      <c r="F37" s="9"/>
      <c r="G37" s="9"/>
      <c r="I37" s="86"/>
    </row>
    <row r="38" spans="4:12" ht="20" customHeight="1">
      <c r="D38" s="160" t="s">
        <v>152</v>
      </c>
      <c r="E38" s="48" t="s">
        <v>99</v>
      </c>
      <c r="F38" s="48" t="s">
        <v>100</v>
      </c>
      <c r="G38" s="48" t="s">
        <v>1</v>
      </c>
      <c r="I38" s="160" t="s">
        <v>154</v>
      </c>
      <c r="J38" s="48" t="s">
        <v>99</v>
      </c>
      <c r="K38" s="48" t="s">
        <v>100</v>
      </c>
      <c r="L38" s="48" t="s">
        <v>1</v>
      </c>
    </row>
    <row r="39" spans="4:12" ht="20" customHeight="1">
      <c r="D39" s="160" t="str">
        <f>'Read Me First'!C11</f>
        <v>Abingdon AC</v>
      </c>
      <c r="E39" s="52" t="str">
        <f t="shared" ref="E39:F46" si="5">W343</f>
        <v/>
      </c>
      <c r="F39" s="52">
        <f t="shared" si="5"/>
        <v>0</v>
      </c>
      <c r="G39" s="52">
        <f t="shared" ref="G39:G46" si="6">V343</f>
        <v>0</v>
      </c>
      <c r="I39" s="160" t="str">
        <f>I29</f>
        <v>Abingdon AC</v>
      </c>
      <c r="J39" s="52" t="str">
        <f t="shared" ref="J39:K46" si="7">K343</f>
        <v/>
      </c>
      <c r="K39" s="52">
        <f t="shared" si="7"/>
        <v>0</v>
      </c>
      <c r="L39" s="52">
        <f t="shared" ref="L39:L46" si="8">J343</f>
        <v>0</v>
      </c>
    </row>
    <row r="40" spans="4:12" ht="20" customHeight="1">
      <c r="D40" s="160" t="str">
        <f>'Read Me First'!C12</f>
        <v>Banbury Harriers AC</v>
      </c>
      <c r="E40" s="52" t="str">
        <f t="shared" si="5"/>
        <v/>
      </c>
      <c r="F40" s="52">
        <f t="shared" si="5"/>
        <v>0</v>
      </c>
      <c r="G40" s="52">
        <f t="shared" si="6"/>
        <v>0</v>
      </c>
      <c r="I40" s="160" t="str">
        <f t="shared" ref="I40:I46" si="9">I30</f>
        <v>Banbury Harriers AC</v>
      </c>
      <c r="J40" s="52" t="str">
        <f t="shared" si="7"/>
        <v/>
      </c>
      <c r="K40" s="52">
        <f t="shared" si="7"/>
        <v>0</v>
      </c>
      <c r="L40" s="52">
        <f t="shared" si="8"/>
        <v>0</v>
      </c>
    </row>
    <row r="41" spans="4:12" ht="20" customHeight="1">
      <c r="D41" s="160" t="str">
        <f>'Read Me First'!C13</f>
        <v>Bicester AC</v>
      </c>
      <c r="E41" s="52" t="str">
        <f t="shared" si="5"/>
        <v/>
      </c>
      <c r="F41" s="52">
        <f t="shared" si="5"/>
        <v>0</v>
      </c>
      <c r="G41" s="52">
        <f t="shared" si="6"/>
        <v>0</v>
      </c>
      <c r="I41" s="160" t="str">
        <f t="shared" si="9"/>
        <v>Bicester AC</v>
      </c>
      <c r="J41" s="52" t="str">
        <f t="shared" si="7"/>
        <v/>
      </c>
      <c r="K41" s="52">
        <f t="shared" si="7"/>
        <v>0</v>
      </c>
      <c r="L41" s="52">
        <f t="shared" si="8"/>
        <v>0</v>
      </c>
    </row>
    <row r="42" spans="4:12" ht="20" customHeight="1">
      <c r="D42" s="160" t="str">
        <f>'Read Me First'!C14</f>
        <v>Oxford City AC</v>
      </c>
      <c r="E42" s="52" t="str">
        <f t="shared" si="5"/>
        <v/>
      </c>
      <c r="F42" s="52">
        <f t="shared" si="5"/>
        <v>0</v>
      </c>
      <c r="G42" s="52">
        <f t="shared" si="6"/>
        <v>0</v>
      </c>
      <c r="I42" s="160" t="str">
        <f t="shared" si="9"/>
        <v>Oxford City AC</v>
      </c>
      <c r="J42" s="52" t="str">
        <f t="shared" si="7"/>
        <v/>
      </c>
      <c r="K42" s="52">
        <f t="shared" si="7"/>
        <v>0</v>
      </c>
      <c r="L42" s="52">
        <f t="shared" si="8"/>
        <v>0</v>
      </c>
    </row>
    <row r="43" spans="4:12" ht="20" customHeight="1">
      <c r="D43" s="160" t="str">
        <f>'Read Me First'!C15</f>
        <v>Radley AC</v>
      </c>
      <c r="E43" s="52" t="str">
        <f t="shared" si="5"/>
        <v/>
      </c>
      <c r="F43" s="52">
        <f t="shared" si="5"/>
        <v>0</v>
      </c>
      <c r="G43" s="52">
        <f t="shared" si="6"/>
        <v>0</v>
      </c>
      <c r="I43" s="160" t="str">
        <f t="shared" si="9"/>
        <v>Radley AC</v>
      </c>
      <c r="J43" s="52" t="str">
        <f t="shared" si="7"/>
        <v/>
      </c>
      <c r="K43" s="52">
        <f t="shared" si="7"/>
        <v>0</v>
      </c>
      <c r="L43" s="52">
        <f t="shared" si="8"/>
        <v>0</v>
      </c>
    </row>
    <row r="44" spans="4:12" ht="20" customHeight="1">
      <c r="D44" s="160" t="str">
        <f>'Read Me First'!C16</f>
        <v>Team Kennet</v>
      </c>
      <c r="E44" s="52" t="str">
        <f t="shared" si="5"/>
        <v/>
      </c>
      <c r="F44" s="52">
        <f t="shared" si="5"/>
        <v>0</v>
      </c>
      <c r="G44" s="52">
        <f t="shared" si="6"/>
        <v>0</v>
      </c>
      <c r="I44" s="160" t="str">
        <f t="shared" si="9"/>
        <v>Team Kennet</v>
      </c>
      <c r="J44" s="52" t="str">
        <f t="shared" si="7"/>
        <v/>
      </c>
      <c r="K44" s="52">
        <f t="shared" si="7"/>
        <v>0</v>
      </c>
      <c r="L44" s="52">
        <f t="shared" si="8"/>
        <v>0</v>
      </c>
    </row>
    <row r="45" spans="4:12" ht="20" customHeight="1">
      <c r="D45" s="160" t="str">
        <f>'Read Me First'!C17</f>
        <v>White Horse Harriers</v>
      </c>
      <c r="E45" s="52" t="str">
        <f t="shared" si="5"/>
        <v/>
      </c>
      <c r="F45" s="52">
        <f t="shared" si="5"/>
        <v>0</v>
      </c>
      <c r="G45" s="52">
        <f t="shared" si="6"/>
        <v>0</v>
      </c>
      <c r="I45" s="160" t="str">
        <f t="shared" si="9"/>
        <v>White Horse Harriers</v>
      </c>
      <c r="J45" s="52" t="str">
        <f t="shared" si="7"/>
        <v/>
      </c>
      <c r="K45" s="52">
        <f t="shared" si="7"/>
        <v>0</v>
      </c>
      <c r="L45" s="52">
        <f t="shared" si="8"/>
        <v>0</v>
      </c>
    </row>
    <row r="46" spans="4:12" ht="20" customHeight="1">
      <c r="D46" s="160" t="str">
        <f>'Read Me First'!C18</f>
        <v>Witney Road Runners</v>
      </c>
      <c r="E46" s="52" t="str">
        <f t="shared" si="5"/>
        <v/>
      </c>
      <c r="F46" s="52">
        <f t="shared" si="5"/>
        <v>0</v>
      </c>
      <c r="G46" s="52">
        <f t="shared" si="6"/>
        <v>0</v>
      </c>
      <c r="I46" s="160" t="str">
        <f t="shared" si="9"/>
        <v>Witney Road Runners</v>
      </c>
      <c r="J46" s="52" t="str">
        <f t="shared" si="7"/>
        <v/>
      </c>
      <c r="K46" s="52">
        <f t="shared" si="7"/>
        <v>0</v>
      </c>
      <c r="L46" s="52">
        <f t="shared" si="8"/>
        <v>0</v>
      </c>
    </row>
    <row r="47" spans="4:12" ht="20" customHeight="1"/>
    <row r="48" spans="4:12" ht="20" customHeight="1"/>
    <row r="49" spans="1:37" ht="20" customHeight="1">
      <c r="A49" s="39"/>
      <c r="B49" s="158"/>
      <c r="C49" s="158"/>
      <c r="D49" s="158"/>
      <c r="E49" s="158"/>
      <c r="F49" s="39"/>
      <c r="G49" s="39"/>
      <c r="H49" s="39"/>
      <c r="I49" s="7"/>
      <c r="J49" s="7"/>
      <c r="K49" s="7"/>
      <c r="L49" s="40"/>
      <c r="M49" s="7"/>
      <c r="N49" s="7"/>
      <c r="O49" s="7"/>
      <c r="P49" s="7"/>
      <c r="Q49" s="7"/>
      <c r="R49" s="7"/>
      <c r="S49" s="7"/>
      <c r="T49" s="7"/>
      <c r="U49" s="7"/>
      <c r="V49" s="9"/>
      <c r="W49" s="9"/>
      <c r="X49" s="9"/>
      <c r="Y49" s="9"/>
    </row>
    <row r="50" spans="1:37" ht="20" customHeight="1">
      <c r="A50" s="521" t="s">
        <v>31</v>
      </c>
      <c r="B50" s="521"/>
      <c r="C50" s="521"/>
      <c r="D50" s="521"/>
      <c r="E50" s="521"/>
      <c r="F50" s="521"/>
      <c r="G50" s="521"/>
      <c r="H50" s="521"/>
      <c r="I50" s="521"/>
      <c r="J50" s="521"/>
      <c r="K50" s="521"/>
      <c r="L50" s="521"/>
      <c r="M50" s="521"/>
      <c r="N50" s="521"/>
      <c r="O50" s="521"/>
      <c r="P50" s="521"/>
      <c r="Q50" s="521"/>
      <c r="R50" s="521"/>
      <c r="S50" s="521"/>
      <c r="T50" s="521"/>
      <c r="U50" s="521"/>
      <c r="V50" s="39"/>
      <c r="Y50" s="9"/>
    </row>
    <row r="51" spans="1:37" ht="20" customHeight="1">
      <c r="A51"/>
      <c r="F51"/>
      <c r="G51"/>
      <c r="H51"/>
      <c r="V51" s="39"/>
      <c r="Y51" s="4"/>
    </row>
    <row r="52" spans="1:37" ht="20" customHeight="1">
      <c r="A52" s="47"/>
      <c r="B52" s="159" t="s">
        <v>7</v>
      </c>
      <c r="C52" s="159" t="s">
        <v>19</v>
      </c>
      <c r="D52" s="159" t="s">
        <v>76</v>
      </c>
      <c r="E52" s="159" t="s">
        <v>158</v>
      </c>
      <c r="F52" s="541" t="s">
        <v>2</v>
      </c>
      <c r="G52" s="541"/>
      <c r="H52" s="48"/>
      <c r="I52" s="541" t="s">
        <v>3</v>
      </c>
      <c r="J52" s="541"/>
      <c r="K52" s="48"/>
      <c r="L52" s="539" t="s">
        <v>26</v>
      </c>
      <c r="M52" s="540"/>
      <c r="N52" s="131"/>
      <c r="O52" s="539" t="s">
        <v>27</v>
      </c>
      <c r="P52" s="540"/>
      <c r="Q52" s="132" t="s">
        <v>1</v>
      </c>
      <c r="R52" s="132" t="s">
        <v>156</v>
      </c>
      <c r="S52" s="132" t="s">
        <v>159</v>
      </c>
      <c r="T52" s="132" t="s">
        <v>157</v>
      </c>
      <c r="U52" s="132" t="s">
        <v>160</v>
      </c>
      <c r="V52" s="317"/>
      <c r="W52" s="317"/>
      <c r="X52" s="317"/>
      <c r="Y52" s="4"/>
    </row>
    <row r="53" spans="1:37" ht="20" customHeight="1">
      <c r="A53" s="47"/>
      <c r="B53" s="160"/>
      <c r="C53" s="160"/>
      <c r="D53" s="160"/>
      <c r="E53" s="160"/>
      <c r="F53" s="49" t="s">
        <v>17</v>
      </c>
      <c r="G53" s="48" t="s">
        <v>1</v>
      </c>
      <c r="H53" s="133" t="s">
        <v>96</v>
      </c>
      <c r="I53" s="50" t="s">
        <v>17</v>
      </c>
      <c r="J53" s="48" t="s">
        <v>1</v>
      </c>
      <c r="K53" s="133" t="s">
        <v>96</v>
      </c>
      <c r="L53" s="50" t="s">
        <v>18</v>
      </c>
      <c r="M53" s="48" t="s">
        <v>1</v>
      </c>
      <c r="N53" s="133" t="s">
        <v>96</v>
      </c>
      <c r="O53" s="50" t="s">
        <v>18</v>
      </c>
      <c r="P53" s="48" t="s">
        <v>1</v>
      </c>
      <c r="Q53" s="48"/>
      <c r="R53" s="48"/>
      <c r="S53" s="48"/>
      <c r="T53" s="48"/>
      <c r="U53" s="48"/>
      <c r="V53" s="9"/>
      <c r="W53" s="9"/>
      <c r="X53" s="9"/>
      <c r="Y53" s="4"/>
      <c r="Z53" s="86" t="s">
        <v>166</v>
      </c>
      <c r="AA53" s="287"/>
      <c r="AB53" s="287"/>
      <c r="AC53" s="287"/>
      <c r="AD53" s="287"/>
      <c r="AE53" s="287"/>
      <c r="AF53" s="287"/>
      <c r="AG53" s="287"/>
      <c r="AH53" s="287"/>
      <c r="AI53" s="287"/>
      <c r="AJ53" s="287"/>
      <c r="AK53" s="318"/>
    </row>
    <row r="54" spans="1:37" ht="20" customHeight="1">
      <c r="A54" s="51" t="str">
        <f>IF(Declarations!B6=0,"",Declarations!B6)</f>
        <v/>
      </c>
      <c r="B54" s="161" t="str">
        <f>IF(ISNA(VLOOKUP(A54,Declarations!B$6:C$293,2,FALSE)),"",IF(VLOOKUP(A54,Declarations!B$6:C$293,2,FALSE)="","",VLOOKUP(A54,Declarations!B$6:C$293,2,FALSE)))</f>
        <v/>
      </c>
      <c r="C54" s="161" t="str">
        <f>IF(ISNA(VLOOKUP(A54,Declarations!B$6:F$293,5,FALSE)),"",IF(VLOOKUP(A54,Declarations!B$6:F$293,5,FALSE)="","",VLOOKUP(A54,Declarations!B$6:F$293,5,FALSE)))</f>
        <v/>
      </c>
      <c r="D54" s="161" t="str">
        <f>IF(ISNA(VLOOKUP(A54,Declarations!B$6:F$293,4,FALSE)),"",IF(VLOOKUP(A54,Declarations!B$6:F$293,4,FALSE)="","",VLOOKUP(A54,Declarations!B$6:F$293,4,FALSE)))</f>
        <v/>
      </c>
      <c r="E54" s="161" t="str">
        <f>IF(ISNA(VLOOKUP(A54,Declarations!B$6:D$293,3,FALSE)),"",IF(VLOOKUP(A54,Declarations!B$6:D$293,3,FALSE)="","",VLOOKUP(A54,Declarations!B$6:D$293,3,FALSE)))</f>
        <v/>
      </c>
      <c r="F54" s="51" t="str">
        <f>IF(B54="","",IF(ISNA(VLOOKUP(A54,'75m'!F$5:G$302,2,FALSE)),"",VLOOKUP(A54,'75m'!F$5:G$302,2,FALSE)))</f>
        <v/>
      </c>
      <c r="G54" s="51">
        <f>IF(B54="",0,IF(ISNA(VLOOKUP(A54,'75m'!F$5:J$302,5,FALSE)),0,VLOOKUP(A54,'75m'!F$5:J$302,5,FALSE)))</f>
        <v>0</v>
      </c>
      <c r="H54" s="51" t="str">
        <f>IF(B54="","",IF(ISNA(VLOOKUP(A54,'75m'!F$5:K$302,6,FALSE)),"",VLOOKUP(A54,'75m'!F$5:K$302,6,FALSE)))</f>
        <v/>
      </c>
      <c r="I54" s="53">
        <f>IF(B54="",0,IF(ISNA(VLOOKUP(A54,'600m'!F$5:J$302,2,FALSE)),0,VLOOKUP(A54,'600m'!F$5:J$302,2,FALSE)))</f>
        <v>0</v>
      </c>
      <c r="J54" s="51">
        <f>IF(B54="",0,IF(ISNA(VLOOKUP(A54,'600m'!F$5:J$302,5,FALSE)),0,VLOOKUP(A54,'600m'!F$5:J$302,5,FALSE)))</f>
        <v>0</v>
      </c>
      <c r="K54" s="51" t="str">
        <f>IF(B54="","",IF(ISNA(VLOOKUP(A54,'600m'!F$5:K$302,6,FALSE)),"",VLOOKUP(A54,'600m'!F$5:K$302,6,FALSE)))</f>
        <v/>
      </c>
      <c r="L54" s="51" t="str">
        <f>IF(B54="","",IF(ISNA(VLOOKUP(A54,LongJump!F$5:G$302,2,FALSE)),"",VLOOKUP(A54,LongJump!F$5:G$302,2,FALSE)))</f>
        <v/>
      </c>
      <c r="M54" s="51">
        <f>IF(B54="",0,IF(ISNA(VLOOKUP(A54,LongJump!F$5:J$302,5,FALSE)),0,VLOOKUP(A54,LongJump!F$5:J$302,5,FALSE)))</f>
        <v>0</v>
      </c>
      <c r="N54" s="51">
        <f>IF(B54="",0,IF(ISNA(VLOOKUP(A54,LongJump!F$5:K$302,6,FALSE)),0,VLOOKUP(A54,LongJump!F$5:K$302,6,FALSE)))</f>
        <v>0</v>
      </c>
      <c r="O54" s="51" t="str">
        <f>IF(B54="","",IF(ISNA(VLOOKUP(A54,Vortex!F$5:J$302,2,FALSE)),"",VLOOKUP(A54,Vortex!F$5:J$302,2,FALSE)))</f>
        <v/>
      </c>
      <c r="P54" s="51">
        <f>IF(B54="",0,IF(ISNA(VLOOKUP(A54,Vortex!F$5:J$302,5,FALSE)),0,VLOOKUP(A54,Vortex!F$5:J$302,5,FALSE)))</f>
        <v>0</v>
      </c>
      <c r="Q54" s="51">
        <f>G54+J54+M54+P54</f>
        <v>0</v>
      </c>
      <c r="R54" s="51" t="str">
        <f t="shared" ref="R54:R117" si="10">IF(OR($Q54=0,$E54&lt;&gt;"U10"),"",COUNTIFS($C$54:$C$341, $C54, $D$54:$D$341, $D54, $E$54:$E$341, $E54, $Q$54:$Q$341,"&gt;"&amp;$Q54)+1)</f>
        <v/>
      </c>
      <c r="S54" s="51" t="str">
        <f t="shared" ref="S54:S117" si="11">IF(OR($Q54=0,$E54&lt;&gt;"U12"),"",COUNTIFS($C$54:$C$341, $C54, $D$54:$D$341, $D54, $E$54:$E$341, $E54, $Q$54:$Q$341,"&gt;"&amp;$Q54)+1)</f>
        <v/>
      </c>
      <c r="T54" s="51" t="str">
        <f t="shared" ref="T54:T117" si="12">IF(OR($Q54=0,$E54&lt;&gt;"U10"),"",COUNTIFS($D$54:$D$341, $D54,$E$54:$E$341,$E54,$Q$54:$Q$341,"&gt;"&amp;$Q54)+1)</f>
        <v/>
      </c>
      <c r="U54" s="51" t="str">
        <f t="shared" ref="U54:U117" si="13">IF(OR($Q54=0,$E54&lt;&gt;"U12"),"",COUNTIFS($D$54:$D$341, $D54,$E$54:$E$341,$E54,$Q$54:$Q$341,"&gt;"&amp;$Q54)+1)</f>
        <v/>
      </c>
      <c r="V54" s="4"/>
      <c r="W54" s="4"/>
      <c r="X54" s="4"/>
      <c r="Y54" s="4"/>
      <c r="Z54" s="287" t="str" cm="1">
        <f t="array" ref="Z54:Z57">_xlfn.VSTACK(IFERROR(   _xlfn.CHOOSECOLS(_xlfn._xlws.SORT(_xlfn._xlws.FILTER(QKResults!$B$6:$V$385,(QKResults!$V$6:$V$385&lt;&gt;0)*(QKResults!$R$6:$R$385&gt;0)*(QKResults!$E$6:$E$385=QKResults!$C$441)*(QKResults!$F$6:$F$385=QKResults!$B$441)),17,-1), 1,2,3,4,5,7,10,13,16,17,21),"..."),IFERROR(   _xlfn.CHOOSECOLS(_xlfn._xlws.SORT(_xlfn._xlws.FILTER(QKResults!$B$6:$V$385,(QKResults!$V$6:$V$385&lt;&gt;0)*(QKResults!$R$6:$R$385&gt;0)*(QKResults!$E$6:$E$385=QKResults!$C$448)*(QKResults!$F$6:$F$385=QKResults!$B$448)),17,-1), 1,2,3,4,5,7,10,13,16,17,21),"..."), IFERROR(   _xlfn.CHOOSECOLS(_xlfn._xlws.SORT(_xlfn._xlws.FILTER(QKResults!$B$6:$V$385,(QKResults!$V$6:$V$385&lt;&gt;0)*(QKResults!$R$6:$R$385&gt;0)*(QKResults!$E$6:$E$385=QKResults!$C$455)*(QKResults!$F$6:$F$385=QKResults!$B$455)),17,-1), 1,2,3,4,5,7,10,13,16,17,20),"..."), IFERROR(   _xlfn.CHOOSECOLS(_xlfn._xlws.SORT(_xlfn._xlws.FILTER(QKResults!$B$6:$V$385,(QKResults!$V$6:$V$385&lt;&gt;0)*(QKResults!$R$6:$R$385&gt;0)*(QKResults!$E$6:$E$385=QKResults!$C$462)*(QKResults!$F$6:$F$385=QKResults!$B$462)),17,-1), 1,2,3,4,5,7,10,13,16,17,20),"..."))</f>
        <v>...</v>
      </c>
      <c r="AA54" s="287"/>
      <c r="AB54" s="287"/>
      <c r="AC54" s="287"/>
      <c r="AD54" s="287"/>
      <c r="AE54" s="287"/>
      <c r="AF54" s="287"/>
      <c r="AG54" s="287"/>
      <c r="AH54" s="287"/>
      <c r="AI54" s="287"/>
      <c r="AJ54" s="287"/>
      <c r="AK54" s="318"/>
    </row>
    <row r="55" spans="1:37" ht="20" customHeight="1">
      <c r="A55" s="51" t="str">
        <f>IF(Declarations!B7=0,"",Declarations!B7)</f>
        <v/>
      </c>
      <c r="B55" s="161" t="str">
        <f>IF(ISNA(VLOOKUP(A55,Declarations!B$6:C$293,2,FALSE)),"",IF(VLOOKUP(A55,Declarations!B$6:C$293,2,FALSE)="","",VLOOKUP(A55,Declarations!B$6:C$293,2,FALSE)))</f>
        <v/>
      </c>
      <c r="C55" s="161" t="str">
        <f>IF(ISNA(VLOOKUP(A55,Declarations!B$6:F$293,5,FALSE)),"",IF(VLOOKUP(A55,Declarations!B$6:F$293,5,FALSE)="","",VLOOKUP(A55,Declarations!B$6:F$293,5,FALSE)))</f>
        <v/>
      </c>
      <c r="D55" s="161" t="str">
        <f>IF(ISNA(VLOOKUP(A55,Declarations!B$6:F$293,4,FALSE)),"",IF(VLOOKUP(A55,Declarations!B$6:F$293,4,FALSE)="","",VLOOKUP(A55,Declarations!B$6:F$293,4,FALSE)))</f>
        <v/>
      </c>
      <c r="E55" s="161" t="str">
        <f>IF(ISNA(VLOOKUP(A55,Declarations!B$6:D$293,3,FALSE)),"",IF(VLOOKUP(A55,Declarations!B$6:D$293,3,FALSE)="","",VLOOKUP(A55,Declarations!B$6:D$293,3,FALSE)))</f>
        <v/>
      </c>
      <c r="F55" s="51" t="str">
        <f>IF(B55="","",IF(ISNA(VLOOKUP(A55,'75m'!F$5:G$302,2,FALSE)),"",VLOOKUP(A55,'75m'!F$5:G$302,2,FALSE)))</f>
        <v/>
      </c>
      <c r="G55" s="51">
        <f>IF(B55="",0,IF(ISNA(VLOOKUP(A55,'75m'!F$5:J$302,5,FALSE)),0,VLOOKUP(A55,'75m'!F$5:J$302,5,FALSE)))</f>
        <v>0</v>
      </c>
      <c r="H55" s="51" t="str">
        <f>IF(B55="","",IF(ISNA(VLOOKUP(A55,'75m'!F$5:K$302,6,FALSE)),"",VLOOKUP(A55,'75m'!F$5:K$302,6,FALSE)))</f>
        <v/>
      </c>
      <c r="I55" s="53">
        <f>IF(B55="",0,IF(ISNA(VLOOKUP(A55,'600m'!F$5:J$302,2,FALSE)),0,VLOOKUP(A55,'600m'!F$5:J$302,2,FALSE)))</f>
        <v>0</v>
      </c>
      <c r="J55" s="51">
        <f>IF(B55="",0,IF(ISNA(VLOOKUP(A55,'600m'!F$5:J$302,5,FALSE)),0,VLOOKUP(A55,'600m'!F$5:J$302,5,FALSE)))</f>
        <v>0</v>
      </c>
      <c r="K55" s="51" t="str">
        <f>IF(B55="","",IF(ISNA(VLOOKUP(A55,'600m'!F$5:K$302,6,FALSE)),"",VLOOKUP(A55,'600m'!F$5:K$302,6,FALSE)))</f>
        <v/>
      </c>
      <c r="L55" s="51" t="str">
        <f>IF(B55="","",IF(ISNA(VLOOKUP(A55,LongJump!F$5:G$302,2,FALSE)),"",VLOOKUP(A55,LongJump!F$5:G$302,2,FALSE)))</f>
        <v/>
      </c>
      <c r="M55" s="51">
        <f>IF(B55="",0,IF(ISNA(VLOOKUP(A55,LongJump!F$5:J$302,5,FALSE)),0,VLOOKUP(A55,LongJump!F$5:J$302,5,FALSE)))</f>
        <v>0</v>
      </c>
      <c r="N55" s="51">
        <f>IF(B55="",0,IF(ISNA(VLOOKUP(A55,LongJump!F$5:K$302,6,FALSE)),0,VLOOKUP(A55,LongJump!F$5:K$302,6,FALSE)))</f>
        <v>0</v>
      </c>
      <c r="O55" s="51" t="str">
        <f>IF(B55="","",IF(ISNA(VLOOKUP(A55,Vortex!F$5:J$302,2,FALSE)),"",VLOOKUP(A55,Vortex!F$5:J$302,2,FALSE)))</f>
        <v/>
      </c>
      <c r="P55" s="51">
        <f>IF(B55="",0,IF(ISNA(VLOOKUP(A55,Vortex!F$5:J$302,5,FALSE)),0,VLOOKUP(A55,Vortex!F$5:J$302,5,FALSE)))</f>
        <v>0</v>
      </c>
      <c r="Q55" s="51">
        <f t="shared" ref="Q55:Q118" si="14">G55+J55+M55+P55</f>
        <v>0</v>
      </c>
      <c r="R55" s="51" t="str">
        <f t="shared" si="10"/>
        <v/>
      </c>
      <c r="S55" s="51" t="str">
        <f t="shared" si="11"/>
        <v/>
      </c>
      <c r="T55" s="51" t="str">
        <f t="shared" si="12"/>
        <v/>
      </c>
      <c r="U55" s="51" t="str">
        <f t="shared" si="13"/>
        <v/>
      </c>
      <c r="V55" s="4"/>
      <c r="W55" s="4"/>
      <c r="X55" s="4"/>
      <c r="Z55" s="287" t="str">
        <v>...</v>
      </c>
      <c r="AA55" s="287"/>
      <c r="AB55" s="287"/>
      <c r="AC55" s="287"/>
      <c r="AD55" s="287"/>
      <c r="AE55" s="287"/>
      <c r="AF55" s="287"/>
      <c r="AG55" s="287"/>
      <c r="AH55" s="287"/>
      <c r="AI55" s="287"/>
      <c r="AJ55" s="287"/>
      <c r="AK55" s="319"/>
    </row>
    <row r="56" spans="1:37" ht="20" customHeight="1">
      <c r="A56" s="51" t="str">
        <f>IF(Declarations!B8=0,"",Declarations!B8)</f>
        <v/>
      </c>
      <c r="B56" s="161" t="str">
        <f>IF(ISNA(VLOOKUP(A56,Declarations!B$6:C$293,2,FALSE)),"",IF(VLOOKUP(A56,Declarations!B$6:C$293,2,FALSE)="","",VLOOKUP(A56,Declarations!B$6:C$293,2,FALSE)))</f>
        <v/>
      </c>
      <c r="C56" s="161" t="str">
        <f>IF(ISNA(VLOOKUP(A56,Declarations!B$6:F$293,5,FALSE)),"",IF(VLOOKUP(A56,Declarations!B$6:F$293,5,FALSE)="","",VLOOKUP(A56,Declarations!B$6:F$293,5,FALSE)))</f>
        <v/>
      </c>
      <c r="D56" s="161" t="str">
        <f>IF(ISNA(VLOOKUP(A56,Declarations!B$6:F$293,4,FALSE)),"",IF(VLOOKUP(A56,Declarations!B$6:F$293,4,FALSE)="","",VLOOKUP(A56,Declarations!B$6:F$293,4,FALSE)))</f>
        <v/>
      </c>
      <c r="E56" s="161" t="str">
        <f>IF(ISNA(VLOOKUP(A56,Declarations!B$6:D$293,3,FALSE)),"",IF(VLOOKUP(A56,Declarations!B$6:D$293,3,FALSE)="","",VLOOKUP(A56,Declarations!B$6:D$293,3,FALSE)))</f>
        <v/>
      </c>
      <c r="F56" s="51" t="str">
        <f>IF(B56="","",IF(ISNA(VLOOKUP(A56,'75m'!F$5:G$302,2,FALSE)),"",VLOOKUP(A56,'75m'!F$5:G$302,2,FALSE)))</f>
        <v/>
      </c>
      <c r="G56" s="51">
        <f>IF(B56="",0,IF(ISNA(VLOOKUP(A56,'75m'!F$5:J$302,5,FALSE)),0,VLOOKUP(A56,'75m'!F$5:J$302,5,FALSE)))</f>
        <v>0</v>
      </c>
      <c r="H56" s="51" t="str">
        <f>IF(B56="","",IF(ISNA(VLOOKUP(A56,'75m'!F$5:K$302,6,FALSE)),"",VLOOKUP(A56,'75m'!F$5:K$302,6,FALSE)))</f>
        <v/>
      </c>
      <c r="I56" s="53">
        <f>IF(B56="",0,IF(ISNA(VLOOKUP(A56,'600m'!F$5:J$302,2,FALSE)),0,VLOOKUP(A56,'600m'!F$5:J$302,2,FALSE)))</f>
        <v>0</v>
      </c>
      <c r="J56" s="51">
        <f>IF(B56="",0,IF(ISNA(VLOOKUP(A56,'600m'!F$5:J$302,5,FALSE)),0,VLOOKUP(A56,'600m'!F$5:J$302,5,FALSE)))</f>
        <v>0</v>
      </c>
      <c r="K56" s="51" t="str">
        <f>IF(B56="","",IF(ISNA(VLOOKUP(A56,'600m'!F$5:K$302,6,FALSE)),"",VLOOKUP(A56,'600m'!F$5:K$302,6,FALSE)))</f>
        <v/>
      </c>
      <c r="L56" s="51" t="str">
        <f>IF(B56="","",IF(ISNA(VLOOKUP(A56,LongJump!F$5:G$302,2,FALSE)),"",VLOOKUP(A56,LongJump!F$5:G$302,2,FALSE)))</f>
        <v/>
      </c>
      <c r="M56" s="51">
        <f>IF(B56="",0,IF(ISNA(VLOOKUP(A56,LongJump!F$5:J$302,5,FALSE)),0,VLOOKUP(A56,LongJump!F$5:J$302,5,FALSE)))</f>
        <v>0</v>
      </c>
      <c r="N56" s="51">
        <f>IF(B56="",0,IF(ISNA(VLOOKUP(A56,LongJump!F$5:K$302,6,FALSE)),0,VLOOKUP(A56,LongJump!F$5:K$302,6,FALSE)))</f>
        <v>0</v>
      </c>
      <c r="O56" s="51" t="str">
        <f>IF(B56="","",IF(ISNA(VLOOKUP(A56,Vortex!F$5:J$302,2,FALSE)),"",VLOOKUP(A56,Vortex!F$5:J$302,2,FALSE)))</f>
        <v/>
      </c>
      <c r="P56" s="51">
        <f>IF(B56="",0,IF(ISNA(VLOOKUP(A56,Vortex!F$5:J$302,5,FALSE)),0,VLOOKUP(A56,Vortex!F$5:J$302,5,FALSE)))</f>
        <v>0</v>
      </c>
      <c r="Q56" s="51">
        <f t="shared" si="14"/>
        <v>0</v>
      </c>
      <c r="R56" s="51" t="str">
        <f t="shared" si="10"/>
        <v/>
      </c>
      <c r="S56" s="51" t="str">
        <f t="shared" si="11"/>
        <v/>
      </c>
      <c r="T56" s="51" t="str">
        <f t="shared" si="12"/>
        <v/>
      </c>
      <c r="U56" s="51" t="str">
        <f t="shared" si="13"/>
        <v/>
      </c>
      <c r="V56" s="4"/>
      <c r="W56" s="4"/>
      <c r="X56" s="4"/>
      <c r="Z56" s="287" t="str">
        <v>...</v>
      </c>
      <c r="AA56" s="287"/>
      <c r="AB56" s="287"/>
      <c r="AC56" s="287"/>
      <c r="AD56" s="287"/>
      <c r="AE56" s="287"/>
      <c r="AF56" s="287"/>
      <c r="AG56" s="287"/>
      <c r="AH56" s="287"/>
      <c r="AI56" s="287"/>
      <c r="AJ56" s="287"/>
      <c r="AK56" s="319"/>
    </row>
    <row r="57" spans="1:37" ht="20" customHeight="1">
      <c r="A57" s="51" t="str">
        <f>IF(Declarations!B9=0,"",Declarations!B9)</f>
        <v/>
      </c>
      <c r="B57" s="161" t="str">
        <f>IF(ISNA(VLOOKUP(A57,Declarations!B$6:C$293,2,FALSE)),"",IF(VLOOKUP(A57,Declarations!B$6:C$293,2,FALSE)="","",VLOOKUP(A57,Declarations!B$6:C$293,2,FALSE)))</f>
        <v/>
      </c>
      <c r="C57" s="161" t="str">
        <f>IF(ISNA(VLOOKUP(A57,Declarations!B$6:F$293,5,FALSE)),"",IF(VLOOKUP(A57,Declarations!B$6:F$293,5,FALSE)="","",VLOOKUP(A57,Declarations!B$6:F$293,5,FALSE)))</f>
        <v/>
      </c>
      <c r="D57" s="161" t="str">
        <f>IF(ISNA(VLOOKUP(A57,Declarations!B$6:F$293,4,FALSE)),"",IF(VLOOKUP(A57,Declarations!B$6:F$293,4,FALSE)="","",VLOOKUP(A57,Declarations!B$6:F$293,4,FALSE)))</f>
        <v/>
      </c>
      <c r="E57" s="161" t="str">
        <f>IF(ISNA(VLOOKUP(A57,Declarations!B$6:D$293,3,FALSE)),"",IF(VLOOKUP(A57,Declarations!B$6:D$293,3,FALSE)="","",VLOOKUP(A57,Declarations!B$6:D$293,3,FALSE)))</f>
        <v/>
      </c>
      <c r="F57" s="51" t="str">
        <f>IF(B57="","",IF(ISNA(VLOOKUP(A57,'75m'!F$5:G$302,2,FALSE)),"",VLOOKUP(A57,'75m'!F$5:G$302,2,FALSE)))</f>
        <v/>
      </c>
      <c r="G57" s="51">
        <f>IF(B57="",0,IF(ISNA(VLOOKUP(A57,'75m'!F$5:J$302,5,FALSE)),0,VLOOKUP(A57,'75m'!F$5:J$302,5,FALSE)))</f>
        <v>0</v>
      </c>
      <c r="H57" s="51" t="str">
        <f>IF(B57="","",IF(ISNA(VLOOKUP(A57,'75m'!F$5:K$302,6,FALSE)),"",VLOOKUP(A57,'75m'!F$5:K$302,6,FALSE)))</f>
        <v/>
      </c>
      <c r="I57" s="53">
        <f>IF(B57="",0,IF(ISNA(VLOOKUP(A57,'600m'!F$5:J$302,2,FALSE)),0,VLOOKUP(A57,'600m'!F$5:J$302,2,FALSE)))</f>
        <v>0</v>
      </c>
      <c r="J57" s="51">
        <f>IF(B57="",0,IF(ISNA(VLOOKUP(A57,'600m'!F$5:J$302,5,FALSE)),0,VLOOKUP(A57,'600m'!F$5:J$302,5,FALSE)))</f>
        <v>0</v>
      </c>
      <c r="K57" s="51" t="str">
        <f>IF(B57="","",IF(ISNA(VLOOKUP(A57,'600m'!F$5:K$302,6,FALSE)),"",VLOOKUP(A57,'600m'!F$5:K$302,6,FALSE)))</f>
        <v/>
      </c>
      <c r="L57" s="51" t="str">
        <f>IF(B57="","",IF(ISNA(VLOOKUP(A57,LongJump!F$5:G$302,2,FALSE)),"",VLOOKUP(A57,LongJump!F$5:G$302,2,FALSE)))</f>
        <v/>
      </c>
      <c r="M57" s="51">
        <f>IF(B57="",0,IF(ISNA(VLOOKUP(A57,LongJump!F$5:J$302,5,FALSE)),0,VLOOKUP(A57,LongJump!F$5:J$302,5,FALSE)))</f>
        <v>0</v>
      </c>
      <c r="N57" s="51">
        <f>IF(B57="",0,IF(ISNA(VLOOKUP(A57,LongJump!F$5:K$302,6,FALSE)),0,VLOOKUP(A57,LongJump!F$5:K$302,6,FALSE)))</f>
        <v>0</v>
      </c>
      <c r="O57" s="51" t="str">
        <f>IF(B57="","",IF(ISNA(VLOOKUP(A57,Vortex!F$5:J$302,2,FALSE)),"",VLOOKUP(A57,Vortex!F$5:J$302,2,FALSE)))</f>
        <v/>
      </c>
      <c r="P57" s="51">
        <f>IF(B57="",0,IF(ISNA(VLOOKUP(A57,Vortex!F$5:J$302,5,FALSE)),0,VLOOKUP(A57,Vortex!F$5:J$302,5,FALSE)))</f>
        <v>0</v>
      </c>
      <c r="Q57" s="51">
        <f t="shared" si="14"/>
        <v>0</v>
      </c>
      <c r="R57" s="51" t="str">
        <f t="shared" si="10"/>
        <v/>
      </c>
      <c r="S57" s="51" t="str">
        <f t="shared" si="11"/>
        <v/>
      </c>
      <c r="T57" s="51" t="str">
        <f t="shared" si="12"/>
        <v/>
      </c>
      <c r="U57" s="51" t="str">
        <f t="shared" si="13"/>
        <v/>
      </c>
      <c r="V57" s="4"/>
      <c r="W57" s="4"/>
      <c r="X57" s="4"/>
      <c r="Z57" s="287" t="str">
        <v>...</v>
      </c>
      <c r="AA57" s="287"/>
      <c r="AB57" s="287"/>
      <c r="AC57" s="287"/>
      <c r="AD57" s="287"/>
      <c r="AE57" s="287"/>
      <c r="AF57" s="287"/>
      <c r="AG57" s="287"/>
      <c r="AH57" s="287"/>
      <c r="AI57" s="287"/>
      <c r="AJ57" s="287"/>
      <c r="AK57" s="319"/>
    </row>
    <row r="58" spans="1:37" ht="20" customHeight="1">
      <c r="A58" s="51" t="str">
        <f>IF(Declarations!B10=0,"",Declarations!B10)</f>
        <v/>
      </c>
      <c r="B58" s="161" t="str">
        <f>IF(ISNA(VLOOKUP(A58,Declarations!B$6:C$293,2,FALSE)),"",IF(VLOOKUP(A58,Declarations!B$6:C$293,2,FALSE)="","",VLOOKUP(A58,Declarations!B$6:C$293,2,FALSE)))</f>
        <v/>
      </c>
      <c r="C58" s="161" t="str">
        <f>IF(ISNA(VLOOKUP(A58,Declarations!B$6:F$293,5,FALSE)),"",IF(VLOOKUP(A58,Declarations!B$6:F$293,5,FALSE)="","",VLOOKUP(A58,Declarations!B$6:F$293,5,FALSE)))</f>
        <v/>
      </c>
      <c r="D58" s="161" t="str">
        <f>IF(ISNA(VLOOKUP(A58,Declarations!B$6:F$293,4,FALSE)),"",IF(VLOOKUP(A58,Declarations!B$6:F$293,4,FALSE)="","",VLOOKUP(A58,Declarations!B$6:F$293,4,FALSE)))</f>
        <v/>
      </c>
      <c r="E58" s="161" t="str">
        <f>IF(ISNA(VLOOKUP(A58,Declarations!B$6:D$293,3,FALSE)),"",IF(VLOOKUP(A58,Declarations!B$6:D$293,3,FALSE)="","",VLOOKUP(A58,Declarations!B$6:D$293,3,FALSE)))</f>
        <v/>
      </c>
      <c r="F58" s="51" t="str">
        <f>IF(B58="","",IF(ISNA(VLOOKUP(A58,'75m'!F$5:G$302,2,FALSE)),"",VLOOKUP(A58,'75m'!F$5:G$302,2,FALSE)))</f>
        <v/>
      </c>
      <c r="G58" s="51">
        <f>IF(B58="",0,IF(ISNA(VLOOKUP(A58,'75m'!F$5:J$302,5,FALSE)),0,VLOOKUP(A58,'75m'!F$5:J$302,5,FALSE)))</f>
        <v>0</v>
      </c>
      <c r="H58" s="51" t="str">
        <f>IF(B58="","",IF(ISNA(VLOOKUP(A58,'75m'!F$5:K$302,6,FALSE)),"",VLOOKUP(A58,'75m'!F$5:K$302,6,FALSE)))</f>
        <v/>
      </c>
      <c r="I58" s="53">
        <f>IF(B58="",0,IF(ISNA(VLOOKUP(A58,'600m'!F$5:J$302,2,FALSE)),0,VLOOKUP(A58,'600m'!F$5:J$302,2,FALSE)))</f>
        <v>0</v>
      </c>
      <c r="J58" s="51">
        <f>IF(B58="",0,IF(ISNA(VLOOKUP(A58,'600m'!F$5:J$302,5,FALSE)),0,VLOOKUP(A58,'600m'!F$5:J$302,5,FALSE)))</f>
        <v>0</v>
      </c>
      <c r="K58" s="51" t="str">
        <f>IF(B58="","",IF(ISNA(VLOOKUP(A58,'600m'!F$5:K$302,6,FALSE)),"",VLOOKUP(A58,'600m'!F$5:K$302,6,FALSE)))</f>
        <v/>
      </c>
      <c r="L58" s="51" t="str">
        <f>IF(B58="","",IF(ISNA(VLOOKUP(A58,LongJump!F$5:G$302,2,FALSE)),"",VLOOKUP(A58,LongJump!F$5:G$302,2,FALSE)))</f>
        <v/>
      </c>
      <c r="M58" s="51">
        <f>IF(B58="",0,IF(ISNA(VLOOKUP(A58,LongJump!F$5:J$302,5,FALSE)),0,VLOOKUP(A58,LongJump!F$5:J$302,5,FALSE)))</f>
        <v>0</v>
      </c>
      <c r="N58" s="51">
        <f>IF(B58="",0,IF(ISNA(VLOOKUP(A58,LongJump!F$5:K$302,6,FALSE)),0,VLOOKUP(A58,LongJump!F$5:K$302,6,FALSE)))</f>
        <v>0</v>
      </c>
      <c r="O58" s="51" t="str">
        <f>IF(B58="","",IF(ISNA(VLOOKUP(A58,Vortex!F$5:J$302,2,FALSE)),"",VLOOKUP(A58,Vortex!F$5:J$302,2,FALSE)))</f>
        <v/>
      </c>
      <c r="P58" s="51">
        <f>IF(B58="",0,IF(ISNA(VLOOKUP(A58,Vortex!F$5:J$302,5,FALSE)),0,VLOOKUP(A58,Vortex!F$5:J$302,5,FALSE)))</f>
        <v>0</v>
      </c>
      <c r="Q58" s="51">
        <f t="shared" si="14"/>
        <v>0</v>
      </c>
      <c r="R58" s="51" t="str">
        <f t="shared" si="10"/>
        <v/>
      </c>
      <c r="S58" s="51" t="str">
        <f t="shared" si="11"/>
        <v/>
      </c>
      <c r="T58" s="51" t="str">
        <f t="shared" si="12"/>
        <v/>
      </c>
      <c r="U58" s="51" t="str">
        <f t="shared" si="13"/>
        <v/>
      </c>
      <c r="V58" s="4"/>
      <c r="W58" s="4"/>
      <c r="X58" s="4"/>
      <c r="Z58" s="287"/>
      <c r="AA58" s="287"/>
      <c r="AB58" s="287"/>
      <c r="AC58" s="287"/>
      <c r="AD58" s="287"/>
      <c r="AE58" s="287"/>
      <c r="AF58" s="287"/>
      <c r="AG58" s="287"/>
      <c r="AH58" s="287"/>
      <c r="AI58" s="287"/>
      <c r="AJ58" s="287"/>
      <c r="AK58" s="319"/>
    </row>
    <row r="59" spans="1:37" ht="20" customHeight="1">
      <c r="A59" s="51" t="str">
        <f>IF(Declarations!B11=0,"",Declarations!B11)</f>
        <v/>
      </c>
      <c r="B59" s="161" t="str">
        <f>IF(ISNA(VLOOKUP(A59,Declarations!B$6:C$293,2,FALSE)),"",IF(VLOOKUP(A59,Declarations!B$6:C$293,2,FALSE)="","",VLOOKUP(A59,Declarations!B$6:C$293,2,FALSE)))</f>
        <v/>
      </c>
      <c r="C59" s="161" t="str">
        <f>IF(ISNA(VLOOKUP(A59,Declarations!B$6:F$293,5,FALSE)),"",IF(VLOOKUP(A59,Declarations!B$6:F$293,5,FALSE)="","",VLOOKUP(A59,Declarations!B$6:F$293,5,FALSE)))</f>
        <v/>
      </c>
      <c r="D59" s="161" t="str">
        <f>IF(ISNA(VLOOKUP(A59,Declarations!B$6:F$293,4,FALSE)),"",IF(VLOOKUP(A59,Declarations!B$6:F$293,4,FALSE)="","",VLOOKUP(A59,Declarations!B$6:F$293,4,FALSE)))</f>
        <v/>
      </c>
      <c r="E59" s="161" t="str">
        <f>IF(ISNA(VLOOKUP(A59,Declarations!B$6:D$293,3,FALSE)),"",IF(VLOOKUP(A59,Declarations!B$6:D$293,3,FALSE)="","",VLOOKUP(A59,Declarations!B$6:D$293,3,FALSE)))</f>
        <v/>
      </c>
      <c r="F59" s="51" t="str">
        <f>IF(B59="","",IF(ISNA(VLOOKUP(A59,'75m'!F$5:G$302,2,FALSE)),"",VLOOKUP(A59,'75m'!F$5:G$302,2,FALSE)))</f>
        <v/>
      </c>
      <c r="G59" s="51">
        <f>IF(B59="",0,IF(ISNA(VLOOKUP(A59,'75m'!F$5:J$302,5,FALSE)),0,VLOOKUP(A59,'75m'!F$5:J$302,5,FALSE)))</f>
        <v>0</v>
      </c>
      <c r="H59" s="51" t="str">
        <f>IF(B59="","",IF(ISNA(VLOOKUP(A59,'75m'!F$5:K$302,6,FALSE)),"",VLOOKUP(A59,'75m'!F$5:K$302,6,FALSE)))</f>
        <v/>
      </c>
      <c r="I59" s="53">
        <f>IF(B59="",0,IF(ISNA(VLOOKUP(A59,'600m'!F$5:J$302,2,FALSE)),0,VLOOKUP(A59,'600m'!F$5:J$302,2,FALSE)))</f>
        <v>0</v>
      </c>
      <c r="J59" s="51">
        <f>IF(B59="",0,IF(ISNA(VLOOKUP(A59,'600m'!F$5:J$302,5,FALSE)),0,VLOOKUP(A59,'600m'!F$5:J$302,5,FALSE)))</f>
        <v>0</v>
      </c>
      <c r="K59" s="51" t="str">
        <f>IF(B59="","",IF(ISNA(VLOOKUP(A59,'600m'!F$5:K$302,6,FALSE)),"",VLOOKUP(A59,'600m'!F$5:K$302,6,FALSE)))</f>
        <v/>
      </c>
      <c r="L59" s="51" t="str">
        <f>IF(B59="","",IF(ISNA(VLOOKUP(A59,LongJump!F$5:G$302,2,FALSE)),"",VLOOKUP(A59,LongJump!F$5:G$302,2,FALSE)))</f>
        <v/>
      </c>
      <c r="M59" s="51">
        <f>IF(B59="",0,IF(ISNA(VLOOKUP(A59,LongJump!F$5:J$302,5,FALSE)),0,VLOOKUP(A59,LongJump!F$5:J$302,5,FALSE)))</f>
        <v>0</v>
      </c>
      <c r="N59" s="51">
        <f>IF(B59="",0,IF(ISNA(VLOOKUP(A59,LongJump!F$5:K$302,6,FALSE)),0,VLOOKUP(A59,LongJump!F$5:K$302,6,FALSE)))</f>
        <v>0</v>
      </c>
      <c r="O59" s="51" t="str">
        <f>IF(B59="","",IF(ISNA(VLOOKUP(A59,Vortex!F$5:J$302,2,FALSE)),"",VLOOKUP(A59,Vortex!F$5:J$302,2,FALSE)))</f>
        <v/>
      </c>
      <c r="P59" s="51">
        <f>IF(B59="",0,IF(ISNA(VLOOKUP(A59,Vortex!F$5:J$302,5,FALSE)),0,VLOOKUP(A59,Vortex!F$5:J$302,5,FALSE)))</f>
        <v>0</v>
      </c>
      <c r="Q59" s="51">
        <f t="shared" si="14"/>
        <v>0</v>
      </c>
      <c r="R59" s="51" t="str">
        <f t="shared" si="10"/>
        <v/>
      </c>
      <c r="S59" s="51" t="str">
        <f t="shared" si="11"/>
        <v/>
      </c>
      <c r="T59" s="51" t="str">
        <f t="shared" si="12"/>
        <v/>
      </c>
      <c r="U59" s="51" t="str">
        <f t="shared" si="13"/>
        <v/>
      </c>
      <c r="V59" s="4"/>
      <c r="W59" s="4"/>
      <c r="X59" s="4"/>
      <c r="Z59" s="287"/>
      <c r="AA59" s="287"/>
      <c r="AB59" s="287"/>
      <c r="AC59" s="287"/>
      <c r="AD59" s="287"/>
      <c r="AE59" s="287"/>
      <c r="AF59" s="287"/>
      <c r="AG59" s="287"/>
      <c r="AH59" s="287"/>
      <c r="AI59" s="287"/>
      <c r="AJ59" s="287"/>
      <c r="AK59" s="319"/>
    </row>
    <row r="60" spans="1:37" ht="20" customHeight="1">
      <c r="A60" s="51" t="str">
        <f>IF(Declarations!B12=0,"",Declarations!B12)</f>
        <v/>
      </c>
      <c r="B60" s="161" t="str">
        <f>IF(ISNA(VLOOKUP(A60,Declarations!B$6:C$293,2,FALSE)),"",IF(VLOOKUP(A60,Declarations!B$6:C$293,2,FALSE)="","",VLOOKUP(A60,Declarations!B$6:C$293,2,FALSE)))</f>
        <v/>
      </c>
      <c r="C60" s="161" t="str">
        <f>IF(ISNA(VLOOKUP(A60,Declarations!B$6:F$293,5,FALSE)),"",IF(VLOOKUP(A60,Declarations!B$6:F$293,5,FALSE)="","",VLOOKUP(A60,Declarations!B$6:F$293,5,FALSE)))</f>
        <v/>
      </c>
      <c r="D60" s="161" t="str">
        <f>IF(ISNA(VLOOKUP(A60,Declarations!B$6:F$293,4,FALSE)),"",IF(VLOOKUP(A60,Declarations!B$6:F$293,4,FALSE)="","",VLOOKUP(A60,Declarations!B$6:F$293,4,FALSE)))</f>
        <v/>
      </c>
      <c r="E60" s="161" t="str">
        <f>IF(ISNA(VLOOKUP(A60,Declarations!B$6:D$293,3,FALSE)),"",IF(VLOOKUP(A60,Declarations!B$6:D$293,3,FALSE)="","",VLOOKUP(A60,Declarations!B$6:D$293,3,FALSE)))</f>
        <v/>
      </c>
      <c r="F60" s="51" t="str">
        <f>IF(B60="","",IF(ISNA(VLOOKUP(A60,'75m'!F$5:G$302,2,FALSE)),"",VLOOKUP(A60,'75m'!F$5:G$302,2,FALSE)))</f>
        <v/>
      </c>
      <c r="G60" s="51">
        <f>IF(B60="",0,IF(ISNA(VLOOKUP(A60,'75m'!F$5:J$302,5,FALSE)),0,VLOOKUP(A60,'75m'!F$5:J$302,5,FALSE)))</f>
        <v>0</v>
      </c>
      <c r="H60" s="51" t="str">
        <f>IF(B60="","",IF(ISNA(VLOOKUP(A60,'75m'!F$5:K$302,6,FALSE)),"",VLOOKUP(A60,'75m'!F$5:K$302,6,FALSE)))</f>
        <v/>
      </c>
      <c r="I60" s="53">
        <f>IF(B60="",0,IF(ISNA(VLOOKUP(A60,'600m'!F$5:J$302,2,FALSE)),0,VLOOKUP(A60,'600m'!F$5:J$302,2,FALSE)))</f>
        <v>0</v>
      </c>
      <c r="J60" s="51">
        <f>IF(B60="",0,IF(ISNA(VLOOKUP(A60,'600m'!F$5:J$302,5,FALSE)),0,VLOOKUP(A60,'600m'!F$5:J$302,5,FALSE)))</f>
        <v>0</v>
      </c>
      <c r="K60" s="51" t="str">
        <f>IF(B60="","",IF(ISNA(VLOOKUP(A60,'600m'!F$5:K$302,6,FALSE)),"",VLOOKUP(A60,'600m'!F$5:K$302,6,FALSE)))</f>
        <v/>
      </c>
      <c r="L60" s="51" t="str">
        <f>IF(B60="","",IF(ISNA(VLOOKUP(A60,LongJump!F$5:G$302,2,FALSE)),"",VLOOKUP(A60,LongJump!F$5:G$302,2,FALSE)))</f>
        <v/>
      </c>
      <c r="M60" s="51">
        <f>IF(B60="",0,IF(ISNA(VLOOKUP(A60,LongJump!F$5:J$302,5,FALSE)),0,VLOOKUP(A60,LongJump!F$5:J$302,5,FALSE)))</f>
        <v>0</v>
      </c>
      <c r="N60" s="51">
        <f>IF(B60="",0,IF(ISNA(VLOOKUP(A60,LongJump!F$5:K$302,6,FALSE)),0,VLOOKUP(A60,LongJump!F$5:K$302,6,FALSE)))</f>
        <v>0</v>
      </c>
      <c r="O60" s="51" t="str">
        <f>IF(B60="","",IF(ISNA(VLOOKUP(A60,Vortex!F$5:J$302,2,FALSE)),"",VLOOKUP(A60,Vortex!F$5:J$302,2,FALSE)))</f>
        <v/>
      </c>
      <c r="P60" s="51">
        <f>IF(B60="",0,IF(ISNA(VLOOKUP(A60,Vortex!F$5:J$302,5,FALSE)),0,VLOOKUP(A60,Vortex!F$5:J$302,5,FALSE)))</f>
        <v>0</v>
      </c>
      <c r="Q60" s="51">
        <f t="shared" si="14"/>
        <v>0</v>
      </c>
      <c r="R60" s="51" t="str">
        <f t="shared" si="10"/>
        <v/>
      </c>
      <c r="S60" s="51" t="str">
        <f t="shared" si="11"/>
        <v/>
      </c>
      <c r="T60" s="51" t="str">
        <f t="shared" si="12"/>
        <v/>
      </c>
      <c r="U60" s="51" t="str">
        <f t="shared" si="13"/>
        <v/>
      </c>
      <c r="V60" s="4"/>
      <c r="W60" s="4"/>
      <c r="X60" s="4"/>
      <c r="Z60" s="287"/>
      <c r="AA60" s="287"/>
      <c r="AB60" s="287"/>
      <c r="AC60" s="287"/>
      <c r="AD60" s="287"/>
      <c r="AE60" s="287"/>
      <c r="AF60" s="287"/>
      <c r="AG60" s="287"/>
      <c r="AH60" s="287"/>
      <c r="AI60" s="287"/>
      <c r="AJ60" s="287"/>
      <c r="AK60" s="319"/>
    </row>
    <row r="61" spans="1:37" ht="20" customHeight="1">
      <c r="A61" s="51" t="str">
        <f>IF(Declarations!B13=0,"",Declarations!B13)</f>
        <v/>
      </c>
      <c r="B61" s="161" t="str">
        <f>IF(ISNA(VLOOKUP(A61,Declarations!B$6:C$293,2,FALSE)),"",IF(VLOOKUP(A61,Declarations!B$6:C$293,2,FALSE)="","",VLOOKUP(A61,Declarations!B$6:C$293,2,FALSE)))</f>
        <v/>
      </c>
      <c r="C61" s="161" t="str">
        <f>IF(ISNA(VLOOKUP(A61,Declarations!B$6:F$293,5,FALSE)),"",IF(VLOOKUP(A61,Declarations!B$6:F$293,5,FALSE)="","",VLOOKUP(A61,Declarations!B$6:F$293,5,FALSE)))</f>
        <v/>
      </c>
      <c r="D61" s="161" t="str">
        <f>IF(ISNA(VLOOKUP(A61,Declarations!B$6:F$293,4,FALSE)),"",IF(VLOOKUP(A61,Declarations!B$6:F$293,4,FALSE)="","",VLOOKUP(A61,Declarations!B$6:F$293,4,FALSE)))</f>
        <v/>
      </c>
      <c r="E61" s="161" t="str">
        <f>IF(ISNA(VLOOKUP(A61,Declarations!B$6:D$293,3,FALSE)),"",IF(VLOOKUP(A61,Declarations!B$6:D$293,3,FALSE)="","",VLOOKUP(A61,Declarations!B$6:D$293,3,FALSE)))</f>
        <v/>
      </c>
      <c r="F61" s="51" t="str">
        <f>IF(B61="","",IF(ISNA(VLOOKUP(A61,'75m'!F$5:G$302,2,FALSE)),"",VLOOKUP(A61,'75m'!F$5:G$302,2,FALSE)))</f>
        <v/>
      </c>
      <c r="G61" s="51">
        <f>IF(B61="",0,IF(ISNA(VLOOKUP(A61,'75m'!F$5:J$302,5,FALSE)),0,VLOOKUP(A61,'75m'!F$5:J$302,5,FALSE)))</f>
        <v>0</v>
      </c>
      <c r="H61" s="51" t="str">
        <f>IF(B61="","",IF(ISNA(VLOOKUP(A61,'75m'!F$5:K$302,6,FALSE)),"",VLOOKUP(A61,'75m'!F$5:K$302,6,FALSE)))</f>
        <v/>
      </c>
      <c r="I61" s="53">
        <f>IF(B61="",0,IF(ISNA(VLOOKUP(A61,'600m'!F$5:J$302,2,FALSE)),0,VLOOKUP(A61,'600m'!F$5:J$302,2,FALSE)))</f>
        <v>0</v>
      </c>
      <c r="J61" s="51">
        <f>IF(B61="",0,IF(ISNA(VLOOKUP(A61,'600m'!F$5:J$302,5,FALSE)),0,VLOOKUP(A61,'600m'!F$5:J$302,5,FALSE)))</f>
        <v>0</v>
      </c>
      <c r="K61" s="51" t="str">
        <f>IF(B61="","",IF(ISNA(VLOOKUP(A61,'600m'!F$5:K$302,6,FALSE)),"",VLOOKUP(A61,'600m'!F$5:K$302,6,FALSE)))</f>
        <v/>
      </c>
      <c r="L61" s="51" t="str">
        <f>IF(B61="","",IF(ISNA(VLOOKUP(A61,LongJump!F$5:G$302,2,FALSE)),"",VLOOKUP(A61,LongJump!F$5:G$302,2,FALSE)))</f>
        <v/>
      </c>
      <c r="M61" s="51">
        <f>IF(B61="",0,IF(ISNA(VLOOKUP(A61,LongJump!F$5:J$302,5,FALSE)),0,VLOOKUP(A61,LongJump!F$5:J$302,5,FALSE)))</f>
        <v>0</v>
      </c>
      <c r="N61" s="51">
        <f>IF(B61="",0,IF(ISNA(VLOOKUP(A61,LongJump!F$5:K$302,6,FALSE)),0,VLOOKUP(A61,LongJump!F$5:K$302,6,FALSE)))</f>
        <v>0</v>
      </c>
      <c r="O61" s="51" t="str">
        <f>IF(B61="","",IF(ISNA(VLOOKUP(A61,Vortex!F$5:J$302,2,FALSE)),"",VLOOKUP(A61,Vortex!F$5:J$302,2,FALSE)))</f>
        <v/>
      </c>
      <c r="P61" s="51">
        <f>IF(B61="",0,IF(ISNA(VLOOKUP(A61,Vortex!F$5:J$302,5,FALSE)),0,VLOOKUP(A61,Vortex!F$5:J$302,5,FALSE)))</f>
        <v>0</v>
      </c>
      <c r="Q61" s="51">
        <f t="shared" si="14"/>
        <v>0</v>
      </c>
      <c r="R61" s="51" t="str">
        <f t="shared" si="10"/>
        <v/>
      </c>
      <c r="S61" s="51" t="str">
        <f t="shared" si="11"/>
        <v/>
      </c>
      <c r="T61" s="51" t="str">
        <f t="shared" si="12"/>
        <v/>
      </c>
      <c r="U61" s="51" t="str">
        <f t="shared" si="13"/>
        <v/>
      </c>
      <c r="V61" s="4"/>
      <c r="W61" s="4"/>
      <c r="X61" s="4"/>
      <c r="Z61" s="287"/>
      <c r="AA61" s="287"/>
      <c r="AB61" s="287"/>
      <c r="AC61" s="287"/>
      <c r="AD61" s="287"/>
      <c r="AE61" s="287"/>
      <c r="AF61" s="287"/>
      <c r="AG61" s="287"/>
      <c r="AH61" s="287"/>
      <c r="AI61" s="287"/>
      <c r="AJ61" s="287"/>
      <c r="AK61" s="319"/>
    </row>
    <row r="62" spans="1:37" ht="20" customHeight="1">
      <c r="A62" s="51" t="str">
        <f>IF(Declarations!B14=0,"",Declarations!B14)</f>
        <v/>
      </c>
      <c r="B62" s="161" t="str">
        <f>IF(ISNA(VLOOKUP(A62,Declarations!B$6:C$293,2,FALSE)),"",IF(VLOOKUP(A62,Declarations!B$6:C$293,2,FALSE)="","",VLOOKUP(A62,Declarations!B$6:C$293,2,FALSE)))</f>
        <v/>
      </c>
      <c r="C62" s="161" t="str">
        <f>IF(ISNA(VLOOKUP(A62,Declarations!B$6:F$293,5,FALSE)),"",IF(VLOOKUP(A62,Declarations!B$6:F$293,5,FALSE)="","",VLOOKUP(A62,Declarations!B$6:F$293,5,FALSE)))</f>
        <v/>
      </c>
      <c r="D62" s="161" t="str">
        <f>IF(ISNA(VLOOKUP(A62,Declarations!B$6:F$293,4,FALSE)),"",IF(VLOOKUP(A62,Declarations!B$6:F$293,4,FALSE)="","",VLOOKUP(A62,Declarations!B$6:F$293,4,FALSE)))</f>
        <v/>
      </c>
      <c r="E62" s="161" t="str">
        <f>IF(ISNA(VLOOKUP(A62,Declarations!B$6:D$293,3,FALSE)),"",IF(VLOOKUP(A62,Declarations!B$6:D$293,3,FALSE)="","",VLOOKUP(A62,Declarations!B$6:D$293,3,FALSE)))</f>
        <v/>
      </c>
      <c r="F62" s="51" t="str">
        <f>IF(B62="","",IF(ISNA(VLOOKUP(A62,'75m'!F$5:G$302,2,FALSE)),"",VLOOKUP(A62,'75m'!F$5:G$302,2,FALSE)))</f>
        <v/>
      </c>
      <c r="G62" s="51">
        <f>IF(B62="",0,IF(ISNA(VLOOKUP(A62,'75m'!F$5:J$302,5,FALSE)),0,VLOOKUP(A62,'75m'!F$5:J$302,5,FALSE)))</f>
        <v>0</v>
      </c>
      <c r="H62" s="51" t="str">
        <f>IF(B62="","",IF(ISNA(VLOOKUP(A62,'75m'!F$5:K$302,6,FALSE)),"",VLOOKUP(A62,'75m'!F$5:K$302,6,FALSE)))</f>
        <v/>
      </c>
      <c r="I62" s="53">
        <f>IF(B62="",0,IF(ISNA(VLOOKUP(A62,'600m'!F$5:J$302,2,FALSE)),0,VLOOKUP(A62,'600m'!F$5:J$302,2,FALSE)))</f>
        <v>0</v>
      </c>
      <c r="J62" s="51">
        <f>IF(B62="",0,IF(ISNA(VLOOKUP(A62,'600m'!F$5:J$302,5,FALSE)),0,VLOOKUP(A62,'600m'!F$5:J$302,5,FALSE)))</f>
        <v>0</v>
      </c>
      <c r="K62" s="51" t="str">
        <f>IF(B62="","",IF(ISNA(VLOOKUP(A62,'600m'!F$5:K$302,6,FALSE)),"",VLOOKUP(A62,'600m'!F$5:K$302,6,FALSE)))</f>
        <v/>
      </c>
      <c r="L62" s="51" t="str">
        <f>IF(B62="","",IF(ISNA(VLOOKUP(A62,LongJump!F$5:G$302,2,FALSE)),"",VLOOKUP(A62,LongJump!F$5:G$302,2,FALSE)))</f>
        <v/>
      </c>
      <c r="M62" s="51">
        <f>IF(B62="",0,IF(ISNA(VLOOKUP(A62,LongJump!F$5:J$302,5,FALSE)),0,VLOOKUP(A62,LongJump!F$5:J$302,5,FALSE)))</f>
        <v>0</v>
      </c>
      <c r="N62" s="51">
        <f>IF(B62="",0,IF(ISNA(VLOOKUP(A62,LongJump!F$5:K$302,6,FALSE)),0,VLOOKUP(A62,LongJump!F$5:K$302,6,FALSE)))</f>
        <v>0</v>
      </c>
      <c r="O62" s="51" t="str">
        <f>IF(B62="","",IF(ISNA(VLOOKUP(A62,Vortex!F$5:J$302,2,FALSE)),"",VLOOKUP(A62,Vortex!F$5:J$302,2,FALSE)))</f>
        <v/>
      </c>
      <c r="P62" s="51">
        <f>IF(B62="",0,IF(ISNA(VLOOKUP(A62,Vortex!F$5:J$302,5,FALSE)),0,VLOOKUP(A62,Vortex!F$5:J$302,5,FALSE)))</f>
        <v>0</v>
      </c>
      <c r="Q62" s="51">
        <f t="shared" si="14"/>
        <v>0</v>
      </c>
      <c r="R62" s="51" t="str">
        <f t="shared" si="10"/>
        <v/>
      </c>
      <c r="S62" s="51" t="str">
        <f t="shared" si="11"/>
        <v/>
      </c>
      <c r="T62" s="51" t="str">
        <f t="shared" si="12"/>
        <v/>
      </c>
      <c r="U62" s="51" t="str">
        <f t="shared" si="13"/>
        <v/>
      </c>
      <c r="V62" s="4"/>
      <c r="W62" s="4"/>
      <c r="X62" s="4"/>
      <c r="Z62" s="287"/>
      <c r="AA62" s="287"/>
      <c r="AB62" s="287"/>
      <c r="AC62" s="287"/>
      <c r="AD62" s="287"/>
      <c r="AE62" s="287"/>
      <c r="AF62" s="287"/>
      <c r="AG62" s="287"/>
      <c r="AH62" s="287"/>
      <c r="AI62" s="287"/>
      <c r="AJ62" s="287"/>
      <c r="AK62" s="319"/>
    </row>
    <row r="63" spans="1:37" ht="20" customHeight="1">
      <c r="A63" s="51" t="str">
        <f>IF(Declarations!B15=0,"",Declarations!B15)</f>
        <v/>
      </c>
      <c r="B63" s="161" t="str">
        <f>IF(ISNA(VLOOKUP(A63,Declarations!B$6:C$293,2,FALSE)),"",IF(VLOOKUP(A63,Declarations!B$6:C$293,2,FALSE)="","",VLOOKUP(A63,Declarations!B$6:C$293,2,FALSE)))</f>
        <v/>
      </c>
      <c r="C63" s="161" t="str">
        <f>IF(ISNA(VLOOKUP(A63,Declarations!B$6:F$293,5,FALSE)),"",IF(VLOOKUP(A63,Declarations!B$6:F$293,5,FALSE)="","",VLOOKUP(A63,Declarations!B$6:F$293,5,FALSE)))</f>
        <v/>
      </c>
      <c r="D63" s="161" t="str">
        <f>IF(ISNA(VLOOKUP(A63,Declarations!B$6:F$293,4,FALSE)),"",IF(VLOOKUP(A63,Declarations!B$6:F$293,4,FALSE)="","",VLOOKUP(A63,Declarations!B$6:F$293,4,FALSE)))</f>
        <v/>
      </c>
      <c r="E63" s="161" t="str">
        <f>IF(ISNA(VLOOKUP(A63,Declarations!B$6:D$293,3,FALSE)),"",IF(VLOOKUP(A63,Declarations!B$6:D$293,3,FALSE)="","",VLOOKUP(A63,Declarations!B$6:D$293,3,FALSE)))</f>
        <v/>
      </c>
      <c r="F63" s="51" t="str">
        <f>IF(B63="","",IF(ISNA(VLOOKUP(A63,'75m'!F$5:G$302,2,FALSE)),"",VLOOKUP(A63,'75m'!F$5:G$302,2,FALSE)))</f>
        <v/>
      </c>
      <c r="G63" s="51">
        <f>IF(B63="",0,IF(ISNA(VLOOKUP(A63,'75m'!F$5:J$302,5,FALSE)),0,VLOOKUP(A63,'75m'!F$5:J$302,5,FALSE)))</f>
        <v>0</v>
      </c>
      <c r="H63" s="51" t="str">
        <f>IF(B63="","",IF(ISNA(VLOOKUP(A63,'75m'!F$5:K$302,6,FALSE)),"",VLOOKUP(A63,'75m'!F$5:K$302,6,FALSE)))</f>
        <v/>
      </c>
      <c r="I63" s="53">
        <f>IF(B63="",0,IF(ISNA(VLOOKUP(A63,'600m'!F$5:J$302,2,FALSE)),0,VLOOKUP(A63,'600m'!F$5:J$302,2,FALSE)))</f>
        <v>0</v>
      </c>
      <c r="J63" s="51">
        <f>IF(B63="",0,IF(ISNA(VLOOKUP(A63,'600m'!F$5:J$302,5,FALSE)),0,VLOOKUP(A63,'600m'!F$5:J$302,5,FALSE)))</f>
        <v>0</v>
      </c>
      <c r="K63" s="51" t="str">
        <f>IF(B63="","",IF(ISNA(VLOOKUP(A63,'600m'!F$5:K$302,6,FALSE)),"",VLOOKUP(A63,'600m'!F$5:K$302,6,FALSE)))</f>
        <v/>
      </c>
      <c r="L63" s="51" t="str">
        <f>IF(B63="","",IF(ISNA(VLOOKUP(A63,LongJump!F$5:G$302,2,FALSE)),"",VLOOKUP(A63,LongJump!F$5:G$302,2,FALSE)))</f>
        <v/>
      </c>
      <c r="M63" s="51">
        <f>IF(B63="",0,IF(ISNA(VLOOKUP(A63,LongJump!F$5:J$302,5,FALSE)),0,VLOOKUP(A63,LongJump!F$5:J$302,5,FALSE)))</f>
        <v>0</v>
      </c>
      <c r="N63" s="51">
        <f>IF(B63="",0,IF(ISNA(VLOOKUP(A63,LongJump!F$5:K$302,6,FALSE)),0,VLOOKUP(A63,LongJump!F$5:K$302,6,FALSE)))</f>
        <v>0</v>
      </c>
      <c r="O63" s="51" t="str">
        <f>IF(B63="","",IF(ISNA(VLOOKUP(A63,Vortex!F$5:J$302,2,FALSE)),"",VLOOKUP(A63,Vortex!F$5:J$302,2,FALSE)))</f>
        <v/>
      </c>
      <c r="P63" s="51">
        <f>IF(B63="",0,IF(ISNA(VLOOKUP(A63,Vortex!F$5:J$302,5,FALSE)),0,VLOOKUP(A63,Vortex!F$5:J$302,5,FALSE)))</f>
        <v>0</v>
      </c>
      <c r="Q63" s="51">
        <f t="shared" si="14"/>
        <v>0</v>
      </c>
      <c r="R63" s="51" t="str">
        <f t="shared" si="10"/>
        <v/>
      </c>
      <c r="S63" s="51" t="str">
        <f t="shared" si="11"/>
        <v/>
      </c>
      <c r="T63" s="51" t="str">
        <f t="shared" si="12"/>
        <v/>
      </c>
      <c r="U63" s="51" t="str">
        <f t="shared" si="13"/>
        <v/>
      </c>
      <c r="V63" s="4"/>
      <c r="W63" s="4"/>
      <c r="X63" s="4"/>
      <c r="Z63" s="287"/>
      <c r="AA63" s="287"/>
      <c r="AB63" s="287"/>
      <c r="AC63" s="287"/>
      <c r="AD63" s="287"/>
      <c r="AE63" s="287"/>
      <c r="AF63" s="287"/>
      <c r="AG63" s="287"/>
      <c r="AH63" s="287"/>
      <c r="AI63" s="287"/>
      <c r="AJ63" s="287"/>
      <c r="AK63" s="319"/>
    </row>
    <row r="64" spans="1:37" ht="20" customHeight="1">
      <c r="A64" s="51" t="str">
        <f>IF(Declarations!B16=0,"",Declarations!B16)</f>
        <v/>
      </c>
      <c r="B64" s="161" t="str">
        <f>IF(ISNA(VLOOKUP(A64,Declarations!B$6:C$293,2,FALSE)),"",IF(VLOOKUP(A64,Declarations!B$6:C$293,2,FALSE)="","",VLOOKUP(A64,Declarations!B$6:C$293,2,FALSE)))</f>
        <v/>
      </c>
      <c r="C64" s="161" t="str">
        <f>IF(ISNA(VLOOKUP(A64,Declarations!B$6:F$293,5,FALSE)),"",IF(VLOOKUP(A64,Declarations!B$6:F$293,5,FALSE)="","",VLOOKUP(A64,Declarations!B$6:F$293,5,FALSE)))</f>
        <v/>
      </c>
      <c r="D64" s="161" t="str">
        <f>IF(ISNA(VLOOKUP(A64,Declarations!B$6:F$293,4,FALSE)),"",IF(VLOOKUP(A64,Declarations!B$6:F$293,4,FALSE)="","",VLOOKUP(A64,Declarations!B$6:F$293,4,FALSE)))</f>
        <v/>
      </c>
      <c r="E64" s="161" t="str">
        <f>IF(ISNA(VLOOKUP(A64,Declarations!B$6:D$293,3,FALSE)),"",IF(VLOOKUP(A64,Declarations!B$6:D$293,3,FALSE)="","",VLOOKUP(A64,Declarations!B$6:D$293,3,FALSE)))</f>
        <v/>
      </c>
      <c r="F64" s="51" t="str">
        <f>IF(B64="","",IF(ISNA(VLOOKUP(A64,'75m'!F$5:G$302,2,FALSE)),"",VLOOKUP(A64,'75m'!F$5:G$302,2,FALSE)))</f>
        <v/>
      </c>
      <c r="G64" s="51">
        <f>IF(B64="",0,IF(ISNA(VLOOKUP(A64,'75m'!F$5:J$302,5,FALSE)),0,VLOOKUP(A64,'75m'!F$5:J$302,5,FALSE)))</f>
        <v>0</v>
      </c>
      <c r="H64" s="51" t="str">
        <f>IF(B64="","",IF(ISNA(VLOOKUP(A64,'75m'!F$5:K$302,6,FALSE)),"",VLOOKUP(A64,'75m'!F$5:K$302,6,FALSE)))</f>
        <v/>
      </c>
      <c r="I64" s="53">
        <f>IF(B64="",0,IF(ISNA(VLOOKUP(A64,'600m'!F$5:J$302,2,FALSE)),0,VLOOKUP(A64,'600m'!F$5:J$302,2,FALSE)))</f>
        <v>0</v>
      </c>
      <c r="J64" s="51">
        <f>IF(B64="",0,IF(ISNA(VLOOKUP(A64,'600m'!F$5:J$302,5,FALSE)),0,VLOOKUP(A64,'600m'!F$5:J$302,5,FALSE)))</f>
        <v>0</v>
      </c>
      <c r="K64" s="51" t="str">
        <f>IF(B64="","",IF(ISNA(VLOOKUP(A64,'600m'!F$5:K$302,6,FALSE)),"",VLOOKUP(A64,'600m'!F$5:K$302,6,FALSE)))</f>
        <v/>
      </c>
      <c r="L64" s="51" t="str">
        <f>IF(B64="","",IF(ISNA(VLOOKUP(A64,LongJump!F$5:G$302,2,FALSE)),"",VLOOKUP(A64,LongJump!F$5:G$302,2,FALSE)))</f>
        <v/>
      </c>
      <c r="M64" s="51">
        <f>IF(B64="",0,IF(ISNA(VLOOKUP(A64,LongJump!F$5:J$302,5,FALSE)),0,VLOOKUP(A64,LongJump!F$5:J$302,5,FALSE)))</f>
        <v>0</v>
      </c>
      <c r="N64" s="51">
        <f>IF(B64="",0,IF(ISNA(VLOOKUP(A64,LongJump!F$5:K$302,6,FALSE)),0,VLOOKUP(A64,LongJump!F$5:K$302,6,FALSE)))</f>
        <v>0</v>
      </c>
      <c r="O64" s="51" t="str">
        <f>IF(B64="","",IF(ISNA(VLOOKUP(A64,Vortex!F$5:J$302,2,FALSE)),"",VLOOKUP(A64,Vortex!F$5:J$302,2,FALSE)))</f>
        <v/>
      </c>
      <c r="P64" s="51">
        <f>IF(B64="",0,IF(ISNA(VLOOKUP(A64,Vortex!F$5:J$302,5,FALSE)),0,VLOOKUP(A64,Vortex!F$5:J$302,5,FALSE)))</f>
        <v>0</v>
      </c>
      <c r="Q64" s="51">
        <f t="shared" si="14"/>
        <v>0</v>
      </c>
      <c r="R64" s="51" t="str">
        <f t="shared" si="10"/>
        <v/>
      </c>
      <c r="S64" s="51" t="str">
        <f t="shared" si="11"/>
        <v/>
      </c>
      <c r="T64" s="51" t="str">
        <f t="shared" si="12"/>
        <v/>
      </c>
      <c r="U64" s="51" t="str">
        <f t="shared" si="13"/>
        <v/>
      </c>
      <c r="V64" s="4"/>
      <c r="W64" s="4"/>
      <c r="X64" s="4"/>
      <c r="Z64" s="287"/>
      <c r="AA64" s="287"/>
      <c r="AB64" s="287"/>
      <c r="AC64" s="287"/>
      <c r="AD64" s="287"/>
      <c r="AE64" s="287"/>
      <c r="AF64" s="287"/>
      <c r="AG64" s="287"/>
      <c r="AH64" s="287"/>
      <c r="AI64" s="287"/>
      <c r="AJ64" s="287"/>
      <c r="AK64" s="319"/>
    </row>
    <row r="65" spans="1:37" ht="20" customHeight="1">
      <c r="A65" s="51" t="str">
        <f>IF(Declarations!B17=0,"",Declarations!B17)</f>
        <v/>
      </c>
      <c r="B65" s="161" t="str">
        <f>IF(ISNA(VLOOKUP(A65,Declarations!B$6:C$293,2,FALSE)),"",IF(VLOOKUP(A65,Declarations!B$6:C$293,2,FALSE)="","",VLOOKUP(A65,Declarations!B$6:C$293,2,FALSE)))</f>
        <v/>
      </c>
      <c r="C65" s="161" t="str">
        <f>IF(ISNA(VLOOKUP(A65,Declarations!B$6:F$293,5,FALSE)),"",IF(VLOOKUP(A65,Declarations!B$6:F$293,5,FALSE)="","",VLOOKUP(A65,Declarations!B$6:F$293,5,FALSE)))</f>
        <v/>
      </c>
      <c r="D65" s="161" t="str">
        <f>IF(ISNA(VLOOKUP(A65,Declarations!B$6:F$293,4,FALSE)),"",IF(VLOOKUP(A65,Declarations!B$6:F$293,4,FALSE)="","",VLOOKUP(A65,Declarations!B$6:F$293,4,FALSE)))</f>
        <v/>
      </c>
      <c r="E65" s="161" t="str">
        <f>IF(ISNA(VLOOKUP(A65,Declarations!B$6:D$293,3,FALSE)),"",IF(VLOOKUP(A65,Declarations!B$6:D$293,3,FALSE)="","",VLOOKUP(A65,Declarations!B$6:D$293,3,FALSE)))</f>
        <v/>
      </c>
      <c r="F65" s="51" t="str">
        <f>IF(B65="","",IF(ISNA(VLOOKUP(A65,'75m'!F$5:G$302,2,FALSE)),"",VLOOKUP(A65,'75m'!F$5:G$302,2,FALSE)))</f>
        <v/>
      </c>
      <c r="G65" s="51">
        <f>IF(B65="",0,IF(ISNA(VLOOKUP(A65,'75m'!F$5:J$302,5,FALSE)),0,VLOOKUP(A65,'75m'!F$5:J$302,5,FALSE)))</f>
        <v>0</v>
      </c>
      <c r="H65" s="51" t="str">
        <f>IF(B65="","",IF(ISNA(VLOOKUP(A65,'75m'!F$5:K$302,6,FALSE)),"",VLOOKUP(A65,'75m'!F$5:K$302,6,FALSE)))</f>
        <v/>
      </c>
      <c r="I65" s="53">
        <f>IF(B65="",0,IF(ISNA(VLOOKUP(A65,'600m'!F$5:J$302,2,FALSE)),0,VLOOKUP(A65,'600m'!F$5:J$302,2,FALSE)))</f>
        <v>0</v>
      </c>
      <c r="J65" s="51">
        <f>IF(B65="",0,IF(ISNA(VLOOKUP(A65,'600m'!F$5:J$302,5,FALSE)),0,VLOOKUP(A65,'600m'!F$5:J$302,5,FALSE)))</f>
        <v>0</v>
      </c>
      <c r="K65" s="51" t="str">
        <f>IF(B65="","",IF(ISNA(VLOOKUP(A65,'600m'!F$5:K$302,6,FALSE)),"",VLOOKUP(A65,'600m'!F$5:K$302,6,FALSE)))</f>
        <v/>
      </c>
      <c r="L65" s="51" t="str">
        <f>IF(B65="","",IF(ISNA(VLOOKUP(A65,LongJump!F$5:G$302,2,FALSE)),"",VLOOKUP(A65,LongJump!F$5:G$302,2,FALSE)))</f>
        <v/>
      </c>
      <c r="M65" s="51">
        <f>IF(B65="",0,IF(ISNA(VLOOKUP(A65,LongJump!F$5:J$302,5,FALSE)),0,VLOOKUP(A65,LongJump!F$5:J$302,5,FALSE)))</f>
        <v>0</v>
      </c>
      <c r="N65" s="51">
        <f>IF(B65="",0,IF(ISNA(VLOOKUP(A65,LongJump!F$5:K$302,6,FALSE)),0,VLOOKUP(A65,LongJump!F$5:K$302,6,FALSE)))</f>
        <v>0</v>
      </c>
      <c r="O65" s="51" t="str">
        <f>IF(B65="","",IF(ISNA(VLOOKUP(A65,Vortex!F$5:J$302,2,FALSE)),"",VLOOKUP(A65,Vortex!F$5:J$302,2,FALSE)))</f>
        <v/>
      </c>
      <c r="P65" s="51">
        <f>IF(B65="",0,IF(ISNA(VLOOKUP(A65,Vortex!F$5:J$302,5,FALSE)),0,VLOOKUP(A65,Vortex!F$5:J$302,5,FALSE)))</f>
        <v>0</v>
      </c>
      <c r="Q65" s="51">
        <f t="shared" si="14"/>
        <v>0</v>
      </c>
      <c r="R65" s="51" t="str">
        <f t="shared" si="10"/>
        <v/>
      </c>
      <c r="S65" s="51" t="str">
        <f t="shared" si="11"/>
        <v/>
      </c>
      <c r="T65" s="51" t="str">
        <f t="shared" si="12"/>
        <v/>
      </c>
      <c r="U65" s="51" t="str">
        <f t="shared" si="13"/>
        <v/>
      </c>
      <c r="V65" s="4"/>
      <c r="W65" s="4"/>
      <c r="X65" s="4"/>
      <c r="Z65" s="287"/>
      <c r="AA65" s="287"/>
      <c r="AB65" s="287"/>
      <c r="AC65" s="287"/>
      <c r="AD65" s="287"/>
      <c r="AE65" s="287"/>
      <c r="AF65" s="287"/>
      <c r="AG65" s="287"/>
      <c r="AH65" s="287"/>
      <c r="AI65" s="287"/>
      <c r="AJ65" s="287"/>
      <c r="AK65" s="319"/>
    </row>
    <row r="66" spans="1:37" ht="20" customHeight="1">
      <c r="A66" s="51" t="str">
        <f>IF(Declarations!B18=0,"",Declarations!B18)</f>
        <v/>
      </c>
      <c r="B66" s="161" t="str">
        <f>IF(ISNA(VLOOKUP(A66,Declarations!B$6:C$293,2,FALSE)),"",IF(VLOOKUP(A66,Declarations!B$6:C$293,2,FALSE)="","",VLOOKUP(A66,Declarations!B$6:C$293,2,FALSE)))</f>
        <v/>
      </c>
      <c r="C66" s="161" t="str">
        <f>IF(ISNA(VLOOKUP(A66,Declarations!B$6:F$293,5,FALSE)),"",IF(VLOOKUP(A66,Declarations!B$6:F$293,5,FALSE)="","",VLOOKUP(A66,Declarations!B$6:F$293,5,FALSE)))</f>
        <v/>
      </c>
      <c r="D66" s="161" t="str">
        <f>IF(ISNA(VLOOKUP(A66,Declarations!B$6:F$293,4,FALSE)),"",IF(VLOOKUP(A66,Declarations!B$6:F$293,4,FALSE)="","",VLOOKUP(A66,Declarations!B$6:F$293,4,FALSE)))</f>
        <v/>
      </c>
      <c r="E66" s="161" t="str">
        <f>IF(ISNA(VLOOKUP(A66,Declarations!B$6:D$293,3,FALSE)),"",IF(VLOOKUP(A66,Declarations!B$6:D$293,3,FALSE)="","",VLOOKUP(A66,Declarations!B$6:D$293,3,FALSE)))</f>
        <v/>
      </c>
      <c r="F66" s="51" t="str">
        <f>IF(B66="","",IF(ISNA(VLOOKUP(A66,'75m'!F$5:G$302,2,FALSE)),"",VLOOKUP(A66,'75m'!F$5:G$302,2,FALSE)))</f>
        <v/>
      </c>
      <c r="G66" s="51">
        <f>IF(B66="",0,IF(ISNA(VLOOKUP(A66,'75m'!F$5:J$302,5,FALSE)),0,VLOOKUP(A66,'75m'!F$5:J$302,5,FALSE)))</f>
        <v>0</v>
      </c>
      <c r="H66" s="51" t="str">
        <f>IF(B66="","",IF(ISNA(VLOOKUP(A66,'75m'!F$5:K$302,6,FALSE)),"",VLOOKUP(A66,'75m'!F$5:K$302,6,FALSE)))</f>
        <v/>
      </c>
      <c r="I66" s="53">
        <f>IF(B66="",0,IF(ISNA(VLOOKUP(A66,'600m'!F$5:J$302,2,FALSE)),0,VLOOKUP(A66,'600m'!F$5:J$302,2,FALSE)))</f>
        <v>0</v>
      </c>
      <c r="J66" s="51">
        <f>IF(B66="",0,IF(ISNA(VLOOKUP(A66,'600m'!F$5:J$302,5,FALSE)),0,VLOOKUP(A66,'600m'!F$5:J$302,5,FALSE)))</f>
        <v>0</v>
      </c>
      <c r="K66" s="51" t="str">
        <f>IF(B66="","",IF(ISNA(VLOOKUP(A66,'600m'!F$5:K$302,6,FALSE)),"",VLOOKUP(A66,'600m'!F$5:K$302,6,FALSE)))</f>
        <v/>
      </c>
      <c r="L66" s="51" t="str">
        <f>IF(B66="","",IF(ISNA(VLOOKUP(A66,LongJump!F$5:G$302,2,FALSE)),"",VLOOKUP(A66,LongJump!F$5:G$302,2,FALSE)))</f>
        <v/>
      </c>
      <c r="M66" s="51">
        <f>IF(B66="",0,IF(ISNA(VLOOKUP(A66,LongJump!F$5:J$302,5,FALSE)),0,VLOOKUP(A66,LongJump!F$5:J$302,5,FALSE)))</f>
        <v>0</v>
      </c>
      <c r="N66" s="51">
        <f>IF(B66="",0,IF(ISNA(VLOOKUP(A66,LongJump!F$5:K$302,6,FALSE)),0,VLOOKUP(A66,LongJump!F$5:K$302,6,FALSE)))</f>
        <v>0</v>
      </c>
      <c r="O66" s="51" t="str">
        <f>IF(B66="","",IF(ISNA(VLOOKUP(A66,Vortex!F$5:J$302,2,FALSE)),"",VLOOKUP(A66,Vortex!F$5:J$302,2,FALSE)))</f>
        <v/>
      </c>
      <c r="P66" s="51">
        <f>IF(B66="",0,IF(ISNA(VLOOKUP(A66,Vortex!F$5:J$302,5,FALSE)),0,VLOOKUP(A66,Vortex!F$5:J$302,5,FALSE)))</f>
        <v>0</v>
      </c>
      <c r="Q66" s="51">
        <f t="shared" si="14"/>
        <v>0</v>
      </c>
      <c r="R66" s="51" t="str">
        <f t="shared" si="10"/>
        <v/>
      </c>
      <c r="S66" s="51" t="str">
        <f t="shared" si="11"/>
        <v/>
      </c>
      <c r="T66" s="51" t="str">
        <f t="shared" si="12"/>
        <v/>
      </c>
      <c r="U66" s="51" t="str">
        <f t="shared" si="13"/>
        <v/>
      </c>
      <c r="V66" s="4"/>
      <c r="W66" s="4"/>
      <c r="X66" s="4"/>
      <c r="Z66" s="287"/>
      <c r="AA66" s="287"/>
      <c r="AB66" s="287"/>
      <c r="AC66" s="287"/>
      <c r="AD66" s="287"/>
      <c r="AE66" s="287"/>
      <c r="AF66" s="287"/>
      <c r="AG66" s="287"/>
      <c r="AH66" s="287"/>
      <c r="AI66" s="287"/>
      <c r="AJ66" s="287"/>
      <c r="AK66" s="319"/>
    </row>
    <row r="67" spans="1:37" ht="20" customHeight="1">
      <c r="A67" s="51" t="str">
        <f>IF(Declarations!B19=0,"",Declarations!B19)</f>
        <v/>
      </c>
      <c r="B67" s="161" t="str">
        <f>IF(ISNA(VLOOKUP(A67,Declarations!B$6:C$293,2,FALSE)),"",IF(VLOOKUP(A67,Declarations!B$6:C$293,2,FALSE)="","",VLOOKUP(A67,Declarations!B$6:C$293,2,FALSE)))</f>
        <v/>
      </c>
      <c r="C67" s="161" t="str">
        <f>IF(ISNA(VLOOKUP(A67,Declarations!B$6:F$293,5,FALSE)),"",IF(VLOOKUP(A67,Declarations!B$6:F$293,5,FALSE)="","",VLOOKUP(A67,Declarations!B$6:F$293,5,FALSE)))</f>
        <v/>
      </c>
      <c r="D67" s="161" t="str">
        <f>IF(ISNA(VLOOKUP(A67,Declarations!B$6:F$293,4,FALSE)),"",IF(VLOOKUP(A67,Declarations!B$6:F$293,4,FALSE)="","",VLOOKUP(A67,Declarations!B$6:F$293,4,FALSE)))</f>
        <v/>
      </c>
      <c r="E67" s="161" t="str">
        <f>IF(ISNA(VLOOKUP(A67,Declarations!B$6:D$293,3,FALSE)),"",IF(VLOOKUP(A67,Declarations!B$6:D$293,3,FALSE)="","",VLOOKUP(A67,Declarations!B$6:D$293,3,FALSE)))</f>
        <v/>
      </c>
      <c r="F67" s="51" t="str">
        <f>IF(B67="","",IF(ISNA(VLOOKUP(A67,'75m'!F$5:G$302,2,FALSE)),"",VLOOKUP(A67,'75m'!F$5:G$302,2,FALSE)))</f>
        <v/>
      </c>
      <c r="G67" s="51">
        <f>IF(B67="",0,IF(ISNA(VLOOKUP(A67,'75m'!F$5:J$302,5,FALSE)),0,VLOOKUP(A67,'75m'!F$5:J$302,5,FALSE)))</f>
        <v>0</v>
      </c>
      <c r="H67" s="51" t="str">
        <f>IF(B67="","",IF(ISNA(VLOOKUP(A67,'75m'!F$5:K$302,6,FALSE)),"",VLOOKUP(A67,'75m'!F$5:K$302,6,FALSE)))</f>
        <v/>
      </c>
      <c r="I67" s="53">
        <f>IF(B67="",0,IF(ISNA(VLOOKUP(A67,'600m'!F$5:J$302,2,FALSE)),0,VLOOKUP(A67,'600m'!F$5:J$302,2,FALSE)))</f>
        <v>0</v>
      </c>
      <c r="J67" s="51">
        <f>IF(B67="",0,IF(ISNA(VLOOKUP(A67,'600m'!F$5:J$302,5,FALSE)),0,VLOOKUP(A67,'600m'!F$5:J$302,5,FALSE)))</f>
        <v>0</v>
      </c>
      <c r="K67" s="51" t="str">
        <f>IF(B67="","",IF(ISNA(VLOOKUP(A67,'600m'!F$5:K$302,6,FALSE)),"",VLOOKUP(A67,'600m'!F$5:K$302,6,FALSE)))</f>
        <v/>
      </c>
      <c r="L67" s="51" t="str">
        <f>IF(B67="","",IF(ISNA(VLOOKUP(A67,LongJump!F$5:G$302,2,FALSE)),"",VLOOKUP(A67,LongJump!F$5:G$302,2,FALSE)))</f>
        <v/>
      </c>
      <c r="M67" s="51">
        <f>IF(B67="",0,IF(ISNA(VLOOKUP(A67,LongJump!F$5:J$302,5,FALSE)),0,VLOOKUP(A67,LongJump!F$5:J$302,5,FALSE)))</f>
        <v>0</v>
      </c>
      <c r="N67" s="51">
        <f>IF(B67="",0,IF(ISNA(VLOOKUP(A67,LongJump!F$5:K$302,6,FALSE)),0,VLOOKUP(A67,LongJump!F$5:K$302,6,FALSE)))</f>
        <v>0</v>
      </c>
      <c r="O67" s="51" t="str">
        <f>IF(B67="","",IF(ISNA(VLOOKUP(A67,Vortex!F$5:J$302,2,FALSE)),"",VLOOKUP(A67,Vortex!F$5:J$302,2,FALSE)))</f>
        <v/>
      </c>
      <c r="P67" s="51">
        <f>IF(B67="",0,IF(ISNA(VLOOKUP(A67,Vortex!F$5:J$302,5,FALSE)),0,VLOOKUP(A67,Vortex!F$5:J$302,5,FALSE)))</f>
        <v>0</v>
      </c>
      <c r="Q67" s="51">
        <f t="shared" si="14"/>
        <v>0</v>
      </c>
      <c r="R67" s="51" t="str">
        <f t="shared" si="10"/>
        <v/>
      </c>
      <c r="S67" s="51" t="str">
        <f t="shared" si="11"/>
        <v/>
      </c>
      <c r="T67" s="51" t="str">
        <f t="shared" si="12"/>
        <v/>
      </c>
      <c r="U67" s="51" t="str">
        <f t="shared" si="13"/>
        <v/>
      </c>
      <c r="V67" s="4"/>
      <c r="W67" s="4"/>
      <c r="X67" s="4"/>
      <c r="Z67" s="287"/>
      <c r="AA67" s="287"/>
      <c r="AB67" s="287"/>
      <c r="AC67" s="287"/>
      <c r="AD67" s="287"/>
      <c r="AE67" s="287"/>
      <c r="AF67" s="287"/>
      <c r="AG67" s="287"/>
      <c r="AH67" s="287"/>
      <c r="AI67" s="287"/>
      <c r="AJ67" s="287"/>
      <c r="AK67" s="319"/>
    </row>
    <row r="68" spans="1:37" ht="20" customHeight="1">
      <c r="A68" s="51" t="str">
        <f>IF(Declarations!B20=0,"",Declarations!B20)</f>
        <v/>
      </c>
      <c r="B68" s="161" t="str">
        <f>IF(ISNA(VLOOKUP(A68,Declarations!B$6:C$293,2,FALSE)),"",IF(VLOOKUP(A68,Declarations!B$6:C$293,2,FALSE)="","",VLOOKUP(A68,Declarations!B$6:C$293,2,FALSE)))</f>
        <v/>
      </c>
      <c r="C68" s="161" t="str">
        <f>IF(ISNA(VLOOKUP(A68,Declarations!B$6:F$293,5,FALSE)),"",IF(VLOOKUP(A68,Declarations!B$6:F$293,5,FALSE)="","",VLOOKUP(A68,Declarations!B$6:F$293,5,FALSE)))</f>
        <v/>
      </c>
      <c r="D68" s="161" t="str">
        <f>IF(ISNA(VLOOKUP(A68,Declarations!B$6:F$293,4,FALSE)),"",IF(VLOOKUP(A68,Declarations!B$6:F$293,4,FALSE)="","",VLOOKUP(A68,Declarations!B$6:F$293,4,FALSE)))</f>
        <v/>
      </c>
      <c r="E68" s="161" t="str">
        <f>IF(ISNA(VLOOKUP(A68,Declarations!B$6:D$293,3,FALSE)),"",IF(VLOOKUP(A68,Declarations!B$6:D$293,3,FALSE)="","",VLOOKUP(A68,Declarations!B$6:D$293,3,FALSE)))</f>
        <v/>
      </c>
      <c r="F68" s="51" t="str">
        <f>IF(B68="","",IF(ISNA(VLOOKUP(A68,'75m'!F$5:G$302,2,FALSE)),"",VLOOKUP(A68,'75m'!F$5:G$302,2,FALSE)))</f>
        <v/>
      </c>
      <c r="G68" s="51">
        <f>IF(B68="",0,IF(ISNA(VLOOKUP(A68,'75m'!F$5:J$302,5,FALSE)),0,VLOOKUP(A68,'75m'!F$5:J$302,5,FALSE)))</f>
        <v>0</v>
      </c>
      <c r="H68" s="51" t="str">
        <f>IF(B68="","",IF(ISNA(VLOOKUP(A68,'75m'!F$5:K$302,6,FALSE)),"",VLOOKUP(A68,'75m'!F$5:K$302,6,FALSE)))</f>
        <v/>
      </c>
      <c r="I68" s="53">
        <f>IF(B68="",0,IF(ISNA(VLOOKUP(A68,'600m'!F$5:J$302,2,FALSE)),0,VLOOKUP(A68,'600m'!F$5:J$302,2,FALSE)))</f>
        <v>0</v>
      </c>
      <c r="J68" s="51">
        <f>IF(B68="",0,IF(ISNA(VLOOKUP(A68,'600m'!F$5:J$302,5,FALSE)),0,VLOOKUP(A68,'600m'!F$5:J$302,5,FALSE)))</f>
        <v>0</v>
      </c>
      <c r="K68" s="51" t="str">
        <f>IF(B68="","",IF(ISNA(VLOOKUP(A68,'600m'!F$5:K$302,6,FALSE)),"",VLOOKUP(A68,'600m'!F$5:K$302,6,FALSE)))</f>
        <v/>
      </c>
      <c r="L68" s="51" t="str">
        <f>IF(B68="","",IF(ISNA(VLOOKUP(A68,LongJump!F$5:G$302,2,FALSE)),"",VLOOKUP(A68,LongJump!F$5:G$302,2,FALSE)))</f>
        <v/>
      </c>
      <c r="M68" s="51">
        <f>IF(B68="",0,IF(ISNA(VLOOKUP(A68,LongJump!F$5:J$302,5,FALSE)),0,VLOOKUP(A68,LongJump!F$5:J$302,5,FALSE)))</f>
        <v>0</v>
      </c>
      <c r="N68" s="51">
        <f>IF(B68="",0,IF(ISNA(VLOOKUP(A68,LongJump!F$5:K$302,6,FALSE)),0,VLOOKUP(A68,LongJump!F$5:K$302,6,FALSE)))</f>
        <v>0</v>
      </c>
      <c r="O68" s="51" t="str">
        <f>IF(B68="","",IF(ISNA(VLOOKUP(A68,Vortex!F$5:J$302,2,FALSE)),"",VLOOKUP(A68,Vortex!F$5:J$302,2,FALSE)))</f>
        <v/>
      </c>
      <c r="P68" s="51">
        <f>IF(B68="",0,IF(ISNA(VLOOKUP(A68,Vortex!F$5:J$302,5,FALSE)),0,VLOOKUP(A68,Vortex!F$5:J$302,5,FALSE)))</f>
        <v>0</v>
      </c>
      <c r="Q68" s="51">
        <f t="shared" si="14"/>
        <v>0</v>
      </c>
      <c r="R68" s="51" t="str">
        <f t="shared" si="10"/>
        <v/>
      </c>
      <c r="S68" s="51" t="str">
        <f t="shared" si="11"/>
        <v/>
      </c>
      <c r="T68" s="51" t="str">
        <f t="shared" si="12"/>
        <v/>
      </c>
      <c r="U68" s="51" t="str">
        <f t="shared" si="13"/>
        <v/>
      </c>
      <c r="V68" s="4"/>
      <c r="W68" s="4"/>
      <c r="X68" s="4"/>
      <c r="Z68" s="287"/>
      <c r="AA68" s="287"/>
      <c r="AB68" s="287"/>
      <c r="AC68" s="287"/>
      <c r="AD68" s="287"/>
      <c r="AE68" s="287"/>
      <c r="AF68" s="287"/>
      <c r="AG68" s="287"/>
      <c r="AH68" s="287"/>
      <c r="AI68" s="287"/>
      <c r="AJ68" s="287"/>
      <c r="AK68" s="319"/>
    </row>
    <row r="69" spans="1:37" ht="20" customHeight="1">
      <c r="A69" s="51" t="str">
        <f>IF(Declarations!B21=0,"",Declarations!B21)</f>
        <v/>
      </c>
      <c r="B69" s="161" t="str">
        <f>IF(ISNA(VLOOKUP(A69,Declarations!B$6:C$293,2,FALSE)),"",IF(VLOOKUP(A69,Declarations!B$6:C$293,2,FALSE)="","",VLOOKUP(A69,Declarations!B$6:C$293,2,FALSE)))</f>
        <v/>
      </c>
      <c r="C69" s="161" t="str">
        <f>IF(ISNA(VLOOKUP(A69,Declarations!B$6:F$293,5,FALSE)),"",IF(VLOOKUP(A69,Declarations!B$6:F$293,5,FALSE)="","",VLOOKUP(A69,Declarations!B$6:F$293,5,FALSE)))</f>
        <v/>
      </c>
      <c r="D69" s="161" t="str">
        <f>IF(ISNA(VLOOKUP(A69,Declarations!B$6:F$293,4,FALSE)),"",IF(VLOOKUP(A69,Declarations!B$6:F$293,4,FALSE)="","",VLOOKUP(A69,Declarations!B$6:F$293,4,FALSE)))</f>
        <v/>
      </c>
      <c r="E69" s="161" t="str">
        <f>IF(ISNA(VLOOKUP(A69,Declarations!B$6:D$293,3,FALSE)),"",IF(VLOOKUP(A69,Declarations!B$6:D$293,3,FALSE)="","",VLOOKUP(A69,Declarations!B$6:D$293,3,FALSE)))</f>
        <v/>
      </c>
      <c r="F69" s="51" t="str">
        <f>IF(B69="","",IF(ISNA(VLOOKUP(A69,'75m'!F$5:G$302,2,FALSE)),"",VLOOKUP(A69,'75m'!F$5:G$302,2,FALSE)))</f>
        <v/>
      </c>
      <c r="G69" s="51">
        <f>IF(B69="",0,IF(ISNA(VLOOKUP(A69,'75m'!F$5:J$302,5,FALSE)),0,VLOOKUP(A69,'75m'!F$5:J$302,5,FALSE)))</f>
        <v>0</v>
      </c>
      <c r="H69" s="51" t="str">
        <f>IF(B69="","",IF(ISNA(VLOOKUP(A69,'75m'!F$5:K$302,6,FALSE)),"",VLOOKUP(A69,'75m'!F$5:K$302,6,FALSE)))</f>
        <v/>
      </c>
      <c r="I69" s="53">
        <f>IF(B69="",0,IF(ISNA(VLOOKUP(A69,'600m'!F$5:J$302,2,FALSE)),0,VLOOKUP(A69,'600m'!F$5:J$302,2,FALSE)))</f>
        <v>0</v>
      </c>
      <c r="J69" s="51">
        <f>IF(B69="",0,IF(ISNA(VLOOKUP(A69,'600m'!F$5:J$302,5,FALSE)),0,VLOOKUP(A69,'600m'!F$5:J$302,5,FALSE)))</f>
        <v>0</v>
      </c>
      <c r="K69" s="51" t="str">
        <f>IF(B69="","",IF(ISNA(VLOOKUP(A69,'600m'!F$5:K$302,6,FALSE)),"",VLOOKUP(A69,'600m'!F$5:K$302,6,FALSE)))</f>
        <v/>
      </c>
      <c r="L69" s="51" t="str">
        <f>IF(B69="","",IF(ISNA(VLOOKUP(A69,LongJump!F$5:G$302,2,FALSE)),"",VLOOKUP(A69,LongJump!F$5:G$302,2,FALSE)))</f>
        <v/>
      </c>
      <c r="M69" s="51">
        <f>IF(B69="",0,IF(ISNA(VLOOKUP(A69,LongJump!F$5:J$302,5,FALSE)),0,VLOOKUP(A69,LongJump!F$5:J$302,5,FALSE)))</f>
        <v>0</v>
      </c>
      <c r="N69" s="51">
        <f>IF(B69="",0,IF(ISNA(VLOOKUP(A69,LongJump!F$5:K$302,6,FALSE)),0,VLOOKUP(A69,LongJump!F$5:K$302,6,FALSE)))</f>
        <v>0</v>
      </c>
      <c r="O69" s="51" t="str">
        <f>IF(B69="","",IF(ISNA(VLOOKUP(A69,Vortex!F$5:J$302,2,FALSE)),"",VLOOKUP(A69,Vortex!F$5:J$302,2,FALSE)))</f>
        <v/>
      </c>
      <c r="P69" s="51">
        <f>IF(B69="",0,IF(ISNA(VLOOKUP(A69,Vortex!F$5:J$302,5,FALSE)),0,VLOOKUP(A69,Vortex!F$5:J$302,5,FALSE)))</f>
        <v>0</v>
      </c>
      <c r="Q69" s="51">
        <f t="shared" si="14"/>
        <v>0</v>
      </c>
      <c r="R69" s="51" t="str">
        <f t="shared" si="10"/>
        <v/>
      </c>
      <c r="S69" s="51" t="str">
        <f t="shared" si="11"/>
        <v/>
      </c>
      <c r="T69" s="51" t="str">
        <f t="shared" si="12"/>
        <v/>
      </c>
      <c r="U69" s="51" t="str">
        <f t="shared" si="13"/>
        <v/>
      </c>
      <c r="V69" s="4"/>
      <c r="W69" s="4"/>
      <c r="X69" s="4"/>
      <c r="Z69" s="287"/>
      <c r="AA69" s="287"/>
      <c r="AB69" s="287"/>
      <c r="AC69" s="287"/>
      <c r="AD69" s="287"/>
      <c r="AE69" s="287"/>
      <c r="AF69" s="287"/>
      <c r="AG69" s="287"/>
      <c r="AH69" s="287"/>
      <c r="AI69" s="287"/>
      <c r="AJ69" s="287"/>
      <c r="AK69" s="319"/>
    </row>
    <row r="70" spans="1:37" ht="20" customHeight="1">
      <c r="A70" s="51" t="str">
        <f>IF(Declarations!B22=0,"",Declarations!B22)</f>
        <v/>
      </c>
      <c r="B70" s="161" t="str">
        <f>IF(ISNA(VLOOKUP(A70,Declarations!B$6:C$293,2,FALSE)),"",IF(VLOOKUP(A70,Declarations!B$6:C$293,2,FALSE)="","",VLOOKUP(A70,Declarations!B$6:C$293,2,FALSE)))</f>
        <v/>
      </c>
      <c r="C70" s="161" t="str">
        <f>IF(ISNA(VLOOKUP(A70,Declarations!B$6:F$293,5,FALSE)),"",IF(VLOOKUP(A70,Declarations!B$6:F$293,5,FALSE)="","",VLOOKUP(A70,Declarations!B$6:F$293,5,FALSE)))</f>
        <v/>
      </c>
      <c r="D70" s="161" t="str">
        <f>IF(ISNA(VLOOKUP(A70,Declarations!B$6:F$293,4,FALSE)),"",IF(VLOOKUP(A70,Declarations!B$6:F$293,4,FALSE)="","",VLOOKUP(A70,Declarations!B$6:F$293,4,FALSE)))</f>
        <v/>
      </c>
      <c r="E70" s="161" t="str">
        <f>IF(ISNA(VLOOKUP(A70,Declarations!B$6:D$293,3,FALSE)),"",IF(VLOOKUP(A70,Declarations!B$6:D$293,3,FALSE)="","",VLOOKUP(A70,Declarations!B$6:D$293,3,FALSE)))</f>
        <v/>
      </c>
      <c r="F70" s="51" t="str">
        <f>IF(B70="","",IF(ISNA(VLOOKUP(A70,'75m'!F$5:G$302,2,FALSE)),"",VLOOKUP(A70,'75m'!F$5:G$302,2,FALSE)))</f>
        <v/>
      </c>
      <c r="G70" s="51">
        <f>IF(B70="",0,IF(ISNA(VLOOKUP(A70,'75m'!F$5:J$302,5,FALSE)),0,VLOOKUP(A70,'75m'!F$5:J$302,5,FALSE)))</f>
        <v>0</v>
      </c>
      <c r="H70" s="51" t="str">
        <f>IF(B70="","",IF(ISNA(VLOOKUP(A70,'75m'!F$5:K$302,6,FALSE)),"",VLOOKUP(A70,'75m'!F$5:K$302,6,FALSE)))</f>
        <v/>
      </c>
      <c r="I70" s="53">
        <f>IF(B70="",0,IF(ISNA(VLOOKUP(A70,'600m'!F$5:J$302,2,FALSE)),0,VLOOKUP(A70,'600m'!F$5:J$302,2,FALSE)))</f>
        <v>0</v>
      </c>
      <c r="J70" s="51">
        <f>IF(B70="",0,IF(ISNA(VLOOKUP(A70,'600m'!F$5:J$302,5,FALSE)),0,VLOOKUP(A70,'600m'!F$5:J$302,5,FALSE)))</f>
        <v>0</v>
      </c>
      <c r="K70" s="51" t="str">
        <f>IF(B70="","",IF(ISNA(VLOOKUP(A70,'600m'!F$5:K$302,6,FALSE)),"",VLOOKUP(A70,'600m'!F$5:K$302,6,FALSE)))</f>
        <v/>
      </c>
      <c r="L70" s="51" t="str">
        <f>IF(B70="","",IF(ISNA(VLOOKUP(A70,LongJump!F$5:G$302,2,FALSE)),"",VLOOKUP(A70,LongJump!F$5:G$302,2,FALSE)))</f>
        <v/>
      </c>
      <c r="M70" s="51">
        <f>IF(B70="",0,IF(ISNA(VLOOKUP(A70,LongJump!F$5:J$302,5,FALSE)),0,VLOOKUP(A70,LongJump!F$5:J$302,5,FALSE)))</f>
        <v>0</v>
      </c>
      <c r="N70" s="51">
        <f>IF(B70="",0,IF(ISNA(VLOOKUP(A70,LongJump!F$5:K$302,6,FALSE)),0,VLOOKUP(A70,LongJump!F$5:K$302,6,FALSE)))</f>
        <v>0</v>
      </c>
      <c r="O70" s="51" t="str">
        <f>IF(B70="","",IF(ISNA(VLOOKUP(A70,Vortex!F$5:J$302,2,FALSE)),"",VLOOKUP(A70,Vortex!F$5:J$302,2,FALSE)))</f>
        <v/>
      </c>
      <c r="P70" s="51">
        <f>IF(B70="",0,IF(ISNA(VLOOKUP(A70,Vortex!F$5:J$302,5,FALSE)),0,VLOOKUP(A70,Vortex!F$5:J$302,5,FALSE)))</f>
        <v>0</v>
      </c>
      <c r="Q70" s="51">
        <f t="shared" si="14"/>
        <v>0</v>
      </c>
      <c r="R70" s="51" t="str">
        <f t="shared" si="10"/>
        <v/>
      </c>
      <c r="S70" s="51" t="str">
        <f t="shared" si="11"/>
        <v/>
      </c>
      <c r="T70" s="51" t="str">
        <f t="shared" si="12"/>
        <v/>
      </c>
      <c r="U70" s="51" t="str">
        <f t="shared" si="13"/>
        <v/>
      </c>
      <c r="V70" s="4"/>
      <c r="W70" s="4"/>
      <c r="X70" s="4"/>
      <c r="Z70" s="287"/>
      <c r="AA70" s="287"/>
      <c r="AB70" s="287"/>
      <c r="AC70" s="287"/>
      <c r="AD70" s="287"/>
      <c r="AE70" s="287"/>
      <c r="AF70" s="287"/>
      <c r="AG70" s="287"/>
      <c r="AH70" s="287"/>
      <c r="AI70" s="287"/>
      <c r="AJ70" s="287"/>
      <c r="AK70" s="319"/>
    </row>
    <row r="71" spans="1:37" ht="20" customHeight="1">
      <c r="A71" s="51" t="str">
        <f>IF(Declarations!B23=0,"",Declarations!B23)</f>
        <v/>
      </c>
      <c r="B71" s="161" t="str">
        <f>IF(ISNA(VLOOKUP(A71,Declarations!B$6:C$293,2,FALSE)),"",IF(VLOOKUP(A71,Declarations!B$6:C$293,2,FALSE)="","",VLOOKUP(A71,Declarations!B$6:C$293,2,FALSE)))</f>
        <v/>
      </c>
      <c r="C71" s="161" t="str">
        <f>IF(ISNA(VLOOKUP(A71,Declarations!B$6:F$293,5,FALSE)),"",IF(VLOOKUP(A71,Declarations!B$6:F$293,5,FALSE)="","",VLOOKUP(A71,Declarations!B$6:F$293,5,FALSE)))</f>
        <v/>
      </c>
      <c r="D71" s="161" t="str">
        <f>IF(ISNA(VLOOKUP(A71,Declarations!B$6:F$293,4,FALSE)),"",IF(VLOOKUP(A71,Declarations!B$6:F$293,4,FALSE)="","",VLOOKUP(A71,Declarations!B$6:F$293,4,FALSE)))</f>
        <v/>
      </c>
      <c r="E71" s="161" t="str">
        <f>IF(ISNA(VLOOKUP(A71,Declarations!B$6:D$293,3,FALSE)),"",IF(VLOOKUP(A71,Declarations!B$6:D$293,3,FALSE)="","",VLOOKUP(A71,Declarations!B$6:D$293,3,FALSE)))</f>
        <v/>
      </c>
      <c r="F71" s="51" t="str">
        <f>IF(B71="","",IF(ISNA(VLOOKUP(A71,'75m'!F$5:G$302,2,FALSE)),"",VLOOKUP(A71,'75m'!F$5:G$302,2,FALSE)))</f>
        <v/>
      </c>
      <c r="G71" s="51">
        <f>IF(B71="",0,IF(ISNA(VLOOKUP(A71,'75m'!F$5:J$302,5,FALSE)),0,VLOOKUP(A71,'75m'!F$5:J$302,5,FALSE)))</f>
        <v>0</v>
      </c>
      <c r="H71" s="51" t="str">
        <f>IF(B71="","",IF(ISNA(VLOOKUP(A71,'75m'!F$5:K$302,6,FALSE)),"",VLOOKUP(A71,'75m'!F$5:K$302,6,FALSE)))</f>
        <v/>
      </c>
      <c r="I71" s="53">
        <f>IF(B71="",0,IF(ISNA(VLOOKUP(A71,'600m'!F$5:J$302,2,FALSE)),0,VLOOKUP(A71,'600m'!F$5:J$302,2,FALSE)))</f>
        <v>0</v>
      </c>
      <c r="J71" s="51">
        <f>IF(B71="",0,IF(ISNA(VLOOKUP(A71,'600m'!F$5:J$302,5,FALSE)),0,VLOOKUP(A71,'600m'!F$5:J$302,5,FALSE)))</f>
        <v>0</v>
      </c>
      <c r="K71" s="51" t="str">
        <f>IF(B71="","",IF(ISNA(VLOOKUP(A71,'600m'!F$5:K$302,6,FALSE)),"",VLOOKUP(A71,'600m'!F$5:K$302,6,FALSE)))</f>
        <v/>
      </c>
      <c r="L71" s="51" t="str">
        <f>IF(B71="","",IF(ISNA(VLOOKUP(A71,LongJump!F$5:G$302,2,FALSE)),"",VLOOKUP(A71,LongJump!F$5:G$302,2,FALSE)))</f>
        <v/>
      </c>
      <c r="M71" s="51">
        <f>IF(B71="",0,IF(ISNA(VLOOKUP(A71,LongJump!F$5:J$302,5,FALSE)),0,VLOOKUP(A71,LongJump!F$5:J$302,5,FALSE)))</f>
        <v>0</v>
      </c>
      <c r="N71" s="51">
        <f>IF(B71="",0,IF(ISNA(VLOOKUP(A71,LongJump!F$5:K$302,6,FALSE)),0,VLOOKUP(A71,LongJump!F$5:K$302,6,FALSE)))</f>
        <v>0</v>
      </c>
      <c r="O71" s="51" t="str">
        <f>IF(B71="","",IF(ISNA(VLOOKUP(A71,Vortex!F$5:J$302,2,FALSE)),"",VLOOKUP(A71,Vortex!F$5:J$302,2,FALSE)))</f>
        <v/>
      </c>
      <c r="P71" s="51">
        <f>IF(B71="",0,IF(ISNA(VLOOKUP(A71,Vortex!F$5:J$302,5,FALSE)),0,VLOOKUP(A71,Vortex!F$5:J$302,5,FALSE)))</f>
        <v>0</v>
      </c>
      <c r="Q71" s="51">
        <f t="shared" si="14"/>
        <v>0</v>
      </c>
      <c r="R71" s="51" t="str">
        <f t="shared" si="10"/>
        <v/>
      </c>
      <c r="S71" s="51" t="str">
        <f t="shared" si="11"/>
        <v/>
      </c>
      <c r="T71" s="51" t="str">
        <f t="shared" si="12"/>
        <v/>
      </c>
      <c r="U71" s="51" t="str">
        <f t="shared" si="13"/>
        <v/>
      </c>
      <c r="V71" s="4"/>
      <c r="W71" s="4"/>
      <c r="X71" s="4"/>
      <c r="Y71" s="4"/>
      <c r="Z71" s="287"/>
      <c r="AA71" s="287"/>
      <c r="AB71" s="287"/>
      <c r="AC71" s="287"/>
      <c r="AD71" s="287"/>
      <c r="AE71" s="287"/>
      <c r="AF71" s="287"/>
      <c r="AG71" s="287"/>
      <c r="AH71" s="287"/>
      <c r="AI71" s="287"/>
      <c r="AJ71" s="287"/>
      <c r="AK71" s="319"/>
    </row>
    <row r="72" spans="1:37" ht="20" customHeight="1">
      <c r="A72" s="51" t="str">
        <f>IF(Declarations!B24=0,"",Declarations!B24)</f>
        <v/>
      </c>
      <c r="B72" s="161" t="str">
        <f>IF(ISNA(VLOOKUP(A72,Declarations!B$6:C$293,2,FALSE)),"",IF(VLOOKUP(A72,Declarations!B$6:C$293,2,FALSE)="","",VLOOKUP(A72,Declarations!B$6:C$293,2,FALSE)))</f>
        <v/>
      </c>
      <c r="C72" s="161" t="str">
        <f>IF(ISNA(VLOOKUP(A72,Declarations!B$6:F$293,5,FALSE)),"",IF(VLOOKUP(A72,Declarations!B$6:F$293,5,FALSE)="","",VLOOKUP(A72,Declarations!B$6:F$293,5,FALSE)))</f>
        <v/>
      </c>
      <c r="D72" s="161" t="str">
        <f>IF(ISNA(VLOOKUP(A72,Declarations!B$6:F$293,4,FALSE)),"",IF(VLOOKUP(A72,Declarations!B$6:F$293,4,FALSE)="","",VLOOKUP(A72,Declarations!B$6:F$293,4,FALSE)))</f>
        <v/>
      </c>
      <c r="E72" s="161" t="str">
        <f>IF(ISNA(VLOOKUP(A72,Declarations!B$6:D$293,3,FALSE)),"",IF(VLOOKUP(A72,Declarations!B$6:D$293,3,FALSE)="","",VLOOKUP(A72,Declarations!B$6:D$293,3,FALSE)))</f>
        <v/>
      </c>
      <c r="F72" s="51" t="str">
        <f>IF(B72="","",IF(ISNA(VLOOKUP(A72,'75m'!F$5:G$302,2,FALSE)),"",VLOOKUP(A72,'75m'!F$5:G$302,2,FALSE)))</f>
        <v/>
      </c>
      <c r="G72" s="51">
        <f>IF(B72="",0,IF(ISNA(VLOOKUP(A72,'75m'!F$5:J$302,5,FALSE)),0,VLOOKUP(A72,'75m'!F$5:J$302,5,FALSE)))</f>
        <v>0</v>
      </c>
      <c r="H72" s="51" t="str">
        <f>IF(B72="","",IF(ISNA(VLOOKUP(A72,'75m'!F$5:K$302,6,FALSE)),"",VLOOKUP(A72,'75m'!F$5:K$302,6,FALSE)))</f>
        <v/>
      </c>
      <c r="I72" s="53">
        <f>IF(B72="",0,IF(ISNA(VLOOKUP(A72,'600m'!F$5:J$302,2,FALSE)),0,VLOOKUP(A72,'600m'!F$5:J$302,2,FALSE)))</f>
        <v>0</v>
      </c>
      <c r="J72" s="51">
        <f>IF(B72="",0,IF(ISNA(VLOOKUP(A72,'600m'!F$5:J$302,5,FALSE)),0,VLOOKUP(A72,'600m'!F$5:J$302,5,FALSE)))</f>
        <v>0</v>
      </c>
      <c r="K72" s="51" t="str">
        <f>IF(B72="","",IF(ISNA(VLOOKUP(A72,'600m'!F$5:K$302,6,FALSE)),"",VLOOKUP(A72,'600m'!F$5:K$302,6,FALSE)))</f>
        <v/>
      </c>
      <c r="L72" s="51" t="str">
        <f>IF(B72="","",IF(ISNA(VLOOKUP(A72,LongJump!F$5:G$302,2,FALSE)),"",VLOOKUP(A72,LongJump!F$5:G$302,2,FALSE)))</f>
        <v/>
      </c>
      <c r="M72" s="51">
        <f>IF(B72="",0,IF(ISNA(VLOOKUP(A72,LongJump!F$5:J$302,5,FALSE)),0,VLOOKUP(A72,LongJump!F$5:J$302,5,FALSE)))</f>
        <v>0</v>
      </c>
      <c r="N72" s="51">
        <f>IF(B72="",0,IF(ISNA(VLOOKUP(A72,LongJump!F$5:K$302,6,FALSE)),0,VLOOKUP(A72,LongJump!F$5:K$302,6,FALSE)))</f>
        <v>0</v>
      </c>
      <c r="O72" s="51" t="str">
        <f>IF(B72="","",IF(ISNA(VLOOKUP(A72,Vortex!F$5:J$302,2,FALSE)),"",VLOOKUP(A72,Vortex!F$5:J$302,2,FALSE)))</f>
        <v/>
      </c>
      <c r="P72" s="51">
        <f>IF(B72="",0,IF(ISNA(VLOOKUP(A72,Vortex!F$5:J$302,5,FALSE)),0,VLOOKUP(A72,Vortex!F$5:J$302,5,FALSE)))</f>
        <v>0</v>
      </c>
      <c r="Q72" s="51">
        <f t="shared" si="14"/>
        <v>0</v>
      </c>
      <c r="R72" s="51" t="str">
        <f t="shared" si="10"/>
        <v/>
      </c>
      <c r="S72" s="51" t="str">
        <f t="shared" si="11"/>
        <v/>
      </c>
      <c r="T72" s="51" t="str">
        <f t="shared" si="12"/>
        <v/>
      </c>
      <c r="U72" s="51" t="str">
        <f t="shared" si="13"/>
        <v/>
      </c>
      <c r="V72" s="4"/>
      <c r="W72" s="4"/>
      <c r="X72" s="4"/>
      <c r="Z72" s="287"/>
      <c r="AA72" s="287"/>
      <c r="AB72" s="287"/>
      <c r="AC72" s="287"/>
      <c r="AD72" s="287"/>
      <c r="AE72" s="287"/>
      <c r="AF72" s="287"/>
      <c r="AG72" s="287"/>
      <c r="AH72" s="287"/>
      <c r="AI72" s="287"/>
      <c r="AJ72" s="287"/>
      <c r="AK72" s="319"/>
    </row>
    <row r="73" spans="1:37" ht="20" customHeight="1">
      <c r="A73" s="51" t="str">
        <f>IF(Declarations!B25=0,"",Declarations!B25)</f>
        <v/>
      </c>
      <c r="B73" s="161" t="str">
        <f>IF(ISNA(VLOOKUP(A73,Declarations!B$6:C$293,2,FALSE)),"",IF(VLOOKUP(A73,Declarations!B$6:C$293,2,FALSE)="","",VLOOKUP(A73,Declarations!B$6:C$293,2,FALSE)))</f>
        <v/>
      </c>
      <c r="C73" s="161" t="str">
        <f>IF(ISNA(VLOOKUP(A73,Declarations!B$6:F$293,5,FALSE)),"",IF(VLOOKUP(A73,Declarations!B$6:F$293,5,FALSE)="","",VLOOKUP(A73,Declarations!B$6:F$293,5,FALSE)))</f>
        <v/>
      </c>
      <c r="D73" s="161" t="str">
        <f>IF(ISNA(VLOOKUP(A73,Declarations!B$6:F$293,4,FALSE)),"",IF(VLOOKUP(A73,Declarations!B$6:F$293,4,FALSE)="","",VLOOKUP(A73,Declarations!B$6:F$293,4,FALSE)))</f>
        <v/>
      </c>
      <c r="E73" s="161" t="str">
        <f>IF(ISNA(VLOOKUP(A73,Declarations!B$6:D$293,3,FALSE)),"",IF(VLOOKUP(A73,Declarations!B$6:D$293,3,FALSE)="","",VLOOKUP(A73,Declarations!B$6:D$293,3,FALSE)))</f>
        <v/>
      </c>
      <c r="F73" s="51" t="str">
        <f>IF(B73="","",IF(ISNA(VLOOKUP(A73,'75m'!F$5:G$302,2,FALSE)),"",VLOOKUP(A73,'75m'!F$5:G$302,2,FALSE)))</f>
        <v/>
      </c>
      <c r="G73" s="51">
        <f>IF(B73="",0,IF(ISNA(VLOOKUP(A73,'75m'!F$5:J$302,5,FALSE)),0,VLOOKUP(A73,'75m'!F$5:J$302,5,FALSE)))</f>
        <v>0</v>
      </c>
      <c r="H73" s="51" t="str">
        <f>IF(B73="","",IF(ISNA(VLOOKUP(A73,'75m'!F$5:K$302,6,FALSE)),"",VLOOKUP(A73,'75m'!F$5:K$302,6,FALSE)))</f>
        <v/>
      </c>
      <c r="I73" s="53">
        <f>IF(B73="",0,IF(ISNA(VLOOKUP(A73,'600m'!F$5:J$302,2,FALSE)),0,VLOOKUP(A73,'600m'!F$5:J$302,2,FALSE)))</f>
        <v>0</v>
      </c>
      <c r="J73" s="51">
        <f>IF(B73="",0,IF(ISNA(VLOOKUP(A73,'600m'!F$5:J$302,5,FALSE)),0,VLOOKUP(A73,'600m'!F$5:J$302,5,FALSE)))</f>
        <v>0</v>
      </c>
      <c r="K73" s="51" t="str">
        <f>IF(B73="","",IF(ISNA(VLOOKUP(A73,'600m'!F$5:K$302,6,FALSE)),"",VLOOKUP(A73,'600m'!F$5:K$302,6,FALSE)))</f>
        <v/>
      </c>
      <c r="L73" s="51" t="str">
        <f>IF(B73="","",IF(ISNA(VLOOKUP(A73,LongJump!F$5:G$302,2,FALSE)),"",VLOOKUP(A73,LongJump!F$5:G$302,2,FALSE)))</f>
        <v/>
      </c>
      <c r="M73" s="51">
        <f>IF(B73="",0,IF(ISNA(VLOOKUP(A73,LongJump!F$5:J$302,5,FALSE)),0,VLOOKUP(A73,LongJump!F$5:J$302,5,FALSE)))</f>
        <v>0</v>
      </c>
      <c r="N73" s="51">
        <f>IF(B73="",0,IF(ISNA(VLOOKUP(A73,LongJump!F$5:K$302,6,FALSE)),0,VLOOKUP(A73,LongJump!F$5:K$302,6,FALSE)))</f>
        <v>0</v>
      </c>
      <c r="O73" s="51" t="str">
        <f>IF(B73="","",IF(ISNA(VLOOKUP(A73,Vortex!F$5:J$302,2,FALSE)),"",VLOOKUP(A73,Vortex!F$5:J$302,2,FALSE)))</f>
        <v/>
      </c>
      <c r="P73" s="51">
        <f>IF(B73="",0,IF(ISNA(VLOOKUP(A73,Vortex!F$5:J$302,5,FALSE)),0,VLOOKUP(A73,Vortex!F$5:J$302,5,FALSE)))</f>
        <v>0</v>
      </c>
      <c r="Q73" s="51">
        <f t="shared" si="14"/>
        <v>0</v>
      </c>
      <c r="R73" s="51" t="str">
        <f t="shared" si="10"/>
        <v/>
      </c>
      <c r="S73" s="51" t="str">
        <f t="shared" si="11"/>
        <v/>
      </c>
      <c r="T73" s="51" t="str">
        <f t="shared" si="12"/>
        <v/>
      </c>
      <c r="U73" s="51" t="str">
        <f t="shared" si="13"/>
        <v/>
      </c>
      <c r="V73" s="4"/>
      <c r="W73" s="4"/>
      <c r="X73" s="4"/>
      <c r="Z73" s="287"/>
      <c r="AA73" s="287"/>
      <c r="AB73" s="287"/>
      <c r="AC73" s="287"/>
      <c r="AD73" s="287"/>
      <c r="AE73" s="287"/>
      <c r="AF73" s="287"/>
      <c r="AG73" s="287"/>
      <c r="AH73" s="287"/>
      <c r="AI73" s="287"/>
      <c r="AJ73" s="287"/>
      <c r="AK73" s="319"/>
    </row>
    <row r="74" spans="1:37" ht="20" customHeight="1">
      <c r="A74" s="51" t="str">
        <f>IF(Declarations!B26=0,"",Declarations!B26)</f>
        <v/>
      </c>
      <c r="B74" s="161" t="str">
        <f>IF(ISNA(VLOOKUP(A74,Declarations!B$6:C$293,2,FALSE)),"",IF(VLOOKUP(A74,Declarations!B$6:C$293,2,FALSE)="","",VLOOKUP(A74,Declarations!B$6:C$293,2,FALSE)))</f>
        <v/>
      </c>
      <c r="C74" s="161" t="str">
        <f>IF(ISNA(VLOOKUP(A74,Declarations!B$6:F$293,5,FALSE)),"",IF(VLOOKUP(A74,Declarations!B$6:F$293,5,FALSE)="","",VLOOKUP(A74,Declarations!B$6:F$293,5,FALSE)))</f>
        <v/>
      </c>
      <c r="D74" s="161" t="str">
        <f>IF(ISNA(VLOOKUP(A74,Declarations!B$6:F$293,4,FALSE)),"",IF(VLOOKUP(A74,Declarations!B$6:F$293,4,FALSE)="","",VLOOKUP(A74,Declarations!B$6:F$293,4,FALSE)))</f>
        <v/>
      </c>
      <c r="E74" s="161" t="str">
        <f>IF(ISNA(VLOOKUP(A74,Declarations!B$6:D$293,3,FALSE)),"",IF(VLOOKUP(A74,Declarations!B$6:D$293,3,FALSE)="","",VLOOKUP(A74,Declarations!B$6:D$293,3,FALSE)))</f>
        <v/>
      </c>
      <c r="F74" s="51" t="str">
        <f>IF(B74="","",IF(ISNA(VLOOKUP(A74,'75m'!F$5:G$302,2,FALSE)),"",VLOOKUP(A74,'75m'!F$5:G$302,2,FALSE)))</f>
        <v/>
      </c>
      <c r="G74" s="51">
        <f>IF(B74="",0,IF(ISNA(VLOOKUP(A74,'75m'!F$5:J$302,5,FALSE)),0,VLOOKUP(A74,'75m'!F$5:J$302,5,FALSE)))</f>
        <v>0</v>
      </c>
      <c r="H74" s="51" t="str">
        <f>IF(B74="","",IF(ISNA(VLOOKUP(A74,'75m'!F$5:K$302,6,FALSE)),"",VLOOKUP(A74,'75m'!F$5:K$302,6,FALSE)))</f>
        <v/>
      </c>
      <c r="I74" s="53">
        <f>IF(B74="",0,IF(ISNA(VLOOKUP(A74,'600m'!F$5:J$302,2,FALSE)),0,VLOOKUP(A74,'600m'!F$5:J$302,2,FALSE)))</f>
        <v>0</v>
      </c>
      <c r="J74" s="51">
        <f>IF(B74="",0,IF(ISNA(VLOOKUP(A74,'600m'!F$5:J$302,5,FALSE)),0,VLOOKUP(A74,'600m'!F$5:J$302,5,FALSE)))</f>
        <v>0</v>
      </c>
      <c r="K74" s="51" t="str">
        <f>IF(B74="","",IF(ISNA(VLOOKUP(A74,'600m'!F$5:K$302,6,FALSE)),"",VLOOKUP(A74,'600m'!F$5:K$302,6,FALSE)))</f>
        <v/>
      </c>
      <c r="L74" s="51" t="str">
        <f>IF(B74="","",IF(ISNA(VLOOKUP(A74,LongJump!F$5:G$302,2,FALSE)),"",VLOOKUP(A74,LongJump!F$5:G$302,2,FALSE)))</f>
        <v/>
      </c>
      <c r="M74" s="51">
        <f>IF(B74="",0,IF(ISNA(VLOOKUP(A74,LongJump!F$5:J$302,5,FALSE)),0,VLOOKUP(A74,LongJump!F$5:J$302,5,FALSE)))</f>
        <v>0</v>
      </c>
      <c r="N74" s="51">
        <f>IF(B74="",0,IF(ISNA(VLOOKUP(A74,LongJump!F$5:K$302,6,FALSE)),0,VLOOKUP(A74,LongJump!F$5:K$302,6,FALSE)))</f>
        <v>0</v>
      </c>
      <c r="O74" s="51" t="str">
        <f>IF(B74="","",IF(ISNA(VLOOKUP(A74,Vortex!F$5:J$302,2,FALSE)),"",VLOOKUP(A74,Vortex!F$5:J$302,2,FALSE)))</f>
        <v/>
      </c>
      <c r="P74" s="51">
        <f>IF(B74="",0,IF(ISNA(VLOOKUP(A74,Vortex!F$5:J$302,5,FALSE)),0,VLOOKUP(A74,Vortex!F$5:J$302,5,FALSE)))</f>
        <v>0</v>
      </c>
      <c r="Q74" s="51">
        <f t="shared" si="14"/>
        <v>0</v>
      </c>
      <c r="R74" s="51" t="str">
        <f t="shared" si="10"/>
        <v/>
      </c>
      <c r="S74" s="51" t="str">
        <f t="shared" si="11"/>
        <v/>
      </c>
      <c r="T74" s="51" t="str">
        <f t="shared" si="12"/>
        <v/>
      </c>
      <c r="U74" s="51" t="str">
        <f t="shared" si="13"/>
        <v/>
      </c>
      <c r="V74" s="4"/>
      <c r="W74" s="4"/>
      <c r="X74" s="4"/>
      <c r="Z74" s="287"/>
      <c r="AA74" s="287"/>
      <c r="AB74" s="287"/>
      <c r="AC74" s="287"/>
      <c r="AD74" s="287"/>
      <c r="AE74" s="287"/>
      <c r="AF74" s="287"/>
      <c r="AG74" s="287"/>
      <c r="AH74" s="287"/>
      <c r="AI74" s="287"/>
      <c r="AJ74" s="287"/>
      <c r="AK74" s="319"/>
    </row>
    <row r="75" spans="1:37" ht="20" customHeight="1">
      <c r="A75" s="51" t="str">
        <f>IF(Declarations!B27=0,"",Declarations!B27)</f>
        <v/>
      </c>
      <c r="B75" s="161" t="str">
        <f>IF(ISNA(VLOOKUP(A75,Declarations!B$6:C$293,2,FALSE)),"",IF(VLOOKUP(A75,Declarations!B$6:C$293,2,FALSE)="","",VLOOKUP(A75,Declarations!B$6:C$293,2,FALSE)))</f>
        <v/>
      </c>
      <c r="C75" s="161" t="str">
        <f>IF(ISNA(VLOOKUP(A75,Declarations!B$6:F$293,5,FALSE)),"",IF(VLOOKUP(A75,Declarations!B$6:F$293,5,FALSE)="","",VLOOKUP(A75,Declarations!B$6:F$293,5,FALSE)))</f>
        <v/>
      </c>
      <c r="D75" s="161" t="str">
        <f>IF(ISNA(VLOOKUP(A75,Declarations!B$6:F$293,4,FALSE)),"",IF(VLOOKUP(A75,Declarations!B$6:F$293,4,FALSE)="","",VLOOKUP(A75,Declarations!B$6:F$293,4,FALSE)))</f>
        <v/>
      </c>
      <c r="E75" s="161" t="str">
        <f>IF(ISNA(VLOOKUP(A75,Declarations!B$6:D$293,3,FALSE)),"",IF(VLOOKUP(A75,Declarations!B$6:D$293,3,FALSE)="","",VLOOKUP(A75,Declarations!B$6:D$293,3,FALSE)))</f>
        <v/>
      </c>
      <c r="F75" s="51" t="str">
        <f>IF(B75="","",IF(ISNA(VLOOKUP(A75,'75m'!F$5:G$302,2,FALSE)),"",VLOOKUP(A75,'75m'!F$5:G$302,2,FALSE)))</f>
        <v/>
      </c>
      <c r="G75" s="51">
        <f>IF(B75="",0,IF(ISNA(VLOOKUP(A75,'75m'!F$5:J$302,5,FALSE)),0,VLOOKUP(A75,'75m'!F$5:J$302,5,FALSE)))</f>
        <v>0</v>
      </c>
      <c r="H75" s="51" t="str">
        <f>IF(B75="","",IF(ISNA(VLOOKUP(A75,'75m'!F$5:K$302,6,FALSE)),"",VLOOKUP(A75,'75m'!F$5:K$302,6,FALSE)))</f>
        <v/>
      </c>
      <c r="I75" s="53">
        <f>IF(B75="",0,IF(ISNA(VLOOKUP(A75,'600m'!F$5:J$302,2,FALSE)),0,VLOOKUP(A75,'600m'!F$5:J$302,2,FALSE)))</f>
        <v>0</v>
      </c>
      <c r="J75" s="51">
        <f>IF(B75="",0,IF(ISNA(VLOOKUP(A75,'600m'!F$5:J$302,5,FALSE)),0,VLOOKUP(A75,'600m'!F$5:J$302,5,FALSE)))</f>
        <v>0</v>
      </c>
      <c r="K75" s="51" t="str">
        <f>IF(B75="","",IF(ISNA(VLOOKUP(A75,'600m'!F$5:K$302,6,FALSE)),"",VLOOKUP(A75,'600m'!F$5:K$302,6,FALSE)))</f>
        <v/>
      </c>
      <c r="L75" s="51" t="str">
        <f>IF(B75="","",IF(ISNA(VLOOKUP(A75,LongJump!F$5:G$302,2,FALSE)),"",VLOOKUP(A75,LongJump!F$5:G$302,2,FALSE)))</f>
        <v/>
      </c>
      <c r="M75" s="51">
        <f>IF(B75="",0,IF(ISNA(VLOOKUP(A75,LongJump!F$5:J$302,5,FALSE)),0,VLOOKUP(A75,LongJump!F$5:J$302,5,FALSE)))</f>
        <v>0</v>
      </c>
      <c r="N75" s="51">
        <f>IF(B75="",0,IF(ISNA(VLOOKUP(A75,LongJump!F$5:K$302,6,FALSE)),0,VLOOKUP(A75,LongJump!F$5:K$302,6,FALSE)))</f>
        <v>0</v>
      </c>
      <c r="O75" s="51" t="str">
        <f>IF(B75="","",IF(ISNA(VLOOKUP(A75,Vortex!F$5:J$302,2,FALSE)),"",VLOOKUP(A75,Vortex!F$5:J$302,2,FALSE)))</f>
        <v/>
      </c>
      <c r="P75" s="51">
        <f>IF(B75="",0,IF(ISNA(VLOOKUP(A75,Vortex!F$5:J$302,5,FALSE)),0,VLOOKUP(A75,Vortex!F$5:J$302,5,FALSE)))</f>
        <v>0</v>
      </c>
      <c r="Q75" s="51">
        <f t="shared" si="14"/>
        <v>0</v>
      </c>
      <c r="R75" s="51" t="str">
        <f t="shared" si="10"/>
        <v/>
      </c>
      <c r="S75" s="51" t="str">
        <f t="shared" si="11"/>
        <v/>
      </c>
      <c r="T75" s="51" t="str">
        <f t="shared" si="12"/>
        <v/>
      </c>
      <c r="U75" s="51" t="str">
        <f t="shared" si="13"/>
        <v/>
      </c>
      <c r="V75" s="4"/>
      <c r="W75" s="4"/>
      <c r="X75" s="4"/>
      <c r="Z75" s="287"/>
      <c r="AA75" s="287"/>
      <c r="AB75" s="287"/>
      <c r="AC75" s="287"/>
      <c r="AD75" s="287"/>
      <c r="AE75" s="287"/>
      <c r="AF75" s="287"/>
      <c r="AG75" s="287"/>
      <c r="AH75" s="287"/>
      <c r="AI75" s="287"/>
      <c r="AJ75" s="287"/>
      <c r="AK75" s="319"/>
    </row>
    <row r="76" spans="1:37" ht="20" customHeight="1">
      <c r="A76" s="51" t="str">
        <f>IF(Declarations!B28=0,"",Declarations!B28)</f>
        <v/>
      </c>
      <c r="B76" s="161" t="str">
        <f>IF(ISNA(VLOOKUP(A76,Declarations!B$6:C$293,2,FALSE)),"",IF(VLOOKUP(A76,Declarations!B$6:C$293,2,FALSE)="","",VLOOKUP(A76,Declarations!B$6:C$293,2,FALSE)))</f>
        <v/>
      </c>
      <c r="C76" s="161" t="str">
        <f>IF(ISNA(VLOOKUP(A76,Declarations!B$6:F$293,5,FALSE)),"",IF(VLOOKUP(A76,Declarations!B$6:F$293,5,FALSE)="","",VLOOKUP(A76,Declarations!B$6:F$293,5,FALSE)))</f>
        <v/>
      </c>
      <c r="D76" s="161" t="str">
        <f>IF(ISNA(VLOOKUP(A76,Declarations!B$6:F$293,4,FALSE)),"",IF(VLOOKUP(A76,Declarations!B$6:F$293,4,FALSE)="","",VLOOKUP(A76,Declarations!B$6:F$293,4,FALSE)))</f>
        <v/>
      </c>
      <c r="E76" s="161" t="str">
        <f>IF(ISNA(VLOOKUP(A76,Declarations!B$6:D$293,3,FALSE)),"",IF(VLOOKUP(A76,Declarations!B$6:D$293,3,FALSE)="","",VLOOKUP(A76,Declarations!B$6:D$293,3,FALSE)))</f>
        <v/>
      </c>
      <c r="F76" s="51" t="str">
        <f>IF(B76="","",IF(ISNA(VLOOKUP(A76,'75m'!F$5:G$302,2,FALSE)),"",VLOOKUP(A76,'75m'!F$5:G$302,2,FALSE)))</f>
        <v/>
      </c>
      <c r="G76" s="51">
        <f>IF(B76="",0,IF(ISNA(VLOOKUP(A76,'75m'!F$5:J$302,5,FALSE)),0,VLOOKUP(A76,'75m'!F$5:J$302,5,FALSE)))</f>
        <v>0</v>
      </c>
      <c r="H76" s="51" t="str">
        <f>IF(B76="","",IF(ISNA(VLOOKUP(A76,'75m'!F$5:K$302,6,FALSE)),"",VLOOKUP(A76,'75m'!F$5:K$302,6,FALSE)))</f>
        <v/>
      </c>
      <c r="I76" s="53">
        <f>IF(B76="",0,IF(ISNA(VLOOKUP(A76,'600m'!F$5:J$302,2,FALSE)),0,VLOOKUP(A76,'600m'!F$5:J$302,2,FALSE)))</f>
        <v>0</v>
      </c>
      <c r="J76" s="51">
        <f>IF(B76="",0,IF(ISNA(VLOOKUP(A76,'600m'!F$5:J$302,5,FALSE)),0,VLOOKUP(A76,'600m'!F$5:J$302,5,FALSE)))</f>
        <v>0</v>
      </c>
      <c r="K76" s="51" t="str">
        <f>IF(B76="","",IF(ISNA(VLOOKUP(A76,'600m'!F$5:K$302,6,FALSE)),"",VLOOKUP(A76,'600m'!F$5:K$302,6,FALSE)))</f>
        <v/>
      </c>
      <c r="L76" s="51" t="str">
        <f>IF(B76="","",IF(ISNA(VLOOKUP(A76,LongJump!F$5:G$302,2,FALSE)),"",VLOOKUP(A76,LongJump!F$5:G$302,2,FALSE)))</f>
        <v/>
      </c>
      <c r="M76" s="51">
        <f>IF(B76="",0,IF(ISNA(VLOOKUP(A76,LongJump!F$5:J$302,5,FALSE)),0,VLOOKUP(A76,LongJump!F$5:J$302,5,FALSE)))</f>
        <v>0</v>
      </c>
      <c r="N76" s="51">
        <f>IF(B76="",0,IF(ISNA(VLOOKUP(A76,LongJump!F$5:K$302,6,FALSE)),0,VLOOKUP(A76,LongJump!F$5:K$302,6,FALSE)))</f>
        <v>0</v>
      </c>
      <c r="O76" s="51" t="str">
        <f>IF(B76="","",IF(ISNA(VLOOKUP(A76,Vortex!F$5:J$302,2,FALSE)),"",VLOOKUP(A76,Vortex!F$5:J$302,2,FALSE)))</f>
        <v/>
      </c>
      <c r="P76" s="51">
        <f>IF(B76="",0,IF(ISNA(VLOOKUP(A76,Vortex!F$5:J$302,5,FALSE)),0,VLOOKUP(A76,Vortex!F$5:J$302,5,FALSE)))</f>
        <v>0</v>
      </c>
      <c r="Q76" s="51">
        <f t="shared" si="14"/>
        <v>0</v>
      </c>
      <c r="R76" s="51" t="str">
        <f t="shared" si="10"/>
        <v/>
      </c>
      <c r="S76" s="51" t="str">
        <f t="shared" si="11"/>
        <v/>
      </c>
      <c r="T76" s="51" t="str">
        <f t="shared" si="12"/>
        <v/>
      </c>
      <c r="U76" s="51" t="str">
        <f t="shared" si="13"/>
        <v/>
      </c>
      <c r="V76" s="4"/>
      <c r="W76" s="4"/>
      <c r="X76" s="4"/>
      <c r="Z76" s="287"/>
      <c r="AA76" s="287"/>
      <c r="AB76" s="287"/>
      <c r="AC76" s="287"/>
      <c r="AD76" s="287"/>
      <c r="AE76" s="287"/>
      <c r="AF76" s="287"/>
      <c r="AG76" s="287"/>
      <c r="AH76" s="287"/>
      <c r="AI76" s="287"/>
      <c r="AJ76" s="287"/>
      <c r="AK76" s="319"/>
    </row>
    <row r="77" spans="1:37" ht="20" customHeight="1">
      <c r="A77" s="51" t="str">
        <f>IF(Declarations!B29=0,"",Declarations!B29)</f>
        <v/>
      </c>
      <c r="B77" s="161" t="str">
        <f>IF(ISNA(VLOOKUP(A77,Declarations!B$6:C$293,2,FALSE)),"",IF(VLOOKUP(A77,Declarations!B$6:C$293,2,FALSE)="","",VLOOKUP(A77,Declarations!B$6:C$293,2,FALSE)))</f>
        <v/>
      </c>
      <c r="C77" s="161" t="str">
        <f>IF(ISNA(VLOOKUP(A77,Declarations!B$6:F$293,5,FALSE)),"",IF(VLOOKUP(A77,Declarations!B$6:F$293,5,FALSE)="","",VLOOKUP(A77,Declarations!B$6:F$293,5,FALSE)))</f>
        <v/>
      </c>
      <c r="D77" s="161" t="str">
        <f>IF(ISNA(VLOOKUP(A77,Declarations!B$6:F$293,4,FALSE)),"",IF(VLOOKUP(A77,Declarations!B$6:F$293,4,FALSE)="","",VLOOKUP(A77,Declarations!B$6:F$293,4,FALSE)))</f>
        <v/>
      </c>
      <c r="E77" s="161" t="str">
        <f>IF(ISNA(VLOOKUP(A77,Declarations!B$6:D$293,3,FALSE)),"",IF(VLOOKUP(A77,Declarations!B$6:D$293,3,FALSE)="","",VLOOKUP(A77,Declarations!B$6:D$293,3,FALSE)))</f>
        <v/>
      </c>
      <c r="F77" s="51" t="str">
        <f>IF(B77="","",IF(ISNA(VLOOKUP(A77,'75m'!F$5:G$302,2,FALSE)),"",VLOOKUP(A77,'75m'!F$5:G$302,2,FALSE)))</f>
        <v/>
      </c>
      <c r="G77" s="51">
        <f>IF(B77="",0,IF(ISNA(VLOOKUP(A77,'75m'!F$5:J$302,5,FALSE)),0,VLOOKUP(A77,'75m'!F$5:J$302,5,FALSE)))</f>
        <v>0</v>
      </c>
      <c r="H77" s="51" t="str">
        <f>IF(B77="","",IF(ISNA(VLOOKUP(A77,'75m'!F$5:K$302,6,FALSE)),"",VLOOKUP(A77,'75m'!F$5:K$302,6,FALSE)))</f>
        <v/>
      </c>
      <c r="I77" s="53">
        <f>IF(B77="",0,IF(ISNA(VLOOKUP(A77,'600m'!F$5:J$302,2,FALSE)),0,VLOOKUP(A77,'600m'!F$5:J$302,2,FALSE)))</f>
        <v>0</v>
      </c>
      <c r="J77" s="51">
        <f>IF(B77="",0,IF(ISNA(VLOOKUP(A77,'600m'!F$5:J$302,5,FALSE)),0,VLOOKUP(A77,'600m'!F$5:J$302,5,FALSE)))</f>
        <v>0</v>
      </c>
      <c r="K77" s="51" t="str">
        <f>IF(B77="","",IF(ISNA(VLOOKUP(A77,'600m'!F$5:K$302,6,FALSE)),"",VLOOKUP(A77,'600m'!F$5:K$302,6,FALSE)))</f>
        <v/>
      </c>
      <c r="L77" s="51" t="str">
        <f>IF(B77="","",IF(ISNA(VLOOKUP(A77,LongJump!F$5:G$302,2,FALSE)),"",VLOOKUP(A77,LongJump!F$5:G$302,2,FALSE)))</f>
        <v/>
      </c>
      <c r="M77" s="51">
        <f>IF(B77="",0,IF(ISNA(VLOOKUP(A77,LongJump!F$5:J$302,5,FALSE)),0,VLOOKUP(A77,LongJump!F$5:J$302,5,FALSE)))</f>
        <v>0</v>
      </c>
      <c r="N77" s="51">
        <f>IF(B77="",0,IF(ISNA(VLOOKUP(A77,LongJump!F$5:K$302,6,FALSE)),0,VLOOKUP(A77,LongJump!F$5:K$302,6,FALSE)))</f>
        <v>0</v>
      </c>
      <c r="O77" s="51" t="str">
        <f>IF(B77="","",IF(ISNA(VLOOKUP(A77,Vortex!F$5:J$302,2,FALSE)),"",VLOOKUP(A77,Vortex!F$5:J$302,2,FALSE)))</f>
        <v/>
      </c>
      <c r="P77" s="51">
        <f>IF(B77="",0,IF(ISNA(VLOOKUP(A77,Vortex!F$5:J$302,5,FALSE)),0,VLOOKUP(A77,Vortex!F$5:J$302,5,FALSE)))</f>
        <v>0</v>
      </c>
      <c r="Q77" s="51">
        <f t="shared" si="14"/>
        <v>0</v>
      </c>
      <c r="R77" s="51" t="str">
        <f t="shared" si="10"/>
        <v/>
      </c>
      <c r="S77" s="51" t="str">
        <f t="shared" si="11"/>
        <v/>
      </c>
      <c r="T77" s="51" t="str">
        <f t="shared" si="12"/>
        <v/>
      </c>
      <c r="U77" s="51" t="str">
        <f t="shared" si="13"/>
        <v/>
      </c>
      <c r="V77" s="4"/>
      <c r="W77" s="4"/>
      <c r="X77" s="4"/>
      <c r="Z77" s="287"/>
      <c r="AA77" s="287"/>
      <c r="AB77" s="287"/>
      <c r="AC77" s="287"/>
      <c r="AD77" s="287"/>
      <c r="AE77" s="287"/>
      <c r="AF77" s="287"/>
      <c r="AG77" s="287"/>
      <c r="AH77" s="287"/>
      <c r="AI77" s="287"/>
      <c r="AJ77" s="287"/>
      <c r="AK77" s="319"/>
    </row>
    <row r="78" spans="1:37" ht="20" customHeight="1">
      <c r="A78" s="51" t="str">
        <f>IF(Declarations!B30=0,"",Declarations!B30)</f>
        <v/>
      </c>
      <c r="B78" s="161" t="str">
        <f>IF(ISNA(VLOOKUP(A78,Declarations!B$6:C$293,2,FALSE)),"",IF(VLOOKUP(A78,Declarations!B$6:C$293,2,FALSE)="","",VLOOKUP(A78,Declarations!B$6:C$293,2,FALSE)))</f>
        <v/>
      </c>
      <c r="C78" s="161" t="str">
        <f>IF(ISNA(VLOOKUP(A78,Declarations!B$6:F$293,5,FALSE)),"",IF(VLOOKUP(A78,Declarations!B$6:F$293,5,FALSE)="","",VLOOKUP(A78,Declarations!B$6:F$293,5,FALSE)))</f>
        <v/>
      </c>
      <c r="D78" s="161" t="str">
        <f>IF(ISNA(VLOOKUP(A78,Declarations!B$6:F$293,4,FALSE)),"",IF(VLOOKUP(A78,Declarations!B$6:F$293,4,FALSE)="","",VLOOKUP(A78,Declarations!B$6:F$293,4,FALSE)))</f>
        <v/>
      </c>
      <c r="E78" s="161" t="str">
        <f>IF(ISNA(VLOOKUP(A78,Declarations!B$6:D$293,3,FALSE)),"",IF(VLOOKUP(A78,Declarations!B$6:D$293,3,FALSE)="","",VLOOKUP(A78,Declarations!B$6:D$293,3,FALSE)))</f>
        <v/>
      </c>
      <c r="F78" s="51" t="str">
        <f>IF(B78="","",IF(ISNA(VLOOKUP(A78,'75m'!F$5:G$302,2,FALSE)),"",VLOOKUP(A78,'75m'!F$5:G$302,2,FALSE)))</f>
        <v/>
      </c>
      <c r="G78" s="51">
        <f>IF(B78="",0,IF(ISNA(VLOOKUP(A78,'75m'!F$5:J$302,5,FALSE)),0,VLOOKUP(A78,'75m'!F$5:J$302,5,FALSE)))</f>
        <v>0</v>
      </c>
      <c r="H78" s="51" t="str">
        <f>IF(B78="","",IF(ISNA(VLOOKUP(A78,'75m'!F$5:K$302,6,FALSE)),"",VLOOKUP(A78,'75m'!F$5:K$302,6,FALSE)))</f>
        <v/>
      </c>
      <c r="I78" s="53">
        <f>IF(B78="",0,IF(ISNA(VLOOKUP(A78,'600m'!F$5:J$302,2,FALSE)),0,VLOOKUP(A78,'600m'!F$5:J$302,2,FALSE)))</f>
        <v>0</v>
      </c>
      <c r="J78" s="51">
        <f>IF(B78="",0,IF(ISNA(VLOOKUP(A78,'600m'!F$5:J$302,5,FALSE)),0,VLOOKUP(A78,'600m'!F$5:J$302,5,FALSE)))</f>
        <v>0</v>
      </c>
      <c r="K78" s="51" t="str">
        <f>IF(B78="","",IF(ISNA(VLOOKUP(A78,'600m'!F$5:K$302,6,FALSE)),"",VLOOKUP(A78,'600m'!F$5:K$302,6,FALSE)))</f>
        <v/>
      </c>
      <c r="L78" s="51" t="str">
        <f>IF(B78="","",IF(ISNA(VLOOKUP(A78,LongJump!F$5:G$302,2,FALSE)),"",VLOOKUP(A78,LongJump!F$5:G$302,2,FALSE)))</f>
        <v/>
      </c>
      <c r="M78" s="51">
        <f>IF(B78="",0,IF(ISNA(VLOOKUP(A78,LongJump!F$5:J$302,5,FALSE)),0,VLOOKUP(A78,LongJump!F$5:J$302,5,FALSE)))</f>
        <v>0</v>
      </c>
      <c r="N78" s="51">
        <f>IF(B78="",0,IF(ISNA(VLOOKUP(A78,LongJump!F$5:K$302,6,FALSE)),0,VLOOKUP(A78,LongJump!F$5:K$302,6,FALSE)))</f>
        <v>0</v>
      </c>
      <c r="O78" s="51" t="str">
        <f>IF(B78="","",IF(ISNA(VLOOKUP(A78,Vortex!F$5:J$302,2,FALSE)),"",VLOOKUP(A78,Vortex!F$5:J$302,2,FALSE)))</f>
        <v/>
      </c>
      <c r="P78" s="51">
        <f>IF(B78="",0,IF(ISNA(VLOOKUP(A78,Vortex!F$5:J$302,5,FALSE)),0,VLOOKUP(A78,Vortex!F$5:J$302,5,FALSE)))</f>
        <v>0</v>
      </c>
      <c r="Q78" s="51">
        <f t="shared" si="14"/>
        <v>0</v>
      </c>
      <c r="R78" s="51" t="str">
        <f t="shared" si="10"/>
        <v/>
      </c>
      <c r="S78" s="51" t="str">
        <f t="shared" si="11"/>
        <v/>
      </c>
      <c r="T78" s="51" t="str">
        <f t="shared" si="12"/>
        <v/>
      </c>
      <c r="U78" s="51" t="str">
        <f t="shared" si="13"/>
        <v/>
      </c>
      <c r="V78" s="4"/>
      <c r="W78" s="4"/>
      <c r="X78" s="4"/>
      <c r="Z78" s="287"/>
      <c r="AA78" s="287"/>
      <c r="AB78" s="287"/>
      <c r="AC78" s="287"/>
      <c r="AD78" s="287"/>
      <c r="AE78" s="287"/>
      <c r="AF78" s="287"/>
      <c r="AG78" s="287"/>
      <c r="AH78" s="287"/>
      <c r="AI78" s="287"/>
      <c r="AJ78" s="287"/>
      <c r="AK78" s="319"/>
    </row>
    <row r="79" spans="1:37" ht="20" customHeight="1">
      <c r="A79" s="51" t="str">
        <f>IF(Declarations!B31=0,"",Declarations!B31)</f>
        <v/>
      </c>
      <c r="B79" s="161" t="str">
        <f>IF(ISNA(VLOOKUP(A79,Declarations!B$6:C$293,2,FALSE)),"",IF(VLOOKUP(A79,Declarations!B$6:C$293,2,FALSE)="","",VLOOKUP(A79,Declarations!B$6:C$293,2,FALSE)))</f>
        <v/>
      </c>
      <c r="C79" s="161" t="str">
        <f>IF(ISNA(VLOOKUP(A79,Declarations!B$6:F$293,5,FALSE)),"",IF(VLOOKUP(A79,Declarations!B$6:F$293,5,FALSE)="","",VLOOKUP(A79,Declarations!B$6:F$293,5,FALSE)))</f>
        <v/>
      </c>
      <c r="D79" s="161" t="str">
        <f>IF(ISNA(VLOOKUP(A79,Declarations!B$6:F$293,4,FALSE)),"",IF(VLOOKUP(A79,Declarations!B$6:F$293,4,FALSE)="","",VLOOKUP(A79,Declarations!B$6:F$293,4,FALSE)))</f>
        <v/>
      </c>
      <c r="E79" s="161" t="str">
        <f>IF(ISNA(VLOOKUP(A79,Declarations!B$6:D$293,3,FALSE)),"",IF(VLOOKUP(A79,Declarations!B$6:D$293,3,FALSE)="","",VLOOKUP(A79,Declarations!B$6:D$293,3,FALSE)))</f>
        <v/>
      </c>
      <c r="F79" s="51" t="str">
        <f>IF(B79="","",IF(ISNA(VLOOKUP(A79,'75m'!F$5:G$302,2,FALSE)),"",VLOOKUP(A79,'75m'!F$5:G$302,2,FALSE)))</f>
        <v/>
      </c>
      <c r="G79" s="51">
        <f>IF(B79="",0,IF(ISNA(VLOOKUP(A79,'75m'!F$5:J$302,5,FALSE)),0,VLOOKUP(A79,'75m'!F$5:J$302,5,FALSE)))</f>
        <v>0</v>
      </c>
      <c r="H79" s="51" t="str">
        <f>IF(B79="","",IF(ISNA(VLOOKUP(A79,'75m'!F$5:K$302,6,FALSE)),"",VLOOKUP(A79,'75m'!F$5:K$302,6,FALSE)))</f>
        <v/>
      </c>
      <c r="I79" s="53">
        <f>IF(B79="",0,IF(ISNA(VLOOKUP(A79,'600m'!F$5:J$302,2,FALSE)),0,VLOOKUP(A79,'600m'!F$5:J$302,2,FALSE)))</f>
        <v>0</v>
      </c>
      <c r="J79" s="51">
        <f>IF(B79="",0,IF(ISNA(VLOOKUP(A79,'600m'!F$5:J$302,5,FALSE)),0,VLOOKUP(A79,'600m'!F$5:J$302,5,FALSE)))</f>
        <v>0</v>
      </c>
      <c r="K79" s="51" t="str">
        <f>IF(B79="","",IF(ISNA(VLOOKUP(A79,'600m'!F$5:K$302,6,FALSE)),"",VLOOKUP(A79,'600m'!F$5:K$302,6,FALSE)))</f>
        <v/>
      </c>
      <c r="L79" s="51" t="str">
        <f>IF(B79="","",IF(ISNA(VLOOKUP(A79,LongJump!F$5:G$302,2,FALSE)),"",VLOOKUP(A79,LongJump!F$5:G$302,2,FALSE)))</f>
        <v/>
      </c>
      <c r="M79" s="51">
        <f>IF(B79="",0,IF(ISNA(VLOOKUP(A79,LongJump!F$5:J$302,5,FALSE)),0,VLOOKUP(A79,LongJump!F$5:J$302,5,FALSE)))</f>
        <v>0</v>
      </c>
      <c r="N79" s="51">
        <f>IF(B79="",0,IF(ISNA(VLOOKUP(A79,LongJump!F$5:K$302,6,FALSE)),0,VLOOKUP(A79,LongJump!F$5:K$302,6,FALSE)))</f>
        <v>0</v>
      </c>
      <c r="O79" s="51" t="str">
        <f>IF(B79="","",IF(ISNA(VLOOKUP(A79,Vortex!F$5:J$302,2,FALSE)),"",VLOOKUP(A79,Vortex!F$5:J$302,2,FALSE)))</f>
        <v/>
      </c>
      <c r="P79" s="51">
        <f>IF(B79="",0,IF(ISNA(VLOOKUP(A79,Vortex!F$5:J$302,5,FALSE)),0,VLOOKUP(A79,Vortex!F$5:J$302,5,FALSE)))</f>
        <v>0</v>
      </c>
      <c r="Q79" s="51">
        <f t="shared" si="14"/>
        <v>0</v>
      </c>
      <c r="R79" s="51" t="str">
        <f t="shared" si="10"/>
        <v/>
      </c>
      <c r="S79" s="51" t="str">
        <f t="shared" si="11"/>
        <v/>
      </c>
      <c r="T79" s="51" t="str">
        <f t="shared" si="12"/>
        <v/>
      </c>
      <c r="U79" s="51" t="str">
        <f t="shared" si="13"/>
        <v/>
      </c>
      <c r="V79" s="4"/>
      <c r="W79" s="4"/>
      <c r="X79" s="4"/>
      <c r="Z79" s="287"/>
      <c r="AA79" s="287"/>
      <c r="AB79" s="287"/>
      <c r="AC79" s="287"/>
      <c r="AD79" s="287"/>
      <c r="AE79" s="287"/>
      <c r="AF79" s="287"/>
      <c r="AG79" s="287"/>
      <c r="AH79" s="287"/>
      <c r="AI79" s="287"/>
      <c r="AJ79" s="287"/>
      <c r="AK79" s="319"/>
    </row>
    <row r="80" spans="1:37" ht="20" customHeight="1">
      <c r="A80" s="51" t="str">
        <f>IF(Declarations!B32=0,"",Declarations!B32)</f>
        <v/>
      </c>
      <c r="B80" s="161" t="str">
        <f>IF(ISNA(VLOOKUP(A80,Declarations!B$6:C$293,2,FALSE)),"",IF(VLOOKUP(A80,Declarations!B$6:C$293,2,FALSE)="","",VLOOKUP(A80,Declarations!B$6:C$293,2,FALSE)))</f>
        <v/>
      </c>
      <c r="C80" s="161" t="str">
        <f>IF(ISNA(VLOOKUP(A80,Declarations!B$6:F$293,5,FALSE)),"",IF(VLOOKUP(A80,Declarations!B$6:F$293,5,FALSE)="","",VLOOKUP(A80,Declarations!B$6:F$293,5,FALSE)))</f>
        <v/>
      </c>
      <c r="D80" s="161" t="str">
        <f>IF(ISNA(VLOOKUP(A80,Declarations!B$6:F$293,4,FALSE)),"",IF(VLOOKUP(A80,Declarations!B$6:F$293,4,FALSE)="","",VLOOKUP(A80,Declarations!B$6:F$293,4,FALSE)))</f>
        <v/>
      </c>
      <c r="E80" s="161" t="str">
        <f>IF(ISNA(VLOOKUP(A80,Declarations!B$6:D$293,3,FALSE)),"",IF(VLOOKUP(A80,Declarations!B$6:D$293,3,FALSE)="","",VLOOKUP(A80,Declarations!B$6:D$293,3,FALSE)))</f>
        <v/>
      </c>
      <c r="F80" s="51" t="str">
        <f>IF(B80="","",IF(ISNA(VLOOKUP(A80,'75m'!F$5:G$302,2,FALSE)),"",VLOOKUP(A80,'75m'!F$5:G$302,2,FALSE)))</f>
        <v/>
      </c>
      <c r="G80" s="51">
        <f>IF(B80="",0,IF(ISNA(VLOOKUP(A80,'75m'!F$5:J$302,5,FALSE)),0,VLOOKUP(A80,'75m'!F$5:J$302,5,FALSE)))</f>
        <v>0</v>
      </c>
      <c r="H80" s="51" t="str">
        <f>IF(B80="","",IF(ISNA(VLOOKUP(A80,'75m'!F$5:K$302,6,FALSE)),"",VLOOKUP(A80,'75m'!F$5:K$302,6,FALSE)))</f>
        <v/>
      </c>
      <c r="I80" s="53">
        <f>IF(B80="",0,IF(ISNA(VLOOKUP(A80,'600m'!F$5:J$302,2,FALSE)),0,VLOOKUP(A80,'600m'!F$5:J$302,2,FALSE)))</f>
        <v>0</v>
      </c>
      <c r="J80" s="51">
        <f>IF(B80="",0,IF(ISNA(VLOOKUP(A80,'600m'!F$5:J$302,5,FALSE)),0,VLOOKUP(A80,'600m'!F$5:J$302,5,FALSE)))</f>
        <v>0</v>
      </c>
      <c r="K80" s="51" t="str">
        <f>IF(B80="","",IF(ISNA(VLOOKUP(A80,'600m'!F$5:K$302,6,FALSE)),"",VLOOKUP(A80,'600m'!F$5:K$302,6,FALSE)))</f>
        <v/>
      </c>
      <c r="L80" s="51" t="str">
        <f>IF(B80="","",IF(ISNA(VLOOKUP(A80,LongJump!F$5:G$302,2,FALSE)),"",VLOOKUP(A80,LongJump!F$5:G$302,2,FALSE)))</f>
        <v/>
      </c>
      <c r="M80" s="51">
        <f>IF(B80="",0,IF(ISNA(VLOOKUP(A80,LongJump!F$5:J$302,5,FALSE)),0,VLOOKUP(A80,LongJump!F$5:J$302,5,FALSE)))</f>
        <v>0</v>
      </c>
      <c r="N80" s="51">
        <f>IF(B80="",0,IF(ISNA(VLOOKUP(A80,LongJump!F$5:K$302,6,FALSE)),0,VLOOKUP(A80,LongJump!F$5:K$302,6,FALSE)))</f>
        <v>0</v>
      </c>
      <c r="O80" s="51" t="str">
        <f>IF(B80="","",IF(ISNA(VLOOKUP(A80,Vortex!F$5:J$302,2,FALSE)),"",VLOOKUP(A80,Vortex!F$5:J$302,2,FALSE)))</f>
        <v/>
      </c>
      <c r="P80" s="51">
        <f>IF(B80="",0,IF(ISNA(VLOOKUP(A80,Vortex!F$5:J$302,5,FALSE)),0,VLOOKUP(A80,Vortex!F$5:J$302,5,FALSE)))</f>
        <v>0</v>
      </c>
      <c r="Q80" s="51">
        <f t="shared" si="14"/>
        <v>0</v>
      </c>
      <c r="R80" s="51" t="str">
        <f t="shared" si="10"/>
        <v/>
      </c>
      <c r="S80" s="51" t="str">
        <f t="shared" si="11"/>
        <v/>
      </c>
      <c r="T80" s="51" t="str">
        <f t="shared" si="12"/>
        <v/>
      </c>
      <c r="U80" s="51" t="str">
        <f t="shared" si="13"/>
        <v/>
      </c>
      <c r="V80" s="4"/>
      <c r="W80" s="4"/>
      <c r="X80" s="4"/>
      <c r="Z80" s="287"/>
      <c r="AA80" s="287"/>
      <c r="AB80" s="287"/>
      <c r="AC80" s="287"/>
      <c r="AD80" s="287"/>
      <c r="AE80" s="287"/>
      <c r="AF80" s="287"/>
      <c r="AG80" s="287"/>
      <c r="AH80" s="287"/>
      <c r="AI80" s="287"/>
      <c r="AJ80" s="287"/>
      <c r="AK80" s="319"/>
    </row>
    <row r="81" spans="1:41" ht="20" customHeight="1">
      <c r="A81" s="51" t="str">
        <f>IF(Declarations!B33=0,"",Declarations!B33)</f>
        <v/>
      </c>
      <c r="B81" s="161" t="str">
        <f>IF(ISNA(VLOOKUP(A81,Declarations!B$6:C$293,2,FALSE)),"",IF(VLOOKUP(A81,Declarations!B$6:C$293,2,FALSE)="","",VLOOKUP(A81,Declarations!B$6:C$293,2,FALSE)))</f>
        <v/>
      </c>
      <c r="C81" s="161" t="str">
        <f>IF(ISNA(VLOOKUP(A81,Declarations!B$6:F$293,5,FALSE)),"",IF(VLOOKUP(A81,Declarations!B$6:F$293,5,FALSE)="","",VLOOKUP(A81,Declarations!B$6:F$293,5,FALSE)))</f>
        <v/>
      </c>
      <c r="D81" s="161" t="str">
        <f>IF(ISNA(VLOOKUP(A81,Declarations!B$6:F$293,4,FALSE)),"",IF(VLOOKUP(A81,Declarations!B$6:F$293,4,FALSE)="","",VLOOKUP(A81,Declarations!B$6:F$293,4,FALSE)))</f>
        <v/>
      </c>
      <c r="E81" s="161" t="str">
        <f>IF(ISNA(VLOOKUP(A81,Declarations!B$6:D$293,3,FALSE)),"",IF(VLOOKUP(A81,Declarations!B$6:D$293,3,FALSE)="","",VLOOKUP(A81,Declarations!B$6:D$293,3,FALSE)))</f>
        <v/>
      </c>
      <c r="F81" s="51" t="str">
        <f>IF(B81="","",IF(ISNA(VLOOKUP(A81,'75m'!F$5:G$302,2,FALSE)),"",VLOOKUP(A81,'75m'!F$5:G$302,2,FALSE)))</f>
        <v/>
      </c>
      <c r="G81" s="51">
        <f>IF(B81="",0,IF(ISNA(VLOOKUP(A81,'75m'!F$5:J$302,5,FALSE)),0,VLOOKUP(A81,'75m'!F$5:J$302,5,FALSE)))</f>
        <v>0</v>
      </c>
      <c r="H81" s="51" t="str">
        <f>IF(B81="","",IF(ISNA(VLOOKUP(A81,'75m'!F$5:K$302,6,FALSE)),"",VLOOKUP(A81,'75m'!F$5:K$302,6,FALSE)))</f>
        <v/>
      </c>
      <c r="I81" s="53">
        <f>IF(B81="",0,IF(ISNA(VLOOKUP(A81,'600m'!F$5:J$302,2,FALSE)),0,VLOOKUP(A81,'600m'!F$5:J$302,2,FALSE)))</f>
        <v>0</v>
      </c>
      <c r="J81" s="51">
        <f>IF(B81="",0,IF(ISNA(VLOOKUP(A81,'600m'!F$5:J$302,5,FALSE)),0,VLOOKUP(A81,'600m'!F$5:J$302,5,FALSE)))</f>
        <v>0</v>
      </c>
      <c r="K81" s="51" t="str">
        <f>IF(B81="","",IF(ISNA(VLOOKUP(A81,'600m'!F$5:K$302,6,FALSE)),"",VLOOKUP(A81,'600m'!F$5:K$302,6,FALSE)))</f>
        <v/>
      </c>
      <c r="L81" s="51" t="str">
        <f>IF(B81="","",IF(ISNA(VLOOKUP(A81,LongJump!F$5:G$302,2,FALSE)),"",VLOOKUP(A81,LongJump!F$5:G$302,2,FALSE)))</f>
        <v/>
      </c>
      <c r="M81" s="51">
        <f>IF(B81="",0,IF(ISNA(VLOOKUP(A81,LongJump!F$5:J$302,5,FALSE)),0,VLOOKUP(A81,LongJump!F$5:J$302,5,FALSE)))</f>
        <v>0</v>
      </c>
      <c r="N81" s="51">
        <f>IF(B81="",0,IF(ISNA(VLOOKUP(A81,LongJump!F$5:K$302,6,FALSE)),0,VLOOKUP(A81,LongJump!F$5:K$302,6,FALSE)))</f>
        <v>0</v>
      </c>
      <c r="O81" s="51" t="str">
        <f>IF(B81="","",IF(ISNA(VLOOKUP(A81,Vortex!F$5:J$302,2,FALSE)),"",VLOOKUP(A81,Vortex!F$5:J$302,2,FALSE)))</f>
        <v/>
      </c>
      <c r="P81" s="51">
        <f>IF(B81="",0,IF(ISNA(VLOOKUP(A81,Vortex!F$5:J$302,5,FALSE)),0,VLOOKUP(A81,Vortex!F$5:J$302,5,FALSE)))</f>
        <v>0</v>
      </c>
      <c r="Q81" s="51">
        <f t="shared" si="14"/>
        <v>0</v>
      </c>
      <c r="R81" s="51" t="str">
        <f t="shared" si="10"/>
        <v/>
      </c>
      <c r="S81" s="51" t="str">
        <f t="shared" si="11"/>
        <v/>
      </c>
      <c r="T81" s="51" t="str">
        <f t="shared" si="12"/>
        <v/>
      </c>
      <c r="U81" s="51" t="str">
        <f t="shared" si="13"/>
        <v/>
      </c>
      <c r="V81" s="4"/>
      <c r="W81" s="4"/>
      <c r="X81" s="4"/>
      <c r="Z81" s="287"/>
      <c r="AA81" s="287"/>
      <c r="AB81" s="287"/>
      <c r="AC81" s="287"/>
      <c r="AD81" s="287"/>
      <c r="AE81" s="287"/>
      <c r="AF81" s="287"/>
      <c r="AG81" s="287"/>
      <c r="AH81" s="287"/>
      <c r="AI81" s="287"/>
      <c r="AJ81" s="287"/>
      <c r="AK81" s="319"/>
    </row>
    <row r="82" spans="1:41" ht="20" customHeight="1">
      <c r="A82" s="51" t="str">
        <f>IF(Declarations!B34=0,"",Declarations!B34)</f>
        <v/>
      </c>
      <c r="B82" s="161" t="str">
        <f>IF(ISNA(VLOOKUP(A82,Declarations!B$6:C$293,2,FALSE)),"",IF(VLOOKUP(A82,Declarations!B$6:C$293,2,FALSE)="","",VLOOKUP(A82,Declarations!B$6:C$293,2,FALSE)))</f>
        <v/>
      </c>
      <c r="C82" s="161" t="str">
        <f>IF(ISNA(VLOOKUP(A82,Declarations!B$6:F$293,5,FALSE)),"",IF(VLOOKUP(A82,Declarations!B$6:F$293,5,FALSE)="","",VLOOKUP(A82,Declarations!B$6:F$293,5,FALSE)))</f>
        <v/>
      </c>
      <c r="D82" s="161" t="str">
        <f>IF(ISNA(VLOOKUP(A82,Declarations!B$6:F$293,4,FALSE)),"",IF(VLOOKUP(A82,Declarations!B$6:F$293,4,FALSE)="","",VLOOKUP(A82,Declarations!B$6:F$293,4,FALSE)))</f>
        <v/>
      </c>
      <c r="E82" s="161" t="str">
        <f>IF(ISNA(VLOOKUP(A82,Declarations!B$6:D$293,3,FALSE)),"",IF(VLOOKUP(A82,Declarations!B$6:D$293,3,FALSE)="","",VLOOKUP(A82,Declarations!B$6:D$293,3,FALSE)))</f>
        <v/>
      </c>
      <c r="F82" s="51" t="str">
        <f>IF(B82="","",IF(ISNA(VLOOKUP(A82,'75m'!F$5:G$302,2,FALSE)),"",VLOOKUP(A82,'75m'!F$5:G$302,2,FALSE)))</f>
        <v/>
      </c>
      <c r="G82" s="51">
        <f>IF(B82="",0,IF(ISNA(VLOOKUP(A82,'75m'!F$5:J$302,5,FALSE)),0,VLOOKUP(A82,'75m'!F$5:J$302,5,FALSE)))</f>
        <v>0</v>
      </c>
      <c r="H82" s="51" t="str">
        <f>IF(B82="","",IF(ISNA(VLOOKUP(A82,'75m'!F$5:K$302,6,FALSE)),"",VLOOKUP(A82,'75m'!F$5:K$302,6,FALSE)))</f>
        <v/>
      </c>
      <c r="I82" s="53">
        <f>IF(B82="",0,IF(ISNA(VLOOKUP(A82,'600m'!F$5:J$302,2,FALSE)),0,VLOOKUP(A82,'600m'!F$5:J$302,2,FALSE)))</f>
        <v>0</v>
      </c>
      <c r="J82" s="51">
        <f>IF(B82="",0,IF(ISNA(VLOOKUP(A82,'600m'!F$5:J$302,5,FALSE)),0,VLOOKUP(A82,'600m'!F$5:J$302,5,FALSE)))</f>
        <v>0</v>
      </c>
      <c r="K82" s="51" t="str">
        <f>IF(B82="","",IF(ISNA(VLOOKUP(A82,'600m'!F$5:K$302,6,FALSE)),"",VLOOKUP(A82,'600m'!F$5:K$302,6,FALSE)))</f>
        <v/>
      </c>
      <c r="L82" s="51" t="str">
        <f>IF(B82="","",IF(ISNA(VLOOKUP(A82,LongJump!F$5:G$302,2,FALSE)),"",VLOOKUP(A82,LongJump!F$5:G$302,2,FALSE)))</f>
        <v/>
      </c>
      <c r="M82" s="51">
        <f>IF(B82="",0,IF(ISNA(VLOOKUP(A82,LongJump!F$5:J$302,5,FALSE)),0,VLOOKUP(A82,LongJump!F$5:J$302,5,FALSE)))</f>
        <v>0</v>
      </c>
      <c r="N82" s="51">
        <f>IF(B82="",0,IF(ISNA(VLOOKUP(A82,LongJump!F$5:K$302,6,FALSE)),0,VLOOKUP(A82,LongJump!F$5:K$302,6,FALSE)))</f>
        <v>0</v>
      </c>
      <c r="O82" s="51" t="str">
        <f>IF(B82="","",IF(ISNA(VLOOKUP(A82,Vortex!F$5:J$302,2,FALSE)),"",VLOOKUP(A82,Vortex!F$5:J$302,2,FALSE)))</f>
        <v/>
      </c>
      <c r="P82" s="51">
        <f>IF(B82="",0,IF(ISNA(VLOOKUP(A82,Vortex!F$5:J$302,5,FALSE)),0,VLOOKUP(A82,Vortex!F$5:J$302,5,FALSE)))</f>
        <v>0</v>
      </c>
      <c r="Q82" s="51">
        <f t="shared" si="14"/>
        <v>0</v>
      </c>
      <c r="R82" s="51" t="str">
        <f t="shared" si="10"/>
        <v/>
      </c>
      <c r="S82" s="51" t="str">
        <f t="shared" si="11"/>
        <v/>
      </c>
      <c r="T82" s="51" t="str">
        <f t="shared" si="12"/>
        <v/>
      </c>
      <c r="U82" s="51" t="str">
        <f t="shared" si="13"/>
        <v/>
      </c>
      <c r="V82" s="4"/>
      <c r="W82" s="4"/>
      <c r="X82" s="4"/>
      <c r="Z82" s="287"/>
      <c r="AA82" s="287"/>
      <c r="AB82" s="287"/>
      <c r="AC82" s="287"/>
      <c r="AD82" s="287"/>
      <c r="AE82" s="287"/>
      <c r="AF82" s="287"/>
      <c r="AG82" s="287"/>
      <c r="AH82" s="287"/>
      <c r="AI82" s="287"/>
      <c r="AJ82" s="287"/>
      <c r="AK82" s="319"/>
    </row>
    <row r="83" spans="1:41" ht="20" customHeight="1">
      <c r="A83" s="51" t="str">
        <f>IF(Declarations!B35=0,"",Declarations!B35)</f>
        <v/>
      </c>
      <c r="B83" s="161" t="str">
        <f>IF(ISNA(VLOOKUP(A83,Declarations!B$6:C$293,2,FALSE)),"",IF(VLOOKUP(A83,Declarations!B$6:C$293,2,FALSE)="","",VLOOKUP(A83,Declarations!B$6:C$293,2,FALSE)))</f>
        <v/>
      </c>
      <c r="C83" s="161" t="str">
        <f>IF(ISNA(VLOOKUP(A83,Declarations!B$6:F$293,5,FALSE)),"",IF(VLOOKUP(A83,Declarations!B$6:F$293,5,FALSE)="","",VLOOKUP(A83,Declarations!B$6:F$293,5,FALSE)))</f>
        <v/>
      </c>
      <c r="D83" s="161" t="str">
        <f>IF(ISNA(VLOOKUP(A83,Declarations!B$6:F$293,4,FALSE)),"",IF(VLOOKUP(A83,Declarations!B$6:F$293,4,FALSE)="","",VLOOKUP(A83,Declarations!B$6:F$293,4,FALSE)))</f>
        <v/>
      </c>
      <c r="E83" s="161" t="str">
        <f>IF(ISNA(VLOOKUP(A83,Declarations!B$6:D$293,3,FALSE)),"",IF(VLOOKUP(A83,Declarations!B$6:D$293,3,FALSE)="","",VLOOKUP(A83,Declarations!B$6:D$293,3,FALSE)))</f>
        <v/>
      </c>
      <c r="F83" s="51" t="str">
        <f>IF(B83="","",IF(ISNA(VLOOKUP(A83,'75m'!F$5:G$302,2,FALSE)),"",VLOOKUP(A83,'75m'!F$5:G$302,2,FALSE)))</f>
        <v/>
      </c>
      <c r="G83" s="51">
        <f>IF(B83="",0,IF(ISNA(VLOOKUP(A83,'75m'!F$5:J$302,5,FALSE)),0,VLOOKUP(A83,'75m'!F$5:J$302,5,FALSE)))</f>
        <v>0</v>
      </c>
      <c r="H83" s="51" t="str">
        <f>IF(B83="","",IF(ISNA(VLOOKUP(A83,'75m'!F$5:K$302,6,FALSE)),"",VLOOKUP(A83,'75m'!F$5:K$302,6,FALSE)))</f>
        <v/>
      </c>
      <c r="I83" s="53">
        <f>IF(B83="",0,IF(ISNA(VLOOKUP(A83,'600m'!F$5:J$302,2,FALSE)),0,VLOOKUP(A83,'600m'!F$5:J$302,2,FALSE)))</f>
        <v>0</v>
      </c>
      <c r="J83" s="51">
        <f>IF(B83="",0,IF(ISNA(VLOOKUP(A83,'600m'!F$5:J$302,5,FALSE)),0,VLOOKUP(A83,'600m'!F$5:J$302,5,FALSE)))</f>
        <v>0</v>
      </c>
      <c r="K83" s="51" t="str">
        <f>IF(B83="","",IF(ISNA(VLOOKUP(A83,'600m'!F$5:K$302,6,FALSE)),"",VLOOKUP(A83,'600m'!F$5:K$302,6,FALSE)))</f>
        <v/>
      </c>
      <c r="L83" s="51" t="str">
        <f>IF(B83="","",IF(ISNA(VLOOKUP(A83,LongJump!F$5:G$302,2,FALSE)),"",VLOOKUP(A83,LongJump!F$5:G$302,2,FALSE)))</f>
        <v/>
      </c>
      <c r="M83" s="51">
        <f>IF(B83="",0,IF(ISNA(VLOOKUP(A83,LongJump!F$5:J$302,5,FALSE)),0,VLOOKUP(A83,LongJump!F$5:J$302,5,FALSE)))</f>
        <v>0</v>
      </c>
      <c r="N83" s="51">
        <f>IF(B83="",0,IF(ISNA(VLOOKUP(A83,LongJump!F$5:K$302,6,FALSE)),0,VLOOKUP(A83,LongJump!F$5:K$302,6,FALSE)))</f>
        <v>0</v>
      </c>
      <c r="O83" s="51" t="str">
        <f>IF(B83="","",IF(ISNA(VLOOKUP(A83,Vortex!F$5:J$302,2,FALSE)),"",VLOOKUP(A83,Vortex!F$5:J$302,2,FALSE)))</f>
        <v/>
      </c>
      <c r="P83" s="51">
        <f>IF(B83="",0,IF(ISNA(VLOOKUP(A83,Vortex!F$5:J$302,5,FALSE)),0,VLOOKUP(A83,Vortex!F$5:J$302,5,FALSE)))</f>
        <v>0</v>
      </c>
      <c r="Q83" s="51">
        <f t="shared" si="14"/>
        <v>0</v>
      </c>
      <c r="R83" s="51" t="str">
        <f t="shared" si="10"/>
        <v/>
      </c>
      <c r="S83" s="51" t="str">
        <f t="shared" si="11"/>
        <v/>
      </c>
      <c r="T83" s="51" t="str">
        <f t="shared" si="12"/>
        <v/>
      </c>
      <c r="U83" s="51" t="str">
        <f t="shared" si="13"/>
        <v/>
      </c>
      <c r="V83" s="4"/>
      <c r="W83" s="4"/>
      <c r="X83" s="4"/>
      <c r="Z83" s="287"/>
      <c r="AA83" s="287"/>
      <c r="AB83" s="287"/>
      <c r="AC83" s="287"/>
      <c r="AD83" s="287"/>
      <c r="AE83" s="287"/>
      <c r="AF83" s="287"/>
      <c r="AG83" s="287"/>
      <c r="AH83" s="287"/>
      <c r="AI83" s="287"/>
      <c r="AJ83" s="287"/>
      <c r="AK83" s="319"/>
    </row>
    <row r="84" spans="1:41" ht="20" customHeight="1">
      <c r="A84" s="51" t="str">
        <f>IF(Declarations!B36=0,"",Declarations!B36)</f>
        <v/>
      </c>
      <c r="B84" s="161" t="str">
        <f>IF(ISNA(VLOOKUP(A84,Declarations!B$6:C$293,2,FALSE)),"",IF(VLOOKUP(A84,Declarations!B$6:C$293,2,FALSE)="","",VLOOKUP(A84,Declarations!B$6:C$293,2,FALSE)))</f>
        <v/>
      </c>
      <c r="C84" s="161" t="str">
        <f>IF(ISNA(VLOOKUP(A84,Declarations!B$6:F$293,5,FALSE)),"",IF(VLOOKUP(A84,Declarations!B$6:F$293,5,FALSE)="","",VLOOKUP(A84,Declarations!B$6:F$293,5,FALSE)))</f>
        <v/>
      </c>
      <c r="D84" s="161" t="str">
        <f>IF(ISNA(VLOOKUP(A84,Declarations!B$6:F$293,4,FALSE)),"",IF(VLOOKUP(A84,Declarations!B$6:F$293,4,FALSE)="","",VLOOKUP(A84,Declarations!B$6:F$293,4,FALSE)))</f>
        <v/>
      </c>
      <c r="E84" s="161" t="str">
        <f>IF(ISNA(VLOOKUP(A84,Declarations!B$6:D$293,3,FALSE)),"",IF(VLOOKUP(A84,Declarations!B$6:D$293,3,FALSE)="","",VLOOKUP(A84,Declarations!B$6:D$293,3,FALSE)))</f>
        <v/>
      </c>
      <c r="F84" s="51" t="str">
        <f>IF(B84="","",IF(ISNA(VLOOKUP(A84,'75m'!F$5:G$302,2,FALSE)),"",VLOOKUP(A84,'75m'!F$5:G$302,2,FALSE)))</f>
        <v/>
      </c>
      <c r="G84" s="51">
        <f>IF(B84="",0,IF(ISNA(VLOOKUP(A84,'75m'!F$5:J$302,5,FALSE)),0,VLOOKUP(A84,'75m'!F$5:J$302,5,FALSE)))</f>
        <v>0</v>
      </c>
      <c r="H84" s="51" t="str">
        <f>IF(B84="","",IF(ISNA(VLOOKUP(A84,'75m'!F$5:K$302,6,FALSE)),"",VLOOKUP(A84,'75m'!F$5:K$302,6,FALSE)))</f>
        <v/>
      </c>
      <c r="I84" s="53">
        <f>IF(B84="",0,IF(ISNA(VLOOKUP(A84,'600m'!F$5:J$302,2,FALSE)),0,VLOOKUP(A84,'600m'!F$5:J$302,2,FALSE)))</f>
        <v>0</v>
      </c>
      <c r="J84" s="51">
        <f>IF(B84="",0,IF(ISNA(VLOOKUP(A84,'600m'!F$5:J$302,5,FALSE)),0,VLOOKUP(A84,'600m'!F$5:J$302,5,FALSE)))</f>
        <v>0</v>
      </c>
      <c r="K84" s="51" t="str">
        <f>IF(B84="","",IF(ISNA(VLOOKUP(A84,'600m'!F$5:K$302,6,FALSE)),"",VLOOKUP(A84,'600m'!F$5:K$302,6,FALSE)))</f>
        <v/>
      </c>
      <c r="L84" s="51" t="str">
        <f>IF(B84="","",IF(ISNA(VLOOKUP(A84,LongJump!F$5:G$302,2,FALSE)),"",VLOOKUP(A84,LongJump!F$5:G$302,2,FALSE)))</f>
        <v/>
      </c>
      <c r="M84" s="51">
        <f>IF(B84="",0,IF(ISNA(VLOOKUP(A84,LongJump!F$5:J$302,5,FALSE)),0,VLOOKUP(A84,LongJump!F$5:J$302,5,FALSE)))</f>
        <v>0</v>
      </c>
      <c r="N84" s="51">
        <f>IF(B84="",0,IF(ISNA(VLOOKUP(A84,LongJump!F$5:K$302,6,FALSE)),0,VLOOKUP(A84,LongJump!F$5:K$302,6,FALSE)))</f>
        <v>0</v>
      </c>
      <c r="O84" s="51" t="str">
        <f>IF(B84="","",IF(ISNA(VLOOKUP(A84,Vortex!F$5:J$302,2,FALSE)),"",VLOOKUP(A84,Vortex!F$5:J$302,2,FALSE)))</f>
        <v/>
      </c>
      <c r="P84" s="51">
        <f>IF(B84="",0,IF(ISNA(VLOOKUP(A84,Vortex!F$5:J$302,5,FALSE)),0,VLOOKUP(A84,Vortex!F$5:J$302,5,FALSE)))</f>
        <v>0</v>
      </c>
      <c r="Q84" s="51">
        <f t="shared" si="14"/>
        <v>0</v>
      </c>
      <c r="R84" s="51" t="str">
        <f t="shared" si="10"/>
        <v/>
      </c>
      <c r="S84" s="51" t="str">
        <f t="shared" si="11"/>
        <v/>
      </c>
      <c r="T84" s="51" t="str">
        <f t="shared" si="12"/>
        <v/>
      </c>
      <c r="U84" s="51" t="str">
        <f t="shared" si="13"/>
        <v/>
      </c>
      <c r="V84" s="4"/>
      <c r="W84" s="4"/>
      <c r="X84" s="4"/>
      <c r="Y84" s="1"/>
      <c r="Z84" s="287"/>
      <c r="AA84" s="287"/>
      <c r="AB84" s="287"/>
      <c r="AC84" s="287"/>
      <c r="AD84" s="287"/>
      <c r="AE84" s="287"/>
      <c r="AF84" s="287"/>
      <c r="AG84" s="287"/>
      <c r="AH84" s="287"/>
      <c r="AI84" s="287"/>
      <c r="AJ84" s="287"/>
      <c r="AK84" s="319"/>
    </row>
    <row r="85" spans="1:41" ht="20" customHeight="1">
      <c r="A85" s="51" t="str">
        <f>IF(Declarations!B37=0,"",Declarations!B37)</f>
        <v/>
      </c>
      <c r="B85" s="161" t="str">
        <f>IF(ISNA(VLOOKUP(A85,Declarations!B$6:C$293,2,FALSE)),"",IF(VLOOKUP(A85,Declarations!B$6:C$293,2,FALSE)="","",VLOOKUP(A85,Declarations!B$6:C$293,2,FALSE)))</f>
        <v/>
      </c>
      <c r="C85" s="161" t="str">
        <f>IF(ISNA(VLOOKUP(A85,Declarations!B$6:F$293,5,FALSE)),"",IF(VLOOKUP(A85,Declarations!B$6:F$293,5,FALSE)="","",VLOOKUP(A85,Declarations!B$6:F$293,5,FALSE)))</f>
        <v/>
      </c>
      <c r="D85" s="161" t="str">
        <f>IF(ISNA(VLOOKUP(A85,Declarations!B$6:F$293,4,FALSE)),"",IF(VLOOKUP(A85,Declarations!B$6:F$293,4,FALSE)="","",VLOOKUP(A85,Declarations!B$6:F$293,4,FALSE)))</f>
        <v/>
      </c>
      <c r="E85" s="161" t="str">
        <f>IF(ISNA(VLOOKUP(A85,Declarations!B$6:D$293,3,FALSE)),"",IF(VLOOKUP(A85,Declarations!B$6:D$293,3,FALSE)="","",VLOOKUP(A85,Declarations!B$6:D$293,3,FALSE)))</f>
        <v/>
      </c>
      <c r="F85" s="51" t="str">
        <f>IF(B85="","",IF(ISNA(VLOOKUP(A85,'75m'!F$5:G$302,2,FALSE)),"",VLOOKUP(A85,'75m'!F$5:G$302,2,FALSE)))</f>
        <v/>
      </c>
      <c r="G85" s="51">
        <f>IF(B85="",0,IF(ISNA(VLOOKUP(A85,'75m'!F$5:J$302,5,FALSE)),0,VLOOKUP(A85,'75m'!F$5:J$302,5,FALSE)))</f>
        <v>0</v>
      </c>
      <c r="H85" s="51" t="str">
        <f>IF(B85="","",IF(ISNA(VLOOKUP(A85,'75m'!F$5:K$302,6,FALSE)),"",VLOOKUP(A85,'75m'!F$5:K$302,6,FALSE)))</f>
        <v/>
      </c>
      <c r="I85" s="53">
        <f>IF(B85="",0,IF(ISNA(VLOOKUP(A85,'600m'!F$5:J$302,2,FALSE)),0,VLOOKUP(A85,'600m'!F$5:J$302,2,FALSE)))</f>
        <v>0</v>
      </c>
      <c r="J85" s="51">
        <f>IF(B85="",0,IF(ISNA(VLOOKUP(A85,'600m'!F$5:J$302,5,FALSE)),0,VLOOKUP(A85,'600m'!F$5:J$302,5,FALSE)))</f>
        <v>0</v>
      </c>
      <c r="K85" s="51" t="str">
        <f>IF(B85="","",IF(ISNA(VLOOKUP(A85,'600m'!F$5:K$302,6,FALSE)),"",VLOOKUP(A85,'600m'!F$5:K$302,6,FALSE)))</f>
        <v/>
      </c>
      <c r="L85" s="51" t="str">
        <f>IF(B85="","",IF(ISNA(VLOOKUP(A85,LongJump!F$5:G$302,2,FALSE)),"",VLOOKUP(A85,LongJump!F$5:G$302,2,FALSE)))</f>
        <v/>
      </c>
      <c r="M85" s="51">
        <f>IF(B85="",0,IF(ISNA(VLOOKUP(A85,LongJump!F$5:J$302,5,FALSE)),0,VLOOKUP(A85,LongJump!F$5:J$302,5,FALSE)))</f>
        <v>0</v>
      </c>
      <c r="N85" s="51">
        <f>IF(B85="",0,IF(ISNA(VLOOKUP(A85,LongJump!F$5:K$302,6,FALSE)),0,VLOOKUP(A85,LongJump!F$5:K$302,6,FALSE)))</f>
        <v>0</v>
      </c>
      <c r="O85" s="51" t="str">
        <f>IF(B85="","",IF(ISNA(VLOOKUP(A85,Vortex!F$5:J$302,2,FALSE)),"",VLOOKUP(A85,Vortex!F$5:J$302,2,FALSE)))</f>
        <v/>
      </c>
      <c r="P85" s="51">
        <f>IF(B85="",0,IF(ISNA(VLOOKUP(A85,Vortex!F$5:J$302,5,FALSE)),0,VLOOKUP(A85,Vortex!F$5:J$302,5,FALSE)))</f>
        <v>0</v>
      </c>
      <c r="Q85" s="51">
        <f t="shared" si="14"/>
        <v>0</v>
      </c>
      <c r="R85" s="51" t="str">
        <f t="shared" si="10"/>
        <v/>
      </c>
      <c r="S85" s="51" t="str">
        <f t="shared" si="11"/>
        <v/>
      </c>
      <c r="T85" s="51" t="str">
        <f t="shared" si="12"/>
        <v/>
      </c>
      <c r="U85" s="51" t="str">
        <f t="shared" si="13"/>
        <v/>
      </c>
      <c r="V85" s="4"/>
      <c r="W85" s="4"/>
      <c r="X85" s="4"/>
      <c r="Y85" s="1"/>
      <c r="Z85" s="287"/>
      <c r="AA85" s="287"/>
      <c r="AB85" s="287"/>
      <c r="AC85" s="287"/>
      <c r="AD85" s="287"/>
      <c r="AE85" s="287"/>
      <c r="AF85" s="287"/>
      <c r="AG85" s="287"/>
      <c r="AH85" s="287"/>
      <c r="AI85" s="287"/>
      <c r="AJ85" s="287"/>
      <c r="AK85" s="319"/>
    </row>
    <row r="86" spans="1:41" ht="20" customHeight="1">
      <c r="A86" s="51" t="str">
        <f>IF(Declarations!B38=0,"",Declarations!B38)</f>
        <v/>
      </c>
      <c r="B86" s="161" t="str">
        <f>IF(ISNA(VLOOKUP(A86,Declarations!B$6:C$293,2,FALSE)),"",IF(VLOOKUP(A86,Declarations!B$6:C$293,2,FALSE)="","",VLOOKUP(A86,Declarations!B$6:C$293,2,FALSE)))</f>
        <v/>
      </c>
      <c r="C86" s="161" t="str">
        <f>IF(ISNA(VLOOKUP(A86,Declarations!B$6:F$293,5,FALSE)),"",IF(VLOOKUP(A86,Declarations!B$6:F$293,5,FALSE)="","",VLOOKUP(A86,Declarations!B$6:F$293,5,FALSE)))</f>
        <v/>
      </c>
      <c r="D86" s="161" t="str">
        <f>IF(ISNA(VLOOKUP(A86,Declarations!B$6:F$293,4,FALSE)),"",IF(VLOOKUP(A86,Declarations!B$6:F$293,4,FALSE)="","",VLOOKUP(A86,Declarations!B$6:F$293,4,FALSE)))</f>
        <v/>
      </c>
      <c r="E86" s="161" t="str">
        <f>IF(ISNA(VLOOKUP(A86,Declarations!B$6:D$293,3,FALSE)),"",IF(VLOOKUP(A86,Declarations!B$6:D$293,3,FALSE)="","",VLOOKUP(A86,Declarations!B$6:D$293,3,FALSE)))</f>
        <v/>
      </c>
      <c r="F86" s="51" t="str">
        <f>IF(B86="","",IF(ISNA(VLOOKUP(A86,'75m'!F$5:G$302,2,FALSE)),"",VLOOKUP(A86,'75m'!F$5:G$302,2,FALSE)))</f>
        <v/>
      </c>
      <c r="G86" s="51">
        <f>IF(B86="",0,IF(ISNA(VLOOKUP(A86,'75m'!F$5:J$302,5,FALSE)),0,VLOOKUP(A86,'75m'!F$5:J$302,5,FALSE)))</f>
        <v>0</v>
      </c>
      <c r="H86" s="51" t="str">
        <f>IF(B86="","",IF(ISNA(VLOOKUP(A86,'75m'!F$5:K$302,6,FALSE)),"",VLOOKUP(A86,'75m'!F$5:K$302,6,FALSE)))</f>
        <v/>
      </c>
      <c r="I86" s="53">
        <f>IF(B86="",0,IF(ISNA(VLOOKUP(A86,'600m'!F$5:J$302,2,FALSE)),0,VLOOKUP(A86,'600m'!F$5:J$302,2,FALSE)))</f>
        <v>0</v>
      </c>
      <c r="J86" s="51">
        <f>IF(B86="",0,IF(ISNA(VLOOKUP(A86,'600m'!F$5:J$302,5,FALSE)),0,VLOOKUP(A86,'600m'!F$5:J$302,5,FALSE)))</f>
        <v>0</v>
      </c>
      <c r="K86" s="51" t="str">
        <f>IF(B86="","",IF(ISNA(VLOOKUP(A86,'600m'!F$5:K$302,6,FALSE)),"",VLOOKUP(A86,'600m'!F$5:K$302,6,FALSE)))</f>
        <v/>
      </c>
      <c r="L86" s="51" t="str">
        <f>IF(B86="","",IF(ISNA(VLOOKUP(A86,LongJump!F$5:G$302,2,FALSE)),"",VLOOKUP(A86,LongJump!F$5:G$302,2,FALSE)))</f>
        <v/>
      </c>
      <c r="M86" s="51">
        <f>IF(B86="",0,IF(ISNA(VLOOKUP(A86,LongJump!F$5:J$302,5,FALSE)),0,VLOOKUP(A86,LongJump!F$5:J$302,5,FALSE)))</f>
        <v>0</v>
      </c>
      <c r="N86" s="51">
        <f>IF(B86="",0,IF(ISNA(VLOOKUP(A86,LongJump!F$5:K$302,6,FALSE)),0,VLOOKUP(A86,LongJump!F$5:K$302,6,FALSE)))</f>
        <v>0</v>
      </c>
      <c r="O86" s="51" t="str">
        <f>IF(B86="","",IF(ISNA(VLOOKUP(A86,Vortex!F$5:J$302,2,FALSE)),"",VLOOKUP(A86,Vortex!F$5:J$302,2,FALSE)))</f>
        <v/>
      </c>
      <c r="P86" s="51">
        <f>IF(B86="",0,IF(ISNA(VLOOKUP(A86,Vortex!F$5:J$302,5,FALSE)),0,VLOOKUP(A86,Vortex!F$5:J$302,5,FALSE)))</f>
        <v>0</v>
      </c>
      <c r="Q86" s="51">
        <f t="shared" si="14"/>
        <v>0</v>
      </c>
      <c r="R86" s="51" t="str">
        <f t="shared" si="10"/>
        <v/>
      </c>
      <c r="S86" s="51" t="str">
        <f t="shared" si="11"/>
        <v/>
      </c>
      <c r="T86" s="51" t="str">
        <f t="shared" si="12"/>
        <v/>
      </c>
      <c r="U86" s="51" t="str">
        <f t="shared" si="13"/>
        <v/>
      </c>
      <c r="V86" s="4"/>
      <c r="W86" s="4"/>
      <c r="X86" s="4"/>
      <c r="Z86" s="287"/>
      <c r="AA86" s="287"/>
      <c r="AB86" s="287"/>
      <c r="AC86" s="287"/>
      <c r="AD86" s="287"/>
      <c r="AE86" s="287"/>
      <c r="AF86" s="287"/>
      <c r="AG86" s="287"/>
      <c r="AH86" s="287"/>
      <c r="AI86" s="287"/>
      <c r="AJ86" s="287"/>
      <c r="AK86" s="319"/>
    </row>
    <row r="87" spans="1:41" ht="20" customHeight="1">
      <c r="A87" s="51" t="str">
        <f>IF(Declarations!B39=0,"",Declarations!B39)</f>
        <v/>
      </c>
      <c r="B87" s="161" t="str">
        <f>IF(ISNA(VLOOKUP(A87,Declarations!B$6:C$293,2,FALSE)),"",IF(VLOOKUP(A87,Declarations!B$6:C$293,2,FALSE)="","",VLOOKUP(A87,Declarations!B$6:C$293,2,FALSE)))</f>
        <v/>
      </c>
      <c r="C87" s="161" t="str">
        <f>IF(ISNA(VLOOKUP(A87,Declarations!B$6:F$293,5,FALSE)),"",IF(VLOOKUP(A87,Declarations!B$6:F$293,5,FALSE)="","",VLOOKUP(A87,Declarations!B$6:F$293,5,FALSE)))</f>
        <v/>
      </c>
      <c r="D87" s="161" t="str">
        <f>IF(ISNA(VLOOKUP(A87,Declarations!B$6:F$293,4,FALSE)),"",IF(VLOOKUP(A87,Declarations!B$6:F$293,4,FALSE)="","",VLOOKUP(A87,Declarations!B$6:F$293,4,FALSE)))</f>
        <v/>
      </c>
      <c r="E87" s="161" t="str">
        <f>IF(ISNA(VLOOKUP(A87,Declarations!B$6:D$293,3,FALSE)),"",IF(VLOOKUP(A87,Declarations!B$6:D$293,3,FALSE)="","",VLOOKUP(A87,Declarations!B$6:D$293,3,FALSE)))</f>
        <v/>
      </c>
      <c r="F87" s="51" t="str">
        <f>IF(B87="","",IF(ISNA(VLOOKUP(A87,'75m'!F$5:G$302,2,FALSE)),"",VLOOKUP(A87,'75m'!F$5:G$302,2,FALSE)))</f>
        <v/>
      </c>
      <c r="G87" s="51">
        <f>IF(B87="",0,IF(ISNA(VLOOKUP(A87,'75m'!F$5:J$302,5,FALSE)),0,VLOOKUP(A87,'75m'!F$5:J$302,5,FALSE)))</f>
        <v>0</v>
      </c>
      <c r="H87" s="51" t="str">
        <f>IF(B87="","",IF(ISNA(VLOOKUP(A87,'75m'!F$5:K$302,6,FALSE)),"",VLOOKUP(A87,'75m'!F$5:K$302,6,FALSE)))</f>
        <v/>
      </c>
      <c r="I87" s="53">
        <f>IF(B87="",0,IF(ISNA(VLOOKUP(A87,'600m'!F$5:J$302,2,FALSE)),0,VLOOKUP(A87,'600m'!F$5:J$302,2,FALSE)))</f>
        <v>0</v>
      </c>
      <c r="J87" s="51">
        <f>IF(B87="",0,IF(ISNA(VLOOKUP(A87,'600m'!F$5:J$302,5,FALSE)),0,VLOOKUP(A87,'600m'!F$5:J$302,5,FALSE)))</f>
        <v>0</v>
      </c>
      <c r="K87" s="51" t="str">
        <f>IF(B87="","",IF(ISNA(VLOOKUP(A87,'600m'!F$5:K$302,6,FALSE)),"",VLOOKUP(A87,'600m'!F$5:K$302,6,FALSE)))</f>
        <v/>
      </c>
      <c r="L87" s="51" t="str">
        <f>IF(B87="","",IF(ISNA(VLOOKUP(A87,LongJump!F$5:G$302,2,FALSE)),"",VLOOKUP(A87,LongJump!F$5:G$302,2,FALSE)))</f>
        <v/>
      </c>
      <c r="M87" s="51">
        <f>IF(B87="",0,IF(ISNA(VLOOKUP(A87,LongJump!F$5:J$302,5,FALSE)),0,VLOOKUP(A87,LongJump!F$5:J$302,5,FALSE)))</f>
        <v>0</v>
      </c>
      <c r="N87" s="51">
        <f>IF(B87="",0,IF(ISNA(VLOOKUP(A87,LongJump!F$5:K$302,6,FALSE)),0,VLOOKUP(A87,LongJump!F$5:K$302,6,FALSE)))</f>
        <v>0</v>
      </c>
      <c r="O87" s="51" t="str">
        <f>IF(B87="","",IF(ISNA(VLOOKUP(A87,Vortex!F$5:J$302,2,FALSE)),"",VLOOKUP(A87,Vortex!F$5:J$302,2,FALSE)))</f>
        <v/>
      </c>
      <c r="P87" s="51">
        <f>IF(B87="",0,IF(ISNA(VLOOKUP(A87,Vortex!F$5:J$302,5,FALSE)),0,VLOOKUP(A87,Vortex!F$5:J$302,5,FALSE)))</f>
        <v>0</v>
      </c>
      <c r="Q87" s="51">
        <f t="shared" si="14"/>
        <v>0</v>
      </c>
      <c r="R87" s="51" t="str">
        <f t="shared" si="10"/>
        <v/>
      </c>
      <c r="S87" s="51" t="str">
        <f t="shared" si="11"/>
        <v/>
      </c>
      <c r="T87" s="51" t="str">
        <f t="shared" si="12"/>
        <v/>
      </c>
      <c r="U87" s="51" t="str">
        <f t="shared" si="13"/>
        <v/>
      </c>
      <c r="V87" s="4"/>
      <c r="W87" s="4"/>
      <c r="X87" s="4"/>
      <c r="Y87" s="1"/>
      <c r="Z87" s="287"/>
      <c r="AA87" s="287"/>
      <c r="AB87" s="287"/>
      <c r="AC87" s="287"/>
      <c r="AD87" s="287"/>
      <c r="AE87" s="287"/>
      <c r="AF87" s="287"/>
      <c r="AG87" s="287"/>
      <c r="AH87" s="287"/>
      <c r="AI87" s="287"/>
      <c r="AJ87" s="287"/>
      <c r="AK87" s="319"/>
    </row>
    <row r="88" spans="1:41" ht="20" customHeight="1">
      <c r="A88" s="51" t="str">
        <f>IF(Declarations!B40=0,"",Declarations!B40)</f>
        <v/>
      </c>
      <c r="B88" s="161" t="str">
        <f>IF(ISNA(VLOOKUP(A88,Declarations!B$6:C$293,2,FALSE)),"",IF(VLOOKUP(A88,Declarations!B$6:C$293,2,FALSE)="","",VLOOKUP(A88,Declarations!B$6:C$293,2,FALSE)))</f>
        <v/>
      </c>
      <c r="C88" s="161" t="str">
        <f>IF(ISNA(VLOOKUP(A88,Declarations!B$6:F$293,5,FALSE)),"",IF(VLOOKUP(A88,Declarations!B$6:F$293,5,FALSE)="","",VLOOKUP(A88,Declarations!B$6:F$293,5,FALSE)))</f>
        <v/>
      </c>
      <c r="D88" s="161" t="str">
        <f>IF(ISNA(VLOOKUP(A88,Declarations!B$6:F$293,4,FALSE)),"",IF(VLOOKUP(A88,Declarations!B$6:F$293,4,FALSE)="","",VLOOKUP(A88,Declarations!B$6:F$293,4,FALSE)))</f>
        <v/>
      </c>
      <c r="E88" s="161" t="str">
        <f>IF(ISNA(VLOOKUP(A88,Declarations!B$6:D$293,3,FALSE)),"",IF(VLOOKUP(A88,Declarations!B$6:D$293,3,FALSE)="","",VLOOKUP(A88,Declarations!B$6:D$293,3,FALSE)))</f>
        <v/>
      </c>
      <c r="F88" s="51" t="str">
        <f>IF(B88="","",IF(ISNA(VLOOKUP(A88,'75m'!F$5:G$302,2,FALSE)),"",VLOOKUP(A88,'75m'!F$5:G$302,2,FALSE)))</f>
        <v/>
      </c>
      <c r="G88" s="51">
        <f>IF(B88="",0,IF(ISNA(VLOOKUP(A88,'75m'!F$5:J$302,5,FALSE)),0,VLOOKUP(A88,'75m'!F$5:J$302,5,FALSE)))</f>
        <v>0</v>
      </c>
      <c r="H88" s="51" t="str">
        <f>IF(B88="","",IF(ISNA(VLOOKUP(A88,'75m'!F$5:K$302,6,FALSE)),"",VLOOKUP(A88,'75m'!F$5:K$302,6,FALSE)))</f>
        <v/>
      </c>
      <c r="I88" s="53">
        <f>IF(B88="",0,IF(ISNA(VLOOKUP(A88,'600m'!F$5:J$302,2,FALSE)),0,VLOOKUP(A88,'600m'!F$5:J$302,2,FALSE)))</f>
        <v>0</v>
      </c>
      <c r="J88" s="51">
        <f>IF(B88="",0,IF(ISNA(VLOOKUP(A88,'600m'!F$5:J$302,5,FALSE)),0,VLOOKUP(A88,'600m'!F$5:J$302,5,FALSE)))</f>
        <v>0</v>
      </c>
      <c r="K88" s="51" t="str">
        <f>IF(B88="","",IF(ISNA(VLOOKUP(A88,'600m'!F$5:K$302,6,FALSE)),"",VLOOKUP(A88,'600m'!F$5:K$302,6,FALSE)))</f>
        <v/>
      </c>
      <c r="L88" s="51" t="str">
        <f>IF(B88="","",IF(ISNA(VLOOKUP(A88,LongJump!F$5:G$302,2,FALSE)),"",VLOOKUP(A88,LongJump!F$5:G$302,2,FALSE)))</f>
        <v/>
      </c>
      <c r="M88" s="51">
        <f>IF(B88="",0,IF(ISNA(VLOOKUP(A88,LongJump!F$5:J$302,5,FALSE)),0,VLOOKUP(A88,LongJump!F$5:J$302,5,FALSE)))</f>
        <v>0</v>
      </c>
      <c r="N88" s="51">
        <f>IF(B88="",0,IF(ISNA(VLOOKUP(A88,LongJump!F$5:K$302,6,FALSE)),0,VLOOKUP(A88,LongJump!F$5:K$302,6,FALSE)))</f>
        <v>0</v>
      </c>
      <c r="O88" s="51" t="str">
        <f>IF(B88="","",IF(ISNA(VLOOKUP(A88,Vortex!F$5:J$302,2,FALSE)),"",VLOOKUP(A88,Vortex!F$5:J$302,2,FALSE)))</f>
        <v/>
      </c>
      <c r="P88" s="51">
        <f>IF(B88="",0,IF(ISNA(VLOOKUP(A88,Vortex!F$5:J$302,5,FALSE)),0,VLOOKUP(A88,Vortex!F$5:J$302,5,FALSE)))</f>
        <v>0</v>
      </c>
      <c r="Q88" s="51">
        <f t="shared" si="14"/>
        <v>0</v>
      </c>
      <c r="R88" s="51" t="str">
        <f t="shared" si="10"/>
        <v/>
      </c>
      <c r="S88" s="51" t="str">
        <f t="shared" si="11"/>
        <v/>
      </c>
      <c r="T88" s="51" t="str">
        <f t="shared" si="12"/>
        <v/>
      </c>
      <c r="U88" s="51" t="str">
        <f t="shared" si="13"/>
        <v/>
      </c>
      <c r="V88" s="4"/>
      <c r="W88" s="4"/>
      <c r="X88" s="4"/>
      <c r="Y88" s="39"/>
      <c r="Z88" s="287"/>
      <c r="AA88" s="287"/>
      <c r="AB88" s="287"/>
      <c r="AC88" s="287"/>
      <c r="AD88" s="287"/>
      <c r="AE88" s="287"/>
      <c r="AF88" s="287"/>
      <c r="AG88" s="287"/>
      <c r="AH88" s="287"/>
      <c r="AI88" s="287"/>
      <c r="AJ88" s="287"/>
      <c r="AK88" s="319"/>
    </row>
    <row r="89" spans="1:41" ht="20" customHeight="1">
      <c r="A89" s="51" t="str">
        <f>IF(Declarations!B41=0,"",Declarations!B41)</f>
        <v/>
      </c>
      <c r="B89" s="161" t="str">
        <f>IF(ISNA(VLOOKUP(A89,Declarations!B$6:C$293,2,FALSE)),"",IF(VLOOKUP(A89,Declarations!B$6:C$293,2,FALSE)="","",VLOOKUP(A89,Declarations!B$6:C$293,2,FALSE)))</f>
        <v/>
      </c>
      <c r="C89" s="161" t="str">
        <f>IF(ISNA(VLOOKUP(A89,Declarations!B$6:F$293,5,FALSE)),"",IF(VLOOKUP(A89,Declarations!B$6:F$293,5,FALSE)="","",VLOOKUP(A89,Declarations!B$6:F$293,5,FALSE)))</f>
        <v/>
      </c>
      <c r="D89" s="161" t="str">
        <f>IF(ISNA(VLOOKUP(A89,Declarations!B$6:F$293,4,FALSE)),"",IF(VLOOKUP(A89,Declarations!B$6:F$293,4,FALSE)="","",VLOOKUP(A89,Declarations!B$6:F$293,4,FALSE)))</f>
        <v/>
      </c>
      <c r="E89" s="161" t="str">
        <f>IF(ISNA(VLOOKUP(A89,Declarations!B$6:D$293,3,FALSE)),"",IF(VLOOKUP(A89,Declarations!B$6:D$293,3,FALSE)="","",VLOOKUP(A89,Declarations!B$6:D$293,3,FALSE)))</f>
        <v/>
      </c>
      <c r="F89" s="51" t="str">
        <f>IF(B89="","",IF(ISNA(VLOOKUP(A89,'75m'!F$5:G$302,2,FALSE)),"",VLOOKUP(A89,'75m'!F$5:G$302,2,FALSE)))</f>
        <v/>
      </c>
      <c r="G89" s="51">
        <f>IF(B89="",0,IF(ISNA(VLOOKUP(A89,'75m'!F$5:J$302,5,FALSE)),0,VLOOKUP(A89,'75m'!F$5:J$302,5,FALSE)))</f>
        <v>0</v>
      </c>
      <c r="H89" s="51" t="str">
        <f>IF(B89="","",IF(ISNA(VLOOKUP(A89,'75m'!F$5:K$302,6,FALSE)),"",VLOOKUP(A89,'75m'!F$5:K$302,6,FALSE)))</f>
        <v/>
      </c>
      <c r="I89" s="53">
        <f>IF(B89="",0,IF(ISNA(VLOOKUP(A89,'600m'!F$5:J$302,2,FALSE)),0,VLOOKUP(A89,'600m'!F$5:J$302,2,FALSE)))</f>
        <v>0</v>
      </c>
      <c r="J89" s="51">
        <f>IF(B89="",0,IF(ISNA(VLOOKUP(A89,'600m'!F$5:J$302,5,FALSE)),0,VLOOKUP(A89,'600m'!F$5:J$302,5,FALSE)))</f>
        <v>0</v>
      </c>
      <c r="K89" s="51" t="str">
        <f>IF(B89="","",IF(ISNA(VLOOKUP(A89,'600m'!F$5:K$302,6,FALSE)),"",VLOOKUP(A89,'600m'!F$5:K$302,6,FALSE)))</f>
        <v/>
      </c>
      <c r="L89" s="51" t="str">
        <f>IF(B89="","",IF(ISNA(VLOOKUP(A89,LongJump!F$5:G$302,2,FALSE)),"",VLOOKUP(A89,LongJump!F$5:G$302,2,FALSE)))</f>
        <v/>
      </c>
      <c r="M89" s="51">
        <f>IF(B89="",0,IF(ISNA(VLOOKUP(A89,LongJump!F$5:J$302,5,FALSE)),0,VLOOKUP(A89,LongJump!F$5:J$302,5,FALSE)))</f>
        <v>0</v>
      </c>
      <c r="N89" s="51">
        <f>IF(B89="",0,IF(ISNA(VLOOKUP(A89,LongJump!F$5:K$302,6,FALSE)),0,VLOOKUP(A89,LongJump!F$5:K$302,6,FALSE)))</f>
        <v>0</v>
      </c>
      <c r="O89" s="51" t="str">
        <f>IF(B89="","",IF(ISNA(VLOOKUP(A89,Vortex!F$5:J$302,2,FALSE)),"",VLOOKUP(A89,Vortex!F$5:J$302,2,FALSE)))</f>
        <v/>
      </c>
      <c r="P89" s="51">
        <f>IF(B89="",0,IF(ISNA(VLOOKUP(A89,Vortex!F$5:J$302,5,FALSE)),0,VLOOKUP(A89,Vortex!F$5:J$302,5,FALSE)))</f>
        <v>0</v>
      </c>
      <c r="Q89" s="51">
        <f t="shared" si="14"/>
        <v>0</v>
      </c>
      <c r="R89" s="51" t="str">
        <f t="shared" si="10"/>
        <v/>
      </c>
      <c r="S89" s="51" t="str">
        <f t="shared" si="11"/>
        <v/>
      </c>
      <c r="T89" s="51" t="str">
        <f t="shared" si="12"/>
        <v/>
      </c>
      <c r="U89" s="51" t="str">
        <f t="shared" si="13"/>
        <v/>
      </c>
      <c r="V89" s="4"/>
      <c r="W89" s="4"/>
      <c r="X89" s="4"/>
      <c r="Y89" s="39"/>
      <c r="Z89" s="287"/>
      <c r="AA89" s="287"/>
      <c r="AB89" s="287"/>
      <c r="AC89" s="287"/>
      <c r="AD89" s="287"/>
      <c r="AE89" s="287"/>
      <c r="AF89" s="287"/>
      <c r="AG89" s="287"/>
      <c r="AH89" s="287"/>
      <c r="AI89" s="287"/>
      <c r="AJ89" s="287"/>
      <c r="AK89" s="319"/>
    </row>
    <row r="90" spans="1:41" ht="20" customHeight="1">
      <c r="A90" s="51" t="str">
        <f>IF(Declarations!B42=0,"",Declarations!B42)</f>
        <v/>
      </c>
      <c r="B90" s="161" t="str">
        <f>IF(ISNA(VLOOKUP(A90,Declarations!B$6:C$293,2,FALSE)),"",IF(VLOOKUP(A90,Declarations!B$6:C$293,2,FALSE)="","",VLOOKUP(A90,Declarations!B$6:C$293,2,FALSE)))</f>
        <v/>
      </c>
      <c r="C90" s="161" t="str">
        <f>IF(ISNA(VLOOKUP(A90,Declarations!B$6:F$293,5,FALSE)),"",IF(VLOOKUP(A90,Declarations!B$6:F$293,5,FALSE)="","",VLOOKUP(A90,Declarations!B$6:F$293,5,FALSE)))</f>
        <v/>
      </c>
      <c r="D90" s="161" t="str">
        <f>IF(ISNA(VLOOKUP(A90,Declarations!B$6:F$293,4,FALSE)),"",IF(VLOOKUP(A90,Declarations!B$6:F$293,4,FALSE)="","",VLOOKUP(A90,Declarations!B$6:F$293,4,FALSE)))</f>
        <v/>
      </c>
      <c r="E90" s="161" t="str">
        <f>IF(ISNA(VLOOKUP(A90,Declarations!B$6:D$293,3,FALSE)),"",IF(VLOOKUP(A90,Declarations!B$6:D$293,3,FALSE)="","",VLOOKUP(A90,Declarations!B$6:D$293,3,FALSE)))</f>
        <v/>
      </c>
      <c r="F90" s="51" t="str">
        <f>IF(B90="","",IF(ISNA(VLOOKUP(A90,'75m'!F$5:G$302,2,FALSE)),"",VLOOKUP(A90,'75m'!F$5:G$302,2,FALSE)))</f>
        <v/>
      </c>
      <c r="G90" s="51">
        <f>IF(B90="",0,IF(ISNA(VLOOKUP(A90,'75m'!F$5:J$302,5,FALSE)),0,VLOOKUP(A90,'75m'!F$5:J$302,5,FALSE)))</f>
        <v>0</v>
      </c>
      <c r="H90" s="51" t="str">
        <f>IF(B90="","",IF(ISNA(VLOOKUP(A90,'75m'!F$5:K$302,6,FALSE)),"",VLOOKUP(A90,'75m'!F$5:K$302,6,FALSE)))</f>
        <v/>
      </c>
      <c r="I90" s="53">
        <f>IF(B90="",0,IF(ISNA(VLOOKUP(A90,'600m'!F$5:J$302,2,FALSE)),0,VLOOKUP(A90,'600m'!F$5:J$302,2,FALSE)))</f>
        <v>0</v>
      </c>
      <c r="J90" s="51">
        <f>IF(B90="",0,IF(ISNA(VLOOKUP(A90,'600m'!F$5:J$302,5,FALSE)),0,VLOOKUP(A90,'600m'!F$5:J$302,5,FALSE)))</f>
        <v>0</v>
      </c>
      <c r="K90" s="51" t="str">
        <f>IF(B90="","",IF(ISNA(VLOOKUP(A90,'600m'!F$5:K$302,6,FALSE)),"",VLOOKUP(A90,'600m'!F$5:K$302,6,FALSE)))</f>
        <v/>
      </c>
      <c r="L90" s="51" t="str">
        <f>IF(B90="","",IF(ISNA(VLOOKUP(A90,LongJump!F$5:G$302,2,FALSE)),"",VLOOKUP(A90,LongJump!F$5:G$302,2,FALSE)))</f>
        <v/>
      </c>
      <c r="M90" s="51">
        <f>IF(B90="",0,IF(ISNA(VLOOKUP(A90,LongJump!F$5:J$302,5,FALSE)),0,VLOOKUP(A90,LongJump!F$5:J$302,5,FALSE)))</f>
        <v>0</v>
      </c>
      <c r="N90" s="51">
        <f>IF(B90="",0,IF(ISNA(VLOOKUP(A90,LongJump!F$5:K$302,6,FALSE)),0,VLOOKUP(A90,LongJump!F$5:K$302,6,FALSE)))</f>
        <v>0</v>
      </c>
      <c r="O90" s="51" t="str">
        <f>IF(B90="","",IF(ISNA(VLOOKUP(A90,Vortex!F$5:J$302,2,FALSE)),"",VLOOKUP(A90,Vortex!F$5:J$302,2,FALSE)))</f>
        <v/>
      </c>
      <c r="P90" s="51">
        <f>IF(B90="",0,IF(ISNA(VLOOKUP(A90,Vortex!F$5:J$302,5,FALSE)),0,VLOOKUP(A90,Vortex!F$5:J$302,5,FALSE)))</f>
        <v>0</v>
      </c>
      <c r="Q90" s="51">
        <f t="shared" si="14"/>
        <v>0</v>
      </c>
      <c r="R90" s="51" t="str">
        <f t="shared" si="10"/>
        <v/>
      </c>
      <c r="S90" s="51" t="str">
        <f t="shared" si="11"/>
        <v/>
      </c>
      <c r="T90" s="51" t="str">
        <f t="shared" si="12"/>
        <v/>
      </c>
      <c r="U90" s="51" t="str">
        <f t="shared" si="13"/>
        <v/>
      </c>
      <c r="V90" s="4"/>
      <c r="W90" s="4"/>
      <c r="X90" s="4"/>
      <c r="Y90" s="39"/>
      <c r="Z90" s="287"/>
      <c r="AA90" s="287"/>
      <c r="AB90" s="287"/>
      <c r="AC90" s="287"/>
      <c r="AD90" s="287"/>
      <c r="AE90" s="287"/>
      <c r="AF90" s="287"/>
      <c r="AG90" s="287"/>
      <c r="AH90" s="287"/>
      <c r="AI90" s="287"/>
      <c r="AJ90" s="287"/>
      <c r="AK90" s="319"/>
    </row>
    <row r="91" spans="1:41" ht="20" customHeight="1">
      <c r="A91" s="51" t="str">
        <f>IF(Declarations!B43=0,"",Declarations!B43)</f>
        <v/>
      </c>
      <c r="B91" s="161" t="str">
        <f>IF(ISNA(VLOOKUP(A91,Declarations!B$6:C$293,2,FALSE)),"",IF(VLOOKUP(A91,Declarations!B$6:C$293,2,FALSE)="","",VLOOKUP(A91,Declarations!B$6:C$293,2,FALSE)))</f>
        <v/>
      </c>
      <c r="C91" s="161" t="str">
        <f>IF(ISNA(VLOOKUP(A91,Declarations!B$6:F$293,5,FALSE)),"",IF(VLOOKUP(A91,Declarations!B$6:F$293,5,FALSE)="","",VLOOKUP(A91,Declarations!B$6:F$293,5,FALSE)))</f>
        <v/>
      </c>
      <c r="D91" s="161" t="str">
        <f>IF(ISNA(VLOOKUP(A91,Declarations!B$6:F$293,4,FALSE)),"",IF(VLOOKUP(A91,Declarations!B$6:F$293,4,FALSE)="","",VLOOKUP(A91,Declarations!B$6:F$293,4,FALSE)))</f>
        <v/>
      </c>
      <c r="E91" s="161" t="str">
        <f>IF(ISNA(VLOOKUP(A91,Declarations!B$6:D$293,3,FALSE)),"",IF(VLOOKUP(A91,Declarations!B$6:D$293,3,FALSE)="","",VLOOKUP(A91,Declarations!B$6:D$293,3,FALSE)))</f>
        <v/>
      </c>
      <c r="F91" s="51" t="str">
        <f>IF(B91="","",IF(ISNA(VLOOKUP(A91,'75m'!F$5:G$302,2,FALSE)),"",VLOOKUP(A91,'75m'!F$5:G$302,2,FALSE)))</f>
        <v/>
      </c>
      <c r="G91" s="51">
        <f>IF(B91="",0,IF(ISNA(VLOOKUP(A91,'75m'!F$5:J$302,5,FALSE)),0,VLOOKUP(A91,'75m'!F$5:J$302,5,FALSE)))</f>
        <v>0</v>
      </c>
      <c r="H91" s="51" t="str">
        <f>IF(B91="","",IF(ISNA(VLOOKUP(A91,'75m'!F$5:K$302,6,FALSE)),"",VLOOKUP(A91,'75m'!F$5:K$302,6,FALSE)))</f>
        <v/>
      </c>
      <c r="I91" s="53">
        <f>IF(B91="",0,IF(ISNA(VLOOKUP(A91,'600m'!F$5:J$302,2,FALSE)),0,VLOOKUP(A91,'600m'!F$5:J$302,2,FALSE)))</f>
        <v>0</v>
      </c>
      <c r="J91" s="51">
        <f>IF(B91="",0,IF(ISNA(VLOOKUP(A91,'600m'!F$5:J$302,5,FALSE)),0,VLOOKUP(A91,'600m'!F$5:J$302,5,FALSE)))</f>
        <v>0</v>
      </c>
      <c r="K91" s="51" t="str">
        <f>IF(B91="","",IF(ISNA(VLOOKUP(A91,'600m'!F$5:K$302,6,FALSE)),"",VLOOKUP(A91,'600m'!F$5:K$302,6,FALSE)))</f>
        <v/>
      </c>
      <c r="L91" s="51" t="str">
        <f>IF(B91="","",IF(ISNA(VLOOKUP(A91,LongJump!F$5:G$302,2,FALSE)),"",VLOOKUP(A91,LongJump!F$5:G$302,2,FALSE)))</f>
        <v/>
      </c>
      <c r="M91" s="51">
        <f>IF(B91="",0,IF(ISNA(VLOOKUP(A91,LongJump!F$5:J$302,5,FALSE)),0,VLOOKUP(A91,LongJump!F$5:J$302,5,FALSE)))</f>
        <v>0</v>
      </c>
      <c r="N91" s="51">
        <f>IF(B91="",0,IF(ISNA(VLOOKUP(A91,LongJump!F$5:K$302,6,FALSE)),0,VLOOKUP(A91,LongJump!F$5:K$302,6,FALSE)))</f>
        <v>0</v>
      </c>
      <c r="O91" s="51" t="str">
        <f>IF(B91="","",IF(ISNA(VLOOKUP(A91,Vortex!F$5:J$302,2,FALSE)),"",VLOOKUP(A91,Vortex!F$5:J$302,2,FALSE)))</f>
        <v/>
      </c>
      <c r="P91" s="51">
        <f>IF(B91="",0,IF(ISNA(VLOOKUP(A91,Vortex!F$5:J$302,5,FALSE)),0,VLOOKUP(A91,Vortex!F$5:J$302,5,FALSE)))</f>
        <v>0</v>
      </c>
      <c r="Q91" s="51">
        <f t="shared" si="14"/>
        <v>0</v>
      </c>
      <c r="R91" s="51" t="str">
        <f t="shared" si="10"/>
        <v/>
      </c>
      <c r="S91" s="51" t="str">
        <f t="shared" si="11"/>
        <v/>
      </c>
      <c r="T91" s="51" t="str">
        <f t="shared" si="12"/>
        <v/>
      </c>
      <c r="U91" s="51" t="str">
        <f t="shared" si="13"/>
        <v/>
      </c>
      <c r="V91" s="4"/>
      <c r="W91" s="4"/>
      <c r="X91" s="4"/>
      <c r="Y91" s="1"/>
      <c r="Z91" s="287"/>
      <c r="AA91" s="287"/>
      <c r="AB91" s="287"/>
      <c r="AC91" s="287"/>
      <c r="AD91" s="287"/>
      <c r="AE91" s="287"/>
      <c r="AF91" s="287"/>
      <c r="AG91" s="287"/>
      <c r="AH91" s="287"/>
      <c r="AI91" s="287"/>
      <c r="AJ91" s="287"/>
      <c r="AK91" s="319"/>
    </row>
    <row r="92" spans="1:41" ht="20" customHeight="1">
      <c r="A92" s="51" t="str">
        <f>IF(Declarations!B44=0,"",Declarations!B44)</f>
        <v/>
      </c>
      <c r="B92" s="161" t="str">
        <f>IF(ISNA(VLOOKUP(A92,Declarations!B$6:C$293,2,FALSE)),"",IF(VLOOKUP(A92,Declarations!B$6:C$293,2,FALSE)="","",VLOOKUP(A92,Declarations!B$6:C$293,2,FALSE)))</f>
        <v/>
      </c>
      <c r="C92" s="161" t="str">
        <f>IF(ISNA(VLOOKUP(A92,Declarations!B$6:F$293,5,FALSE)),"",IF(VLOOKUP(A92,Declarations!B$6:F$293,5,FALSE)="","",VLOOKUP(A92,Declarations!B$6:F$293,5,FALSE)))</f>
        <v/>
      </c>
      <c r="D92" s="161" t="str">
        <f>IF(ISNA(VLOOKUP(A92,Declarations!B$6:F$293,4,FALSE)),"",IF(VLOOKUP(A92,Declarations!B$6:F$293,4,FALSE)="","",VLOOKUP(A92,Declarations!B$6:F$293,4,FALSE)))</f>
        <v/>
      </c>
      <c r="E92" s="161" t="str">
        <f>IF(ISNA(VLOOKUP(A92,Declarations!B$6:D$293,3,FALSE)),"",IF(VLOOKUP(A92,Declarations!B$6:D$293,3,FALSE)="","",VLOOKUP(A92,Declarations!B$6:D$293,3,FALSE)))</f>
        <v/>
      </c>
      <c r="F92" s="51" t="str">
        <f>IF(B92="","",IF(ISNA(VLOOKUP(A92,'75m'!F$5:G$302,2,FALSE)),"",VLOOKUP(A92,'75m'!F$5:G$302,2,FALSE)))</f>
        <v/>
      </c>
      <c r="G92" s="51">
        <f>IF(B92="",0,IF(ISNA(VLOOKUP(A92,'75m'!F$5:J$302,5,FALSE)),0,VLOOKUP(A92,'75m'!F$5:J$302,5,FALSE)))</f>
        <v>0</v>
      </c>
      <c r="H92" s="51" t="str">
        <f>IF(B92="","",IF(ISNA(VLOOKUP(A92,'75m'!F$5:K$302,6,FALSE)),"",VLOOKUP(A92,'75m'!F$5:K$302,6,FALSE)))</f>
        <v/>
      </c>
      <c r="I92" s="53">
        <f>IF(B92="",0,IF(ISNA(VLOOKUP(A92,'600m'!F$5:J$302,2,FALSE)),0,VLOOKUP(A92,'600m'!F$5:J$302,2,FALSE)))</f>
        <v>0</v>
      </c>
      <c r="J92" s="51">
        <f>IF(B92="",0,IF(ISNA(VLOOKUP(A92,'600m'!F$5:J$302,5,FALSE)),0,VLOOKUP(A92,'600m'!F$5:J$302,5,FALSE)))</f>
        <v>0</v>
      </c>
      <c r="K92" s="51" t="str">
        <f>IF(B92="","",IF(ISNA(VLOOKUP(A92,'600m'!F$5:K$302,6,FALSE)),"",VLOOKUP(A92,'600m'!F$5:K$302,6,FALSE)))</f>
        <v/>
      </c>
      <c r="L92" s="51" t="str">
        <f>IF(B92="","",IF(ISNA(VLOOKUP(A92,LongJump!F$5:G$302,2,FALSE)),"",VLOOKUP(A92,LongJump!F$5:G$302,2,FALSE)))</f>
        <v/>
      </c>
      <c r="M92" s="51">
        <f>IF(B92="",0,IF(ISNA(VLOOKUP(A92,LongJump!F$5:J$302,5,FALSE)),0,VLOOKUP(A92,LongJump!F$5:J$302,5,FALSE)))</f>
        <v>0</v>
      </c>
      <c r="N92" s="51">
        <f>IF(B92="",0,IF(ISNA(VLOOKUP(A92,LongJump!F$5:K$302,6,FALSE)),0,VLOOKUP(A92,LongJump!F$5:K$302,6,FALSE)))</f>
        <v>0</v>
      </c>
      <c r="O92" s="51" t="str">
        <f>IF(B92="","",IF(ISNA(VLOOKUP(A92,Vortex!F$5:J$302,2,FALSE)),"",VLOOKUP(A92,Vortex!F$5:J$302,2,FALSE)))</f>
        <v/>
      </c>
      <c r="P92" s="51">
        <f>IF(B92="",0,IF(ISNA(VLOOKUP(A92,Vortex!F$5:J$302,5,FALSE)),0,VLOOKUP(A92,Vortex!F$5:J$302,5,FALSE)))</f>
        <v>0</v>
      </c>
      <c r="Q92" s="51">
        <f t="shared" si="14"/>
        <v>0</v>
      </c>
      <c r="R92" s="51" t="str">
        <f t="shared" si="10"/>
        <v/>
      </c>
      <c r="S92" s="51" t="str">
        <f t="shared" si="11"/>
        <v/>
      </c>
      <c r="T92" s="51" t="str">
        <f t="shared" si="12"/>
        <v/>
      </c>
      <c r="U92" s="51" t="str">
        <f t="shared" si="13"/>
        <v/>
      </c>
      <c r="V92" s="4"/>
      <c r="W92" s="4"/>
      <c r="X92" s="4"/>
      <c r="Y92" s="39"/>
      <c r="Z92" s="287"/>
      <c r="AA92" s="287"/>
      <c r="AB92" s="287"/>
      <c r="AC92" s="287"/>
      <c r="AD92" s="287"/>
      <c r="AE92" s="287"/>
      <c r="AF92" s="287"/>
      <c r="AG92" s="287"/>
      <c r="AH92" s="287"/>
      <c r="AI92" s="287"/>
      <c r="AJ92" s="287"/>
      <c r="AK92" s="319"/>
    </row>
    <row r="93" spans="1:41" ht="20" customHeight="1">
      <c r="A93" s="51" t="str">
        <f>IF(Declarations!B45=0,"",Declarations!B45)</f>
        <v/>
      </c>
      <c r="B93" s="161" t="str">
        <f>IF(ISNA(VLOOKUP(A93,Declarations!B$6:C$293,2,FALSE)),"",IF(VLOOKUP(A93,Declarations!B$6:C$293,2,FALSE)="","",VLOOKUP(A93,Declarations!B$6:C$293,2,FALSE)))</f>
        <v/>
      </c>
      <c r="C93" s="161" t="str">
        <f>IF(ISNA(VLOOKUP(A93,Declarations!B$6:F$293,5,FALSE)),"",IF(VLOOKUP(A93,Declarations!B$6:F$293,5,FALSE)="","",VLOOKUP(A93,Declarations!B$6:F$293,5,FALSE)))</f>
        <v/>
      </c>
      <c r="D93" s="161" t="str">
        <f>IF(ISNA(VLOOKUP(A93,Declarations!B$6:F$293,4,FALSE)),"",IF(VLOOKUP(A93,Declarations!B$6:F$293,4,FALSE)="","",VLOOKUP(A93,Declarations!B$6:F$293,4,FALSE)))</f>
        <v/>
      </c>
      <c r="E93" s="161" t="str">
        <f>IF(ISNA(VLOOKUP(A93,Declarations!B$6:D$293,3,FALSE)),"",IF(VLOOKUP(A93,Declarations!B$6:D$293,3,FALSE)="","",VLOOKUP(A93,Declarations!B$6:D$293,3,FALSE)))</f>
        <v/>
      </c>
      <c r="F93" s="51" t="str">
        <f>IF(B93="","",IF(ISNA(VLOOKUP(A93,'75m'!F$5:G$302,2,FALSE)),"",VLOOKUP(A93,'75m'!F$5:G$302,2,FALSE)))</f>
        <v/>
      </c>
      <c r="G93" s="51">
        <f>IF(B93="",0,IF(ISNA(VLOOKUP(A93,'75m'!F$5:J$302,5,FALSE)),0,VLOOKUP(A93,'75m'!F$5:J$302,5,FALSE)))</f>
        <v>0</v>
      </c>
      <c r="H93" s="51" t="str">
        <f>IF(B93="","",IF(ISNA(VLOOKUP(A93,'75m'!F$5:K$302,6,FALSE)),"",VLOOKUP(A93,'75m'!F$5:K$302,6,FALSE)))</f>
        <v/>
      </c>
      <c r="I93" s="53">
        <f>IF(B93="",0,IF(ISNA(VLOOKUP(A93,'600m'!F$5:J$302,2,FALSE)),0,VLOOKUP(A93,'600m'!F$5:J$302,2,FALSE)))</f>
        <v>0</v>
      </c>
      <c r="J93" s="51">
        <f>IF(B93="",0,IF(ISNA(VLOOKUP(A93,'600m'!F$5:J$302,5,FALSE)),0,VLOOKUP(A93,'600m'!F$5:J$302,5,FALSE)))</f>
        <v>0</v>
      </c>
      <c r="K93" s="51" t="str">
        <f>IF(B93="","",IF(ISNA(VLOOKUP(A93,'600m'!F$5:K$302,6,FALSE)),"",VLOOKUP(A93,'600m'!F$5:K$302,6,FALSE)))</f>
        <v/>
      </c>
      <c r="L93" s="51" t="str">
        <f>IF(B93="","",IF(ISNA(VLOOKUP(A93,LongJump!F$5:G$302,2,FALSE)),"",VLOOKUP(A93,LongJump!F$5:G$302,2,FALSE)))</f>
        <v/>
      </c>
      <c r="M93" s="51">
        <f>IF(B93="",0,IF(ISNA(VLOOKUP(A93,LongJump!F$5:J$302,5,FALSE)),0,VLOOKUP(A93,LongJump!F$5:J$302,5,FALSE)))</f>
        <v>0</v>
      </c>
      <c r="N93" s="51">
        <f>IF(B93="",0,IF(ISNA(VLOOKUP(A93,LongJump!F$5:K$302,6,FALSE)),0,VLOOKUP(A93,LongJump!F$5:K$302,6,FALSE)))</f>
        <v>0</v>
      </c>
      <c r="O93" s="51" t="str">
        <f>IF(B93="","",IF(ISNA(VLOOKUP(A93,Vortex!F$5:J$302,2,FALSE)),"",VLOOKUP(A93,Vortex!F$5:J$302,2,FALSE)))</f>
        <v/>
      </c>
      <c r="P93" s="51">
        <f>IF(B93="",0,IF(ISNA(VLOOKUP(A93,Vortex!F$5:J$302,5,FALSE)),0,VLOOKUP(A93,Vortex!F$5:J$302,5,FALSE)))</f>
        <v>0</v>
      </c>
      <c r="Q93" s="51">
        <f t="shared" si="14"/>
        <v>0</v>
      </c>
      <c r="R93" s="51" t="str">
        <f t="shared" si="10"/>
        <v/>
      </c>
      <c r="S93" s="51" t="str">
        <f t="shared" si="11"/>
        <v/>
      </c>
      <c r="T93" s="51" t="str">
        <f t="shared" si="12"/>
        <v/>
      </c>
      <c r="U93" s="51" t="str">
        <f t="shared" si="13"/>
        <v/>
      </c>
      <c r="V93" s="4"/>
      <c r="W93" s="4"/>
      <c r="X93" s="4"/>
      <c r="Y93" s="39"/>
      <c r="Z93" s="287"/>
      <c r="AA93" s="287"/>
      <c r="AB93" s="287"/>
      <c r="AC93" s="287"/>
      <c r="AD93" s="287"/>
      <c r="AE93" s="287"/>
      <c r="AF93" s="287"/>
      <c r="AG93" s="287"/>
      <c r="AH93" s="287"/>
      <c r="AI93" s="287"/>
      <c r="AJ93" s="287"/>
      <c r="AK93" s="319"/>
    </row>
    <row r="94" spans="1:41" ht="20" customHeight="1">
      <c r="A94" s="51" t="str">
        <f>IF(Declarations!B46=0,"",Declarations!B46)</f>
        <v/>
      </c>
      <c r="B94" s="161" t="str">
        <f>IF(ISNA(VLOOKUP(A94,Declarations!B$6:C$293,2,FALSE)),"",IF(VLOOKUP(A94,Declarations!B$6:C$293,2,FALSE)="","",VLOOKUP(A94,Declarations!B$6:C$293,2,FALSE)))</f>
        <v/>
      </c>
      <c r="C94" s="161" t="str">
        <f>IF(ISNA(VLOOKUP(A94,Declarations!B$6:F$293,5,FALSE)),"",IF(VLOOKUP(A94,Declarations!B$6:F$293,5,FALSE)="","",VLOOKUP(A94,Declarations!B$6:F$293,5,FALSE)))</f>
        <v/>
      </c>
      <c r="D94" s="161" t="str">
        <f>IF(ISNA(VLOOKUP(A94,Declarations!B$6:F$293,4,FALSE)),"",IF(VLOOKUP(A94,Declarations!B$6:F$293,4,FALSE)="","",VLOOKUP(A94,Declarations!B$6:F$293,4,FALSE)))</f>
        <v/>
      </c>
      <c r="E94" s="161" t="str">
        <f>IF(ISNA(VLOOKUP(A94,Declarations!B$6:D$293,3,FALSE)),"",IF(VLOOKUP(A94,Declarations!B$6:D$293,3,FALSE)="","",VLOOKUP(A94,Declarations!B$6:D$293,3,FALSE)))</f>
        <v/>
      </c>
      <c r="F94" s="51" t="str">
        <f>IF(B94="","",IF(ISNA(VLOOKUP(A94,'75m'!F$5:G$302,2,FALSE)),"",VLOOKUP(A94,'75m'!F$5:G$302,2,FALSE)))</f>
        <v/>
      </c>
      <c r="G94" s="51">
        <f>IF(B94="",0,IF(ISNA(VLOOKUP(A94,'75m'!F$5:J$302,5,FALSE)),0,VLOOKUP(A94,'75m'!F$5:J$302,5,FALSE)))</f>
        <v>0</v>
      </c>
      <c r="H94" s="51" t="str">
        <f>IF(B94="","",IF(ISNA(VLOOKUP(A94,'75m'!F$5:K$302,6,FALSE)),"",VLOOKUP(A94,'75m'!F$5:K$302,6,FALSE)))</f>
        <v/>
      </c>
      <c r="I94" s="53">
        <f>IF(B94="",0,IF(ISNA(VLOOKUP(A94,'600m'!F$5:J$302,2,FALSE)),0,VLOOKUP(A94,'600m'!F$5:J$302,2,FALSE)))</f>
        <v>0</v>
      </c>
      <c r="J94" s="51">
        <f>IF(B94="",0,IF(ISNA(VLOOKUP(A94,'600m'!F$5:J$302,5,FALSE)),0,VLOOKUP(A94,'600m'!F$5:J$302,5,FALSE)))</f>
        <v>0</v>
      </c>
      <c r="K94" s="51" t="str">
        <f>IF(B94="","",IF(ISNA(VLOOKUP(A94,'600m'!F$5:K$302,6,FALSE)),"",VLOOKUP(A94,'600m'!F$5:K$302,6,FALSE)))</f>
        <v/>
      </c>
      <c r="L94" s="51" t="str">
        <f>IF(B94="","",IF(ISNA(VLOOKUP(A94,LongJump!F$5:G$302,2,FALSE)),"",VLOOKUP(A94,LongJump!F$5:G$302,2,FALSE)))</f>
        <v/>
      </c>
      <c r="M94" s="51">
        <f>IF(B94="",0,IF(ISNA(VLOOKUP(A94,LongJump!F$5:J$302,5,FALSE)),0,VLOOKUP(A94,LongJump!F$5:J$302,5,FALSE)))</f>
        <v>0</v>
      </c>
      <c r="N94" s="51">
        <f>IF(B94="",0,IF(ISNA(VLOOKUP(A94,LongJump!F$5:K$302,6,FALSE)),0,VLOOKUP(A94,LongJump!F$5:K$302,6,FALSE)))</f>
        <v>0</v>
      </c>
      <c r="O94" s="51" t="str">
        <f>IF(B94="","",IF(ISNA(VLOOKUP(A94,Vortex!F$5:J$302,2,FALSE)),"",VLOOKUP(A94,Vortex!F$5:J$302,2,FALSE)))</f>
        <v/>
      </c>
      <c r="P94" s="51">
        <f>IF(B94="",0,IF(ISNA(VLOOKUP(A94,Vortex!F$5:J$302,5,FALSE)),0,VLOOKUP(A94,Vortex!F$5:J$302,5,FALSE)))</f>
        <v>0</v>
      </c>
      <c r="Q94" s="51">
        <f t="shared" si="14"/>
        <v>0</v>
      </c>
      <c r="R94" s="51" t="str">
        <f t="shared" si="10"/>
        <v/>
      </c>
      <c r="S94" s="51" t="str">
        <f t="shared" si="11"/>
        <v/>
      </c>
      <c r="T94" s="51" t="str">
        <f t="shared" si="12"/>
        <v/>
      </c>
      <c r="U94" s="51" t="str">
        <f t="shared" si="13"/>
        <v/>
      </c>
      <c r="V94" s="4"/>
      <c r="W94" s="4"/>
      <c r="X94" s="4"/>
      <c r="Y94" s="39"/>
      <c r="Z94" s="287"/>
      <c r="AA94" s="287"/>
      <c r="AB94" s="287"/>
      <c r="AC94" s="287"/>
      <c r="AD94" s="287"/>
      <c r="AE94" s="287"/>
      <c r="AF94" s="287"/>
      <c r="AG94" s="287"/>
      <c r="AH94" s="287"/>
      <c r="AI94" s="287"/>
      <c r="AJ94" s="287"/>
      <c r="AK94" s="319"/>
    </row>
    <row r="95" spans="1:41" ht="20" customHeight="1">
      <c r="A95" s="51" t="str">
        <f>IF(Declarations!B47=0,"",Declarations!B47)</f>
        <v/>
      </c>
      <c r="B95" s="161" t="str">
        <f>IF(ISNA(VLOOKUP(A95,Declarations!B$6:C$293,2,FALSE)),"",IF(VLOOKUP(A95,Declarations!B$6:C$293,2,FALSE)="","",VLOOKUP(A95,Declarations!B$6:C$293,2,FALSE)))</f>
        <v/>
      </c>
      <c r="C95" s="161" t="str">
        <f>IF(ISNA(VLOOKUP(A95,Declarations!B$6:F$293,5,FALSE)),"",IF(VLOOKUP(A95,Declarations!B$6:F$293,5,FALSE)="","",VLOOKUP(A95,Declarations!B$6:F$293,5,FALSE)))</f>
        <v/>
      </c>
      <c r="D95" s="161" t="str">
        <f>IF(ISNA(VLOOKUP(A95,Declarations!B$6:F$293,4,FALSE)),"",IF(VLOOKUP(A95,Declarations!B$6:F$293,4,FALSE)="","",VLOOKUP(A95,Declarations!B$6:F$293,4,FALSE)))</f>
        <v/>
      </c>
      <c r="E95" s="161" t="str">
        <f>IF(ISNA(VLOOKUP(A95,Declarations!B$6:D$293,3,FALSE)),"",IF(VLOOKUP(A95,Declarations!B$6:D$293,3,FALSE)="","",VLOOKUP(A95,Declarations!B$6:D$293,3,FALSE)))</f>
        <v/>
      </c>
      <c r="F95" s="51" t="str">
        <f>IF(B95="","",IF(ISNA(VLOOKUP(A95,'75m'!F$5:G$302,2,FALSE)),"",VLOOKUP(A95,'75m'!F$5:G$302,2,FALSE)))</f>
        <v/>
      </c>
      <c r="G95" s="51">
        <f>IF(B95="",0,IF(ISNA(VLOOKUP(A95,'75m'!F$5:J$302,5,FALSE)),0,VLOOKUP(A95,'75m'!F$5:J$302,5,FALSE)))</f>
        <v>0</v>
      </c>
      <c r="H95" s="51" t="str">
        <f>IF(B95="","",IF(ISNA(VLOOKUP(A95,'75m'!F$5:K$302,6,FALSE)),"",VLOOKUP(A95,'75m'!F$5:K$302,6,FALSE)))</f>
        <v/>
      </c>
      <c r="I95" s="53">
        <f>IF(B95="",0,IF(ISNA(VLOOKUP(A95,'600m'!F$5:J$302,2,FALSE)),0,VLOOKUP(A95,'600m'!F$5:J$302,2,FALSE)))</f>
        <v>0</v>
      </c>
      <c r="J95" s="51">
        <f>IF(B95="",0,IF(ISNA(VLOOKUP(A95,'600m'!F$5:J$302,5,FALSE)),0,VLOOKUP(A95,'600m'!F$5:J$302,5,FALSE)))</f>
        <v>0</v>
      </c>
      <c r="K95" s="51" t="str">
        <f>IF(B95="","",IF(ISNA(VLOOKUP(A95,'600m'!F$5:K$302,6,FALSE)),"",VLOOKUP(A95,'600m'!F$5:K$302,6,FALSE)))</f>
        <v/>
      </c>
      <c r="L95" s="51" t="str">
        <f>IF(B95="","",IF(ISNA(VLOOKUP(A95,LongJump!F$5:G$302,2,FALSE)),"",VLOOKUP(A95,LongJump!F$5:G$302,2,FALSE)))</f>
        <v/>
      </c>
      <c r="M95" s="51">
        <f>IF(B95="",0,IF(ISNA(VLOOKUP(A95,LongJump!F$5:J$302,5,FALSE)),0,VLOOKUP(A95,LongJump!F$5:J$302,5,FALSE)))</f>
        <v>0</v>
      </c>
      <c r="N95" s="51">
        <f>IF(B95="",0,IF(ISNA(VLOOKUP(A95,LongJump!F$5:K$302,6,FALSE)),0,VLOOKUP(A95,LongJump!F$5:K$302,6,FALSE)))</f>
        <v>0</v>
      </c>
      <c r="O95" s="51" t="str">
        <f>IF(B95="","",IF(ISNA(VLOOKUP(A95,Vortex!F$5:J$302,2,FALSE)),"",VLOOKUP(A95,Vortex!F$5:J$302,2,FALSE)))</f>
        <v/>
      </c>
      <c r="P95" s="51">
        <f>IF(B95="",0,IF(ISNA(VLOOKUP(A95,Vortex!F$5:J$302,5,FALSE)),0,VLOOKUP(A95,Vortex!F$5:J$302,5,FALSE)))</f>
        <v>0</v>
      </c>
      <c r="Q95" s="51">
        <f t="shared" si="14"/>
        <v>0</v>
      </c>
      <c r="R95" s="51" t="str">
        <f t="shared" si="10"/>
        <v/>
      </c>
      <c r="S95" s="51" t="str">
        <f t="shared" si="11"/>
        <v/>
      </c>
      <c r="T95" s="51" t="str">
        <f t="shared" si="12"/>
        <v/>
      </c>
      <c r="U95" s="51" t="str">
        <f t="shared" si="13"/>
        <v/>
      </c>
      <c r="V95" s="4"/>
      <c r="W95" s="4"/>
      <c r="X95" s="4"/>
      <c r="Y95" s="39"/>
      <c r="Z95" s="287"/>
      <c r="AA95" s="287"/>
      <c r="AB95" s="287"/>
      <c r="AC95" s="287"/>
      <c r="AD95" s="287"/>
      <c r="AE95" s="287"/>
      <c r="AF95" s="287"/>
      <c r="AG95" s="287"/>
      <c r="AH95" s="287"/>
      <c r="AI95" s="287"/>
      <c r="AJ95" s="287"/>
      <c r="AK95" s="319"/>
      <c r="AL95" s="9"/>
      <c r="AM95" s="9"/>
      <c r="AN95" s="9"/>
      <c r="AO95" s="9"/>
    </row>
    <row r="96" spans="1:41" s="9" customFormat="1" ht="20" customHeight="1">
      <c r="A96" s="51" t="str">
        <f>IF(Declarations!B48=0,"",Declarations!B48)</f>
        <v/>
      </c>
      <c r="B96" s="161" t="str">
        <f>IF(ISNA(VLOOKUP(A96,Declarations!B$6:C$293,2,FALSE)),"",IF(VLOOKUP(A96,Declarations!B$6:C$293,2,FALSE)="","",VLOOKUP(A96,Declarations!B$6:C$293,2,FALSE)))</f>
        <v/>
      </c>
      <c r="C96" s="161" t="str">
        <f>IF(ISNA(VLOOKUP(A96,Declarations!B$6:F$293,5,FALSE)),"",IF(VLOOKUP(A96,Declarations!B$6:F$293,5,FALSE)="","",VLOOKUP(A96,Declarations!B$6:F$293,5,FALSE)))</f>
        <v/>
      </c>
      <c r="D96" s="161" t="str">
        <f>IF(ISNA(VLOOKUP(A96,Declarations!B$6:F$293,4,FALSE)),"",IF(VLOOKUP(A96,Declarations!B$6:F$293,4,FALSE)="","",VLOOKUP(A96,Declarations!B$6:F$293,4,FALSE)))</f>
        <v/>
      </c>
      <c r="E96" s="161" t="str">
        <f>IF(ISNA(VLOOKUP(A96,Declarations!B$6:D$293,3,FALSE)),"",IF(VLOOKUP(A96,Declarations!B$6:D$293,3,FALSE)="","",VLOOKUP(A96,Declarations!B$6:D$293,3,FALSE)))</f>
        <v/>
      </c>
      <c r="F96" s="51" t="str">
        <f>IF(B96="","",IF(ISNA(VLOOKUP(A96,'75m'!F$5:G$302,2,FALSE)),"",VLOOKUP(A96,'75m'!F$5:G$302,2,FALSE)))</f>
        <v/>
      </c>
      <c r="G96" s="51">
        <f>IF(B96="",0,IF(ISNA(VLOOKUP(A96,'75m'!F$5:J$302,5,FALSE)),0,VLOOKUP(A96,'75m'!F$5:J$302,5,FALSE)))</f>
        <v>0</v>
      </c>
      <c r="H96" s="51" t="str">
        <f>IF(B96="","",IF(ISNA(VLOOKUP(A96,'75m'!F$5:K$302,6,FALSE)),"",VLOOKUP(A96,'75m'!F$5:K$302,6,FALSE)))</f>
        <v/>
      </c>
      <c r="I96" s="53">
        <f>IF(B96="",0,IF(ISNA(VLOOKUP(A96,'600m'!F$5:J$302,2,FALSE)),0,VLOOKUP(A96,'600m'!F$5:J$302,2,FALSE)))</f>
        <v>0</v>
      </c>
      <c r="J96" s="51">
        <f>IF(B96="",0,IF(ISNA(VLOOKUP(A96,'600m'!F$5:J$302,5,FALSE)),0,VLOOKUP(A96,'600m'!F$5:J$302,5,FALSE)))</f>
        <v>0</v>
      </c>
      <c r="K96" s="51" t="str">
        <f>IF(B96="","",IF(ISNA(VLOOKUP(A96,'600m'!F$5:K$302,6,FALSE)),"",VLOOKUP(A96,'600m'!F$5:K$302,6,FALSE)))</f>
        <v/>
      </c>
      <c r="L96" s="51" t="str">
        <f>IF(B96="","",IF(ISNA(VLOOKUP(A96,LongJump!F$5:G$302,2,FALSE)),"",VLOOKUP(A96,LongJump!F$5:G$302,2,FALSE)))</f>
        <v/>
      </c>
      <c r="M96" s="51">
        <f>IF(B96="",0,IF(ISNA(VLOOKUP(A96,LongJump!F$5:J$302,5,FALSE)),0,VLOOKUP(A96,LongJump!F$5:J$302,5,FALSE)))</f>
        <v>0</v>
      </c>
      <c r="N96" s="51">
        <f>IF(B96="",0,IF(ISNA(VLOOKUP(A96,LongJump!F$5:K$302,6,FALSE)),0,VLOOKUP(A96,LongJump!F$5:K$302,6,FALSE)))</f>
        <v>0</v>
      </c>
      <c r="O96" s="51" t="str">
        <f>IF(B96="","",IF(ISNA(VLOOKUP(A96,Vortex!F$5:J$302,2,FALSE)),"",VLOOKUP(A96,Vortex!F$5:J$302,2,FALSE)))</f>
        <v/>
      </c>
      <c r="P96" s="51">
        <f>IF(B96="",0,IF(ISNA(VLOOKUP(A96,Vortex!F$5:J$302,5,FALSE)),0,VLOOKUP(A96,Vortex!F$5:J$302,5,FALSE)))</f>
        <v>0</v>
      </c>
      <c r="Q96" s="51">
        <f t="shared" si="14"/>
        <v>0</v>
      </c>
      <c r="R96" s="51" t="str">
        <f t="shared" si="10"/>
        <v/>
      </c>
      <c r="S96" s="51" t="str">
        <f t="shared" si="11"/>
        <v/>
      </c>
      <c r="T96" s="51" t="str">
        <f t="shared" si="12"/>
        <v/>
      </c>
      <c r="U96" s="51" t="str">
        <f t="shared" si="13"/>
        <v/>
      </c>
      <c r="V96" s="4"/>
      <c r="W96" s="4"/>
      <c r="X96" s="4"/>
      <c r="Y96" s="39"/>
      <c r="Z96" s="287"/>
      <c r="AA96" s="287"/>
      <c r="AB96" s="287"/>
      <c r="AC96" s="287"/>
      <c r="AD96" s="287"/>
      <c r="AE96" s="287"/>
      <c r="AF96" s="287"/>
      <c r="AG96" s="287"/>
      <c r="AH96" s="287"/>
      <c r="AI96" s="287"/>
      <c r="AJ96" s="287"/>
      <c r="AK96" s="319"/>
    </row>
    <row r="97" spans="1:41" s="9" customFormat="1" ht="20" customHeight="1">
      <c r="A97" s="51" t="str">
        <f>IF(Declarations!B49=0,"",Declarations!B49)</f>
        <v/>
      </c>
      <c r="B97" s="161" t="str">
        <f>IF(ISNA(VLOOKUP(A97,Declarations!B$6:C$293,2,FALSE)),"",IF(VLOOKUP(A97,Declarations!B$6:C$293,2,FALSE)="","",VLOOKUP(A97,Declarations!B$6:C$293,2,FALSE)))</f>
        <v/>
      </c>
      <c r="C97" s="161" t="str">
        <f>IF(ISNA(VLOOKUP(A97,Declarations!B$6:F$293,5,FALSE)),"",IF(VLOOKUP(A97,Declarations!B$6:F$293,5,FALSE)="","",VLOOKUP(A97,Declarations!B$6:F$293,5,FALSE)))</f>
        <v/>
      </c>
      <c r="D97" s="161" t="str">
        <f>IF(ISNA(VLOOKUP(A97,Declarations!B$6:F$293,4,FALSE)),"",IF(VLOOKUP(A97,Declarations!B$6:F$293,4,FALSE)="","",VLOOKUP(A97,Declarations!B$6:F$293,4,FALSE)))</f>
        <v/>
      </c>
      <c r="E97" s="161" t="str">
        <f>IF(ISNA(VLOOKUP(A97,Declarations!B$6:D$293,3,FALSE)),"",IF(VLOOKUP(A97,Declarations!B$6:D$293,3,FALSE)="","",VLOOKUP(A97,Declarations!B$6:D$293,3,FALSE)))</f>
        <v/>
      </c>
      <c r="F97" s="51" t="str">
        <f>IF(B97="","",IF(ISNA(VLOOKUP(A97,'75m'!F$5:G$302,2,FALSE)),"",VLOOKUP(A97,'75m'!F$5:G$302,2,FALSE)))</f>
        <v/>
      </c>
      <c r="G97" s="51">
        <f>IF(B97="",0,IF(ISNA(VLOOKUP(A97,'75m'!F$5:J$302,5,FALSE)),0,VLOOKUP(A97,'75m'!F$5:J$302,5,FALSE)))</f>
        <v>0</v>
      </c>
      <c r="H97" s="51" t="str">
        <f>IF(B97="","",IF(ISNA(VLOOKUP(A97,'75m'!F$5:K$302,6,FALSE)),"",VLOOKUP(A97,'75m'!F$5:K$302,6,FALSE)))</f>
        <v/>
      </c>
      <c r="I97" s="53">
        <f>IF(B97="",0,IF(ISNA(VLOOKUP(A97,'600m'!F$5:J$302,2,FALSE)),0,VLOOKUP(A97,'600m'!F$5:J$302,2,FALSE)))</f>
        <v>0</v>
      </c>
      <c r="J97" s="51">
        <f>IF(B97="",0,IF(ISNA(VLOOKUP(A97,'600m'!F$5:J$302,5,FALSE)),0,VLOOKUP(A97,'600m'!F$5:J$302,5,FALSE)))</f>
        <v>0</v>
      </c>
      <c r="K97" s="51" t="str">
        <f>IF(B97="","",IF(ISNA(VLOOKUP(A97,'600m'!F$5:K$302,6,FALSE)),"",VLOOKUP(A97,'600m'!F$5:K$302,6,FALSE)))</f>
        <v/>
      </c>
      <c r="L97" s="51" t="str">
        <f>IF(B97="","",IF(ISNA(VLOOKUP(A97,LongJump!F$5:G$302,2,FALSE)),"",VLOOKUP(A97,LongJump!F$5:G$302,2,FALSE)))</f>
        <v/>
      </c>
      <c r="M97" s="51">
        <f>IF(B97="",0,IF(ISNA(VLOOKUP(A97,LongJump!F$5:J$302,5,FALSE)),0,VLOOKUP(A97,LongJump!F$5:J$302,5,FALSE)))</f>
        <v>0</v>
      </c>
      <c r="N97" s="51">
        <f>IF(B97="",0,IF(ISNA(VLOOKUP(A97,LongJump!F$5:K$302,6,FALSE)),0,VLOOKUP(A97,LongJump!F$5:K$302,6,FALSE)))</f>
        <v>0</v>
      </c>
      <c r="O97" s="51" t="str">
        <f>IF(B97="","",IF(ISNA(VLOOKUP(A97,Vortex!F$5:J$302,2,FALSE)),"",VLOOKUP(A97,Vortex!F$5:J$302,2,FALSE)))</f>
        <v/>
      </c>
      <c r="P97" s="51">
        <f>IF(B97="",0,IF(ISNA(VLOOKUP(A97,Vortex!F$5:J$302,5,FALSE)),0,VLOOKUP(A97,Vortex!F$5:J$302,5,FALSE)))</f>
        <v>0</v>
      </c>
      <c r="Q97" s="51">
        <f t="shared" si="14"/>
        <v>0</v>
      </c>
      <c r="R97" s="51" t="str">
        <f t="shared" si="10"/>
        <v/>
      </c>
      <c r="S97" s="51" t="str">
        <f t="shared" si="11"/>
        <v/>
      </c>
      <c r="T97" s="51" t="str">
        <f t="shared" si="12"/>
        <v/>
      </c>
      <c r="U97" s="51" t="str">
        <f t="shared" si="13"/>
        <v/>
      </c>
      <c r="V97" s="4"/>
      <c r="W97" s="4"/>
      <c r="X97" s="4"/>
      <c r="Y97" s="39"/>
      <c r="Z97" s="287"/>
      <c r="AA97" s="287"/>
      <c r="AB97" s="287"/>
      <c r="AC97" s="287"/>
      <c r="AD97" s="287"/>
      <c r="AE97" s="287"/>
      <c r="AF97" s="287"/>
      <c r="AG97" s="287"/>
      <c r="AH97" s="287"/>
      <c r="AI97" s="287"/>
      <c r="AJ97" s="287"/>
      <c r="AK97" s="319"/>
      <c r="AL97" s="4"/>
      <c r="AM97" s="4"/>
      <c r="AN97" s="4"/>
      <c r="AO97" s="4"/>
    </row>
    <row r="98" spans="1:41" s="4" customFormat="1" ht="20" customHeight="1">
      <c r="A98" s="51" t="str">
        <f>IF(Declarations!B50=0,"",Declarations!B50)</f>
        <v/>
      </c>
      <c r="B98" s="161" t="str">
        <f>IF(ISNA(VLOOKUP(A98,Declarations!B$6:C$293,2,FALSE)),"",IF(VLOOKUP(A98,Declarations!B$6:C$293,2,FALSE)="","",VLOOKUP(A98,Declarations!B$6:C$293,2,FALSE)))</f>
        <v/>
      </c>
      <c r="C98" s="161" t="str">
        <f>IF(ISNA(VLOOKUP(A98,Declarations!B$6:F$293,5,FALSE)),"",IF(VLOOKUP(A98,Declarations!B$6:F$293,5,FALSE)="","",VLOOKUP(A98,Declarations!B$6:F$293,5,FALSE)))</f>
        <v/>
      </c>
      <c r="D98" s="161" t="str">
        <f>IF(ISNA(VLOOKUP(A98,Declarations!B$6:F$293,4,FALSE)),"",IF(VLOOKUP(A98,Declarations!B$6:F$293,4,FALSE)="","",VLOOKUP(A98,Declarations!B$6:F$293,4,FALSE)))</f>
        <v/>
      </c>
      <c r="E98" s="161" t="str">
        <f>IF(ISNA(VLOOKUP(A98,Declarations!B$6:D$293,3,FALSE)),"",IF(VLOOKUP(A98,Declarations!B$6:D$293,3,FALSE)="","",VLOOKUP(A98,Declarations!B$6:D$293,3,FALSE)))</f>
        <v/>
      </c>
      <c r="F98" s="51" t="str">
        <f>IF(B98="","",IF(ISNA(VLOOKUP(A98,'75m'!F$5:G$302,2,FALSE)),"",VLOOKUP(A98,'75m'!F$5:G$302,2,FALSE)))</f>
        <v/>
      </c>
      <c r="G98" s="51">
        <f>IF(B98="",0,IF(ISNA(VLOOKUP(A98,'75m'!F$5:J$302,5,FALSE)),0,VLOOKUP(A98,'75m'!F$5:J$302,5,FALSE)))</f>
        <v>0</v>
      </c>
      <c r="H98" s="51" t="str">
        <f>IF(B98="","",IF(ISNA(VLOOKUP(A98,'75m'!F$5:K$302,6,FALSE)),"",VLOOKUP(A98,'75m'!F$5:K$302,6,FALSE)))</f>
        <v/>
      </c>
      <c r="I98" s="53">
        <f>IF(B98="",0,IF(ISNA(VLOOKUP(A98,'600m'!F$5:J$302,2,FALSE)),0,VLOOKUP(A98,'600m'!F$5:J$302,2,FALSE)))</f>
        <v>0</v>
      </c>
      <c r="J98" s="51">
        <f>IF(B98="",0,IF(ISNA(VLOOKUP(A98,'600m'!F$5:J$302,5,FALSE)),0,VLOOKUP(A98,'600m'!F$5:J$302,5,FALSE)))</f>
        <v>0</v>
      </c>
      <c r="K98" s="51" t="str">
        <f>IF(B98="","",IF(ISNA(VLOOKUP(A98,'600m'!F$5:K$302,6,FALSE)),"",VLOOKUP(A98,'600m'!F$5:K$302,6,FALSE)))</f>
        <v/>
      </c>
      <c r="L98" s="51" t="str">
        <f>IF(B98="","",IF(ISNA(VLOOKUP(A98,LongJump!F$5:G$302,2,FALSE)),"",VLOOKUP(A98,LongJump!F$5:G$302,2,FALSE)))</f>
        <v/>
      </c>
      <c r="M98" s="51">
        <f>IF(B98="",0,IF(ISNA(VLOOKUP(A98,LongJump!F$5:J$302,5,FALSE)),0,VLOOKUP(A98,LongJump!F$5:J$302,5,FALSE)))</f>
        <v>0</v>
      </c>
      <c r="N98" s="51">
        <f>IF(B98="",0,IF(ISNA(VLOOKUP(A98,LongJump!F$5:K$302,6,FALSE)),0,VLOOKUP(A98,LongJump!F$5:K$302,6,FALSE)))</f>
        <v>0</v>
      </c>
      <c r="O98" s="51" t="str">
        <f>IF(B98="","",IF(ISNA(VLOOKUP(A98,Vortex!F$5:J$302,2,FALSE)),"",VLOOKUP(A98,Vortex!F$5:J$302,2,FALSE)))</f>
        <v/>
      </c>
      <c r="P98" s="51">
        <f>IF(B98="",0,IF(ISNA(VLOOKUP(A98,Vortex!F$5:J$302,5,FALSE)),0,VLOOKUP(A98,Vortex!F$5:J$302,5,FALSE)))</f>
        <v>0</v>
      </c>
      <c r="Q98" s="51">
        <f t="shared" si="14"/>
        <v>0</v>
      </c>
      <c r="R98" s="51" t="str">
        <f t="shared" si="10"/>
        <v/>
      </c>
      <c r="S98" s="51" t="str">
        <f t="shared" si="11"/>
        <v/>
      </c>
      <c r="T98" s="51" t="str">
        <f t="shared" si="12"/>
        <v/>
      </c>
      <c r="U98" s="51" t="str">
        <f t="shared" si="13"/>
        <v/>
      </c>
      <c r="Y98" s="39"/>
      <c r="Z98" s="287"/>
      <c r="AA98" s="287"/>
      <c r="AB98" s="287"/>
      <c r="AC98" s="287"/>
      <c r="AD98" s="287"/>
      <c r="AE98" s="287"/>
      <c r="AF98" s="287"/>
      <c r="AG98" s="287"/>
      <c r="AH98" s="287"/>
      <c r="AI98" s="287"/>
      <c r="AJ98" s="287"/>
      <c r="AK98" s="319"/>
    </row>
    <row r="99" spans="1:41" s="4" customFormat="1" ht="20" customHeight="1">
      <c r="A99" s="51" t="str">
        <f>IF(Declarations!B51=0,"",Declarations!B51)</f>
        <v/>
      </c>
      <c r="B99" s="161" t="str">
        <f>IF(ISNA(VLOOKUP(A99,Declarations!B$6:C$293,2,FALSE)),"",IF(VLOOKUP(A99,Declarations!B$6:C$293,2,FALSE)="","",VLOOKUP(A99,Declarations!B$6:C$293,2,FALSE)))</f>
        <v/>
      </c>
      <c r="C99" s="161" t="str">
        <f>IF(ISNA(VLOOKUP(A99,Declarations!B$6:F$293,5,FALSE)),"",IF(VLOOKUP(A99,Declarations!B$6:F$293,5,FALSE)="","",VLOOKUP(A99,Declarations!B$6:F$293,5,FALSE)))</f>
        <v/>
      </c>
      <c r="D99" s="161" t="str">
        <f>IF(ISNA(VLOOKUP(A99,Declarations!B$6:F$293,4,FALSE)),"",IF(VLOOKUP(A99,Declarations!B$6:F$293,4,FALSE)="","",VLOOKUP(A99,Declarations!B$6:F$293,4,FALSE)))</f>
        <v/>
      </c>
      <c r="E99" s="161" t="str">
        <f>IF(ISNA(VLOOKUP(A99,Declarations!B$6:D$293,3,FALSE)),"",IF(VLOOKUP(A99,Declarations!B$6:D$293,3,FALSE)="","",VLOOKUP(A99,Declarations!B$6:D$293,3,FALSE)))</f>
        <v/>
      </c>
      <c r="F99" s="51" t="str">
        <f>IF(B99="","",IF(ISNA(VLOOKUP(A99,'75m'!F$5:G$302,2,FALSE)),"",VLOOKUP(A99,'75m'!F$5:G$302,2,FALSE)))</f>
        <v/>
      </c>
      <c r="G99" s="51">
        <f>IF(B99="",0,IF(ISNA(VLOOKUP(A99,'75m'!F$5:J$302,5,FALSE)),0,VLOOKUP(A99,'75m'!F$5:J$302,5,FALSE)))</f>
        <v>0</v>
      </c>
      <c r="H99" s="51" t="str">
        <f>IF(B99="","",IF(ISNA(VLOOKUP(A99,'75m'!F$5:K$302,6,FALSE)),"",VLOOKUP(A99,'75m'!F$5:K$302,6,FALSE)))</f>
        <v/>
      </c>
      <c r="I99" s="53">
        <f>IF(B99="",0,IF(ISNA(VLOOKUP(A99,'600m'!F$5:J$302,2,FALSE)),0,VLOOKUP(A99,'600m'!F$5:J$302,2,FALSE)))</f>
        <v>0</v>
      </c>
      <c r="J99" s="51">
        <f>IF(B99="",0,IF(ISNA(VLOOKUP(A99,'600m'!F$5:J$302,5,FALSE)),0,VLOOKUP(A99,'600m'!F$5:J$302,5,FALSE)))</f>
        <v>0</v>
      </c>
      <c r="K99" s="51" t="str">
        <f>IF(B99="","",IF(ISNA(VLOOKUP(A99,'600m'!F$5:K$302,6,FALSE)),"",VLOOKUP(A99,'600m'!F$5:K$302,6,FALSE)))</f>
        <v/>
      </c>
      <c r="L99" s="51" t="str">
        <f>IF(B99="","",IF(ISNA(VLOOKUP(A99,LongJump!F$5:G$302,2,FALSE)),"",VLOOKUP(A99,LongJump!F$5:G$302,2,FALSE)))</f>
        <v/>
      </c>
      <c r="M99" s="51">
        <f>IF(B99="",0,IF(ISNA(VLOOKUP(A99,LongJump!F$5:J$302,5,FALSE)),0,VLOOKUP(A99,LongJump!F$5:J$302,5,FALSE)))</f>
        <v>0</v>
      </c>
      <c r="N99" s="51">
        <f>IF(B99="",0,IF(ISNA(VLOOKUP(A99,LongJump!F$5:K$302,6,FALSE)),0,VLOOKUP(A99,LongJump!F$5:K$302,6,FALSE)))</f>
        <v>0</v>
      </c>
      <c r="O99" s="51" t="str">
        <f>IF(B99="","",IF(ISNA(VLOOKUP(A99,Vortex!F$5:J$302,2,FALSE)),"",VLOOKUP(A99,Vortex!F$5:J$302,2,FALSE)))</f>
        <v/>
      </c>
      <c r="P99" s="51">
        <f>IF(B99="",0,IF(ISNA(VLOOKUP(A99,Vortex!F$5:J$302,5,FALSE)),0,VLOOKUP(A99,Vortex!F$5:J$302,5,FALSE)))</f>
        <v>0</v>
      </c>
      <c r="Q99" s="51">
        <f t="shared" si="14"/>
        <v>0</v>
      </c>
      <c r="R99" s="51" t="str">
        <f t="shared" si="10"/>
        <v/>
      </c>
      <c r="S99" s="51" t="str">
        <f t="shared" si="11"/>
        <v/>
      </c>
      <c r="T99" s="51" t="str">
        <f t="shared" si="12"/>
        <v/>
      </c>
      <c r="U99" s="51" t="str">
        <f t="shared" si="13"/>
        <v/>
      </c>
      <c r="Y99" s="39"/>
      <c r="Z99" s="287"/>
      <c r="AA99" s="287"/>
      <c r="AB99" s="287"/>
      <c r="AC99" s="287"/>
      <c r="AD99" s="287"/>
      <c r="AE99" s="287"/>
      <c r="AF99" s="287"/>
      <c r="AG99" s="287"/>
      <c r="AH99" s="287"/>
      <c r="AI99" s="287"/>
      <c r="AJ99" s="287"/>
      <c r="AK99" s="319"/>
    </row>
    <row r="100" spans="1:41" s="4" customFormat="1" ht="20" customHeight="1">
      <c r="A100" s="51" t="str">
        <f>IF(Declarations!B52=0,"",Declarations!B52)</f>
        <v/>
      </c>
      <c r="B100" s="161" t="str">
        <f>IF(ISNA(VLOOKUP(A100,Declarations!B$6:C$293,2,FALSE)),"",IF(VLOOKUP(A100,Declarations!B$6:C$293,2,FALSE)="","",VLOOKUP(A100,Declarations!B$6:C$293,2,FALSE)))</f>
        <v/>
      </c>
      <c r="C100" s="161" t="str">
        <f>IF(ISNA(VLOOKUP(A100,Declarations!B$6:F$293,5,FALSE)),"",IF(VLOOKUP(A100,Declarations!B$6:F$293,5,FALSE)="","",VLOOKUP(A100,Declarations!B$6:F$293,5,FALSE)))</f>
        <v/>
      </c>
      <c r="D100" s="161" t="str">
        <f>IF(ISNA(VLOOKUP(A100,Declarations!B$6:F$293,4,FALSE)),"",IF(VLOOKUP(A100,Declarations!B$6:F$293,4,FALSE)="","",VLOOKUP(A100,Declarations!B$6:F$293,4,FALSE)))</f>
        <v/>
      </c>
      <c r="E100" s="161" t="str">
        <f>IF(ISNA(VLOOKUP(A100,Declarations!B$6:D$293,3,FALSE)),"",IF(VLOOKUP(A100,Declarations!B$6:D$293,3,FALSE)="","",VLOOKUP(A100,Declarations!B$6:D$293,3,FALSE)))</f>
        <v/>
      </c>
      <c r="F100" s="51" t="str">
        <f>IF(B100="","",IF(ISNA(VLOOKUP(A100,'75m'!F$5:G$302,2,FALSE)),"",VLOOKUP(A100,'75m'!F$5:G$302,2,FALSE)))</f>
        <v/>
      </c>
      <c r="G100" s="51">
        <f>IF(B100="",0,IF(ISNA(VLOOKUP(A100,'75m'!F$5:J$302,5,FALSE)),0,VLOOKUP(A100,'75m'!F$5:J$302,5,FALSE)))</f>
        <v>0</v>
      </c>
      <c r="H100" s="51" t="str">
        <f>IF(B100="","",IF(ISNA(VLOOKUP(A100,'75m'!F$5:K$302,6,FALSE)),"",VLOOKUP(A100,'75m'!F$5:K$302,6,FALSE)))</f>
        <v/>
      </c>
      <c r="I100" s="53">
        <f>IF(B100="",0,IF(ISNA(VLOOKUP(A100,'600m'!F$5:J$302,2,FALSE)),0,VLOOKUP(A100,'600m'!F$5:J$302,2,FALSE)))</f>
        <v>0</v>
      </c>
      <c r="J100" s="51">
        <f>IF(B100="",0,IF(ISNA(VLOOKUP(A100,'600m'!F$5:J$302,5,FALSE)),0,VLOOKUP(A100,'600m'!F$5:J$302,5,FALSE)))</f>
        <v>0</v>
      </c>
      <c r="K100" s="51" t="str">
        <f>IF(B100="","",IF(ISNA(VLOOKUP(A100,'600m'!F$5:K$302,6,FALSE)),"",VLOOKUP(A100,'600m'!F$5:K$302,6,FALSE)))</f>
        <v/>
      </c>
      <c r="L100" s="51" t="str">
        <f>IF(B100="","",IF(ISNA(VLOOKUP(A100,LongJump!F$5:G$302,2,FALSE)),"",VLOOKUP(A100,LongJump!F$5:G$302,2,FALSE)))</f>
        <v/>
      </c>
      <c r="M100" s="51">
        <f>IF(B100="",0,IF(ISNA(VLOOKUP(A100,LongJump!F$5:J$302,5,FALSE)),0,VLOOKUP(A100,LongJump!F$5:J$302,5,FALSE)))</f>
        <v>0</v>
      </c>
      <c r="N100" s="51">
        <f>IF(B100="",0,IF(ISNA(VLOOKUP(A100,LongJump!F$5:K$302,6,FALSE)),0,VLOOKUP(A100,LongJump!F$5:K$302,6,FALSE)))</f>
        <v>0</v>
      </c>
      <c r="O100" s="51" t="str">
        <f>IF(B100="","",IF(ISNA(VLOOKUP(A100,Vortex!F$5:J$302,2,FALSE)),"",VLOOKUP(A100,Vortex!F$5:J$302,2,FALSE)))</f>
        <v/>
      </c>
      <c r="P100" s="51">
        <f>IF(B100="",0,IF(ISNA(VLOOKUP(A100,Vortex!F$5:J$302,5,FALSE)),0,VLOOKUP(A100,Vortex!F$5:J$302,5,FALSE)))</f>
        <v>0</v>
      </c>
      <c r="Q100" s="51">
        <f t="shared" si="14"/>
        <v>0</v>
      </c>
      <c r="R100" s="51" t="str">
        <f t="shared" si="10"/>
        <v/>
      </c>
      <c r="S100" s="51" t="str">
        <f t="shared" si="11"/>
        <v/>
      </c>
      <c r="T100" s="51" t="str">
        <f t="shared" si="12"/>
        <v/>
      </c>
      <c r="U100" s="51" t="str">
        <f t="shared" si="13"/>
        <v/>
      </c>
      <c r="Y100" s="39"/>
      <c r="Z100" s="287"/>
      <c r="AA100" s="287"/>
      <c r="AB100" s="287"/>
      <c r="AC100" s="287"/>
      <c r="AD100" s="287"/>
      <c r="AE100" s="287"/>
      <c r="AF100" s="287"/>
      <c r="AG100" s="287"/>
      <c r="AH100" s="287"/>
      <c r="AI100" s="287"/>
      <c r="AJ100" s="287"/>
      <c r="AK100" s="287"/>
    </row>
    <row r="101" spans="1:41" s="4" customFormat="1" ht="20" customHeight="1">
      <c r="A101" s="51" t="str">
        <f>IF(Declarations!B53=0,"",Declarations!B53)</f>
        <v/>
      </c>
      <c r="B101" s="161" t="str">
        <f>IF(ISNA(VLOOKUP(A101,Declarations!B$6:C$293,2,FALSE)),"",IF(VLOOKUP(A101,Declarations!B$6:C$293,2,FALSE)="","",VLOOKUP(A101,Declarations!B$6:C$293,2,FALSE)))</f>
        <v/>
      </c>
      <c r="C101" s="161" t="str">
        <f>IF(ISNA(VLOOKUP(A101,Declarations!B$6:F$293,5,FALSE)),"",IF(VLOOKUP(A101,Declarations!B$6:F$293,5,FALSE)="","",VLOOKUP(A101,Declarations!B$6:F$293,5,FALSE)))</f>
        <v/>
      </c>
      <c r="D101" s="161" t="str">
        <f>IF(ISNA(VLOOKUP(A101,Declarations!B$6:F$293,4,FALSE)),"",IF(VLOOKUP(A101,Declarations!B$6:F$293,4,FALSE)="","",VLOOKUP(A101,Declarations!B$6:F$293,4,FALSE)))</f>
        <v/>
      </c>
      <c r="E101" s="161" t="str">
        <f>IF(ISNA(VLOOKUP(A101,Declarations!B$6:D$293,3,FALSE)),"",IF(VLOOKUP(A101,Declarations!B$6:D$293,3,FALSE)="","",VLOOKUP(A101,Declarations!B$6:D$293,3,FALSE)))</f>
        <v/>
      </c>
      <c r="F101" s="51" t="str">
        <f>IF(B101="","",IF(ISNA(VLOOKUP(A101,'75m'!F$5:G$302,2,FALSE)),"",VLOOKUP(A101,'75m'!F$5:G$302,2,FALSE)))</f>
        <v/>
      </c>
      <c r="G101" s="51">
        <f>IF(B101="",0,IF(ISNA(VLOOKUP(A101,'75m'!F$5:J$302,5,FALSE)),0,VLOOKUP(A101,'75m'!F$5:J$302,5,FALSE)))</f>
        <v>0</v>
      </c>
      <c r="H101" s="51" t="str">
        <f>IF(B101="","",IF(ISNA(VLOOKUP(A101,'75m'!F$5:K$302,6,FALSE)),"",VLOOKUP(A101,'75m'!F$5:K$302,6,FALSE)))</f>
        <v/>
      </c>
      <c r="I101" s="53">
        <f>IF(B101="",0,IF(ISNA(VLOOKUP(A101,'600m'!F$5:J$302,2,FALSE)),0,VLOOKUP(A101,'600m'!F$5:J$302,2,FALSE)))</f>
        <v>0</v>
      </c>
      <c r="J101" s="51">
        <f>IF(B101="",0,IF(ISNA(VLOOKUP(A101,'600m'!F$5:J$302,5,FALSE)),0,VLOOKUP(A101,'600m'!F$5:J$302,5,FALSE)))</f>
        <v>0</v>
      </c>
      <c r="K101" s="51" t="str">
        <f>IF(B101="","",IF(ISNA(VLOOKUP(A101,'600m'!F$5:K$302,6,FALSE)),"",VLOOKUP(A101,'600m'!F$5:K$302,6,FALSE)))</f>
        <v/>
      </c>
      <c r="L101" s="51" t="str">
        <f>IF(B101="","",IF(ISNA(VLOOKUP(A101,LongJump!F$5:G$302,2,FALSE)),"",VLOOKUP(A101,LongJump!F$5:G$302,2,FALSE)))</f>
        <v/>
      </c>
      <c r="M101" s="51">
        <f>IF(B101="",0,IF(ISNA(VLOOKUP(A101,LongJump!F$5:J$302,5,FALSE)),0,VLOOKUP(A101,LongJump!F$5:J$302,5,FALSE)))</f>
        <v>0</v>
      </c>
      <c r="N101" s="51">
        <f>IF(B101="",0,IF(ISNA(VLOOKUP(A101,LongJump!F$5:K$302,6,FALSE)),0,VLOOKUP(A101,LongJump!F$5:K$302,6,FALSE)))</f>
        <v>0</v>
      </c>
      <c r="O101" s="51" t="str">
        <f>IF(B101="","",IF(ISNA(VLOOKUP(A101,Vortex!F$5:J$302,2,FALSE)),"",VLOOKUP(A101,Vortex!F$5:J$302,2,FALSE)))</f>
        <v/>
      </c>
      <c r="P101" s="51">
        <f>IF(B101="",0,IF(ISNA(VLOOKUP(A101,Vortex!F$5:J$302,5,FALSE)),0,VLOOKUP(A101,Vortex!F$5:J$302,5,FALSE)))</f>
        <v>0</v>
      </c>
      <c r="Q101" s="51">
        <f t="shared" si="14"/>
        <v>0</v>
      </c>
      <c r="R101" s="51" t="str">
        <f t="shared" si="10"/>
        <v/>
      </c>
      <c r="S101" s="51" t="str">
        <f t="shared" si="11"/>
        <v/>
      </c>
      <c r="T101" s="51" t="str">
        <f t="shared" si="12"/>
        <v/>
      </c>
      <c r="U101" s="51" t="str">
        <f t="shared" si="13"/>
        <v/>
      </c>
      <c r="Y101" s="39"/>
      <c r="Z101" s="287"/>
      <c r="AA101" s="287"/>
      <c r="AB101" s="287"/>
      <c r="AC101" s="287"/>
      <c r="AD101" s="287"/>
      <c r="AE101" s="287"/>
      <c r="AF101" s="287"/>
      <c r="AG101" s="287"/>
      <c r="AH101" s="287"/>
      <c r="AI101" s="287"/>
      <c r="AJ101" s="287"/>
      <c r="AK101" s="287"/>
      <c r="AL101"/>
      <c r="AM101"/>
      <c r="AN101"/>
      <c r="AO101"/>
    </row>
    <row r="102" spans="1:41" ht="20" customHeight="1">
      <c r="A102" s="51" t="str">
        <f>IF(Declarations!B54=0,"",Declarations!B54)</f>
        <v/>
      </c>
      <c r="B102" s="161" t="str">
        <f>IF(ISNA(VLOOKUP(A102,Declarations!B$6:C$293,2,FALSE)),"",IF(VLOOKUP(A102,Declarations!B$6:C$293,2,FALSE)="","",VLOOKUP(A102,Declarations!B$6:C$293,2,FALSE)))</f>
        <v/>
      </c>
      <c r="C102" s="161" t="str">
        <f>IF(ISNA(VLOOKUP(A102,Declarations!B$6:F$293,5,FALSE)),"",IF(VLOOKUP(A102,Declarations!B$6:F$293,5,FALSE)="","",VLOOKUP(A102,Declarations!B$6:F$293,5,FALSE)))</f>
        <v/>
      </c>
      <c r="D102" s="161" t="str">
        <f>IF(ISNA(VLOOKUP(A102,Declarations!B$6:F$293,4,FALSE)),"",IF(VLOOKUP(A102,Declarations!B$6:F$293,4,FALSE)="","",VLOOKUP(A102,Declarations!B$6:F$293,4,FALSE)))</f>
        <v/>
      </c>
      <c r="E102" s="161" t="str">
        <f>IF(ISNA(VLOOKUP(A102,Declarations!B$6:D$293,3,FALSE)),"",IF(VLOOKUP(A102,Declarations!B$6:D$293,3,FALSE)="","",VLOOKUP(A102,Declarations!B$6:D$293,3,FALSE)))</f>
        <v/>
      </c>
      <c r="F102" s="51" t="str">
        <f>IF(B102="","",IF(ISNA(VLOOKUP(A102,'75m'!F$5:G$302,2,FALSE)),"",VLOOKUP(A102,'75m'!F$5:G$302,2,FALSE)))</f>
        <v/>
      </c>
      <c r="G102" s="51">
        <f>IF(B102="",0,IF(ISNA(VLOOKUP(A102,'75m'!F$5:J$302,5,FALSE)),0,VLOOKUP(A102,'75m'!F$5:J$302,5,FALSE)))</f>
        <v>0</v>
      </c>
      <c r="H102" s="51" t="str">
        <f>IF(B102="","",IF(ISNA(VLOOKUP(A102,'75m'!F$5:K$302,6,FALSE)),"",VLOOKUP(A102,'75m'!F$5:K$302,6,FALSE)))</f>
        <v/>
      </c>
      <c r="I102" s="53">
        <f>IF(B102="",0,IF(ISNA(VLOOKUP(A102,'600m'!F$5:J$302,2,FALSE)),0,VLOOKUP(A102,'600m'!F$5:J$302,2,FALSE)))</f>
        <v>0</v>
      </c>
      <c r="J102" s="51">
        <f>IF(B102="",0,IF(ISNA(VLOOKUP(A102,'600m'!F$5:J$302,5,FALSE)),0,VLOOKUP(A102,'600m'!F$5:J$302,5,FALSE)))</f>
        <v>0</v>
      </c>
      <c r="K102" s="51" t="str">
        <f>IF(B102="","",IF(ISNA(VLOOKUP(A102,'600m'!F$5:K$302,6,FALSE)),"",VLOOKUP(A102,'600m'!F$5:K$302,6,FALSE)))</f>
        <v/>
      </c>
      <c r="L102" s="51" t="str">
        <f>IF(B102="","",IF(ISNA(VLOOKUP(A102,LongJump!F$5:G$302,2,FALSE)),"",VLOOKUP(A102,LongJump!F$5:G$302,2,FALSE)))</f>
        <v/>
      </c>
      <c r="M102" s="51">
        <f>IF(B102="",0,IF(ISNA(VLOOKUP(A102,LongJump!F$5:J$302,5,FALSE)),0,VLOOKUP(A102,LongJump!F$5:J$302,5,FALSE)))</f>
        <v>0</v>
      </c>
      <c r="N102" s="51">
        <f>IF(B102="",0,IF(ISNA(VLOOKUP(A102,LongJump!F$5:K$302,6,FALSE)),0,VLOOKUP(A102,LongJump!F$5:K$302,6,FALSE)))</f>
        <v>0</v>
      </c>
      <c r="O102" s="51" t="str">
        <f>IF(B102="","",IF(ISNA(VLOOKUP(A102,Vortex!F$5:J$302,2,FALSE)),"",VLOOKUP(A102,Vortex!F$5:J$302,2,FALSE)))</f>
        <v/>
      </c>
      <c r="P102" s="51">
        <f>IF(B102="",0,IF(ISNA(VLOOKUP(A102,Vortex!F$5:J$302,5,FALSE)),0,VLOOKUP(A102,Vortex!F$5:J$302,5,FALSE)))</f>
        <v>0</v>
      </c>
      <c r="Q102" s="51">
        <f t="shared" si="14"/>
        <v>0</v>
      </c>
      <c r="R102" s="51" t="str">
        <f t="shared" si="10"/>
        <v/>
      </c>
      <c r="S102" s="51" t="str">
        <f t="shared" si="11"/>
        <v/>
      </c>
      <c r="T102" s="51" t="str">
        <f t="shared" si="12"/>
        <v/>
      </c>
      <c r="U102" s="51" t="str">
        <f t="shared" si="13"/>
        <v/>
      </c>
      <c r="V102" s="4"/>
      <c r="W102" s="4"/>
      <c r="X102" s="4"/>
      <c r="Y102" s="39"/>
      <c r="Z102" s="287"/>
      <c r="AA102" s="287"/>
      <c r="AB102" s="287"/>
      <c r="AC102" s="287"/>
      <c r="AD102" s="287"/>
      <c r="AE102" s="287"/>
      <c r="AF102" s="287"/>
      <c r="AG102" s="287"/>
      <c r="AH102" s="287"/>
      <c r="AI102" s="287"/>
      <c r="AJ102" s="287"/>
      <c r="AK102" s="320"/>
    </row>
    <row r="103" spans="1:41" ht="20" customHeight="1">
      <c r="A103" s="51" t="str">
        <f>IF(Declarations!B55=0,"",Declarations!B55)</f>
        <v/>
      </c>
      <c r="B103" s="161" t="str">
        <f>IF(ISNA(VLOOKUP(A103,Declarations!B$6:C$293,2,FALSE)),"",IF(VLOOKUP(A103,Declarations!B$6:C$293,2,FALSE)="","",VLOOKUP(A103,Declarations!B$6:C$293,2,FALSE)))</f>
        <v/>
      </c>
      <c r="C103" s="161" t="str">
        <f>IF(ISNA(VLOOKUP(A103,Declarations!B$6:F$293,5,FALSE)),"",IF(VLOOKUP(A103,Declarations!B$6:F$293,5,FALSE)="","",VLOOKUP(A103,Declarations!B$6:F$293,5,FALSE)))</f>
        <v/>
      </c>
      <c r="D103" s="161" t="str">
        <f>IF(ISNA(VLOOKUP(A103,Declarations!B$6:F$293,4,FALSE)),"",IF(VLOOKUP(A103,Declarations!B$6:F$293,4,FALSE)="","",VLOOKUP(A103,Declarations!B$6:F$293,4,FALSE)))</f>
        <v/>
      </c>
      <c r="E103" s="161" t="str">
        <f>IF(ISNA(VLOOKUP(A103,Declarations!B$6:D$293,3,FALSE)),"",IF(VLOOKUP(A103,Declarations!B$6:D$293,3,FALSE)="","",VLOOKUP(A103,Declarations!B$6:D$293,3,FALSE)))</f>
        <v/>
      </c>
      <c r="F103" s="51" t="str">
        <f>IF(B103="","",IF(ISNA(VLOOKUP(A103,'75m'!F$5:G$302,2,FALSE)),"",VLOOKUP(A103,'75m'!F$5:G$302,2,FALSE)))</f>
        <v/>
      </c>
      <c r="G103" s="51">
        <f>IF(B103="",0,IF(ISNA(VLOOKUP(A103,'75m'!F$5:J$302,5,FALSE)),0,VLOOKUP(A103,'75m'!F$5:J$302,5,FALSE)))</f>
        <v>0</v>
      </c>
      <c r="H103" s="51" t="str">
        <f>IF(B103="","",IF(ISNA(VLOOKUP(A103,'75m'!F$5:K$302,6,FALSE)),"",VLOOKUP(A103,'75m'!F$5:K$302,6,FALSE)))</f>
        <v/>
      </c>
      <c r="I103" s="53">
        <f>IF(B103="",0,IF(ISNA(VLOOKUP(A103,'600m'!F$5:J$302,2,FALSE)),0,VLOOKUP(A103,'600m'!F$5:J$302,2,FALSE)))</f>
        <v>0</v>
      </c>
      <c r="J103" s="51">
        <f>IF(B103="",0,IF(ISNA(VLOOKUP(A103,'600m'!F$5:J$302,5,FALSE)),0,VLOOKUP(A103,'600m'!F$5:J$302,5,FALSE)))</f>
        <v>0</v>
      </c>
      <c r="K103" s="51" t="str">
        <f>IF(B103="","",IF(ISNA(VLOOKUP(A103,'600m'!F$5:K$302,6,FALSE)),"",VLOOKUP(A103,'600m'!F$5:K$302,6,FALSE)))</f>
        <v/>
      </c>
      <c r="L103" s="51" t="str">
        <f>IF(B103="","",IF(ISNA(VLOOKUP(A103,LongJump!F$5:G$302,2,FALSE)),"",VLOOKUP(A103,LongJump!F$5:G$302,2,FALSE)))</f>
        <v/>
      </c>
      <c r="M103" s="51">
        <f>IF(B103="",0,IF(ISNA(VLOOKUP(A103,LongJump!F$5:J$302,5,FALSE)),0,VLOOKUP(A103,LongJump!F$5:J$302,5,FALSE)))</f>
        <v>0</v>
      </c>
      <c r="N103" s="51">
        <f>IF(B103="",0,IF(ISNA(VLOOKUP(A103,LongJump!F$5:K$302,6,FALSE)),0,VLOOKUP(A103,LongJump!F$5:K$302,6,FALSE)))</f>
        <v>0</v>
      </c>
      <c r="O103" s="51" t="str">
        <f>IF(B103="","",IF(ISNA(VLOOKUP(A103,Vortex!F$5:J$302,2,FALSE)),"",VLOOKUP(A103,Vortex!F$5:J$302,2,FALSE)))</f>
        <v/>
      </c>
      <c r="P103" s="51">
        <f>IF(B103="",0,IF(ISNA(VLOOKUP(A103,Vortex!F$5:J$302,5,FALSE)),0,VLOOKUP(A103,Vortex!F$5:J$302,5,FALSE)))</f>
        <v>0</v>
      </c>
      <c r="Q103" s="51">
        <f t="shared" si="14"/>
        <v>0</v>
      </c>
      <c r="R103" s="51" t="str">
        <f t="shared" si="10"/>
        <v/>
      </c>
      <c r="S103" s="51" t="str">
        <f t="shared" si="11"/>
        <v/>
      </c>
      <c r="T103" s="51" t="str">
        <f t="shared" si="12"/>
        <v/>
      </c>
      <c r="U103" s="51" t="str">
        <f t="shared" si="13"/>
        <v/>
      </c>
      <c r="V103" s="4"/>
      <c r="W103" s="4"/>
      <c r="X103" s="4"/>
      <c r="Y103" s="39"/>
      <c r="Z103" s="287"/>
      <c r="AA103" s="287"/>
      <c r="AB103" s="287"/>
      <c r="AC103" s="287"/>
      <c r="AD103" s="287"/>
      <c r="AE103" s="287"/>
      <c r="AF103" s="287"/>
      <c r="AG103" s="287"/>
      <c r="AH103" s="287"/>
      <c r="AI103" s="287"/>
      <c r="AJ103" s="287"/>
      <c r="AK103" s="320"/>
    </row>
    <row r="104" spans="1:41" ht="20" customHeight="1">
      <c r="A104" s="51" t="str">
        <f>IF(Declarations!B56=0,"",Declarations!B56)</f>
        <v/>
      </c>
      <c r="B104" s="161" t="str">
        <f>IF(ISNA(VLOOKUP(A104,Declarations!B$6:C$293,2,FALSE)),"",IF(VLOOKUP(A104,Declarations!B$6:C$293,2,FALSE)="","",VLOOKUP(A104,Declarations!B$6:C$293,2,FALSE)))</f>
        <v/>
      </c>
      <c r="C104" s="161" t="str">
        <f>IF(ISNA(VLOOKUP(A104,Declarations!B$6:F$293,5,FALSE)),"",IF(VLOOKUP(A104,Declarations!B$6:F$293,5,FALSE)="","",VLOOKUP(A104,Declarations!B$6:F$293,5,FALSE)))</f>
        <v/>
      </c>
      <c r="D104" s="161" t="str">
        <f>IF(ISNA(VLOOKUP(A104,Declarations!B$6:F$293,4,FALSE)),"",IF(VLOOKUP(A104,Declarations!B$6:F$293,4,FALSE)="","",VLOOKUP(A104,Declarations!B$6:F$293,4,FALSE)))</f>
        <v/>
      </c>
      <c r="E104" s="161" t="str">
        <f>IF(ISNA(VLOOKUP(A104,Declarations!B$6:D$293,3,FALSE)),"",IF(VLOOKUP(A104,Declarations!B$6:D$293,3,FALSE)="","",VLOOKUP(A104,Declarations!B$6:D$293,3,FALSE)))</f>
        <v/>
      </c>
      <c r="F104" s="51" t="str">
        <f>IF(B104="","",IF(ISNA(VLOOKUP(A104,'75m'!F$5:G$302,2,FALSE)),"",VLOOKUP(A104,'75m'!F$5:G$302,2,FALSE)))</f>
        <v/>
      </c>
      <c r="G104" s="51">
        <f>IF(B104="",0,IF(ISNA(VLOOKUP(A104,'75m'!F$5:J$302,5,FALSE)),0,VLOOKUP(A104,'75m'!F$5:J$302,5,FALSE)))</f>
        <v>0</v>
      </c>
      <c r="H104" s="51" t="str">
        <f>IF(B104="","",IF(ISNA(VLOOKUP(A104,'75m'!F$5:K$302,6,FALSE)),"",VLOOKUP(A104,'75m'!F$5:K$302,6,FALSE)))</f>
        <v/>
      </c>
      <c r="I104" s="53">
        <f>IF(B104="",0,IF(ISNA(VLOOKUP(A104,'600m'!F$5:J$302,2,FALSE)),0,VLOOKUP(A104,'600m'!F$5:J$302,2,FALSE)))</f>
        <v>0</v>
      </c>
      <c r="J104" s="51">
        <f>IF(B104="",0,IF(ISNA(VLOOKUP(A104,'600m'!F$5:J$302,5,FALSE)),0,VLOOKUP(A104,'600m'!F$5:J$302,5,FALSE)))</f>
        <v>0</v>
      </c>
      <c r="K104" s="51" t="str">
        <f>IF(B104="","",IF(ISNA(VLOOKUP(A104,'600m'!F$5:K$302,6,FALSE)),"",VLOOKUP(A104,'600m'!F$5:K$302,6,FALSE)))</f>
        <v/>
      </c>
      <c r="L104" s="51" t="str">
        <f>IF(B104="","",IF(ISNA(VLOOKUP(A104,LongJump!F$5:G$302,2,FALSE)),"",VLOOKUP(A104,LongJump!F$5:G$302,2,FALSE)))</f>
        <v/>
      </c>
      <c r="M104" s="51">
        <f>IF(B104="",0,IF(ISNA(VLOOKUP(A104,LongJump!F$5:J$302,5,FALSE)),0,VLOOKUP(A104,LongJump!F$5:J$302,5,FALSE)))</f>
        <v>0</v>
      </c>
      <c r="N104" s="51">
        <f>IF(B104="",0,IF(ISNA(VLOOKUP(A104,LongJump!F$5:K$302,6,FALSE)),0,VLOOKUP(A104,LongJump!F$5:K$302,6,FALSE)))</f>
        <v>0</v>
      </c>
      <c r="O104" s="51" t="str">
        <f>IF(B104="","",IF(ISNA(VLOOKUP(A104,Vortex!F$5:J$302,2,FALSE)),"",VLOOKUP(A104,Vortex!F$5:J$302,2,FALSE)))</f>
        <v/>
      </c>
      <c r="P104" s="51">
        <f>IF(B104="",0,IF(ISNA(VLOOKUP(A104,Vortex!F$5:J$302,5,FALSE)),0,VLOOKUP(A104,Vortex!F$5:J$302,5,FALSE)))</f>
        <v>0</v>
      </c>
      <c r="Q104" s="51">
        <f t="shared" si="14"/>
        <v>0</v>
      </c>
      <c r="R104" s="51" t="str">
        <f t="shared" si="10"/>
        <v/>
      </c>
      <c r="S104" s="51" t="str">
        <f t="shared" si="11"/>
        <v/>
      </c>
      <c r="T104" s="51" t="str">
        <f t="shared" si="12"/>
        <v/>
      </c>
      <c r="U104" s="51" t="str">
        <f t="shared" si="13"/>
        <v/>
      </c>
      <c r="V104" s="4"/>
      <c r="W104" s="4"/>
      <c r="X104" s="4"/>
      <c r="Y104" s="39"/>
      <c r="Z104" s="287"/>
      <c r="AA104" s="287"/>
      <c r="AB104" s="287"/>
      <c r="AC104" s="287"/>
      <c r="AD104" s="287"/>
      <c r="AE104" s="287"/>
      <c r="AF104" s="287"/>
      <c r="AG104" s="287"/>
      <c r="AH104" s="287"/>
      <c r="AI104" s="287"/>
      <c r="AJ104" s="287"/>
      <c r="AK104" s="320"/>
    </row>
    <row r="105" spans="1:41" ht="20" customHeight="1">
      <c r="A105" s="51" t="str">
        <f>IF(Declarations!B57=0,"",Declarations!B57)</f>
        <v/>
      </c>
      <c r="B105" s="161" t="str">
        <f>IF(ISNA(VLOOKUP(A105,Declarations!B$6:C$293,2,FALSE)),"",IF(VLOOKUP(A105,Declarations!B$6:C$293,2,FALSE)="","",VLOOKUP(A105,Declarations!B$6:C$293,2,FALSE)))</f>
        <v/>
      </c>
      <c r="C105" s="161" t="str">
        <f>IF(ISNA(VLOOKUP(A105,Declarations!B$6:F$293,5,FALSE)),"",IF(VLOOKUP(A105,Declarations!B$6:F$293,5,FALSE)="","",VLOOKUP(A105,Declarations!B$6:F$293,5,FALSE)))</f>
        <v/>
      </c>
      <c r="D105" s="161" t="str">
        <f>IF(ISNA(VLOOKUP(A105,Declarations!B$6:F$293,4,FALSE)),"",IF(VLOOKUP(A105,Declarations!B$6:F$293,4,FALSE)="","",VLOOKUP(A105,Declarations!B$6:F$293,4,FALSE)))</f>
        <v/>
      </c>
      <c r="E105" s="161" t="str">
        <f>IF(ISNA(VLOOKUP(A105,Declarations!B$6:D$293,3,FALSE)),"",IF(VLOOKUP(A105,Declarations!B$6:D$293,3,FALSE)="","",VLOOKUP(A105,Declarations!B$6:D$293,3,FALSE)))</f>
        <v/>
      </c>
      <c r="F105" s="51" t="str">
        <f>IF(B105="","",IF(ISNA(VLOOKUP(A105,'75m'!F$5:G$302,2,FALSE)),"",VLOOKUP(A105,'75m'!F$5:G$302,2,FALSE)))</f>
        <v/>
      </c>
      <c r="G105" s="51">
        <f>IF(B105="",0,IF(ISNA(VLOOKUP(A105,'75m'!F$5:J$302,5,FALSE)),0,VLOOKUP(A105,'75m'!F$5:J$302,5,FALSE)))</f>
        <v>0</v>
      </c>
      <c r="H105" s="51" t="str">
        <f>IF(B105="","",IF(ISNA(VLOOKUP(A105,'75m'!F$5:K$302,6,FALSE)),"",VLOOKUP(A105,'75m'!F$5:K$302,6,FALSE)))</f>
        <v/>
      </c>
      <c r="I105" s="53">
        <f>IF(B105="",0,IF(ISNA(VLOOKUP(A105,'600m'!F$5:J$302,2,FALSE)),0,VLOOKUP(A105,'600m'!F$5:J$302,2,FALSE)))</f>
        <v>0</v>
      </c>
      <c r="J105" s="51">
        <f>IF(B105="",0,IF(ISNA(VLOOKUP(A105,'600m'!F$5:J$302,5,FALSE)),0,VLOOKUP(A105,'600m'!F$5:J$302,5,FALSE)))</f>
        <v>0</v>
      </c>
      <c r="K105" s="51" t="str">
        <f>IF(B105="","",IF(ISNA(VLOOKUP(A105,'600m'!F$5:K$302,6,FALSE)),"",VLOOKUP(A105,'600m'!F$5:K$302,6,FALSE)))</f>
        <v/>
      </c>
      <c r="L105" s="51" t="str">
        <f>IF(B105="","",IF(ISNA(VLOOKUP(A105,LongJump!F$5:G$302,2,FALSE)),"",VLOOKUP(A105,LongJump!F$5:G$302,2,FALSE)))</f>
        <v/>
      </c>
      <c r="M105" s="51">
        <f>IF(B105="",0,IF(ISNA(VLOOKUP(A105,LongJump!F$5:J$302,5,FALSE)),0,VLOOKUP(A105,LongJump!F$5:J$302,5,FALSE)))</f>
        <v>0</v>
      </c>
      <c r="N105" s="51">
        <f>IF(B105="",0,IF(ISNA(VLOOKUP(A105,LongJump!F$5:K$302,6,FALSE)),0,VLOOKUP(A105,LongJump!F$5:K$302,6,FALSE)))</f>
        <v>0</v>
      </c>
      <c r="O105" s="51" t="str">
        <f>IF(B105="","",IF(ISNA(VLOOKUP(A105,Vortex!F$5:J$302,2,FALSE)),"",VLOOKUP(A105,Vortex!F$5:J$302,2,FALSE)))</f>
        <v/>
      </c>
      <c r="P105" s="51">
        <f>IF(B105="",0,IF(ISNA(VLOOKUP(A105,Vortex!F$5:J$302,5,FALSE)),0,VLOOKUP(A105,Vortex!F$5:J$302,5,FALSE)))</f>
        <v>0</v>
      </c>
      <c r="Q105" s="51">
        <f t="shared" si="14"/>
        <v>0</v>
      </c>
      <c r="R105" s="51" t="str">
        <f t="shared" si="10"/>
        <v/>
      </c>
      <c r="S105" s="51" t="str">
        <f t="shared" si="11"/>
        <v/>
      </c>
      <c r="T105" s="51" t="str">
        <f t="shared" si="12"/>
        <v/>
      </c>
      <c r="U105" s="51" t="str">
        <f t="shared" si="13"/>
        <v/>
      </c>
      <c r="V105" s="4"/>
      <c r="W105" s="4"/>
      <c r="X105" s="4"/>
      <c r="Y105" s="39"/>
      <c r="Z105" s="287"/>
      <c r="AA105" s="287"/>
      <c r="AB105" s="287"/>
      <c r="AC105" s="287"/>
      <c r="AD105" s="287"/>
      <c r="AE105" s="287"/>
      <c r="AF105" s="287"/>
      <c r="AG105" s="287"/>
      <c r="AH105" s="287"/>
      <c r="AI105" s="287"/>
      <c r="AJ105" s="287"/>
      <c r="AK105" s="320"/>
    </row>
    <row r="106" spans="1:41" ht="20" customHeight="1">
      <c r="A106" s="51" t="str">
        <f>IF(Declarations!B58=0,"",Declarations!B58)</f>
        <v/>
      </c>
      <c r="B106" s="161" t="str">
        <f>IF(ISNA(VLOOKUP(A106,Declarations!B$6:C$293,2,FALSE)),"",IF(VLOOKUP(A106,Declarations!B$6:C$293,2,FALSE)="","",VLOOKUP(A106,Declarations!B$6:C$293,2,FALSE)))</f>
        <v/>
      </c>
      <c r="C106" s="161" t="str">
        <f>IF(ISNA(VLOOKUP(A106,Declarations!B$6:F$293,5,FALSE)),"",IF(VLOOKUP(A106,Declarations!B$6:F$293,5,FALSE)="","",VLOOKUP(A106,Declarations!B$6:F$293,5,FALSE)))</f>
        <v/>
      </c>
      <c r="D106" s="161" t="str">
        <f>IF(ISNA(VLOOKUP(A106,Declarations!B$6:F$293,4,FALSE)),"",IF(VLOOKUP(A106,Declarations!B$6:F$293,4,FALSE)="","",VLOOKUP(A106,Declarations!B$6:F$293,4,FALSE)))</f>
        <v/>
      </c>
      <c r="E106" s="161" t="str">
        <f>IF(ISNA(VLOOKUP(A106,Declarations!B$6:D$293,3,FALSE)),"",IF(VLOOKUP(A106,Declarations!B$6:D$293,3,FALSE)="","",VLOOKUP(A106,Declarations!B$6:D$293,3,FALSE)))</f>
        <v/>
      </c>
      <c r="F106" s="51" t="str">
        <f>IF(B106="","",IF(ISNA(VLOOKUP(A106,'75m'!F$5:G$302,2,FALSE)),"",VLOOKUP(A106,'75m'!F$5:G$302,2,FALSE)))</f>
        <v/>
      </c>
      <c r="G106" s="51">
        <f>IF(B106="",0,IF(ISNA(VLOOKUP(A106,'75m'!F$5:J$302,5,FALSE)),0,VLOOKUP(A106,'75m'!F$5:J$302,5,FALSE)))</f>
        <v>0</v>
      </c>
      <c r="H106" s="51" t="str">
        <f>IF(B106="","",IF(ISNA(VLOOKUP(A106,'75m'!F$5:K$302,6,FALSE)),"",VLOOKUP(A106,'75m'!F$5:K$302,6,FALSE)))</f>
        <v/>
      </c>
      <c r="I106" s="53">
        <f>IF(B106="",0,IF(ISNA(VLOOKUP(A106,'600m'!F$5:J$302,2,FALSE)),0,VLOOKUP(A106,'600m'!F$5:J$302,2,FALSE)))</f>
        <v>0</v>
      </c>
      <c r="J106" s="51">
        <f>IF(B106="",0,IF(ISNA(VLOOKUP(A106,'600m'!F$5:J$302,5,FALSE)),0,VLOOKUP(A106,'600m'!F$5:J$302,5,FALSE)))</f>
        <v>0</v>
      </c>
      <c r="K106" s="51" t="str">
        <f>IF(B106="","",IF(ISNA(VLOOKUP(A106,'600m'!F$5:K$302,6,FALSE)),"",VLOOKUP(A106,'600m'!F$5:K$302,6,FALSE)))</f>
        <v/>
      </c>
      <c r="L106" s="51" t="str">
        <f>IF(B106="","",IF(ISNA(VLOOKUP(A106,LongJump!F$5:G$302,2,FALSE)),"",VLOOKUP(A106,LongJump!F$5:G$302,2,FALSE)))</f>
        <v/>
      </c>
      <c r="M106" s="51">
        <f>IF(B106="",0,IF(ISNA(VLOOKUP(A106,LongJump!F$5:J$302,5,FALSE)),0,VLOOKUP(A106,LongJump!F$5:J$302,5,FALSE)))</f>
        <v>0</v>
      </c>
      <c r="N106" s="51">
        <f>IF(B106="",0,IF(ISNA(VLOOKUP(A106,LongJump!F$5:K$302,6,FALSE)),0,VLOOKUP(A106,LongJump!F$5:K$302,6,FALSE)))</f>
        <v>0</v>
      </c>
      <c r="O106" s="51" t="str">
        <f>IF(B106="","",IF(ISNA(VLOOKUP(A106,Vortex!F$5:J$302,2,FALSE)),"",VLOOKUP(A106,Vortex!F$5:J$302,2,FALSE)))</f>
        <v/>
      </c>
      <c r="P106" s="51">
        <f>IF(B106="",0,IF(ISNA(VLOOKUP(A106,Vortex!F$5:J$302,5,FALSE)),0,VLOOKUP(A106,Vortex!F$5:J$302,5,FALSE)))</f>
        <v>0</v>
      </c>
      <c r="Q106" s="51">
        <f t="shared" si="14"/>
        <v>0</v>
      </c>
      <c r="R106" s="51" t="str">
        <f t="shared" si="10"/>
        <v/>
      </c>
      <c r="S106" s="51" t="str">
        <f t="shared" si="11"/>
        <v/>
      </c>
      <c r="T106" s="51" t="str">
        <f t="shared" si="12"/>
        <v/>
      </c>
      <c r="U106" s="51" t="str">
        <f t="shared" si="13"/>
        <v/>
      </c>
      <c r="V106" s="4"/>
      <c r="W106" s="4"/>
      <c r="X106" s="4"/>
      <c r="Y106" s="39"/>
      <c r="Z106" s="287"/>
      <c r="AA106" s="287"/>
      <c r="AB106" s="287"/>
      <c r="AC106" s="287"/>
      <c r="AD106" s="287"/>
      <c r="AE106" s="287"/>
      <c r="AF106" s="287"/>
      <c r="AG106" s="287"/>
      <c r="AH106" s="287"/>
      <c r="AI106" s="287"/>
      <c r="AJ106" s="287"/>
      <c r="AK106" s="319"/>
    </row>
    <row r="107" spans="1:41" ht="20" customHeight="1">
      <c r="A107" s="51" t="str">
        <f>IF(Declarations!B59=0,"",Declarations!B59)</f>
        <v/>
      </c>
      <c r="B107" s="161" t="str">
        <f>IF(ISNA(VLOOKUP(A107,Declarations!B$6:C$293,2,FALSE)),"",IF(VLOOKUP(A107,Declarations!B$6:C$293,2,FALSE)="","",VLOOKUP(A107,Declarations!B$6:C$293,2,FALSE)))</f>
        <v/>
      </c>
      <c r="C107" s="161" t="str">
        <f>IF(ISNA(VLOOKUP(A107,Declarations!B$6:F$293,5,FALSE)),"",IF(VLOOKUP(A107,Declarations!B$6:F$293,5,FALSE)="","",VLOOKUP(A107,Declarations!B$6:F$293,5,FALSE)))</f>
        <v/>
      </c>
      <c r="D107" s="161" t="str">
        <f>IF(ISNA(VLOOKUP(A107,Declarations!B$6:F$293,4,FALSE)),"",IF(VLOOKUP(A107,Declarations!B$6:F$293,4,FALSE)="","",VLOOKUP(A107,Declarations!B$6:F$293,4,FALSE)))</f>
        <v/>
      </c>
      <c r="E107" s="161" t="str">
        <f>IF(ISNA(VLOOKUP(A107,Declarations!B$6:D$293,3,FALSE)),"",IF(VLOOKUP(A107,Declarations!B$6:D$293,3,FALSE)="","",VLOOKUP(A107,Declarations!B$6:D$293,3,FALSE)))</f>
        <v/>
      </c>
      <c r="F107" s="51" t="str">
        <f>IF(B107="","",IF(ISNA(VLOOKUP(A107,'75m'!F$5:G$302,2,FALSE)),"",VLOOKUP(A107,'75m'!F$5:G$302,2,FALSE)))</f>
        <v/>
      </c>
      <c r="G107" s="51">
        <f>IF(B107="",0,IF(ISNA(VLOOKUP(A107,'75m'!F$5:J$302,5,FALSE)),0,VLOOKUP(A107,'75m'!F$5:J$302,5,FALSE)))</f>
        <v>0</v>
      </c>
      <c r="H107" s="51" t="str">
        <f>IF(B107="","",IF(ISNA(VLOOKUP(A107,'75m'!F$5:K$302,6,FALSE)),"",VLOOKUP(A107,'75m'!F$5:K$302,6,FALSE)))</f>
        <v/>
      </c>
      <c r="I107" s="53">
        <f>IF(B107="",0,IF(ISNA(VLOOKUP(A107,'600m'!F$5:J$302,2,FALSE)),0,VLOOKUP(A107,'600m'!F$5:J$302,2,FALSE)))</f>
        <v>0</v>
      </c>
      <c r="J107" s="51">
        <f>IF(B107="",0,IF(ISNA(VLOOKUP(A107,'600m'!F$5:J$302,5,FALSE)),0,VLOOKUP(A107,'600m'!F$5:J$302,5,FALSE)))</f>
        <v>0</v>
      </c>
      <c r="K107" s="51" t="str">
        <f>IF(B107="","",IF(ISNA(VLOOKUP(A107,'600m'!F$5:K$302,6,FALSE)),"",VLOOKUP(A107,'600m'!F$5:K$302,6,FALSE)))</f>
        <v/>
      </c>
      <c r="L107" s="51" t="str">
        <f>IF(B107="","",IF(ISNA(VLOOKUP(A107,LongJump!F$5:G$302,2,FALSE)),"",VLOOKUP(A107,LongJump!F$5:G$302,2,FALSE)))</f>
        <v/>
      </c>
      <c r="M107" s="51">
        <f>IF(B107="",0,IF(ISNA(VLOOKUP(A107,LongJump!F$5:J$302,5,FALSE)),0,VLOOKUP(A107,LongJump!F$5:J$302,5,FALSE)))</f>
        <v>0</v>
      </c>
      <c r="N107" s="51">
        <f>IF(B107="",0,IF(ISNA(VLOOKUP(A107,LongJump!F$5:K$302,6,FALSE)),0,VLOOKUP(A107,LongJump!F$5:K$302,6,FALSE)))</f>
        <v>0</v>
      </c>
      <c r="O107" s="51" t="str">
        <f>IF(B107="","",IF(ISNA(VLOOKUP(A107,Vortex!F$5:J$302,2,FALSE)),"",VLOOKUP(A107,Vortex!F$5:J$302,2,FALSE)))</f>
        <v/>
      </c>
      <c r="P107" s="51">
        <f>IF(B107="",0,IF(ISNA(VLOOKUP(A107,Vortex!F$5:J$302,5,FALSE)),0,VLOOKUP(A107,Vortex!F$5:J$302,5,FALSE)))</f>
        <v>0</v>
      </c>
      <c r="Q107" s="51">
        <f t="shared" si="14"/>
        <v>0</v>
      </c>
      <c r="R107" s="51" t="str">
        <f t="shared" si="10"/>
        <v/>
      </c>
      <c r="S107" s="51" t="str">
        <f t="shared" si="11"/>
        <v/>
      </c>
      <c r="T107" s="51" t="str">
        <f t="shared" si="12"/>
        <v/>
      </c>
      <c r="U107" s="51" t="str">
        <f t="shared" si="13"/>
        <v/>
      </c>
      <c r="V107" s="4"/>
      <c r="W107" s="4"/>
      <c r="X107" s="4"/>
      <c r="Y107" s="39"/>
      <c r="Z107" s="287"/>
      <c r="AA107" s="287"/>
      <c r="AB107" s="287"/>
      <c r="AC107" s="287"/>
      <c r="AD107" s="287"/>
      <c r="AE107" s="287"/>
      <c r="AF107" s="287"/>
      <c r="AG107" s="287"/>
      <c r="AH107" s="287"/>
      <c r="AI107" s="287"/>
      <c r="AJ107" s="287"/>
      <c r="AK107" s="319"/>
    </row>
    <row r="108" spans="1:41" ht="20" customHeight="1">
      <c r="A108" s="51" t="str">
        <f>IF(Declarations!B60=0,"",Declarations!B60)</f>
        <v/>
      </c>
      <c r="B108" s="161" t="str">
        <f>IF(ISNA(VLOOKUP(A108,Declarations!B$6:C$293,2,FALSE)),"",IF(VLOOKUP(A108,Declarations!B$6:C$293,2,FALSE)="","",VLOOKUP(A108,Declarations!B$6:C$293,2,FALSE)))</f>
        <v/>
      </c>
      <c r="C108" s="161" t="str">
        <f>IF(ISNA(VLOOKUP(A108,Declarations!B$6:F$293,5,FALSE)),"",IF(VLOOKUP(A108,Declarations!B$6:F$293,5,FALSE)="","",VLOOKUP(A108,Declarations!B$6:F$293,5,FALSE)))</f>
        <v/>
      </c>
      <c r="D108" s="161" t="str">
        <f>IF(ISNA(VLOOKUP(A108,Declarations!B$6:F$293,4,FALSE)),"",IF(VLOOKUP(A108,Declarations!B$6:F$293,4,FALSE)="","",VLOOKUP(A108,Declarations!B$6:F$293,4,FALSE)))</f>
        <v/>
      </c>
      <c r="E108" s="161" t="str">
        <f>IF(ISNA(VLOOKUP(A108,Declarations!B$6:D$293,3,FALSE)),"",IF(VLOOKUP(A108,Declarations!B$6:D$293,3,FALSE)="","",VLOOKUP(A108,Declarations!B$6:D$293,3,FALSE)))</f>
        <v/>
      </c>
      <c r="F108" s="51" t="str">
        <f>IF(B108="","",IF(ISNA(VLOOKUP(A108,'75m'!F$5:G$302,2,FALSE)),"",VLOOKUP(A108,'75m'!F$5:G$302,2,FALSE)))</f>
        <v/>
      </c>
      <c r="G108" s="51">
        <f>IF(B108="",0,IF(ISNA(VLOOKUP(A108,'75m'!F$5:J$302,5,FALSE)),0,VLOOKUP(A108,'75m'!F$5:J$302,5,FALSE)))</f>
        <v>0</v>
      </c>
      <c r="H108" s="51" t="str">
        <f>IF(B108="","",IF(ISNA(VLOOKUP(A108,'75m'!F$5:K$302,6,FALSE)),"",VLOOKUP(A108,'75m'!F$5:K$302,6,FALSE)))</f>
        <v/>
      </c>
      <c r="I108" s="53">
        <f>IF(B108="",0,IF(ISNA(VLOOKUP(A108,'600m'!F$5:J$302,2,FALSE)),0,VLOOKUP(A108,'600m'!F$5:J$302,2,FALSE)))</f>
        <v>0</v>
      </c>
      <c r="J108" s="51">
        <f>IF(B108="",0,IF(ISNA(VLOOKUP(A108,'600m'!F$5:J$302,5,FALSE)),0,VLOOKUP(A108,'600m'!F$5:J$302,5,FALSE)))</f>
        <v>0</v>
      </c>
      <c r="K108" s="51" t="str">
        <f>IF(B108="","",IF(ISNA(VLOOKUP(A108,'600m'!F$5:K$302,6,FALSE)),"",VLOOKUP(A108,'600m'!F$5:K$302,6,FALSE)))</f>
        <v/>
      </c>
      <c r="L108" s="51" t="str">
        <f>IF(B108="","",IF(ISNA(VLOOKUP(A108,LongJump!F$5:G$302,2,FALSE)),"",VLOOKUP(A108,LongJump!F$5:G$302,2,FALSE)))</f>
        <v/>
      </c>
      <c r="M108" s="51">
        <f>IF(B108="",0,IF(ISNA(VLOOKUP(A108,LongJump!F$5:J$302,5,FALSE)),0,VLOOKUP(A108,LongJump!F$5:J$302,5,FALSE)))</f>
        <v>0</v>
      </c>
      <c r="N108" s="51">
        <f>IF(B108="",0,IF(ISNA(VLOOKUP(A108,LongJump!F$5:K$302,6,FALSE)),0,VLOOKUP(A108,LongJump!F$5:K$302,6,FALSE)))</f>
        <v>0</v>
      </c>
      <c r="O108" s="51" t="str">
        <f>IF(B108="","",IF(ISNA(VLOOKUP(A108,Vortex!F$5:J$302,2,FALSE)),"",VLOOKUP(A108,Vortex!F$5:J$302,2,FALSE)))</f>
        <v/>
      </c>
      <c r="P108" s="51">
        <f>IF(B108="",0,IF(ISNA(VLOOKUP(A108,Vortex!F$5:J$302,5,FALSE)),0,VLOOKUP(A108,Vortex!F$5:J$302,5,FALSE)))</f>
        <v>0</v>
      </c>
      <c r="Q108" s="51">
        <f t="shared" si="14"/>
        <v>0</v>
      </c>
      <c r="R108" s="51" t="str">
        <f t="shared" si="10"/>
        <v/>
      </c>
      <c r="S108" s="51" t="str">
        <f t="shared" si="11"/>
        <v/>
      </c>
      <c r="T108" s="51" t="str">
        <f t="shared" si="12"/>
        <v/>
      </c>
      <c r="U108" s="51" t="str">
        <f t="shared" si="13"/>
        <v/>
      </c>
      <c r="V108" s="4"/>
      <c r="W108" s="4"/>
      <c r="X108" s="4"/>
      <c r="Y108" s="39"/>
      <c r="Z108" s="287"/>
      <c r="AA108" s="287"/>
      <c r="AB108" s="287"/>
      <c r="AC108" s="287"/>
      <c r="AD108" s="287"/>
      <c r="AE108" s="287"/>
      <c r="AF108" s="287"/>
      <c r="AG108" s="287"/>
      <c r="AH108" s="287"/>
      <c r="AI108" s="287"/>
      <c r="AJ108" s="287"/>
      <c r="AK108" s="319"/>
    </row>
    <row r="109" spans="1:41" ht="20" customHeight="1">
      <c r="A109" s="51" t="str">
        <f>IF(Declarations!B61=0,"",Declarations!B61)</f>
        <v/>
      </c>
      <c r="B109" s="161" t="str">
        <f>IF(ISNA(VLOOKUP(A109,Declarations!B$6:C$293,2,FALSE)),"",IF(VLOOKUP(A109,Declarations!B$6:C$293,2,FALSE)="","",VLOOKUP(A109,Declarations!B$6:C$293,2,FALSE)))</f>
        <v/>
      </c>
      <c r="C109" s="161" t="str">
        <f>IF(ISNA(VLOOKUP(A109,Declarations!B$6:F$293,5,FALSE)),"",IF(VLOOKUP(A109,Declarations!B$6:F$293,5,FALSE)="","",VLOOKUP(A109,Declarations!B$6:F$293,5,FALSE)))</f>
        <v/>
      </c>
      <c r="D109" s="161" t="str">
        <f>IF(ISNA(VLOOKUP(A109,Declarations!B$6:F$293,4,FALSE)),"",IF(VLOOKUP(A109,Declarations!B$6:F$293,4,FALSE)="","",VLOOKUP(A109,Declarations!B$6:F$293,4,FALSE)))</f>
        <v/>
      </c>
      <c r="E109" s="161" t="str">
        <f>IF(ISNA(VLOOKUP(A109,Declarations!B$6:D$293,3,FALSE)),"",IF(VLOOKUP(A109,Declarations!B$6:D$293,3,FALSE)="","",VLOOKUP(A109,Declarations!B$6:D$293,3,FALSE)))</f>
        <v/>
      </c>
      <c r="F109" s="51" t="str">
        <f>IF(B109="","",IF(ISNA(VLOOKUP(A109,'75m'!F$5:G$302,2,FALSE)),"",VLOOKUP(A109,'75m'!F$5:G$302,2,FALSE)))</f>
        <v/>
      </c>
      <c r="G109" s="51">
        <f>IF(B109="",0,IF(ISNA(VLOOKUP(A109,'75m'!F$5:J$302,5,FALSE)),0,VLOOKUP(A109,'75m'!F$5:J$302,5,FALSE)))</f>
        <v>0</v>
      </c>
      <c r="H109" s="51" t="str">
        <f>IF(B109="","",IF(ISNA(VLOOKUP(A109,'75m'!F$5:K$302,6,FALSE)),"",VLOOKUP(A109,'75m'!F$5:K$302,6,FALSE)))</f>
        <v/>
      </c>
      <c r="I109" s="53">
        <f>IF(B109="",0,IF(ISNA(VLOOKUP(A109,'600m'!F$5:J$302,2,FALSE)),0,VLOOKUP(A109,'600m'!F$5:J$302,2,FALSE)))</f>
        <v>0</v>
      </c>
      <c r="J109" s="51">
        <f>IF(B109="",0,IF(ISNA(VLOOKUP(A109,'600m'!F$5:J$302,5,FALSE)),0,VLOOKUP(A109,'600m'!F$5:J$302,5,FALSE)))</f>
        <v>0</v>
      </c>
      <c r="K109" s="51" t="str">
        <f>IF(B109="","",IF(ISNA(VLOOKUP(A109,'600m'!F$5:K$302,6,FALSE)),"",VLOOKUP(A109,'600m'!F$5:K$302,6,FALSE)))</f>
        <v/>
      </c>
      <c r="L109" s="51" t="str">
        <f>IF(B109="","",IF(ISNA(VLOOKUP(A109,LongJump!F$5:G$302,2,FALSE)),"",VLOOKUP(A109,LongJump!F$5:G$302,2,FALSE)))</f>
        <v/>
      </c>
      <c r="M109" s="51">
        <f>IF(B109="",0,IF(ISNA(VLOOKUP(A109,LongJump!F$5:J$302,5,FALSE)),0,VLOOKUP(A109,LongJump!F$5:J$302,5,FALSE)))</f>
        <v>0</v>
      </c>
      <c r="N109" s="51">
        <f>IF(B109="",0,IF(ISNA(VLOOKUP(A109,LongJump!F$5:K$302,6,FALSE)),0,VLOOKUP(A109,LongJump!F$5:K$302,6,FALSE)))</f>
        <v>0</v>
      </c>
      <c r="O109" s="51" t="str">
        <f>IF(B109="","",IF(ISNA(VLOOKUP(A109,Vortex!F$5:J$302,2,FALSE)),"",VLOOKUP(A109,Vortex!F$5:J$302,2,FALSE)))</f>
        <v/>
      </c>
      <c r="P109" s="51">
        <f>IF(B109="",0,IF(ISNA(VLOOKUP(A109,Vortex!F$5:J$302,5,FALSE)),0,VLOOKUP(A109,Vortex!F$5:J$302,5,FALSE)))</f>
        <v>0</v>
      </c>
      <c r="Q109" s="51">
        <f t="shared" si="14"/>
        <v>0</v>
      </c>
      <c r="R109" s="51" t="str">
        <f t="shared" si="10"/>
        <v/>
      </c>
      <c r="S109" s="51" t="str">
        <f t="shared" si="11"/>
        <v/>
      </c>
      <c r="T109" s="51" t="str">
        <f t="shared" si="12"/>
        <v/>
      </c>
      <c r="U109" s="51" t="str">
        <f t="shared" si="13"/>
        <v/>
      </c>
      <c r="V109" s="4"/>
      <c r="W109" s="4"/>
      <c r="X109" s="4"/>
      <c r="Y109" s="39"/>
      <c r="Z109" s="287"/>
      <c r="AA109" s="287"/>
      <c r="AB109" s="287"/>
      <c r="AC109" s="287"/>
      <c r="AD109" s="287"/>
      <c r="AE109" s="287"/>
      <c r="AF109" s="287"/>
      <c r="AG109" s="287"/>
      <c r="AH109" s="287"/>
      <c r="AI109" s="287"/>
      <c r="AJ109" s="287"/>
      <c r="AK109" s="319"/>
    </row>
    <row r="110" spans="1:41" ht="20" customHeight="1">
      <c r="A110" s="51" t="str">
        <f>IF(Declarations!B62=0,"",Declarations!B62)</f>
        <v/>
      </c>
      <c r="B110" s="161" t="str">
        <f>IF(ISNA(VLOOKUP(A110,Declarations!B$6:C$293,2,FALSE)),"",IF(VLOOKUP(A110,Declarations!B$6:C$293,2,FALSE)="","",VLOOKUP(A110,Declarations!B$6:C$293,2,FALSE)))</f>
        <v/>
      </c>
      <c r="C110" s="161" t="str">
        <f>IF(ISNA(VLOOKUP(A110,Declarations!B$6:F$293,5,FALSE)),"",IF(VLOOKUP(A110,Declarations!B$6:F$293,5,FALSE)="","",VLOOKUP(A110,Declarations!B$6:F$293,5,FALSE)))</f>
        <v/>
      </c>
      <c r="D110" s="161" t="str">
        <f>IF(ISNA(VLOOKUP(A110,Declarations!B$6:F$293,4,FALSE)),"",IF(VLOOKUP(A110,Declarations!B$6:F$293,4,FALSE)="","",VLOOKUP(A110,Declarations!B$6:F$293,4,FALSE)))</f>
        <v/>
      </c>
      <c r="E110" s="161" t="str">
        <f>IF(ISNA(VLOOKUP(A110,Declarations!B$6:D$293,3,FALSE)),"",IF(VLOOKUP(A110,Declarations!B$6:D$293,3,FALSE)="","",VLOOKUP(A110,Declarations!B$6:D$293,3,FALSE)))</f>
        <v/>
      </c>
      <c r="F110" s="51" t="str">
        <f>IF(B110="","",IF(ISNA(VLOOKUP(A110,'75m'!F$5:G$302,2,FALSE)),"",VLOOKUP(A110,'75m'!F$5:G$302,2,FALSE)))</f>
        <v/>
      </c>
      <c r="G110" s="51">
        <f>IF(B110="",0,IF(ISNA(VLOOKUP(A110,'75m'!F$5:J$302,5,FALSE)),0,VLOOKUP(A110,'75m'!F$5:J$302,5,FALSE)))</f>
        <v>0</v>
      </c>
      <c r="H110" s="51" t="str">
        <f>IF(B110="","",IF(ISNA(VLOOKUP(A110,'75m'!F$5:K$302,6,FALSE)),"",VLOOKUP(A110,'75m'!F$5:K$302,6,FALSE)))</f>
        <v/>
      </c>
      <c r="I110" s="53">
        <f>IF(B110="",0,IF(ISNA(VLOOKUP(A110,'600m'!F$5:J$302,2,FALSE)),0,VLOOKUP(A110,'600m'!F$5:J$302,2,FALSE)))</f>
        <v>0</v>
      </c>
      <c r="J110" s="51">
        <f>IF(B110="",0,IF(ISNA(VLOOKUP(A110,'600m'!F$5:J$302,5,FALSE)),0,VLOOKUP(A110,'600m'!F$5:J$302,5,FALSE)))</f>
        <v>0</v>
      </c>
      <c r="K110" s="51" t="str">
        <f>IF(B110="","",IF(ISNA(VLOOKUP(A110,'600m'!F$5:K$302,6,FALSE)),"",VLOOKUP(A110,'600m'!F$5:K$302,6,FALSE)))</f>
        <v/>
      </c>
      <c r="L110" s="51" t="str">
        <f>IF(B110="","",IF(ISNA(VLOOKUP(A110,LongJump!F$5:G$302,2,FALSE)),"",VLOOKUP(A110,LongJump!F$5:G$302,2,FALSE)))</f>
        <v/>
      </c>
      <c r="M110" s="51">
        <f>IF(B110="",0,IF(ISNA(VLOOKUP(A110,LongJump!F$5:J$302,5,FALSE)),0,VLOOKUP(A110,LongJump!F$5:J$302,5,FALSE)))</f>
        <v>0</v>
      </c>
      <c r="N110" s="51">
        <f>IF(B110="",0,IF(ISNA(VLOOKUP(A110,LongJump!F$5:K$302,6,FALSE)),0,VLOOKUP(A110,LongJump!F$5:K$302,6,FALSE)))</f>
        <v>0</v>
      </c>
      <c r="O110" s="51" t="str">
        <f>IF(B110="","",IF(ISNA(VLOOKUP(A110,Vortex!F$5:J$302,2,FALSE)),"",VLOOKUP(A110,Vortex!F$5:J$302,2,FALSE)))</f>
        <v/>
      </c>
      <c r="P110" s="51">
        <f>IF(B110="",0,IF(ISNA(VLOOKUP(A110,Vortex!F$5:J$302,5,FALSE)),0,VLOOKUP(A110,Vortex!F$5:J$302,5,FALSE)))</f>
        <v>0</v>
      </c>
      <c r="Q110" s="51">
        <f t="shared" si="14"/>
        <v>0</v>
      </c>
      <c r="R110" s="51" t="str">
        <f t="shared" si="10"/>
        <v/>
      </c>
      <c r="S110" s="51" t="str">
        <f t="shared" si="11"/>
        <v/>
      </c>
      <c r="T110" s="51" t="str">
        <f t="shared" si="12"/>
        <v/>
      </c>
      <c r="U110" s="51" t="str">
        <f t="shared" si="13"/>
        <v/>
      </c>
      <c r="V110" s="4"/>
      <c r="W110" s="4"/>
      <c r="X110" s="4"/>
      <c r="Y110" s="39"/>
      <c r="Z110" s="287"/>
      <c r="AA110" s="287"/>
      <c r="AB110" s="287"/>
      <c r="AC110" s="287"/>
      <c r="AD110" s="287"/>
      <c r="AE110" s="287"/>
      <c r="AF110" s="287"/>
      <c r="AG110" s="287"/>
      <c r="AH110" s="287"/>
      <c r="AI110" s="287"/>
      <c r="AJ110" s="287"/>
      <c r="AK110" s="319"/>
    </row>
    <row r="111" spans="1:41" ht="20" customHeight="1">
      <c r="A111" s="51" t="str">
        <f>IF(Declarations!B63=0,"",Declarations!B63)</f>
        <v/>
      </c>
      <c r="B111" s="161" t="str">
        <f>IF(ISNA(VLOOKUP(A111,Declarations!B$6:C$293,2,FALSE)),"",IF(VLOOKUP(A111,Declarations!B$6:C$293,2,FALSE)="","",VLOOKUP(A111,Declarations!B$6:C$293,2,FALSE)))</f>
        <v/>
      </c>
      <c r="C111" s="161" t="str">
        <f>IF(ISNA(VLOOKUP(A111,Declarations!B$6:F$293,5,FALSE)),"",IF(VLOOKUP(A111,Declarations!B$6:F$293,5,FALSE)="","",VLOOKUP(A111,Declarations!B$6:F$293,5,FALSE)))</f>
        <v/>
      </c>
      <c r="D111" s="161" t="str">
        <f>IF(ISNA(VLOOKUP(A111,Declarations!B$6:F$293,4,FALSE)),"",IF(VLOOKUP(A111,Declarations!B$6:F$293,4,FALSE)="","",VLOOKUP(A111,Declarations!B$6:F$293,4,FALSE)))</f>
        <v/>
      </c>
      <c r="E111" s="161" t="str">
        <f>IF(ISNA(VLOOKUP(A111,Declarations!B$6:D$293,3,FALSE)),"",IF(VLOOKUP(A111,Declarations!B$6:D$293,3,FALSE)="","",VLOOKUP(A111,Declarations!B$6:D$293,3,FALSE)))</f>
        <v/>
      </c>
      <c r="F111" s="51" t="str">
        <f>IF(B111="","",IF(ISNA(VLOOKUP(A111,'75m'!F$5:G$302,2,FALSE)),"",VLOOKUP(A111,'75m'!F$5:G$302,2,FALSE)))</f>
        <v/>
      </c>
      <c r="G111" s="51">
        <f>IF(B111="",0,IF(ISNA(VLOOKUP(A111,'75m'!F$5:J$302,5,FALSE)),0,VLOOKUP(A111,'75m'!F$5:J$302,5,FALSE)))</f>
        <v>0</v>
      </c>
      <c r="H111" s="51" t="str">
        <f>IF(B111="","",IF(ISNA(VLOOKUP(A111,'75m'!F$5:K$302,6,FALSE)),"",VLOOKUP(A111,'75m'!F$5:K$302,6,FALSE)))</f>
        <v/>
      </c>
      <c r="I111" s="53">
        <f>IF(B111="",0,IF(ISNA(VLOOKUP(A111,'600m'!F$5:J$302,2,FALSE)),0,VLOOKUP(A111,'600m'!F$5:J$302,2,FALSE)))</f>
        <v>0</v>
      </c>
      <c r="J111" s="51">
        <f>IF(B111="",0,IF(ISNA(VLOOKUP(A111,'600m'!F$5:J$302,5,FALSE)),0,VLOOKUP(A111,'600m'!F$5:J$302,5,FALSE)))</f>
        <v>0</v>
      </c>
      <c r="K111" s="51" t="str">
        <f>IF(B111="","",IF(ISNA(VLOOKUP(A111,'600m'!F$5:K$302,6,FALSE)),"",VLOOKUP(A111,'600m'!F$5:K$302,6,FALSE)))</f>
        <v/>
      </c>
      <c r="L111" s="51" t="str">
        <f>IF(B111="","",IF(ISNA(VLOOKUP(A111,LongJump!F$5:G$302,2,FALSE)),"",VLOOKUP(A111,LongJump!F$5:G$302,2,FALSE)))</f>
        <v/>
      </c>
      <c r="M111" s="51">
        <f>IF(B111="",0,IF(ISNA(VLOOKUP(A111,LongJump!F$5:J$302,5,FALSE)),0,VLOOKUP(A111,LongJump!F$5:J$302,5,FALSE)))</f>
        <v>0</v>
      </c>
      <c r="N111" s="51">
        <f>IF(B111="",0,IF(ISNA(VLOOKUP(A111,LongJump!F$5:K$302,6,FALSE)),0,VLOOKUP(A111,LongJump!F$5:K$302,6,FALSE)))</f>
        <v>0</v>
      </c>
      <c r="O111" s="51" t="str">
        <f>IF(B111="","",IF(ISNA(VLOOKUP(A111,Vortex!F$5:J$302,2,FALSE)),"",VLOOKUP(A111,Vortex!F$5:J$302,2,FALSE)))</f>
        <v/>
      </c>
      <c r="P111" s="51">
        <f>IF(B111="",0,IF(ISNA(VLOOKUP(A111,Vortex!F$5:J$302,5,FALSE)),0,VLOOKUP(A111,Vortex!F$5:J$302,5,FALSE)))</f>
        <v>0</v>
      </c>
      <c r="Q111" s="51">
        <f t="shared" si="14"/>
        <v>0</v>
      </c>
      <c r="R111" s="51" t="str">
        <f t="shared" si="10"/>
        <v/>
      </c>
      <c r="S111" s="51" t="str">
        <f t="shared" si="11"/>
        <v/>
      </c>
      <c r="T111" s="51" t="str">
        <f t="shared" si="12"/>
        <v/>
      </c>
      <c r="U111" s="51" t="str">
        <f t="shared" si="13"/>
        <v/>
      </c>
      <c r="V111" s="4"/>
      <c r="W111" s="4"/>
      <c r="X111" s="4"/>
      <c r="Y111" s="39"/>
      <c r="Z111" s="287"/>
      <c r="AA111" s="287"/>
      <c r="AB111" s="287"/>
      <c r="AC111" s="287"/>
      <c r="AD111" s="287"/>
      <c r="AE111" s="287"/>
      <c r="AF111" s="287"/>
      <c r="AG111" s="287"/>
      <c r="AH111" s="287"/>
      <c r="AI111" s="287"/>
      <c r="AJ111" s="287"/>
      <c r="AK111" s="319"/>
    </row>
    <row r="112" spans="1:41" ht="20" customHeight="1">
      <c r="A112" s="51" t="str">
        <f>IF(Declarations!B64=0,"",Declarations!B64)</f>
        <v/>
      </c>
      <c r="B112" s="161" t="str">
        <f>IF(ISNA(VLOOKUP(A112,Declarations!B$6:C$293,2,FALSE)),"",IF(VLOOKUP(A112,Declarations!B$6:C$293,2,FALSE)="","",VLOOKUP(A112,Declarations!B$6:C$293,2,FALSE)))</f>
        <v/>
      </c>
      <c r="C112" s="161" t="str">
        <f>IF(ISNA(VLOOKUP(A112,Declarations!B$6:F$293,5,FALSE)),"",IF(VLOOKUP(A112,Declarations!B$6:F$293,5,FALSE)="","",VLOOKUP(A112,Declarations!B$6:F$293,5,FALSE)))</f>
        <v/>
      </c>
      <c r="D112" s="161" t="str">
        <f>IF(ISNA(VLOOKUP(A112,Declarations!B$6:F$293,4,FALSE)),"",IF(VLOOKUP(A112,Declarations!B$6:F$293,4,FALSE)="","",VLOOKUP(A112,Declarations!B$6:F$293,4,FALSE)))</f>
        <v/>
      </c>
      <c r="E112" s="161" t="str">
        <f>IF(ISNA(VLOOKUP(A112,Declarations!B$6:D$293,3,FALSE)),"",IF(VLOOKUP(A112,Declarations!B$6:D$293,3,FALSE)="","",VLOOKUP(A112,Declarations!B$6:D$293,3,FALSE)))</f>
        <v/>
      </c>
      <c r="F112" s="51" t="str">
        <f>IF(B112="","",IF(ISNA(VLOOKUP(A112,'75m'!F$5:G$302,2,FALSE)),"",VLOOKUP(A112,'75m'!F$5:G$302,2,FALSE)))</f>
        <v/>
      </c>
      <c r="G112" s="51">
        <f>IF(B112="",0,IF(ISNA(VLOOKUP(A112,'75m'!F$5:J$302,5,FALSE)),0,VLOOKUP(A112,'75m'!F$5:J$302,5,FALSE)))</f>
        <v>0</v>
      </c>
      <c r="H112" s="51" t="str">
        <f>IF(B112="","",IF(ISNA(VLOOKUP(A112,'75m'!F$5:K$302,6,FALSE)),"",VLOOKUP(A112,'75m'!F$5:K$302,6,FALSE)))</f>
        <v/>
      </c>
      <c r="I112" s="53">
        <f>IF(B112="",0,IF(ISNA(VLOOKUP(A112,'600m'!F$5:J$302,2,FALSE)),0,VLOOKUP(A112,'600m'!F$5:J$302,2,FALSE)))</f>
        <v>0</v>
      </c>
      <c r="J112" s="51">
        <f>IF(B112="",0,IF(ISNA(VLOOKUP(A112,'600m'!F$5:J$302,5,FALSE)),0,VLOOKUP(A112,'600m'!F$5:J$302,5,FALSE)))</f>
        <v>0</v>
      </c>
      <c r="K112" s="51" t="str">
        <f>IF(B112="","",IF(ISNA(VLOOKUP(A112,'600m'!F$5:K$302,6,FALSE)),"",VLOOKUP(A112,'600m'!F$5:K$302,6,FALSE)))</f>
        <v/>
      </c>
      <c r="L112" s="51" t="str">
        <f>IF(B112="","",IF(ISNA(VLOOKUP(A112,LongJump!F$5:G$302,2,FALSE)),"",VLOOKUP(A112,LongJump!F$5:G$302,2,FALSE)))</f>
        <v/>
      </c>
      <c r="M112" s="51">
        <f>IF(B112="",0,IF(ISNA(VLOOKUP(A112,LongJump!F$5:J$302,5,FALSE)),0,VLOOKUP(A112,LongJump!F$5:J$302,5,FALSE)))</f>
        <v>0</v>
      </c>
      <c r="N112" s="51">
        <f>IF(B112="",0,IF(ISNA(VLOOKUP(A112,LongJump!F$5:K$302,6,FALSE)),0,VLOOKUP(A112,LongJump!F$5:K$302,6,FALSE)))</f>
        <v>0</v>
      </c>
      <c r="O112" s="51" t="str">
        <f>IF(B112="","",IF(ISNA(VLOOKUP(A112,Vortex!F$5:J$302,2,FALSE)),"",VLOOKUP(A112,Vortex!F$5:J$302,2,FALSE)))</f>
        <v/>
      </c>
      <c r="P112" s="51">
        <f>IF(B112="",0,IF(ISNA(VLOOKUP(A112,Vortex!F$5:J$302,5,FALSE)),0,VLOOKUP(A112,Vortex!F$5:J$302,5,FALSE)))</f>
        <v>0</v>
      </c>
      <c r="Q112" s="51">
        <f t="shared" si="14"/>
        <v>0</v>
      </c>
      <c r="R112" s="51" t="str">
        <f t="shared" si="10"/>
        <v/>
      </c>
      <c r="S112" s="51" t="str">
        <f t="shared" si="11"/>
        <v/>
      </c>
      <c r="T112" s="51" t="str">
        <f t="shared" si="12"/>
        <v/>
      </c>
      <c r="U112" s="51" t="str">
        <f t="shared" si="13"/>
        <v/>
      </c>
      <c r="V112" s="4"/>
      <c r="W112" s="4"/>
      <c r="X112" s="4"/>
      <c r="Y112" s="39"/>
      <c r="Z112" s="287"/>
      <c r="AA112" s="287"/>
      <c r="AB112" s="287"/>
      <c r="AC112" s="287"/>
      <c r="AD112" s="287"/>
      <c r="AE112" s="287"/>
      <c r="AF112" s="287"/>
      <c r="AG112" s="287"/>
      <c r="AH112" s="287"/>
      <c r="AI112" s="287"/>
      <c r="AJ112" s="287"/>
      <c r="AK112" s="319"/>
    </row>
    <row r="113" spans="1:37" ht="20" customHeight="1">
      <c r="A113" s="51" t="str">
        <f>IF(Declarations!B65=0,"",Declarations!B65)</f>
        <v/>
      </c>
      <c r="B113" s="161" t="str">
        <f>IF(ISNA(VLOOKUP(A113,Declarations!B$6:C$293,2,FALSE)),"",IF(VLOOKUP(A113,Declarations!B$6:C$293,2,FALSE)="","",VLOOKUP(A113,Declarations!B$6:C$293,2,FALSE)))</f>
        <v/>
      </c>
      <c r="C113" s="161" t="str">
        <f>IF(ISNA(VLOOKUP(A113,Declarations!B$6:F$293,5,FALSE)),"",IF(VLOOKUP(A113,Declarations!B$6:F$293,5,FALSE)="","",VLOOKUP(A113,Declarations!B$6:F$293,5,FALSE)))</f>
        <v/>
      </c>
      <c r="D113" s="161" t="str">
        <f>IF(ISNA(VLOOKUP(A113,Declarations!B$6:F$293,4,FALSE)),"",IF(VLOOKUP(A113,Declarations!B$6:F$293,4,FALSE)="","",VLOOKUP(A113,Declarations!B$6:F$293,4,FALSE)))</f>
        <v/>
      </c>
      <c r="E113" s="161" t="str">
        <f>IF(ISNA(VLOOKUP(A113,Declarations!B$6:D$293,3,FALSE)),"",IF(VLOOKUP(A113,Declarations!B$6:D$293,3,FALSE)="","",VLOOKUP(A113,Declarations!B$6:D$293,3,FALSE)))</f>
        <v/>
      </c>
      <c r="F113" s="51" t="str">
        <f>IF(B113="","",IF(ISNA(VLOOKUP(A113,'75m'!F$5:G$302,2,FALSE)),"",VLOOKUP(A113,'75m'!F$5:G$302,2,FALSE)))</f>
        <v/>
      </c>
      <c r="G113" s="51">
        <f>IF(B113="",0,IF(ISNA(VLOOKUP(A113,'75m'!F$5:J$302,5,FALSE)),0,VLOOKUP(A113,'75m'!F$5:J$302,5,FALSE)))</f>
        <v>0</v>
      </c>
      <c r="H113" s="51" t="str">
        <f>IF(B113="","",IF(ISNA(VLOOKUP(A113,'75m'!F$5:K$302,6,FALSE)),"",VLOOKUP(A113,'75m'!F$5:K$302,6,FALSE)))</f>
        <v/>
      </c>
      <c r="I113" s="53">
        <f>IF(B113="",0,IF(ISNA(VLOOKUP(A113,'600m'!F$5:J$302,2,FALSE)),0,VLOOKUP(A113,'600m'!F$5:J$302,2,FALSE)))</f>
        <v>0</v>
      </c>
      <c r="J113" s="51">
        <f>IF(B113="",0,IF(ISNA(VLOOKUP(A113,'600m'!F$5:J$302,5,FALSE)),0,VLOOKUP(A113,'600m'!F$5:J$302,5,FALSE)))</f>
        <v>0</v>
      </c>
      <c r="K113" s="51" t="str">
        <f>IF(B113="","",IF(ISNA(VLOOKUP(A113,'600m'!F$5:K$302,6,FALSE)),"",VLOOKUP(A113,'600m'!F$5:K$302,6,FALSE)))</f>
        <v/>
      </c>
      <c r="L113" s="51" t="str">
        <f>IF(B113="","",IF(ISNA(VLOOKUP(A113,LongJump!F$5:G$302,2,FALSE)),"",VLOOKUP(A113,LongJump!F$5:G$302,2,FALSE)))</f>
        <v/>
      </c>
      <c r="M113" s="51">
        <f>IF(B113="",0,IF(ISNA(VLOOKUP(A113,LongJump!F$5:J$302,5,FALSE)),0,VLOOKUP(A113,LongJump!F$5:J$302,5,FALSE)))</f>
        <v>0</v>
      </c>
      <c r="N113" s="51">
        <f>IF(B113="",0,IF(ISNA(VLOOKUP(A113,LongJump!F$5:K$302,6,FALSE)),0,VLOOKUP(A113,LongJump!F$5:K$302,6,FALSE)))</f>
        <v>0</v>
      </c>
      <c r="O113" s="51" t="str">
        <f>IF(B113="","",IF(ISNA(VLOOKUP(A113,Vortex!F$5:J$302,2,FALSE)),"",VLOOKUP(A113,Vortex!F$5:J$302,2,FALSE)))</f>
        <v/>
      </c>
      <c r="P113" s="51">
        <f>IF(B113="",0,IF(ISNA(VLOOKUP(A113,Vortex!F$5:J$302,5,FALSE)),0,VLOOKUP(A113,Vortex!F$5:J$302,5,FALSE)))</f>
        <v>0</v>
      </c>
      <c r="Q113" s="51">
        <f t="shared" si="14"/>
        <v>0</v>
      </c>
      <c r="R113" s="51" t="str">
        <f t="shared" si="10"/>
        <v/>
      </c>
      <c r="S113" s="51" t="str">
        <f t="shared" si="11"/>
        <v/>
      </c>
      <c r="T113" s="51" t="str">
        <f t="shared" si="12"/>
        <v/>
      </c>
      <c r="U113" s="51" t="str">
        <f t="shared" si="13"/>
        <v/>
      </c>
      <c r="V113" s="4"/>
      <c r="W113" s="4"/>
      <c r="X113" s="4"/>
      <c r="Y113" s="39"/>
      <c r="Z113" s="287"/>
      <c r="AA113" s="287"/>
      <c r="AB113" s="287"/>
      <c r="AC113" s="287"/>
      <c r="AD113" s="287"/>
      <c r="AE113" s="287"/>
      <c r="AF113" s="287"/>
      <c r="AG113" s="287"/>
      <c r="AH113" s="287"/>
      <c r="AI113" s="287"/>
      <c r="AJ113" s="287"/>
      <c r="AK113" s="319"/>
    </row>
    <row r="114" spans="1:37" ht="20" customHeight="1">
      <c r="A114" s="51" t="str">
        <f>IF(Declarations!B66=0,"",Declarations!B66)</f>
        <v/>
      </c>
      <c r="B114" s="161" t="str">
        <f>IF(ISNA(VLOOKUP(A114,Declarations!B$6:C$293,2,FALSE)),"",IF(VLOOKUP(A114,Declarations!B$6:C$293,2,FALSE)="","",VLOOKUP(A114,Declarations!B$6:C$293,2,FALSE)))</f>
        <v/>
      </c>
      <c r="C114" s="161" t="str">
        <f>IF(ISNA(VLOOKUP(A114,Declarations!B$6:F$293,5,FALSE)),"",IF(VLOOKUP(A114,Declarations!B$6:F$293,5,FALSE)="","",VLOOKUP(A114,Declarations!B$6:F$293,5,FALSE)))</f>
        <v/>
      </c>
      <c r="D114" s="161" t="str">
        <f>IF(ISNA(VLOOKUP(A114,Declarations!B$6:F$293,4,FALSE)),"",IF(VLOOKUP(A114,Declarations!B$6:F$293,4,FALSE)="","",VLOOKUP(A114,Declarations!B$6:F$293,4,FALSE)))</f>
        <v/>
      </c>
      <c r="E114" s="161" t="str">
        <f>IF(ISNA(VLOOKUP(A114,Declarations!B$6:D$293,3,FALSE)),"",IF(VLOOKUP(A114,Declarations!B$6:D$293,3,FALSE)="","",VLOOKUP(A114,Declarations!B$6:D$293,3,FALSE)))</f>
        <v/>
      </c>
      <c r="F114" s="51" t="str">
        <f>IF(B114="","",IF(ISNA(VLOOKUP(A114,'75m'!F$5:G$302,2,FALSE)),"",VLOOKUP(A114,'75m'!F$5:G$302,2,FALSE)))</f>
        <v/>
      </c>
      <c r="G114" s="51">
        <f>IF(B114="",0,IF(ISNA(VLOOKUP(A114,'75m'!F$5:J$302,5,FALSE)),0,VLOOKUP(A114,'75m'!F$5:J$302,5,FALSE)))</f>
        <v>0</v>
      </c>
      <c r="H114" s="51" t="str">
        <f>IF(B114="","",IF(ISNA(VLOOKUP(A114,'75m'!F$5:K$302,6,FALSE)),"",VLOOKUP(A114,'75m'!F$5:K$302,6,FALSE)))</f>
        <v/>
      </c>
      <c r="I114" s="53">
        <f>IF(B114="",0,IF(ISNA(VLOOKUP(A114,'600m'!F$5:J$302,2,FALSE)),0,VLOOKUP(A114,'600m'!F$5:J$302,2,FALSE)))</f>
        <v>0</v>
      </c>
      <c r="J114" s="51">
        <f>IF(B114="",0,IF(ISNA(VLOOKUP(A114,'600m'!F$5:J$302,5,FALSE)),0,VLOOKUP(A114,'600m'!F$5:J$302,5,FALSE)))</f>
        <v>0</v>
      </c>
      <c r="K114" s="51" t="str">
        <f>IF(B114="","",IF(ISNA(VLOOKUP(A114,'600m'!F$5:K$302,6,FALSE)),"",VLOOKUP(A114,'600m'!F$5:K$302,6,FALSE)))</f>
        <v/>
      </c>
      <c r="L114" s="51" t="str">
        <f>IF(B114="","",IF(ISNA(VLOOKUP(A114,LongJump!F$5:G$302,2,FALSE)),"",VLOOKUP(A114,LongJump!F$5:G$302,2,FALSE)))</f>
        <v/>
      </c>
      <c r="M114" s="51">
        <f>IF(B114="",0,IF(ISNA(VLOOKUP(A114,LongJump!F$5:J$302,5,FALSE)),0,VLOOKUP(A114,LongJump!F$5:J$302,5,FALSE)))</f>
        <v>0</v>
      </c>
      <c r="N114" s="51">
        <f>IF(B114="",0,IF(ISNA(VLOOKUP(A114,LongJump!F$5:K$302,6,FALSE)),0,VLOOKUP(A114,LongJump!F$5:K$302,6,FALSE)))</f>
        <v>0</v>
      </c>
      <c r="O114" s="51" t="str">
        <f>IF(B114="","",IF(ISNA(VLOOKUP(A114,Vortex!F$5:J$302,2,FALSE)),"",VLOOKUP(A114,Vortex!F$5:J$302,2,FALSE)))</f>
        <v/>
      </c>
      <c r="P114" s="51">
        <f>IF(B114="",0,IF(ISNA(VLOOKUP(A114,Vortex!F$5:J$302,5,FALSE)),0,VLOOKUP(A114,Vortex!F$5:J$302,5,FALSE)))</f>
        <v>0</v>
      </c>
      <c r="Q114" s="51">
        <f t="shared" si="14"/>
        <v>0</v>
      </c>
      <c r="R114" s="51" t="str">
        <f t="shared" si="10"/>
        <v/>
      </c>
      <c r="S114" s="51" t="str">
        <f t="shared" si="11"/>
        <v/>
      </c>
      <c r="T114" s="51" t="str">
        <f t="shared" si="12"/>
        <v/>
      </c>
      <c r="U114" s="51" t="str">
        <f t="shared" si="13"/>
        <v/>
      </c>
      <c r="V114" s="4"/>
      <c r="W114" s="4"/>
      <c r="X114" s="4"/>
      <c r="Y114" s="39"/>
      <c r="Z114" s="287"/>
      <c r="AA114" s="287"/>
      <c r="AB114" s="287"/>
      <c r="AC114" s="287"/>
      <c r="AD114" s="287"/>
      <c r="AE114" s="287"/>
      <c r="AF114" s="287"/>
      <c r="AG114" s="287"/>
      <c r="AH114" s="287"/>
      <c r="AI114" s="287"/>
      <c r="AJ114" s="287"/>
      <c r="AK114" s="319"/>
    </row>
    <row r="115" spans="1:37" ht="20" customHeight="1">
      <c r="A115" s="51" t="str">
        <f>IF(Declarations!B67=0,"",Declarations!B67)</f>
        <v/>
      </c>
      <c r="B115" s="161" t="str">
        <f>IF(ISNA(VLOOKUP(A115,Declarations!B$6:C$293,2,FALSE)),"",IF(VLOOKUP(A115,Declarations!B$6:C$293,2,FALSE)="","",VLOOKUP(A115,Declarations!B$6:C$293,2,FALSE)))</f>
        <v/>
      </c>
      <c r="C115" s="161" t="str">
        <f>IF(ISNA(VLOOKUP(A115,Declarations!B$6:F$293,5,FALSE)),"",IF(VLOOKUP(A115,Declarations!B$6:F$293,5,FALSE)="","",VLOOKUP(A115,Declarations!B$6:F$293,5,FALSE)))</f>
        <v/>
      </c>
      <c r="D115" s="161" t="str">
        <f>IF(ISNA(VLOOKUP(A115,Declarations!B$6:F$293,4,FALSE)),"",IF(VLOOKUP(A115,Declarations!B$6:F$293,4,FALSE)="","",VLOOKUP(A115,Declarations!B$6:F$293,4,FALSE)))</f>
        <v/>
      </c>
      <c r="E115" s="161" t="str">
        <f>IF(ISNA(VLOOKUP(A115,Declarations!B$6:D$293,3,FALSE)),"",IF(VLOOKUP(A115,Declarations!B$6:D$293,3,FALSE)="","",VLOOKUP(A115,Declarations!B$6:D$293,3,FALSE)))</f>
        <v/>
      </c>
      <c r="F115" s="51" t="str">
        <f>IF(B115="","",IF(ISNA(VLOOKUP(A115,'75m'!F$5:G$302,2,FALSE)),"",VLOOKUP(A115,'75m'!F$5:G$302,2,FALSE)))</f>
        <v/>
      </c>
      <c r="G115" s="51">
        <f>IF(B115="",0,IF(ISNA(VLOOKUP(A115,'75m'!F$5:J$302,5,FALSE)),0,VLOOKUP(A115,'75m'!F$5:J$302,5,FALSE)))</f>
        <v>0</v>
      </c>
      <c r="H115" s="51" t="str">
        <f>IF(B115="","",IF(ISNA(VLOOKUP(A115,'75m'!F$5:K$302,6,FALSE)),"",VLOOKUP(A115,'75m'!F$5:K$302,6,FALSE)))</f>
        <v/>
      </c>
      <c r="I115" s="53">
        <f>IF(B115="",0,IF(ISNA(VLOOKUP(A115,'600m'!F$5:J$302,2,FALSE)),0,VLOOKUP(A115,'600m'!F$5:J$302,2,FALSE)))</f>
        <v>0</v>
      </c>
      <c r="J115" s="51">
        <f>IF(B115="",0,IF(ISNA(VLOOKUP(A115,'600m'!F$5:J$302,5,FALSE)),0,VLOOKUP(A115,'600m'!F$5:J$302,5,FALSE)))</f>
        <v>0</v>
      </c>
      <c r="K115" s="51" t="str">
        <f>IF(B115="","",IF(ISNA(VLOOKUP(A115,'600m'!F$5:K$302,6,FALSE)),"",VLOOKUP(A115,'600m'!F$5:K$302,6,FALSE)))</f>
        <v/>
      </c>
      <c r="L115" s="51" t="str">
        <f>IF(B115="","",IF(ISNA(VLOOKUP(A115,LongJump!F$5:G$302,2,FALSE)),"",VLOOKUP(A115,LongJump!F$5:G$302,2,FALSE)))</f>
        <v/>
      </c>
      <c r="M115" s="51">
        <f>IF(B115="",0,IF(ISNA(VLOOKUP(A115,LongJump!F$5:J$302,5,FALSE)),0,VLOOKUP(A115,LongJump!F$5:J$302,5,FALSE)))</f>
        <v>0</v>
      </c>
      <c r="N115" s="51">
        <f>IF(B115="",0,IF(ISNA(VLOOKUP(A115,LongJump!F$5:K$302,6,FALSE)),0,VLOOKUP(A115,LongJump!F$5:K$302,6,FALSE)))</f>
        <v>0</v>
      </c>
      <c r="O115" s="51" t="str">
        <f>IF(B115="","",IF(ISNA(VLOOKUP(A115,Vortex!F$5:J$302,2,FALSE)),"",VLOOKUP(A115,Vortex!F$5:J$302,2,FALSE)))</f>
        <v/>
      </c>
      <c r="P115" s="51">
        <f>IF(B115="",0,IF(ISNA(VLOOKUP(A115,Vortex!F$5:J$302,5,FALSE)),0,VLOOKUP(A115,Vortex!F$5:J$302,5,FALSE)))</f>
        <v>0</v>
      </c>
      <c r="Q115" s="51">
        <f t="shared" si="14"/>
        <v>0</v>
      </c>
      <c r="R115" s="51" t="str">
        <f t="shared" si="10"/>
        <v/>
      </c>
      <c r="S115" s="51" t="str">
        <f t="shared" si="11"/>
        <v/>
      </c>
      <c r="T115" s="51" t="str">
        <f t="shared" si="12"/>
        <v/>
      </c>
      <c r="U115" s="51" t="str">
        <f t="shared" si="13"/>
        <v/>
      </c>
      <c r="V115" s="4"/>
      <c r="W115" s="4"/>
      <c r="X115" s="4"/>
      <c r="Y115" s="39"/>
      <c r="Z115" s="287"/>
      <c r="AA115" s="287"/>
      <c r="AB115" s="287"/>
      <c r="AC115" s="287"/>
      <c r="AD115" s="287"/>
      <c r="AE115" s="287"/>
      <c r="AF115" s="287"/>
      <c r="AG115" s="287"/>
      <c r="AH115" s="287"/>
      <c r="AI115" s="287"/>
      <c r="AJ115" s="287"/>
      <c r="AK115" s="319"/>
    </row>
    <row r="116" spans="1:37" ht="20" customHeight="1">
      <c r="A116" s="51" t="str">
        <f>IF(Declarations!B68=0,"",Declarations!B68)</f>
        <v/>
      </c>
      <c r="B116" s="161" t="str">
        <f>IF(ISNA(VLOOKUP(A116,Declarations!B$6:C$293,2,FALSE)),"",IF(VLOOKUP(A116,Declarations!B$6:C$293,2,FALSE)="","",VLOOKUP(A116,Declarations!B$6:C$293,2,FALSE)))</f>
        <v/>
      </c>
      <c r="C116" s="161" t="str">
        <f>IF(ISNA(VLOOKUP(A116,Declarations!B$6:F$293,5,FALSE)),"",IF(VLOOKUP(A116,Declarations!B$6:F$293,5,FALSE)="","",VLOOKUP(A116,Declarations!B$6:F$293,5,FALSE)))</f>
        <v/>
      </c>
      <c r="D116" s="161" t="str">
        <f>IF(ISNA(VLOOKUP(A116,Declarations!B$6:F$293,4,FALSE)),"",IF(VLOOKUP(A116,Declarations!B$6:F$293,4,FALSE)="","",VLOOKUP(A116,Declarations!B$6:F$293,4,FALSE)))</f>
        <v/>
      </c>
      <c r="E116" s="161" t="str">
        <f>IF(ISNA(VLOOKUP(A116,Declarations!B$6:D$293,3,FALSE)),"",IF(VLOOKUP(A116,Declarations!B$6:D$293,3,FALSE)="","",VLOOKUP(A116,Declarations!B$6:D$293,3,FALSE)))</f>
        <v/>
      </c>
      <c r="F116" s="51" t="str">
        <f>IF(B116="","",IF(ISNA(VLOOKUP(A116,'75m'!F$5:G$302,2,FALSE)),"",VLOOKUP(A116,'75m'!F$5:G$302,2,FALSE)))</f>
        <v/>
      </c>
      <c r="G116" s="51">
        <f>IF(B116="",0,IF(ISNA(VLOOKUP(A116,'75m'!F$5:J$302,5,FALSE)),0,VLOOKUP(A116,'75m'!F$5:J$302,5,FALSE)))</f>
        <v>0</v>
      </c>
      <c r="H116" s="51" t="str">
        <f>IF(B116="","",IF(ISNA(VLOOKUP(A116,'75m'!F$5:K$302,6,FALSE)),"",VLOOKUP(A116,'75m'!F$5:K$302,6,FALSE)))</f>
        <v/>
      </c>
      <c r="I116" s="53">
        <f>IF(B116="",0,IF(ISNA(VLOOKUP(A116,'600m'!F$5:J$302,2,FALSE)),0,VLOOKUP(A116,'600m'!F$5:J$302,2,FALSE)))</f>
        <v>0</v>
      </c>
      <c r="J116" s="51">
        <f>IF(B116="",0,IF(ISNA(VLOOKUP(A116,'600m'!F$5:J$302,5,FALSE)),0,VLOOKUP(A116,'600m'!F$5:J$302,5,FALSE)))</f>
        <v>0</v>
      </c>
      <c r="K116" s="51" t="str">
        <f>IF(B116="","",IF(ISNA(VLOOKUP(A116,'600m'!F$5:K$302,6,FALSE)),"",VLOOKUP(A116,'600m'!F$5:K$302,6,FALSE)))</f>
        <v/>
      </c>
      <c r="L116" s="51" t="str">
        <f>IF(B116="","",IF(ISNA(VLOOKUP(A116,LongJump!F$5:G$302,2,FALSE)),"",VLOOKUP(A116,LongJump!F$5:G$302,2,FALSE)))</f>
        <v/>
      </c>
      <c r="M116" s="51">
        <f>IF(B116="",0,IF(ISNA(VLOOKUP(A116,LongJump!F$5:J$302,5,FALSE)),0,VLOOKUP(A116,LongJump!F$5:J$302,5,FALSE)))</f>
        <v>0</v>
      </c>
      <c r="N116" s="51">
        <f>IF(B116="",0,IF(ISNA(VLOOKUP(A116,LongJump!F$5:K$302,6,FALSE)),0,VLOOKUP(A116,LongJump!F$5:K$302,6,FALSE)))</f>
        <v>0</v>
      </c>
      <c r="O116" s="51" t="str">
        <f>IF(B116="","",IF(ISNA(VLOOKUP(A116,Vortex!F$5:J$302,2,FALSE)),"",VLOOKUP(A116,Vortex!F$5:J$302,2,FALSE)))</f>
        <v/>
      </c>
      <c r="P116" s="51">
        <f>IF(B116="",0,IF(ISNA(VLOOKUP(A116,Vortex!F$5:J$302,5,FALSE)),0,VLOOKUP(A116,Vortex!F$5:J$302,5,FALSE)))</f>
        <v>0</v>
      </c>
      <c r="Q116" s="51">
        <f t="shared" si="14"/>
        <v>0</v>
      </c>
      <c r="R116" s="51" t="str">
        <f t="shared" si="10"/>
        <v/>
      </c>
      <c r="S116" s="51" t="str">
        <f t="shared" si="11"/>
        <v/>
      </c>
      <c r="T116" s="51" t="str">
        <f t="shared" si="12"/>
        <v/>
      </c>
      <c r="U116" s="51" t="str">
        <f t="shared" si="13"/>
        <v/>
      </c>
      <c r="V116" s="4"/>
      <c r="W116" s="4"/>
      <c r="X116" s="4"/>
      <c r="Y116" s="39"/>
      <c r="Z116" s="287"/>
      <c r="AA116" s="287"/>
      <c r="AB116" s="287"/>
      <c r="AC116" s="287"/>
      <c r="AD116" s="287"/>
      <c r="AE116" s="287"/>
      <c r="AF116" s="287"/>
      <c r="AG116" s="287"/>
      <c r="AH116" s="287"/>
      <c r="AI116" s="287"/>
      <c r="AJ116" s="287"/>
      <c r="AK116" s="319"/>
    </row>
    <row r="117" spans="1:37" ht="20" customHeight="1">
      <c r="A117" s="51" t="str">
        <f>IF(Declarations!B69=0,"",Declarations!B69)</f>
        <v/>
      </c>
      <c r="B117" s="161" t="str">
        <f>IF(ISNA(VLOOKUP(A117,Declarations!B$6:C$293,2,FALSE)),"",IF(VLOOKUP(A117,Declarations!B$6:C$293,2,FALSE)="","",VLOOKUP(A117,Declarations!B$6:C$293,2,FALSE)))</f>
        <v/>
      </c>
      <c r="C117" s="161" t="str">
        <f>IF(ISNA(VLOOKUP(A117,Declarations!B$6:F$293,5,FALSE)),"",IF(VLOOKUP(A117,Declarations!B$6:F$293,5,FALSE)="","",VLOOKUP(A117,Declarations!B$6:F$293,5,FALSE)))</f>
        <v/>
      </c>
      <c r="D117" s="161" t="str">
        <f>IF(ISNA(VLOOKUP(A117,Declarations!B$6:F$293,4,FALSE)),"",IF(VLOOKUP(A117,Declarations!B$6:F$293,4,FALSE)="","",VLOOKUP(A117,Declarations!B$6:F$293,4,FALSE)))</f>
        <v/>
      </c>
      <c r="E117" s="161" t="str">
        <f>IF(ISNA(VLOOKUP(A117,Declarations!B$6:D$293,3,FALSE)),"",IF(VLOOKUP(A117,Declarations!B$6:D$293,3,FALSE)="","",VLOOKUP(A117,Declarations!B$6:D$293,3,FALSE)))</f>
        <v/>
      </c>
      <c r="F117" s="51" t="str">
        <f>IF(B117="","",IF(ISNA(VLOOKUP(A117,'75m'!F$5:G$302,2,FALSE)),"",VLOOKUP(A117,'75m'!F$5:G$302,2,FALSE)))</f>
        <v/>
      </c>
      <c r="G117" s="51">
        <f>IF(B117="",0,IF(ISNA(VLOOKUP(A117,'75m'!F$5:J$302,5,FALSE)),0,VLOOKUP(A117,'75m'!F$5:J$302,5,FALSE)))</f>
        <v>0</v>
      </c>
      <c r="H117" s="51" t="str">
        <f>IF(B117="","",IF(ISNA(VLOOKUP(A117,'75m'!F$5:K$302,6,FALSE)),"",VLOOKUP(A117,'75m'!F$5:K$302,6,FALSE)))</f>
        <v/>
      </c>
      <c r="I117" s="53">
        <f>IF(B117="",0,IF(ISNA(VLOOKUP(A117,'600m'!F$5:J$302,2,FALSE)),0,VLOOKUP(A117,'600m'!F$5:J$302,2,FALSE)))</f>
        <v>0</v>
      </c>
      <c r="J117" s="51">
        <f>IF(B117="",0,IF(ISNA(VLOOKUP(A117,'600m'!F$5:J$302,5,FALSE)),0,VLOOKUP(A117,'600m'!F$5:J$302,5,FALSE)))</f>
        <v>0</v>
      </c>
      <c r="K117" s="51" t="str">
        <f>IF(B117="","",IF(ISNA(VLOOKUP(A117,'600m'!F$5:K$302,6,FALSE)),"",VLOOKUP(A117,'600m'!F$5:K$302,6,FALSE)))</f>
        <v/>
      </c>
      <c r="L117" s="51" t="str">
        <f>IF(B117="","",IF(ISNA(VLOOKUP(A117,LongJump!F$5:G$302,2,FALSE)),"",VLOOKUP(A117,LongJump!F$5:G$302,2,FALSE)))</f>
        <v/>
      </c>
      <c r="M117" s="51">
        <f>IF(B117="",0,IF(ISNA(VLOOKUP(A117,LongJump!F$5:J$302,5,FALSE)),0,VLOOKUP(A117,LongJump!F$5:J$302,5,FALSE)))</f>
        <v>0</v>
      </c>
      <c r="N117" s="51">
        <f>IF(B117="",0,IF(ISNA(VLOOKUP(A117,LongJump!F$5:K$302,6,FALSE)),0,VLOOKUP(A117,LongJump!F$5:K$302,6,FALSE)))</f>
        <v>0</v>
      </c>
      <c r="O117" s="51" t="str">
        <f>IF(B117="","",IF(ISNA(VLOOKUP(A117,Vortex!F$5:J$302,2,FALSE)),"",VLOOKUP(A117,Vortex!F$5:J$302,2,FALSE)))</f>
        <v/>
      </c>
      <c r="P117" s="51">
        <f>IF(B117="",0,IF(ISNA(VLOOKUP(A117,Vortex!F$5:J$302,5,FALSE)),0,VLOOKUP(A117,Vortex!F$5:J$302,5,FALSE)))</f>
        <v>0</v>
      </c>
      <c r="Q117" s="51">
        <f t="shared" si="14"/>
        <v>0</v>
      </c>
      <c r="R117" s="51" t="str">
        <f t="shared" si="10"/>
        <v/>
      </c>
      <c r="S117" s="51" t="str">
        <f t="shared" si="11"/>
        <v/>
      </c>
      <c r="T117" s="51" t="str">
        <f t="shared" si="12"/>
        <v/>
      </c>
      <c r="U117" s="51" t="str">
        <f t="shared" si="13"/>
        <v/>
      </c>
      <c r="V117" s="4"/>
      <c r="W117" s="4"/>
      <c r="X117" s="4"/>
      <c r="Y117" s="39"/>
      <c r="Z117" s="287"/>
      <c r="AA117" s="287"/>
      <c r="AB117" s="287"/>
      <c r="AC117" s="287"/>
      <c r="AD117" s="287"/>
      <c r="AE117" s="287"/>
      <c r="AF117" s="287"/>
      <c r="AG117" s="287"/>
      <c r="AH117" s="287"/>
      <c r="AI117" s="287"/>
      <c r="AJ117" s="287"/>
      <c r="AK117" s="319"/>
    </row>
    <row r="118" spans="1:37" ht="20" customHeight="1">
      <c r="A118" s="51" t="str">
        <f>IF(Declarations!B70=0,"",Declarations!B70)</f>
        <v/>
      </c>
      <c r="B118" s="161" t="str">
        <f>IF(ISNA(VLOOKUP(A118,Declarations!B$6:C$293,2,FALSE)),"",IF(VLOOKUP(A118,Declarations!B$6:C$293,2,FALSE)="","",VLOOKUP(A118,Declarations!B$6:C$293,2,FALSE)))</f>
        <v/>
      </c>
      <c r="C118" s="161" t="str">
        <f>IF(ISNA(VLOOKUP(A118,Declarations!B$6:F$293,5,FALSE)),"",IF(VLOOKUP(A118,Declarations!B$6:F$293,5,FALSE)="","",VLOOKUP(A118,Declarations!B$6:F$293,5,FALSE)))</f>
        <v/>
      </c>
      <c r="D118" s="161" t="str">
        <f>IF(ISNA(VLOOKUP(A118,Declarations!B$6:F$293,4,FALSE)),"",IF(VLOOKUP(A118,Declarations!B$6:F$293,4,FALSE)="","",VLOOKUP(A118,Declarations!B$6:F$293,4,FALSE)))</f>
        <v/>
      </c>
      <c r="E118" s="161" t="str">
        <f>IF(ISNA(VLOOKUP(A118,Declarations!B$6:D$293,3,FALSE)),"",IF(VLOOKUP(A118,Declarations!B$6:D$293,3,FALSE)="","",VLOOKUP(A118,Declarations!B$6:D$293,3,FALSE)))</f>
        <v/>
      </c>
      <c r="F118" s="51" t="str">
        <f>IF(B118="","",IF(ISNA(VLOOKUP(A118,'75m'!F$5:G$302,2,FALSE)),"",VLOOKUP(A118,'75m'!F$5:G$302,2,FALSE)))</f>
        <v/>
      </c>
      <c r="G118" s="51">
        <f>IF(B118="",0,IF(ISNA(VLOOKUP(A118,'75m'!F$5:J$302,5,FALSE)),0,VLOOKUP(A118,'75m'!F$5:J$302,5,FALSE)))</f>
        <v>0</v>
      </c>
      <c r="H118" s="51" t="str">
        <f>IF(B118="","",IF(ISNA(VLOOKUP(A118,'75m'!F$5:K$302,6,FALSE)),"",VLOOKUP(A118,'75m'!F$5:K$302,6,FALSE)))</f>
        <v/>
      </c>
      <c r="I118" s="53">
        <f>IF(B118="",0,IF(ISNA(VLOOKUP(A118,'600m'!F$5:J$302,2,FALSE)),0,VLOOKUP(A118,'600m'!F$5:J$302,2,FALSE)))</f>
        <v>0</v>
      </c>
      <c r="J118" s="51">
        <f>IF(B118="",0,IF(ISNA(VLOOKUP(A118,'600m'!F$5:J$302,5,FALSE)),0,VLOOKUP(A118,'600m'!F$5:J$302,5,FALSE)))</f>
        <v>0</v>
      </c>
      <c r="K118" s="51" t="str">
        <f>IF(B118="","",IF(ISNA(VLOOKUP(A118,'600m'!F$5:K$302,6,FALSE)),"",VLOOKUP(A118,'600m'!F$5:K$302,6,FALSE)))</f>
        <v/>
      </c>
      <c r="L118" s="51" t="str">
        <f>IF(B118="","",IF(ISNA(VLOOKUP(A118,LongJump!F$5:G$302,2,FALSE)),"",VLOOKUP(A118,LongJump!F$5:G$302,2,FALSE)))</f>
        <v/>
      </c>
      <c r="M118" s="51">
        <f>IF(B118="",0,IF(ISNA(VLOOKUP(A118,LongJump!F$5:J$302,5,FALSE)),0,VLOOKUP(A118,LongJump!F$5:J$302,5,FALSE)))</f>
        <v>0</v>
      </c>
      <c r="N118" s="51">
        <f>IF(B118="",0,IF(ISNA(VLOOKUP(A118,LongJump!F$5:K$302,6,FALSE)),0,VLOOKUP(A118,LongJump!F$5:K$302,6,FALSE)))</f>
        <v>0</v>
      </c>
      <c r="O118" s="51" t="str">
        <f>IF(B118="","",IF(ISNA(VLOOKUP(A118,Vortex!F$5:J$302,2,FALSE)),"",VLOOKUP(A118,Vortex!F$5:J$302,2,FALSE)))</f>
        <v/>
      </c>
      <c r="P118" s="51">
        <f>IF(B118="",0,IF(ISNA(VLOOKUP(A118,Vortex!F$5:J$302,5,FALSE)),0,VLOOKUP(A118,Vortex!F$5:J$302,5,FALSE)))</f>
        <v>0</v>
      </c>
      <c r="Q118" s="51">
        <f t="shared" si="14"/>
        <v>0</v>
      </c>
      <c r="R118" s="51" t="str">
        <f t="shared" ref="R118:R181" si="15">IF(OR($Q118=0,$E118&lt;&gt;"U10"),"",COUNTIFS($C$54:$C$341, $C118, $D$54:$D$341, $D118, $E$54:$E$341, $E118, $Q$54:$Q$341,"&gt;"&amp;$Q118)+1)</f>
        <v/>
      </c>
      <c r="S118" s="51" t="str">
        <f t="shared" ref="S118:S181" si="16">IF(OR($Q118=0,$E118&lt;&gt;"U12"),"",COUNTIFS($C$54:$C$341, $C118, $D$54:$D$341, $D118, $E$54:$E$341, $E118, $Q$54:$Q$341,"&gt;"&amp;$Q118)+1)</f>
        <v/>
      </c>
      <c r="T118" s="51" t="str">
        <f t="shared" ref="T118:T181" si="17">IF(OR($Q118=0,$E118&lt;&gt;"U10"),"",COUNTIFS($D$54:$D$341, $D118,$E$54:$E$341,$E118,$Q$54:$Q$341,"&gt;"&amp;$Q118)+1)</f>
        <v/>
      </c>
      <c r="U118" s="51" t="str">
        <f t="shared" ref="U118:U181" si="18">IF(OR($Q118=0,$E118&lt;&gt;"U12"),"",COUNTIFS($D$54:$D$341, $D118,$E$54:$E$341,$E118,$Q$54:$Q$341,"&gt;"&amp;$Q118)+1)</f>
        <v/>
      </c>
      <c r="V118" s="4"/>
      <c r="W118" s="4"/>
      <c r="X118" s="4"/>
      <c r="Y118" s="39"/>
    </row>
    <row r="119" spans="1:37" ht="20" customHeight="1">
      <c r="A119" s="51" t="str">
        <f>IF(Declarations!B71=0,"",Declarations!B71)</f>
        <v/>
      </c>
      <c r="B119" s="161" t="str">
        <f>IF(ISNA(VLOOKUP(A119,Declarations!B$6:C$293,2,FALSE)),"",IF(VLOOKUP(A119,Declarations!B$6:C$293,2,FALSE)="","",VLOOKUP(A119,Declarations!B$6:C$293,2,FALSE)))</f>
        <v/>
      </c>
      <c r="C119" s="161" t="str">
        <f>IF(ISNA(VLOOKUP(A119,Declarations!B$6:F$293,5,FALSE)),"",IF(VLOOKUP(A119,Declarations!B$6:F$293,5,FALSE)="","",VLOOKUP(A119,Declarations!B$6:F$293,5,FALSE)))</f>
        <v/>
      </c>
      <c r="D119" s="161" t="str">
        <f>IF(ISNA(VLOOKUP(A119,Declarations!B$6:F$293,4,FALSE)),"",IF(VLOOKUP(A119,Declarations!B$6:F$293,4,FALSE)="","",VLOOKUP(A119,Declarations!B$6:F$293,4,FALSE)))</f>
        <v/>
      </c>
      <c r="E119" s="161" t="str">
        <f>IF(ISNA(VLOOKUP(A119,Declarations!B$6:D$293,3,FALSE)),"",IF(VLOOKUP(A119,Declarations!B$6:D$293,3,FALSE)="","",VLOOKUP(A119,Declarations!B$6:D$293,3,FALSE)))</f>
        <v/>
      </c>
      <c r="F119" s="51" t="str">
        <f>IF(B119="","",IF(ISNA(VLOOKUP(A119,'75m'!F$5:G$302,2,FALSE)),"",VLOOKUP(A119,'75m'!F$5:G$302,2,FALSE)))</f>
        <v/>
      </c>
      <c r="G119" s="51">
        <f>IF(B119="",0,IF(ISNA(VLOOKUP(A119,'75m'!F$5:J$302,5,FALSE)),0,VLOOKUP(A119,'75m'!F$5:J$302,5,FALSE)))</f>
        <v>0</v>
      </c>
      <c r="H119" s="51" t="str">
        <f>IF(B119="","",IF(ISNA(VLOOKUP(A119,'75m'!F$5:K$302,6,FALSE)),"",VLOOKUP(A119,'75m'!F$5:K$302,6,FALSE)))</f>
        <v/>
      </c>
      <c r="I119" s="53">
        <f>IF(B119="",0,IF(ISNA(VLOOKUP(A119,'600m'!F$5:J$302,2,FALSE)),0,VLOOKUP(A119,'600m'!F$5:J$302,2,FALSE)))</f>
        <v>0</v>
      </c>
      <c r="J119" s="51">
        <f>IF(B119="",0,IF(ISNA(VLOOKUP(A119,'600m'!F$5:J$302,5,FALSE)),0,VLOOKUP(A119,'600m'!F$5:J$302,5,FALSE)))</f>
        <v>0</v>
      </c>
      <c r="K119" s="51" t="str">
        <f>IF(B119="","",IF(ISNA(VLOOKUP(A119,'600m'!F$5:K$302,6,FALSE)),"",VLOOKUP(A119,'600m'!F$5:K$302,6,FALSE)))</f>
        <v/>
      </c>
      <c r="L119" s="51" t="str">
        <f>IF(B119="","",IF(ISNA(VLOOKUP(A119,LongJump!F$5:G$302,2,FALSE)),"",VLOOKUP(A119,LongJump!F$5:G$302,2,FALSE)))</f>
        <v/>
      </c>
      <c r="M119" s="51">
        <f>IF(B119="",0,IF(ISNA(VLOOKUP(A119,LongJump!F$5:J$302,5,FALSE)),0,VLOOKUP(A119,LongJump!F$5:J$302,5,FALSE)))</f>
        <v>0</v>
      </c>
      <c r="N119" s="51">
        <f>IF(B119="",0,IF(ISNA(VLOOKUP(A119,LongJump!F$5:K$302,6,FALSE)),0,VLOOKUP(A119,LongJump!F$5:K$302,6,FALSE)))</f>
        <v>0</v>
      </c>
      <c r="O119" s="51" t="str">
        <f>IF(B119="","",IF(ISNA(VLOOKUP(A119,Vortex!F$5:J$302,2,FALSE)),"",VLOOKUP(A119,Vortex!F$5:J$302,2,FALSE)))</f>
        <v/>
      </c>
      <c r="P119" s="51">
        <f>IF(B119="",0,IF(ISNA(VLOOKUP(A119,Vortex!F$5:J$302,5,FALSE)),0,VLOOKUP(A119,Vortex!F$5:J$302,5,FALSE)))</f>
        <v>0</v>
      </c>
      <c r="Q119" s="51">
        <f t="shared" ref="Q119:Q182" si="19">G119+J119+M119+P119</f>
        <v>0</v>
      </c>
      <c r="R119" s="51" t="str">
        <f t="shared" si="15"/>
        <v/>
      </c>
      <c r="S119" s="51" t="str">
        <f t="shared" si="16"/>
        <v/>
      </c>
      <c r="T119" s="51" t="str">
        <f t="shared" si="17"/>
        <v/>
      </c>
      <c r="U119" s="51" t="str">
        <f t="shared" si="18"/>
        <v/>
      </c>
      <c r="V119" s="4"/>
      <c r="W119" s="4"/>
      <c r="X119" s="4"/>
      <c r="Y119" s="39"/>
    </row>
    <row r="120" spans="1:37" ht="20" customHeight="1">
      <c r="A120" s="51" t="str">
        <f>IF(Declarations!B72=0,"",Declarations!B72)</f>
        <v/>
      </c>
      <c r="B120" s="161" t="str">
        <f>IF(ISNA(VLOOKUP(A120,Declarations!B$6:C$293,2,FALSE)),"",IF(VLOOKUP(A120,Declarations!B$6:C$293,2,FALSE)="","",VLOOKUP(A120,Declarations!B$6:C$293,2,FALSE)))</f>
        <v/>
      </c>
      <c r="C120" s="161" t="str">
        <f>IF(ISNA(VLOOKUP(A120,Declarations!B$6:F$293,5,FALSE)),"",IF(VLOOKUP(A120,Declarations!B$6:F$293,5,FALSE)="","",VLOOKUP(A120,Declarations!B$6:F$293,5,FALSE)))</f>
        <v/>
      </c>
      <c r="D120" s="161" t="str">
        <f>IF(ISNA(VLOOKUP(A120,Declarations!B$6:F$293,4,FALSE)),"",IF(VLOOKUP(A120,Declarations!B$6:F$293,4,FALSE)="","",VLOOKUP(A120,Declarations!B$6:F$293,4,FALSE)))</f>
        <v/>
      </c>
      <c r="E120" s="161" t="str">
        <f>IF(ISNA(VLOOKUP(A120,Declarations!B$6:D$293,3,FALSE)),"",IF(VLOOKUP(A120,Declarations!B$6:D$293,3,FALSE)="","",VLOOKUP(A120,Declarations!B$6:D$293,3,FALSE)))</f>
        <v/>
      </c>
      <c r="F120" s="51" t="str">
        <f>IF(B120="","",IF(ISNA(VLOOKUP(A120,'75m'!F$5:G$302,2,FALSE)),"",VLOOKUP(A120,'75m'!F$5:G$302,2,FALSE)))</f>
        <v/>
      </c>
      <c r="G120" s="51">
        <f>IF(B120="",0,IF(ISNA(VLOOKUP(A120,'75m'!F$5:J$302,5,FALSE)),0,VLOOKUP(A120,'75m'!F$5:J$302,5,FALSE)))</f>
        <v>0</v>
      </c>
      <c r="H120" s="51" t="str">
        <f>IF(B120="","",IF(ISNA(VLOOKUP(A120,'75m'!F$5:K$302,6,FALSE)),"",VLOOKUP(A120,'75m'!F$5:K$302,6,FALSE)))</f>
        <v/>
      </c>
      <c r="I120" s="53">
        <f>IF(B120="",0,IF(ISNA(VLOOKUP(A120,'600m'!F$5:J$302,2,FALSE)),0,VLOOKUP(A120,'600m'!F$5:J$302,2,FALSE)))</f>
        <v>0</v>
      </c>
      <c r="J120" s="51">
        <f>IF(B120="",0,IF(ISNA(VLOOKUP(A120,'600m'!F$5:J$302,5,FALSE)),0,VLOOKUP(A120,'600m'!F$5:J$302,5,FALSE)))</f>
        <v>0</v>
      </c>
      <c r="K120" s="51" t="str">
        <f>IF(B120="","",IF(ISNA(VLOOKUP(A120,'600m'!F$5:K$302,6,FALSE)),"",VLOOKUP(A120,'600m'!F$5:K$302,6,FALSE)))</f>
        <v/>
      </c>
      <c r="L120" s="51" t="str">
        <f>IF(B120="","",IF(ISNA(VLOOKUP(A120,LongJump!F$5:G$302,2,FALSE)),"",VLOOKUP(A120,LongJump!F$5:G$302,2,FALSE)))</f>
        <v/>
      </c>
      <c r="M120" s="51">
        <f>IF(B120="",0,IF(ISNA(VLOOKUP(A120,LongJump!F$5:J$302,5,FALSE)),0,VLOOKUP(A120,LongJump!F$5:J$302,5,FALSE)))</f>
        <v>0</v>
      </c>
      <c r="N120" s="51">
        <f>IF(B120="",0,IF(ISNA(VLOOKUP(A120,LongJump!F$5:K$302,6,FALSE)),0,VLOOKUP(A120,LongJump!F$5:K$302,6,FALSE)))</f>
        <v>0</v>
      </c>
      <c r="O120" s="51" t="str">
        <f>IF(B120="","",IF(ISNA(VLOOKUP(A120,Vortex!F$5:J$302,2,FALSE)),"",VLOOKUP(A120,Vortex!F$5:J$302,2,FALSE)))</f>
        <v/>
      </c>
      <c r="P120" s="51">
        <f>IF(B120="",0,IF(ISNA(VLOOKUP(A120,Vortex!F$5:J$302,5,FALSE)),0,VLOOKUP(A120,Vortex!F$5:J$302,5,FALSE)))</f>
        <v>0</v>
      </c>
      <c r="Q120" s="51">
        <f t="shared" si="19"/>
        <v>0</v>
      </c>
      <c r="R120" s="51" t="str">
        <f t="shared" si="15"/>
        <v/>
      </c>
      <c r="S120" s="51" t="str">
        <f t="shared" si="16"/>
        <v/>
      </c>
      <c r="T120" s="51" t="str">
        <f t="shared" si="17"/>
        <v/>
      </c>
      <c r="U120" s="51" t="str">
        <f t="shared" si="18"/>
        <v/>
      </c>
      <c r="V120" s="4"/>
      <c r="W120" s="4"/>
      <c r="X120" s="4"/>
      <c r="Y120" s="39"/>
    </row>
    <row r="121" spans="1:37" ht="20" customHeight="1">
      <c r="A121" s="51" t="str">
        <f>IF(Declarations!B73=0,"",Declarations!B73)</f>
        <v/>
      </c>
      <c r="B121" s="161" t="str">
        <f>IF(ISNA(VLOOKUP(A121,Declarations!B$6:C$293,2,FALSE)),"",IF(VLOOKUP(A121,Declarations!B$6:C$293,2,FALSE)="","",VLOOKUP(A121,Declarations!B$6:C$293,2,FALSE)))</f>
        <v/>
      </c>
      <c r="C121" s="161" t="str">
        <f>IF(ISNA(VLOOKUP(A121,Declarations!B$6:F$293,5,FALSE)),"",IF(VLOOKUP(A121,Declarations!B$6:F$293,5,FALSE)="","",VLOOKUP(A121,Declarations!B$6:F$293,5,FALSE)))</f>
        <v/>
      </c>
      <c r="D121" s="161" t="str">
        <f>IF(ISNA(VLOOKUP(A121,Declarations!B$6:F$293,4,FALSE)),"",IF(VLOOKUP(A121,Declarations!B$6:F$293,4,FALSE)="","",VLOOKUP(A121,Declarations!B$6:F$293,4,FALSE)))</f>
        <v/>
      </c>
      <c r="E121" s="161" t="str">
        <f>IF(ISNA(VLOOKUP(A121,Declarations!B$6:D$293,3,FALSE)),"",IF(VLOOKUP(A121,Declarations!B$6:D$293,3,FALSE)="","",VLOOKUP(A121,Declarations!B$6:D$293,3,FALSE)))</f>
        <v/>
      </c>
      <c r="F121" s="51" t="str">
        <f>IF(B121="","",IF(ISNA(VLOOKUP(A121,'75m'!F$5:G$302,2,FALSE)),"",VLOOKUP(A121,'75m'!F$5:G$302,2,FALSE)))</f>
        <v/>
      </c>
      <c r="G121" s="51">
        <f>IF(B121="",0,IF(ISNA(VLOOKUP(A121,'75m'!F$5:J$302,5,FALSE)),0,VLOOKUP(A121,'75m'!F$5:J$302,5,FALSE)))</f>
        <v>0</v>
      </c>
      <c r="H121" s="51" t="str">
        <f>IF(B121="","",IF(ISNA(VLOOKUP(A121,'75m'!F$5:K$302,6,FALSE)),"",VLOOKUP(A121,'75m'!F$5:K$302,6,FALSE)))</f>
        <v/>
      </c>
      <c r="I121" s="53">
        <f>IF(B121="",0,IF(ISNA(VLOOKUP(A121,'600m'!F$5:J$302,2,FALSE)),0,VLOOKUP(A121,'600m'!F$5:J$302,2,FALSE)))</f>
        <v>0</v>
      </c>
      <c r="J121" s="51">
        <f>IF(B121="",0,IF(ISNA(VLOOKUP(A121,'600m'!F$5:J$302,5,FALSE)),0,VLOOKUP(A121,'600m'!F$5:J$302,5,FALSE)))</f>
        <v>0</v>
      </c>
      <c r="K121" s="51" t="str">
        <f>IF(B121="","",IF(ISNA(VLOOKUP(A121,'600m'!F$5:K$302,6,FALSE)),"",VLOOKUP(A121,'600m'!F$5:K$302,6,FALSE)))</f>
        <v/>
      </c>
      <c r="L121" s="51" t="str">
        <f>IF(B121="","",IF(ISNA(VLOOKUP(A121,LongJump!F$5:G$302,2,FALSE)),"",VLOOKUP(A121,LongJump!F$5:G$302,2,FALSE)))</f>
        <v/>
      </c>
      <c r="M121" s="51">
        <f>IF(B121="",0,IF(ISNA(VLOOKUP(A121,LongJump!F$5:J$302,5,FALSE)),0,VLOOKUP(A121,LongJump!F$5:J$302,5,FALSE)))</f>
        <v>0</v>
      </c>
      <c r="N121" s="51">
        <f>IF(B121="",0,IF(ISNA(VLOOKUP(A121,LongJump!F$5:K$302,6,FALSE)),0,VLOOKUP(A121,LongJump!F$5:K$302,6,FALSE)))</f>
        <v>0</v>
      </c>
      <c r="O121" s="51" t="str">
        <f>IF(B121="","",IF(ISNA(VLOOKUP(A121,Vortex!F$5:J$302,2,FALSE)),"",VLOOKUP(A121,Vortex!F$5:J$302,2,FALSE)))</f>
        <v/>
      </c>
      <c r="P121" s="51">
        <f>IF(B121="",0,IF(ISNA(VLOOKUP(A121,Vortex!F$5:J$302,5,FALSE)),0,VLOOKUP(A121,Vortex!F$5:J$302,5,FALSE)))</f>
        <v>0</v>
      </c>
      <c r="Q121" s="51">
        <f t="shared" si="19"/>
        <v>0</v>
      </c>
      <c r="R121" s="51" t="str">
        <f t="shared" si="15"/>
        <v/>
      </c>
      <c r="S121" s="51" t="str">
        <f t="shared" si="16"/>
        <v/>
      </c>
      <c r="T121" s="51" t="str">
        <f t="shared" si="17"/>
        <v/>
      </c>
      <c r="U121" s="51" t="str">
        <f t="shared" si="18"/>
        <v/>
      </c>
      <c r="V121" s="4"/>
      <c r="W121" s="4"/>
      <c r="X121" s="4"/>
      <c r="Y121" s="39"/>
    </row>
    <row r="122" spans="1:37" ht="20" customHeight="1">
      <c r="A122" s="51" t="str">
        <f>IF(Declarations!B74=0,"",Declarations!B74)</f>
        <v/>
      </c>
      <c r="B122" s="161" t="str">
        <f>IF(ISNA(VLOOKUP(A122,Declarations!B$6:C$293,2,FALSE)),"",IF(VLOOKUP(A122,Declarations!B$6:C$293,2,FALSE)="","",VLOOKUP(A122,Declarations!B$6:C$293,2,FALSE)))</f>
        <v/>
      </c>
      <c r="C122" s="161" t="str">
        <f>IF(ISNA(VLOOKUP(A122,Declarations!B$6:F$293,5,FALSE)),"",IF(VLOOKUP(A122,Declarations!B$6:F$293,5,FALSE)="","",VLOOKUP(A122,Declarations!B$6:F$293,5,FALSE)))</f>
        <v/>
      </c>
      <c r="D122" s="161" t="str">
        <f>IF(ISNA(VLOOKUP(A122,Declarations!B$6:F$293,4,FALSE)),"",IF(VLOOKUP(A122,Declarations!B$6:F$293,4,FALSE)="","",VLOOKUP(A122,Declarations!B$6:F$293,4,FALSE)))</f>
        <v/>
      </c>
      <c r="E122" s="161" t="str">
        <f>IF(ISNA(VLOOKUP(A122,Declarations!B$6:D$293,3,FALSE)),"",IF(VLOOKUP(A122,Declarations!B$6:D$293,3,FALSE)="","",VLOOKUP(A122,Declarations!B$6:D$293,3,FALSE)))</f>
        <v/>
      </c>
      <c r="F122" s="51" t="str">
        <f>IF(B122="","",IF(ISNA(VLOOKUP(A122,'75m'!F$5:G$302,2,FALSE)),"",VLOOKUP(A122,'75m'!F$5:G$302,2,FALSE)))</f>
        <v/>
      </c>
      <c r="G122" s="51">
        <f>IF(B122="",0,IF(ISNA(VLOOKUP(A122,'75m'!F$5:J$302,5,FALSE)),0,VLOOKUP(A122,'75m'!F$5:J$302,5,FALSE)))</f>
        <v>0</v>
      </c>
      <c r="H122" s="51" t="str">
        <f>IF(B122="","",IF(ISNA(VLOOKUP(A122,'75m'!F$5:K$302,6,FALSE)),"",VLOOKUP(A122,'75m'!F$5:K$302,6,FALSE)))</f>
        <v/>
      </c>
      <c r="I122" s="53">
        <f>IF(B122="",0,IF(ISNA(VLOOKUP(A122,'600m'!F$5:J$302,2,FALSE)),0,VLOOKUP(A122,'600m'!F$5:J$302,2,FALSE)))</f>
        <v>0</v>
      </c>
      <c r="J122" s="51">
        <f>IF(B122="",0,IF(ISNA(VLOOKUP(A122,'600m'!F$5:J$302,5,FALSE)),0,VLOOKUP(A122,'600m'!F$5:J$302,5,FALSE)))</f>
        <v>0</v>
      </c>
      <c r="K122" s="51" t="str">
        <f>IF(B122="","",IF(ISNA(VLOOKUP(A122,'600m'!F$5:K$302,6,FALSE)),"",VLOOKUP(A122,'600m'!F$5:K$302,6,FALSE)))</f>
        <v/>
      </c>
      <c r="L122" s="51" t="str">
        <f>IF(B122="","",IF(ISNA(VLOOKUP(A122,LongJump!F$5:G$302,2,FALSE)),"",VLOOKUP(A122,LongJump!F$5:G$302,2,FALSE)))</f>
        <v/>
      </c>
      <c r="M122" s="51">
        <f>IF(B122="",0,IF(ISNA(VLOOKUP(A122,LongJump!F$5:J$302,5,FALSE)),0,VLOOKUP(A122,LongJump!F$5:J$302,5,FALSE)))</f>
        <v>0</v>
      </c>
      <c r="N122" s="51">
        <f>IF(B122="",0,IF(ISNA(VLOOKUP(A122,LongJump!F$5:K$302,6,FALSE)),0,VLOOKUP(A122,LongJump!F$5:K$302,6,FALSE)))</f>
        <v>0</v>
      </c>
      <c r="O122" s="51" t="str">
        <f>IF(B122="","",IF(ISNA(VLOOKUP(A122,Vortex!F$5:J$302,2,FALSE)),"",VLOOKUP(A122,Vortex!F$5:J$302,2,FALSE)))</f>
        <v/>
      </c>
      <c r="P122" s="51">
        <f>IF(B122="",0,IF(ISNA(VLOOKUP(A122,Vortex!F$5:J$302,5,FALSE)),0,VLOOKUP(A122,Vortex!F$5:J$302,5,FALSE)))</f>
        <v>0</v>
      </c>
      <c r="Q122" s="51">
        <f t="shared" si="19"/>
        <v>0</v>
      </c>
      <c r="R122" s="51" t="str">
        <f t="shared" si="15"/>
        <v/>
      </c>
      <c r="S122" s="51" t="str">
        <f t="shared" si="16"/>
        <v/>
      </c>
      <c r="T122" s="51" t="str">
        <f t="shared" si="17"/>
        <v/>
      </c>
      <c r="U122" s="51" t="str">
        <f t="shared" si="18"/>
        <v/>
      </c>
      <c r="V122" s="4"/>
      <c r="W122" s="4"/>
      <c r="X122" s="4"/>
      <c r="Y122" s="39"/>
    </row>
    <row r="123" spans="1:37" ht="20" customHeight="1">
      <c r="A123" s="51" t="str">
        <f>IF(Declarations!B75=0,"",Declarations!B75)</f>
        <v/>
      </c>
      <c r="B123" s="161" t="str">
        <f>IF(ISNA(VLOOKUP(A123,Declarations!B$6:C$293,2,FALSE)),"",IF(VLOOKUP(A123,Declarations!B$6:C$293,2,FALSE)="","",VLOOKUP(A123,Declarations!B$6:C$293,2,FALSE)))</f>
        <v/>
      </c>
      <c r="C123" s="161" t="str">
        <f>IF(ISNA(VLOOKUP(A123,Declarations!B$6:F$293,5,FALSE)),"",IF(VLOOKUP(A123,Declarations!B$6:F$293,5,FALSE)="","",VLOOKUP(A123,Declarations!B$6:F$293,5,FALSE)))</f>
        <v/>
      </c>
      <c r="D123" s="161" t="str">
        <f>IF(ISNA(VLOOKUP(A123,Declarations!B$6:F$293,4,FALSE)),"",IF(VLOOKUP(A123,Declarations!B$6:F$293,4,FALSE)="","",VLOOKUP(A123,Declarations!B$6:F$293,4,FALSE)))</f>
        <v/>
      </c>
      <c r="E123" s="161" t="str">
        <f>IF(ISNA(VLOOKUP(A123,Declarations!B$6:D$293,3,FALSE)),"",IF(VLOOKUP(A123,Declarations!B$6:D$293,3,FALSE)="","",VLOOKUP(A123,Declarations!B$6:D$293,3,FALSE)))</f>
        <v/>
      </c>
      <c r="F123" s="51" t="str">
        <f>IF(B123="","",IF(ISNA(VLOOKUP(A123,'75m'!F$5:G$302,2,FALSE)),"",VLOOKUP(A123,'75m'!F$5:G$302,2,FALSE)))</f>
        <v/>
      </c>
      <c r="G123" s="51">
        <f>IF(B123="",0,IF(ISNA(VLOOKUP(A123,'75m'!F$5:J$302,5,FALSE)),0,VLOOKUP(A123,'75m'!F$5:J$302,5,FALSE)))</f>
        <v>0</v>
      </c>
      <c r="H123" s="51" t="str">
        <f>IF(B123="","",IF(ISNA(VLOOKUP(A123,'75m'!F$5:K$302,6,FALSE)),"",VLOOKUP(A123,'75m'!F$5:K$302,6,FALSE)))</f>
        <v/>
      </c>
      <c r="I123" s="53">
        <f>IF(B123="",0,IF(ISNA(VLOOKUP(A123,'600m'!F$5:J$302,2,FALSE)),0,VLOOKUP(A123,'600m'!F$5:J$302,2,FALSE)))</f>
        <v>0</v>
      </c>
      <c r="J123" s="51">
        <f>IF(B123="",0,IF(ISNA(VLOOKUP(A123,'600m'!F$5:J$302,5,FALSE)),0,VLOOKUP(A123,'600m'!F$5:J$302,5,FALSE)))</f>
        <v>0</v>
      </c>
      <c r="K123" s="51" t="str">
        <f>IF(B123="","",IF(ISNA(VLOOKUP(A123,'600m'!F$5:K$302,6,FALSE)),"",VLOOKUP(A123,'600m'!F$5:K$302,6,FALSE)))</f>
        <v/>
      </c>
      <c r="L123" s="51" t="str">
        <f>IF(B123="","",IF(ISNA(VLOOKUP(A123,LongJump!F$5:G$302,2,FALSE)),"",VLOOKUP(A123,LongJump!F$5:G$302,2,FALSE)))</f>
        <v/>
      </c>
      <c r="M123" s="51">
        <f>IF(B123="",0,IF(ISNA(VLOOKUP(A123,LongJump!F$5:J$302,5,FALSE)),0,VLOOKUP(A123,LongJump!F$5:J$302,5,FALSE)))</f>
        <v>0</v>
      </c>
      <c r="N123" s="51">
        <f>IF(B123="",0,IF(ISNA(VLOOKUP(A123,LongJump!F$5:K$302,6,FALSE)),0,VLOOKUP(A123,LongJump!F$5:K$302,6,FALSE)))</f>
        <v>0</v>
      </c>
      <c r="O123" s="51" t="str">
        <f>IF(B123="","",IF(ISNA(VLOOKUP(A123,Vortex!F$5:J$302,2,FALSE)),"",VLOOKUP(A123,Vortex!F$5:J$302,2,FALSE)))</f>
        <v/>
      </c>
      <c r="P123" s="51">
        <f>IF(B123="",0,IF(ISNA(VLOOKUP(A123,Vortex!F$5:J$302,5,FALSE)),0,VLOOKUP(A123,Vortex!F$5:J$302,5,FALSE)))</f>
        <v>0</v>
      </c>
      <c r="Q123" s="51">
        <f t="shared" si="19"/>
        <v>0</v>
      </c>
      <c r="R123" s="51" t="str">
        <f t="shared" si="15"/>
        <v/>
      </c>
      <c r="S123" s="51" t="str">
        <f t="shared" si="16"/>
        <v/>
      </c>
      <c r="T123" s="51" t="str">
        <f t="shared" si="17"/>
        <v/>
      </c>
      <c r="U123" s="51" t="str">
        <f t="shared" si="18"/>
        <v/>
      </c>
      <c r="V123" s="4"/>
      <c r="W123" s="4"/>
      <c r="X123" s="4"/>
      <c r="Y123" s="39"/>
    </row>
    <row r="124" spans="1:37" ht="20" customHeight="1">
      <c r="A124" s="51" t="str">
        <f>IF(Declarations!B76=0,"",Declarations!B76)</f>
        <v/>
      </c>
      <c r="B124" s="161" t="str">
        <f>IF(ISNA(VLOOKUP(A124,Declarations!B$6:C$293,2,FALSE)),"",IF(VLOOKUP(A124,Declarations!B$6:C$293,2,FALSE)="","",VLOOKUP(A124,Declarations!B$6:C$293,2,FALSE)))</f>
        <v/>
      </c>
      <c r="C124" s="161" t="str">
        <f>IF(ISNA(VLOOKUP(A124,Declarations!B$6:F$293,5,FALSE)),"",IF(VLOOKUP(A124,Declarations!B$6:F$293,5,FALSE)="","",VLOOKUP(A124,Declarations!B$6:F$293,5,FALSE)))</f>
        <v/>
      </c>
      <c r="D124" s="161" t="str">
        <f>IF(ISNA(VLOOKUP(A124,Declarations!B$6:F$293,4,FALSE)),"",IF(VLOOKUP(A124,Declarations!B$6:F$293,4,FALSE)="","",VLOOKUP(A124,Declarations!B$6:F$293,4,FALSE)))</f>
        <v/>
      </c>
      <c r="E124" s="161" t="str">
        <f>IF(ISNA(VLOOKUP(A124,Declarations!B$6:D$293,3,FALSE)),"",IF(VLOOKUP(A124,Declarations!B$6:D$293,3,FALSE)="","",VLOOKUP(A124,Declarations!B$6:D$293,3,FALSE)))</f>
        <v/>
      </c>
      <c r="F124" s="51" t="str">
        <f>IF(B124="","",IF(ISNA(VLOOKUP(A124,'75m'!F$5:G$302,2,FALSE)),"",VLOOKUP(A124,'75m'!F$5:G$302,2,FALSE)))</f>
        <v/>
      </c>
      <c r="G124" s="51">
        <f>IF(B124="",0,IF(ISNA(VLOOKUP(A124,'75m'!F$5:J$302,5,FALSE)),0,VLOOKUP(A124,'75m'!F$5:J$302,5,FALSE)))</f>
        <v>0</v>
      </c>
      <c r="H124" s="51" t="str">
        <f>IF(B124="","",IF(ISNA(VLOOKUP(A124,'75m'!F$5:K$302,6,FALSE)),"",VLOOKUP(A124,'75m'!F$5:K$302,6,FALSE)))</f>
        <v/>
      </c>
      <c r="I124" s="53">
        <f>IF(B124="",0,IF(ISNA(VLOOKUP(A124,'600m'!F$5:J$302,2,FALSE)),0,VLOOKUP(A124,'600m'!F$5:J$302,2,FALSE)))</f>
        <v>0</v>
      </c>
      <c r="J124" s="51">
        <f>IF(B124="",0,IF(ISNA(VLOOKUP(A124,'600m'!F$5:J$302,5,FALSE)),0,VLOOKUP(A124,'600m'!F$5:J$302,5,FALSE)))</f>
        <v>0</v>
      </c>
      <c r="K124" s="51" t="str">
        <f>IF(B124="","",IF(ISNA(VLOOKUP(A124,'600m'!F$5:K$302,6,FALSE)),"",VLOOKUP(A124,'600m'!F$5:K$302,6,FALSE)))</f>
        <v/>
      </c>
      <c r="L124" s="51" t="str">
        <f>IF(B124="","",IF(ISNA(VLOOKUP(A124,LongJump!F$5:G$302,2,FALSE)),"",VLOOKUP(A124,LongJump!F$5:G$302,2,FALSE)))</f>
        <v/>
      </c>
      <c r="M124" s="51">
        <f>IF(B124="",0,IF(ISNA(VLOOKUP(A124,LongJump!F$5:J$302,5,FALSE)),0,VLOOKUP(A124,LongJump!F$5:J$302,5,FALSE)))</f>
        <v>0</v>
      </c>
      <c r="N124" s="51">
        <f>IF(B124="",0,IF(ISNA(VLOOKUP(A124,LongJump!F$5:K$302,6,FALSE)),0,VLOOKUP(A124,LongJump!F$5:K$302,6,FALSE)))</f>
        <v>0</v>
      </c>
      <c r="O124" s="51" t="str">
        <f>IF(B124="","",IF(ISNA(VLOOKUP(A124,Vortex!F$5:J$302,2,FALSE)),"",VLOOKUP(A124,Vortex!F$5:J$302,2,FALSE)))</f>
        <v/>
      </c>
      <c r="P124" s="51">
        <f>IF(B124="",0,IF(ISNA(VLOOKUP(A124,Vortex!F$5:J$302,5,FALSE)),0,VLOOKUP(A124,Vortex!F$5:J$302,5,FALSE)))</f>
        <v>0</v>
      </c>
      <c r="Q124" s="51">
        <f t="shared" si="19"/>
        <v>0</v>
      </c>
      <c r="R124" s="51" t="str">
        <f t="shared" si="15"/>
        <v/>
      </c>
      <c r="S124" s="51" t="str">
        <f t="shared" si="16"/>
        <v/>
      </c>
      <c r="T124" s="51" t="str">
        <f t="shared" si="17"/>
        <v/>
      </c>
      <c r="U124" s="51" t="str">
        <f t="shared" si="18"/>
        <v/>
      </c>
      <c r="V124" s="4"/>
      <c r="W124" s="4"/>
      <c r="X124" s="4"/>
      <c r="Y124" s="39"/>
    </row>
    <row r="125" spans="1:37" ht="20" customHeight="1">
      <c r="A125" s="51" t="str">
        <f>IF(Declarations!B77=0,"",Declarations!B77)</f>
        <v/>
      </c>
      <c r="B125" s="161" t="str">
        <f>IF(ISNA(VLOOKUP(A125,Declarations!B$6:C$293,2,FALSE)),"",IF(VLOOKUP(A125,Declarations!B$6:C$293,2,FALSE)="","",VLOOKUP(A125,Declarations!B$6:C$293,2,FALSE)))</f>
        <v/>
      </c>
      <c r="C125" s="161" t="str">
        <f>IF(ISNA(VLOOKUP(A125,Declarations!B$6:F$293,5,FALSE)),"",IF(VLOOKUP(A125,Declarations!B$6:F$293,5,FALSE)="","",VLOOKUP(A125,Declarations!B$6:F$293,5,FALSE)))</f>
        <v/>
      </c>
      <c r="D125" s="161" t="str">
        <f>IF(ISNA(VLOOKUP(A125,Declarations!B$6:F$293,4,FALSE)),"",IF(VLOOKUP(A125,Declarations!B$6:F$293,4,FALSE)="","",VLOOKUP(A125,Declarations!B$6:F$293,4,FALSE)))</f>
        <v/>
      </c>
      <c r="E125" s="161" t="str">
        <f>IF(ISNA(VLOOKUP(A125,Declarations!B$6:D$293,3,FALSE)),"",IF(VLOOKUP(A125,Declarations!B$6:D$293,3,FALSE)="","",VLOOKUP(A125,Declarations!B$6:D$293,3,FALSE)))</f>
        <v/>
      </c>
      <c r="F125" s="51" t="str">
        <f>IF(B125="","",IF(ISNA(VLOOKUP(A125,'75m'!F$5:G$302,2,FALSE)),"",VLOOKUP(A125,'75m'!F$5:G$302,2,FALSE)))</f>
        <v/>
      </c>
      <c r="G125" s="51">
        <f>IF(B125="",0,IF(ISNA(VLOOKUP(A125,'75m'!F$5:J$302,5,FALSE)),0,VLOOKUP(A125,'75m'!F$5:J$302,5,FALSE)))</f>
        <v>0</v>
      </c>
      <c r="H125" s="51" t="str">
        <f>IF(B125="","",IF(ISNA(VLOOKUP(A125,'75m'!F$5:K$302,6,FALSE)),"",VLOOKUP(A125,'75m'!F$5:K$302,6,FALSE)))</f>
        <v/>
      </c>
      <c r="I125" s="53">
        <f>IF(B125="",0,IF(ISNA(VLOOKUP(A125,'600m'!F$5:J$302,2,FALSE)),0,VLOOKUP(A125,'600m'!F$5:J$302,2,FALSE)))</f>
        <v>0</v>
      </c>
      <c r="J125" s="51">
        <f>IF(B125="",0,IF(ISNA(VLOOKUP(A125,'600m'!F$5:J$302,5,FALSE)),0,VLOOKUP(A125,'600m'!F$5:J$302,5,FALSE)))</f>
        <v>0</v>
      </c>
      <c r="K125" s="51" t="str">
        <f>IF(B125="","",IF(ISNA(VLOOKUP(A125,'600m'!F$5:K$302,6,FALSE)),"",VLOOKUP(A125,'600m'!F$5:K$302,6,FALSE)))</f>
        <v/>
      </c>
      <c r="L125" s="51" t="str">
        <f>IF(B125="","",IF(ISNA(VLOOKUP(A125,LongJump!F$5:G$302,2,FALSE)),"",VLOOKUP(A125,LongJump!F$5:G$302,2,FALSE)))</f>
        <v/>
      </c>
      <c r="M125" s="51">
        <f>IF(B125="",0,IF(ISNA(VLOOKUP(A125,LongJump!F$5:J$302,5,FALSE)),0,VLOOKUP(A125,LongJump!F$5:J$302,5,FALSE)))</f>
        <v>0</v>
      </c>
      <c r="N125" s="51">
        <f>IF(B125="",0,IF(ISNA(VLOOKUP(A125,LongJump!F$5:K$302,6,FALSE)),0,VLOOKUP(A125,LongJump!F$5:K$302,6,FALSE)))</f>
        <v>0</v>
      </c>
      <c r="O125" s="51" t="str">
        <f>IF(B125="","",IF(ISNA(VLOOKUP(A125,Vortex!F$5:J$302,2,FALSE)),"",VLOOKUP(A125,Vortex!F$5:J$302,2,FALSE)))</f>
        <v/>
      </c>
      <c r="P125" s="51">
        <f>IF(B125="",0,IF(ISNA(VLOOKUP(A125,Vortex!F$5:J$302,5,FALSE)),0,VLOOKUP(A125,Vortex!F$5:J$302,5,FALSE)))</f>
        <v>0</v>
      </c>
      <c r="Q125" s="51">
        <f t="shared" si="19"/>
        <v>0</v>
      </c>
      <c r="R125" s="51" t="str">
        <f t="shared" si="15"/>
        <v/>
      </c>
      <c r="S125" s="51" t="str">
        <f t="shared" si="16"/>
        <v/>
      </c>
      <c r="T125" s="51" t="str">
        <f t="shared" si="17"/>
        <v/>
      </c>
      <c r="U125" s="51" t="str">
        <f t="shared" si="18"/>
        <v/>
      </c>
      <c r="V125" s="4"/>
      <c r="W125" s="4"/>
      <c r="X125" s="4"/>
      <c r="Y125" s="39"/>
    </row>
    <row r="126" spans="1:37" ht="18" customHeight="1">
      <c r="A126" s="51" t="str">
        <f>IF(Declarations!B78=0,"",Declarations!B78)</f>
        <v/>
      </c>
      <c r="B126" s="161" t="str">
        <f>IF(ISNA(VLOOKUP(A126,Declarations!B$6:C$293,2,FALSE)),"",IF(VLOOKUP(A126,Declarations!B$6:C$293,2,FALSE)="","",VLOOKUP(A126,Declarations!B$6:C$293,2,FALSE)))</f>
        <v/>
      </c>
      <c r="C126" s="161" t="str">
        <f>IF(ISNA(VLOOKUP(A126,Declarations!B$6:F$293,5,FALSE)),"",IF(VLOOKUP(A126,Declarations!B$6:F$293,5,FALSE)="","",VLOOKUP(A126,Declarations!B$6:F$293,5,FALSE)))</f>
        <v/>
      </c>
      <c r="D126" s="161" t="str">
        <f>IF(ISNA(VLOOKUP(A126,Declarations!B$6:F$293,4,FALSE)),"",IF(VLOOKUP(A126,Declarations!B$6:F$293,4,FALSE)="","",VLOOKUP(A126,Declarations!B$6:F$293,4,FALSE)))</f>
        <v/>
      </c>
      <c r="E126" s="161" t="str">
        <f>IF(ISNA(VLOOKUP(A126,Declarations!B$6:D$293,3,FALSE)),"",IF(VLOOKUP(A126,Declarations!B$6:D$293,3,FALSE)="","",VLOOKUP(A126,Declarations!B$6:D$293,3,FALSE)))</f>
        <v/>
      </c>
      <c r="F126" s="51" t="str">
        <f>IF(B126="","",IF(ISNA(VLOOKUP(A126,'75m'!F$5:G$302,2,FALSE)),"",VLOOKUP(A126,'75m'!F$5:G$302,2,FALSE)))</f>
        <v/>
      </c>
      <c r="G126" s="51">
        <f>IF(B126="",0,IF(ISNA(VLOOKUP(A126,'75m'!F$5:J$302,5,FALSE)),0,VLOOKUP(A126,'75m'!F$5:J$302,5,FALSE)))</f>
        <v>0</v>
      </c>
      <c r="H126" s="51" t="str">
        <f>IF(B126="","",IF(ISNA(VLOOKUP(A126,'75m'!F$5:K$302,6,FALSE)),"",VLOOKUP(A126,'75m'!F$5:K$302,6,FALSE)))</f>
        <v/>
      </c>
      <c r="I126" s="53">
        <f>IF(B126="",0,IF(ISNA(VLOOKUP(A126,'600m'!F$5:J$302,2,FALSE)),0,VLOOKUP(A126,'600m'!F$5:J$302,2,FALSE)))</f>
        <v>0</v>
      </c>
      <c r="J126" s="51">
        <f>IF(B126="",0,IF(ISNA(VLOOKUP(A126,'600m'!F$5:J$302,5,FALSE)),0,VLOOKUP(A126,'600m'!F$5:J$302,5,FALSE)))</f>
        <v>0</v>
      </c>
      <c r="K126" s="51" t="str">
        <f>IF(B126="","",IF(ISNA(VLOOKUP(A126,'600m'!F$5:K$302,6,FALSE)),"",VLOOKUP(A126,'600m'!F$5:K$302,6,FALSE)))</f>
        <v/>
      </c>
      <c r="L126" s="51" t="str">
        <f>IF(B126="","",IF(ISNA(VLOOKUP(A126,LongJump!F$5:G$302,2,FALSE)),"",VLOOKUP(A126,LongJump!F$5:G$302,2,FALSE)))</f>
        <v/>
      </c>
      <c r="M126" s="51">
        <f>IF(B126="",0,IF(ISNA(VLOOKUP(A126,LongJump!F$5:J$302,5,FALSE)),0,VLOOKUP(A126,LongJump!F$5:J$302,5,FALSE)))</f>
        <v>0</v>
      </c>
      <c r="N126" s="51">
        <f>IF(B126="",0,IF(ISNA(VLOOKUP(A126,LongJump!F$5:K$302,6,FALSE)),0,VLOOKUP(A126,LongJump!F$5:K$302,6,FALSE)))</f>
        <v>0</v>
      </c>
      <c r="O126" s="51" t="str">
        <f>IF(B126="","",IF(ISNA(VLOOKUP(A126,Vortex!F$5:J$302,2,FALSE)),"",VLOOKUP(A126,Vortex!F$5:J$302,2,FALSE)))</f>
        <v/>
      </c>
      <c r="P126" s="51">
        <f>IF(B126="",0,IF(ISNA(VLOOKUP(A126,Vortex!F$5:J$302,5,FALSE)),0,VLOOKUP(A126,Vortex!F$5:J$302,5,FALSE)))</f>
        <v>0</v>
      </c>
      <c r="Q126" s="51">
        <f t="shared" si="19"/>
        <v>0</v>
      </c>
      <c r="R126" s="51" t="str">
        <f t="shared" si="15"/>
        <v/>
      </c>
      <c r="S126" s="51" t="str">
        <f t="shared" si="16"/>
        <v/>
      </c>
      <c r="T126" s="51" t="str">
        <f t="shared" si="17"/>
        <v/>
      </c>
      <c r="U126" s="51" t="str">
        <f t="shared" si="18"/>
        <v/>
      </c>
      <c r="V126" s="4"/>
      <c r="W126" s="4"/>
      <c r="X126" s="4"/>
      <c r="Y126" s="39"/>
    </row>
    <row r="127" spans="1:37" ht="18" customHeight="1">
      <c r="A127" s="51" t="str">
        <f>IF(Declarations!B79=0,"",Declarations!B79)</f>
        <v/>
      </c>
      <c r="B127" s="161" t="str">
        <f>IF(ISNA(VLOOKUP(A127,Declarations!B$6:C$293,2,FALSE)),"",IF(VLOOKUP(A127,Declarations!B$6:C$293,2,FALSE)="","",VLOOKUP(A127,Declarations!B$6:C$293,2,FALSE)))</f>
        <v/>
      </c>
      <c r="C127" s="161" t="str">
        <f>IF(ISNA(VLOOKUP(A127,Declarations!B$6:F$293,5,FALSE)),"",IF(VLOOKUP(A127,Declarations!B$6:F$293,5,FALSE)="","",VLOOKUP(A127,Declarations!B$6:F$293,5,FALSE)))</f>
        <v/>
      </c>
      <c r="D127" s="161" t="str">
        <f>IF(ISNA(VLOOKUP(A127,Declarations!B$6:F$293,4,FALSE)),"",IF(VLOOKUP(A127,Declarations!B$6:F$293,4,FALSE)="","",VLOOKUP(A127,Declarations!B$6:F$293,4,FALSE)))</f>
        <v/>
      </c>
      <c r="E127" s="161" t="str">
        <f>IF(ISNA(VLOOKUP(A127,Declarations!B$6:D$293,3,FALSE)),"",IF(VLOOKUP(A127,Declarations!B$6:D$293,3,FALSE)="","",VLOOKUP(A127,Declarations!B$6:D$293,3,FALSE)))</f>
        <v/>
      </c>
      <c r="F127" s="51" t="str">
        <f>IF(B127="","",IF(ISNA(VLOOKUP(A127,'75m'!F$5:G$302,2,FALSE)),"",VLOOKUP(A127,'75m'!F$5:G$302,2,FALSE)))</f>
        <v/>
      </c>
      <c r="G127" s="51">
        <f>IF(B127="",0,IF(ISNA(VLOOKUP(A127,'75m'!F$5:J$302,5,FALSE)),0,VLOOKUP(A127,'75m'!F$5:J$302,5,FALSE)))</f>
        <v>0</v>
      </c>
      <c r="H127" s="51" t="str">
        <f>IF(B127="","",IF(ISNA(VLOOKUP(A127,'75m'!F$5:K$302,6,FALSE)),"",VLOOKUP(A127,'75m'!F$5:K$302,6,FALSE)))</f>
        <v/>
      </c>
      <c r="I127" s="53">
        <f>IF(B127="",0,IF(ISNA(VLOOKUP(A127,'600m'!F$5:J$302,2,FALSE)),0,VLOOKUP(A127,'600m'!F$5:J$302,2,FALSE)))</f>
        <v>0</v>
      </c>
      <c r="J127" s="51">
        <f>IF(B127="",0,IF(ISNA(VLOOKUP(A127,'600m'!F$5:J$302,5,FALSE)),0,VLOOKUP(A127,'600m'!F$5:J$302,5,FALSE)))</f>
        <v>0</v>
      </c>
      <c r="K127" s="51" t="str">
        <f>IF(B127="","",IF(ISNA(VLOOKUP(A127,'600m'!F$5:K$302,6,FALSE)),"",VLOOKUP(A127,'600m'!F$5:K$302,6,FALSE)))</f>
        <v/>
      </c>
      <c r="L127" s="51" t="str">
        <f>IF(B127="","",IF(ISNA(VLOOKUP(A127,LongJump!F$5:G$302,2,FALSE)),"",VLOOKUP(A127,LongJump!F$5:G$302,2,FALSE)))</f>
        <v/>
      </c>
      <c r="M127" s="51">
        <f>IF(B127="",0,IF(ISNA(VLOOKUP(A127,LongJump!F$5:J$302,5,FALSE)),0,VLOOKUP(A127,LongJump!F$5:J$302,5,FALSE)))</f>
        <v>0</v>
      </c>
      <c r="N127" s="51">
        <f>IF(B127="",0,IF(ISNA(VLOOKUP(A127,LongJump!F$5:K$302,6,FALSE)),0,VLOOKUP(A127,LongJump!F$5:K$302,6,FALSE)))</f>
        <v>0</v>
      </c>
      <c r="O127" s="51" t="str">
        <f>IF(B127="","",IF(ISNA(VLOOKUP(A127,Vortex!F$5:J$302,2,FALSE)),"",VLOOKUP(A127,Vortex!F$5:J$302,2,FALSE)))</f>
        <v/>
      </c>
      <c r="P127" s="51">
        <f>IF(B127="",0,IF(ISNA(VLOOKUP(A127,Vortex!F$5:J$302,5,FALSE)),0,VLOOKUP(A127,Vortex!F$5:J$302,5,FALSE)))</f>
        <v>0</v>
      </c>
      <c r="Q127" s="51">
        <f t="shared" si="19"/>
        <v>0</v>
      </c>
      <c r="R127" s="51" t="str">
        <f t="shared" si="15"/>
        <v/>
      </c>
      <c r="S127" s="51" t="str">
        <f t="shared" si="16"/>
        <v/>
      </c>
      <c r="T127" s="51" t="str">
        <f t="shared" si="17"/>
        <v/>
      </c>
      <c r="U127" s="51" t="str">
        <f t="shared" si="18"/>
        <v/>
      </c>
      <c r="V127" s="4"/>
      <c r="W127" s="4"/>
      <c r="X127" s="4"/>
      <c r="Y127" s="39"/>
    </row>
    <row r="128" spans="1:37" ht="18" customHeight="1">
      <c r="A128" s="51" t="str">
        <f>IF(Declarations!B80=0,"",Declarations!B80)</f>
        <v/>
      </c>
      <c r="B128" s="161" t="str">
        <f>IF(ISNA(VLOOKUP(A128,Declarations!B$6:C$293,2,FALSE)),"",IF(VLOOKUP(A128,Declarations!B$6:C$293,2,FALSE)="","",VLOOKUP(A128,Declarations!B$6:C$293,2,FALSE)))</f>
        <v/>
      </c>
      <c r="C128" s="161" t="str">
        <f>IF(ISNA(VLOOKUP(A128,Declarations!B$6:F$293,5,FALSE)),"",IF(VLOOKUP(A128,Declarations!B$6:F$293,5,FALSE)="","",VLOOKUP(A128,Declarations!B$6:F$293,5,FALSE)))</f>
        <v/>
      </c>
      <c r="D128" s="161" t="str">
        <f>IF(ISNA(VLOOKUP(A128,Declarations!B$6:F$293,4,FALSE)),"",IF(VLOOKUP(A128,Declarations!B$6:F$293,4,FALSE)="","",VLOOKUP(A128,Declarations!B$6:F$293,4,FALSE)))</f>
        <v/>
      </c>
      <c r="E128" s="161" t="str">
        <f>IF(ISNA(VLOOKUP(A128,Declarations!B$6:D$293,3,FALSE)),"",IF(VLOOKUP(A128,Declarations!B$6:D$293,3,FALSE)="","",VLOOKUP(A128,Declarations!B$6:D$293,3,FALSE)))</f>
        <v/>
      </c>
      <c r="F128" s="51" t="str">
        <f>IF(B128="","",IF(ISNA(VLOOKUP(A128,'75m'!F$5:G$302,2,FALSE)),"",VLOOKUP(A128,'75m'!F$5:G$302,2,FALSE)))</f>
        <v/>
      </c>
      <c r="G128" s="51">
        <f>IF(B128="",0,IF(ISNA(VLOOKUP(A128,'75m'!F$5:J$302,5,FALSE)),0,VLOOKUP(A128,'75m'!F$5:J$302,5,FALSE)))</f>
        <v>0</v>
      </c>
      <c r="H128" s="51" t="str">
        <f>IF(B128="","",IF(ISNA(VLOOKUP(A128,'75m'!F$5:K$302,6,FALSE)),"",VLOOKUP(A128,'75m'!F$5:K$302,6,FALSE)))</f>
        <v/>
      </c>
      <c r="I128" s="53">
        <f>IF(B128="",0,IF(ISNA(VLOOKUP(A128,'600m'!F$5:J$302,2,FALSE)),0,VLOOKUP(A128,'600m'!F$5:J$302,2,FALSE)))</f>
        <v>0</v>
      </c>
      <c r="J128" s="51">
        <f>IF(B128="",0,IF(ISNA(VLOOKUP(A128,'600m'!F$5:J$302,5,FALSE)),0,VLOOKUP(A128,'600m'!F$5:J$302,5,FALSE)))</f>
        <v>0</v>
      </c>
      <c r="K128" s="51" t="str">
        <f>IF(B128="","",IF(ISNA(VLOOKUP(A128,'600m'!F$5:K$302,6,FALSE)),"",VLOOKUP(A128,'600m'!F$5:K$302,6,FALSE)))</f>
        <v/>
      </c>
      <c r="L128" s="51" t="str">
        <f>IF(B128="","",IF(ISNA(VLOOKUP(A128,LongJump!F$5:G$302,2,FALSE)),"",VLOOKUP(A128,LongJump!F$5:G$302,2,FALSE)))</f>
        <v/>
      </c>
      <c r="M128" s="51">
        <f>IF(B128="",0,IF(ISNA(VLOOKUP(A128,LongJump!F$5:J$302,5,FALSE)),0,VLOOKUP(A128,LongJump!F$5:J$302,5,FALSE)))</f>
        <v>0</v>
      </c>
      <c r="N128" s="51">
        <f>IF(B128="",0,IF(ISNA(VLOOKUP(A128,LongJump!F$5:K$302,6,FALSE)),0,VLOOKUP(A128,LongJump!F$5:K$302,6,FALSE)))</f>
        <v>0</v>
      </c>
      <c r="O128" s="51" t="str">
        <f>IF(B128="","",IF(ISNA(VLOOKUP(A128,Vortex!F$5:J$302,2,FALSE)),"",VLOOKUP(A128,Vortex!F$5:J$302,2,FALSE)))</f>
        <v/>
      </c>
      <c r="P128" s="51">
        <f>IF(B128="",0,IF(ISNA(VLOOKUP(A128,Vortex!F$5:J$302,5,FALSE)),0,VLOOKUP(A128,Vortex!F$5:J$302,5,FALSE)))</f>
        <v>0</v>
      </c>
      <c r="Q128" s="51">
        <f t="shared" si="19"/>
        <v>0</v>
      </c>
      <c r="R128" s="51" t="str">
        <f t="shared" si="15"/>
        <v/>
      </c>
      <c r="S128" s="51" t="str">
        <f t="shared" si="16"/>
        <v/>
      </c>
      <c r="T128" s="51" t="str">
        <f t="shared" si="17"/>
        <v/>
      </c>
      <c r="U128" s="51" t="str">
        <f t="shared" si="18"/>
        <v/>
      </c>
      <c r="V128" s="4"/>
      <c r="W128" s="4"/>
      <c r="X128" s="4"/>
      <c r="Y128" s="39"/>
    </row>
    <row r="129" spans="1:25" ht="18" customHeight="1">
      <c r="A129" s="51" t="str">
        <f>IF(Declarations!B81=0,"",Declarations!B81)</f>
        <v/>
      </c>
      <c r="B129" s="161" t="str">
        <f>IF(ISNA(VLOOKUP(A129,Declarations!B$6:C$293,2,FALSE)),"",IF(VLOOKUP(A129,Declarations!B$6:C$293,2,FALSE)="","",VLOOKUP(A129,Declarations!B$6:C$293,2,FALSE)))</f>
        <v/>
      </c>
      <c r="C129" s="161" t="str">
        <f>IF(ISNA(VLOOKUP(A129,Declarations!B$6:F$293,5,FALSE)),"",IF(VLOOKUP(A129,Declarations!B$6:F$293,5,FALSE)="","",VLOOKUP(A129,Declarations!B$6:F$293,5,FALSE)))</f>
        <v/>
      </c>
      <c r="D129" s="161" t="str">
        <f>IF(ISNA(VLOOKUP(A129,Declarations!B$6:F$293,4,FALSE)),"",IF(VLOOKUP(A129,Declarations!B$6:F$293,4,FALSE)="","",VLOOKUP(A129,Declarations!B$6:F$293,4,FALSE)))</f>
        <v/>
      </c>
      <c r="E129" s="161" t="str">
        <f>IF(ISNA(VLOOKUP(A129,Declarations!B$6:D$293,3,FALSE)),"",IF(VLOOKUP(A129,Declarations!B$6:D$293,3,FALSE)="","",VLOOKUP(A129,Declarations!B$6:D$293,3,FALSE)))</f>
        <v/>
      </c>
      <c r="F129" s="51" t="str">
        <f>IF(B129="","",IF(ISNA(VLOOKUP(A129,'75m'!F$5:G$302,2,FALSE)),"",VLOOKUP(A129,'75m'!F$5:G$302,2,FALSE)))</f>
        <v/>
      </c>
      <c r="G129" s="51">
        <f>IF(B129="",0,IF(ISNA(VLOOKUP(A129,'75m'!F$5:J$302,5,FALSE)),0,VLOOKUP(A129,'75m'!F$5:J$302,5,FALSE)))</f>
        <v>0</v>
      </c>
      <c r="H129" s="51" t="str">
        <f>IF(B129="","",IF(ISNA(VLOOKUP(A129,'75m'!F$5:K$302,6,FALSE)),"",VLOOKUP(A129,'75m'!F$5:K$302,6,FALSE)))</f>
        <v/>
      </c>
      <c r="I129" s="53">
        <f>IF(B129="",0,IF(ISNA(VLOOKUP(A129,'600m'!F$5:J$302,2,FALSE)),0,VLOOKUP(A129,'600m'!F$5:J$302,2,FALSE)))</f>
        <v>0</v>
      </c>
      <c r="J129" s="51">
        <f>IF(B129="",0,IF(ISNA(VLOOKUP(A129,'600m'!F$5:J$302,5,FALSE)),0,VLOOKUP(A129,'600m'!F$5:J$302,5,FALSE)))</f>
        <v>0</v>
      </c>
      <c r="K129" s="51" t="str">
        <f>IF(B129="","",IF(ISNA(VLOOKUP(A129,'600m'!F$5:K$302,6,FALSE)),"",VLOOKUP(A129,'600m'!F$5:K$302,6,FALSE)))</f>
        <v/>
      </c>
      <c r="L129" s="51" t="str">
        <f>IF(B129="","",IF(ISNA(VLOOKUP(A129,LongJump!F$5:G$302,2,FALSE)),"",VLOOKUP(A129,LongJump!F$5:G$302,2,FALSE)))</f>
        <v/>
      </c>
      <c r="M129" s="51">
        <f>IF(B129="",0,IF(ISNA(VLOOKUP(A129,LongJump!F$5:J$302,5,FALSE)),0,VLOOKUP(A129,LongJump!F$5:J$302,5,FALSE)))</f>
        <v>0</v>
      </c>
      <c r="N129" s="51">
        <f>IF(B129="",0,IF(ISNA(VLOOKUP(A129,LongJump!F$5:K$302,6,FALSE)),0,VLOOKUP(A129,LongJump!F$5:K$302,6,FALSE)))</f>
        <v>0</v>
      </c>
      <c r="O129" s="51" t="str">
        <f>IF(B129="","",IF(ISNA(VLOOKUP(A129,Vortex!F$5:J$302,2,FALSE)),"",VLOOKUP(A129,Vortex!F$5:J$302,2,FALSE)))</f>
        <v/>
      </c>
      <c r="P129" s="51">
        <f>IF(B129="",0,IF(ISNA(VLOOKUP(A129,Vortex!F$5:J$302,5,FALSE)),0,VLOOKUP(A129,Vortex!F$5:J$302,5,FALSE)))</f>
        <v>0</v>
      </c>
      <c r="Q129" s="51">
        <f t="shared" si="19"/>
        <v>0</v>
      </c>
      <c r="R129" s="51" t="str">
        <f t="shared" si="15"/>
        <v/>
      </c>
      <c r="S129" s="51" t="str">
        <f t="shared" si="16"/>
        <v/>
      </c>
      <c r="T129" s="51" t="str">
        <f t="shared" si="17"/>
        <v/>
      </c>
      <c r="U129" s="51" t="str">
        <f t="shared" si="18"/>
        <v/>
      </c>
      <c r="V129" s="4"/>
      <c r="W129" s="4"/>
      <c r="X129" s="4"/>
      <c r="Y129" s="39"/>
    </row>
    <row r="130" spans="1:25" ht="18" customHeight="1">
      <c r="A130" s="51" t="str">
        <f>IF(Declarations!B82=0,"",Declarations!B82)</f>
        <v/>
      </c>
      <c r="B130" s="161" t="str">
        <f>IF(ISNA(VLOOKUP(A130,Declarations!B$6:C$293,2,FALSE)),"",IF(VLOOKUP(A130,Declarations!B$6:C$293,2,FALSE)="","",VLOOKUP(A130,Declarations!B$6:C$293,2,FALSE)))</f>
        <v/>
      </c>
      <c r="C130" s="161" t="str">
        <f>IF(ISNA(VLOOKUP(A130,Declarations!B$6:F$293,5,FALSE)),"",IF(VLOOKUP(A130,Declarations!B$6:F$293,5,FALSE)="","",VLOOKUP(A130,Declarations!B$6:F$293,5,FALSE)))</f>
        <v/>
      </c>
      <c r="D130" s="161" t="str">
        <f>IF(ISNA(VLOOKUP(A130,Declarations!B$6:F$293,4,FALSE)),"",IF(VLOOKUP(A130,Declarations!B$6:F$293,4,FALSE)="","",VLOOKUP(A130,Declarations!B$6:F$293,4,FALSE)))</f>
        <v/>
      </c>
      <c r="E130" s="161" t="str">
        <f>IF(ISNA(VLOOKUP(A130,Declarations!B$6:D$293,3,FALSE)),"",IF(VLOOKUP(A130,Declarations!B$6:D$293,3,FALSE)="","",VLOOKUP(A130,Declarations!B$6:D$293,3,FALSE)))</f>
        <v/>
      </c>
      <c r="F130" s="51" t="str">
        <f>IF(B130="","",IF(ISNA(VLOOKUP(A130,'75m'!F$5:G$302,2,FALSE)),"",VLOOKUP(A130,'75m'!F$5:G$302,2,FALSE)))</f>
        <v/>
      </c>
      <c r="G130" s="51">
        <f>IF(B130="",0,IF(ISNA(VLOOKUP(A130,'75m'!F$5:J$302,5,FALSE)),0,VLOOKUP(A130,'75m'!F$5:J$302,5,FALSE)))</f>
        <v>0</v>
      </c>
      <c r="H130" s="51" t="str">
        <f>IF(B130="","",IF(ISNA(VLOOKUP(A130,'75m'!F$5:K$302,6,FALSE)),"",VLOOKUP(A130,'75m'!F$5:K$302,6,FALSE)))</f>
        <v/>
      </c>
      <c r="I130" s="53">
        <f>IF(B130="",0,IF(ISNA(VLOOKUP(A130,'600m'!F$5:J$302,2,FALSE)),0,VLOOKUP(A130,'600m'!F$5:J$302,2,FALSE)))</f>
        <v>0</v>
      </c>
      <c r="J130" s="51">
        <f>IF(B130="",0,IF(ISNA(VLOOKUP(A130,'600m'!F$5:J$302,5,FALSE)),0,VLOOKUP(A130,'600m'!F$5:J$302,5,FALSE)))</f>
        <v>0</v>
      </c>
      <c r="K130" s="51" t="str">
        <f>IF(B130="","",IF(ISNA(VLOOKUP(A130,'600m'!F$5:K$302,6,FALSE)),"",VLOOKUP(A130,'600m'!F$5:K$302,6,FALSE)))</f>
        <v/>
      </c>
      <c r="L130" s="51" t="str">
        <f>IF(B130="","",IF(ISNA(VLOOKUP(A130,LongJump!F$5:G$302,2,FALSE)),"",VLOOKUP(A130,LongJump!F$5:G$302,2,FALSE)))</f>
        <v/>
      </c>
      <c r="M130" s="51">
        <f>IF(B130="",0,IF(ISNA(VLOOKUP(A130,LongJump!F$5:J$302,5,FALSE)),0,VLOOKUP(A130,LongJump!F$5:J$302,5,FALSE)))</f>
        <v>0</v>
      </c>
      <c r="N130" s="51">
        <f>IF(B130="",0,IF(ISNA(VLOOKUP(A130,LongJump!F$5:K$302,6,FALSE)),0,VLOOKUP(A130,LongJump!F$5:K$302,6,FALSE)))</f>
        <v>0</v>
      </c>
      <c r="O130" s="51" t="str">
        <f>IF(B130="","",IF(ISNA(VLOOKUP(A130,Vortex!F$5:J$302,2,FALSE)),"",VLOOKUP(A130,Vortex!F$5:J$302,2,FALSE)))</f>
        <v/>
      </c>
      <c r="P130" s="51">
        <f>IF(B130="",0,IF(ISNA(VLOOKUP(A130,Vortex!F$5:J$302,5,FALSE)),0,VLOOKUP(A130,Vortex!F$5:J$302,5,FALSE)))</f>
        <v>0</v>
      </c>
      <c r="Q130" s="51">
        <f t="shared" si="19"/>
        <v>0</v>
      </c>
      <c r="R130" s="51" t="str">
        <f t="shared" si="15"/>
        <v/>
      </c>
      <c r="S130" s="51" t="str">
        <f t="shared" si="16"/>
        <v/>
      </c>
      <c r="T130" s="51" t="str">
        <f t="shared" si="17"/>
        <v/>
      </c>
      <c r="U130" s="51" t="str">
        <f t="shared" si="18"/>
        <v/>
      </c>
      <c r="V130" s="4"/>
      <c r="W130" s="4"/>
      <c r="X130" s="4"/>
      <c r="Y130" s="39"/>
    </row>
    <row r="131" spans="1:25" ht="20" customHeight="1">
      <c r="A131" s="51" t="str">
        <f>IF(Declarations!B83=0,"",Declarations!B83)</f>
        <v/>
      </c>
      <c r="B131" s="161" t="str">
        <f>IF(ISNA(VLOOKUP(A131,Declarations!B$6:C$293,2,FALSE)),"",IF(VLOOKUP(A131,Declarations!B$6:C$293,2,FALSE)="","",VLOOKUP(A131,Declarations!B$6:C$293,2,FALSE)))</f>
        <v/>
      </c>
      <c r="C131" s="161" t="str">
        <f>IF(ISNA(VLOOKUP(A131,Declarations!B$6:F$293,5,FALSE)),"",IF(VLOOKUP(A131,Declarations!B$6:F$293,5,FALSE)="","",VLOOKUP(A131,Declarations!B$6:F$293,5,FALSE)))</f>
        <v/>
      </c>
      <c r="D131" s="161" t="str">
        <f>IF(ISNA(VLOOKUP(A131,Declarations!B$6:F$293,4,FALSE)),"",IF(VLOOKUP(A131,Declarations!B$6:F$293,4,FALSE)="","",VLOOKUP(A131,Declarations!B$6:F$293,4,FALSE)))</f>
        <v/>
      </c>
      <c r="E131" s="161" t="str">
        <f>IF(ISNA(VLOOKUP(A131,Declarations!B$6:D$293,3,FALSE)),"",IF(VLOOKUP(A131,Declarations!B$6:D$293,3,FALSE)="","",VLOOKUP(A131,Declarations!B$6:D$293,3,FALSE)))</f>
        <v/>
      </c>
      <c r="F131" s="51" t="str">
        <f>IF(B131="","",IF(ISNA(VLOOKUP(A131,'75m'!F$5:G$302,2,FALSE)),"",VLOOKUP(A131,'75m'!F$5:G$302,2,FALSE)))</f>
        <v/>
      </c>
      <c r="G131" s="51">
        <f>IF(B131="",0,IF(ISNA(VLOOKUP(A131,'75m'!F$5:J$302,5,FALSE)),0,VLOOKUP(A131,'75m'!F$5:J$302,5,FALSE)))</f>
        <v>0</v>
      </c>
      <c r="H131" s="51" t="str">
        <f>IF(B131="","",IF(ISNA(VLOOKUP(A131,'75m'!F$5:K$302,6,FALSE)),"",VLOOKUP(A131,'75m'!F$5:K$302,6,FALSE)))</f>
        <v/>
      </c>
      <c r="I131" s="53">
        <f>IF(B131="",0,IF(ISNA(VLOOKUP(A131,'600m'!F$5:J$302,2,FALSE)),0,VLOOKUP(A131,'600m'!F$5:J$302,2,FALSE)))</f>
        <v>0</v>
      </c>
      <c r="J131" s="51">
        <f>IF(B131="",0,IF(ISNA(VLOOKUP(A131,'600m'!F$5:J$302,5,FALSE)),0,VLOOKUP(A131,'600m'!F$5:J$302,5,FALSE)))</f>
        <v>0</v>
      </c>
      <c r="K131" s="51" t="str">
        <f>IF(B131="","",IF(ISNA(VLOOKUP(A131,'600m'!F$5:K$302,6,FALSE)),"",VLOOKUP(A131,'600m'!F$5:K$302,6,FALSE)))</f>
        <v/>
      </c>
      <c r="L131" s="51" t="str">
        <f>IF(B131="","",IF(ISNA(VLOOKUP(A131,LongJump!F$5:G$302,2,FALSE)),"",VLOOKUP(A131,LongJump!F$5:G$302,2,FALSE)))</f>
        <v/>
      </c>
      <c r="M131" s="51">
        <f>IF(B131="",0,IF(ISNA(VLOOKUP(A131,LongJump!F$5:J$302,5,FALSE)),0,VLOOKUP(A131,LongJump!F$5:J$302,5,FALSE)))</f>
        <v>0</v>
      </c>
      <c r="N131" s="51">
        <f>IF(B131="",0,IF(ISNA(VLOOKUP(A131,LongJump!F$5:K$302,6,FALSE)),0,VLOOKUP(A131,LongJump!F$5:K$302,6,FALSE)))</f>
        <v>0</v>
      </c>
      <c r="O131" s="51" t="str">
        <f>IF(B131="","",IF(ISNA(VLOOKUP(A131,Vortex!F$5:J$302,2,FALSE)),"",VLOOKUP(A131,Vortex!F$5:J$302,2,FALSE)))</f>
        <v/>
      </c>
      <c r="P131" s="51">
        <f>IF(B131="",0,IF(ISNA(VLOOKUP(A131,Vortex!F$5:J$302,5,FALSE)),0,VLOOKUP(A131,Vortex!F$5:J$302,5,FALSE)))</f>
        <v>0</v>
      </c>
      <c r="Q131" s="51">
        <f t="shared" si="19"/>
        <v>0</v>
      </c>
      <c r="R131" s="51" t="str">
        <f t="shared" si="15"/>
        <v/>
      </c>
      <c r="S131" s="51" t="str">
        <f t="shared" si="16"/>
        <v/>
      </c>
      <c r="T131" s="51" t="str">
        <f t="shared" si="17"/>
        <v/>
      </c>
      <c r="U131" s="51" t="str">
        <f t="shared" si="18"/>
        <v/>
      </c>
      <c r="V131" s="4"/>
      <c r="W131" s="4"/>
      <c r="X131" s="4"/>
      <c r="Y131" s="39"/>
    </row>
    <row r="132" spans="1:25" ht="20" customHeight="1">
      <c r="A132" s="51" t="str">
        <f>IF(Declarations!B84=0,"",Declarations!B84)</f>
        <v/>
      </c>
      <c r="B132" s="161" t="str">
        <f>IF(ISNA(VLOOKUP(A132,Declarations!B$6:C$293,2,FALSE)),"",IF(VLOOKUP(A132,Declarations!B$6:C$293,2,FALSE)="","",VLOOKUP(A132,Declarations!B$6:C$293,2,FALSE)))</f>
        <v/>
      </c>
      <c r="C132" s="161" t="str">
        <f>IF(ISNA(VLOOKUP(A132,Declarations!B$6:F$293,5,FALSE)),"",IF(VLOOKUP(A132,Declarations!B$6:F$293,5,FALSE)="","",VLOOKUP(A132,Declarations!B$6:F$293,5,FALSE)))</f>
        <v/>
      </c>
      <c r="D132" s="161" t="str">
        <f>IF(ISNA(VLOOKUP(A132,Declarations!B$6:F$293,4,FALSE)),"",IF(VLOOKUP(A132,Declarations!B$6:F$293,4,FALSE)="","",VLOOKUP(A132,Declarations!B$6:F$293,4,FALSE)))</f>
        <v/>
      </c>
      <c r="E132" s="161" t="str">
        <f>IF(ISNA(VLOOKUP(A132,Declarations!B$6:D$293,3,FALSE)),"",IF(VLOOKUP(A132,Declarations!B$6:D$293,3,FALSE)="","",VLOOKUP(A132,Declarations!B$6:D$293,3,FALSE)))</f>
        <v/>
      </c>
      <c r="F132" s="51" t="str">
        <f>IF(B132="","",IF(ISNA(VLOOKUP(A132,'75m'!F$5:G$302,2,FALSE)),"",VLOOKUP(A132,'75m'!F$5:G$302,2,FALSE)))</f>
        <v/>
      </c>
      <c r="G132" s="51">
        <f>IF(B132="",0,IF(ISNA(VLOOKUP(A132,'75m'!F$5:J$302,5,FALSE)),0,VLOOKUP(A132,'75m'!F$5:J$302,5,FALSE)))</f>
        <v>0</v>
      </c>
      <c r="H132" s="51" t="str">
        <f>IF(B132="","",IF(ISNA(VLOOKUP(A132,'75m'!F$5:K$302,6,FALSE)),"",VLOOKUP(A132,'75m'!F$5:K$302,6,FALSE)))</f>
        <v/>
      </c>
      <c r="I132" s="53">
        <f>IF(B132="",0,IF(ISNA(VLOOKUP(A132,'600m'!F$5:J$302,2,FALSE)),0,VLOOKUP(A132,'600m'!F$5:J$302,2,FALSE)))</f>
        <v>0</v>
      </c>
      <c r="J132" s="51">
        <f>IF(B132="",0,IF(ISNA(VLOOKUP(A132,'600m'!F$5:J$302,5,FALSE)),0,VLOOKUP(A132,'600m'!F$5:J$302,5,FALSE)))</f>
        <v>0</v>
      </c>
      <c r="K132" s="51" t="str">
        <f>IF(B132="","",IF(ISNA(VLOOKUP(A132,'600m'!F$5:K$302,6,FALSE)),"",VLOOKUP(A132,'600m'!F$5:K$302,6,FALSE)))</f>
        <v/>
      </c>
      <c r="L132" s="51" t="str">
        <f>IF(B132="","",IF(ISNA(VLOOKUP(A132,LongJump!F$5:G$302,2,FALSE)),"",VLOOKUP(A132,LongJump!F$5:G$302,2,FALSE)))</f>
        <v/>
      </c>
      <c r="M132" s="51">
        <f>IF(B132="",0,IF(ISNA(VLOOKUP(A132,LongJump!F$5:J$302,5,FALSE)),0,VLOOKUP(A132,LongJump!F$5:J$302,5,FALSE)))</f>
        <v>0</v>
      </c>
      <c r="N132" s="51">
        <f>IF(B132="",0,IF(ISNA(VLOOKUP(A132,LongJump!F$5:K$302,6,FALSE)),0,VLOOKUP(A132,LongJump!F$5:K$302,6,FALSE)))</f>
        <v>0</v>
      </c>
      <c r="O132" s="51" t="str">
        <f>IF(B132="","",IF(ISNA(VLOOKUP(A132,Vortex!F$5:J$302,2,FALSE)),"",VLOOKUP(A132,Vortex!F$5:J$302,2,FALSE)))</f>
        <v/>
      </c>
      <c r="P132" s="51">
        <f>IF(B132="",0,IF(ISNA(VLOOKUP(A132,Vortex!F$5:J$302,5,FALSE)),0,VLOOKUP(A132,Vortex!F$5:J$302,5,FALSE)))</f>
        <v>0</v>
      </c>
      <c r="Q132" s="51">
        <f t="shared" si="19"/>
        <v>0</v>
      </c>
      <c r="R132" s="51" t="str">
        <f t="shared" si="15"/>
        <v/>
      </c>
      <c r="S132" s="51" t="str">
        <f t="shared" si="16"/>
        <v/>
      </c>
      <c r="T132" s="51" t="str">
        <f t="shared" si="17"/>
        <v/>
      </c>
      <c r="U132" s="51" t="str">
        <f t="shared" si="18"/>
        <v/>
      </c>
      <c r="V132" s="4"/>
      <c r="W132" s="4"/>
      <c r="X132" s="4"/>
      <c r="Y132" s="39"/>
    </row>
    <row r="133" spans="1:25" ht="20" customHeight="1">
      <c r="A133" s="51" t="str">
        <f>IF(Declarations!B85=0,"",Declarations!B85)</f>
        <v/>
      </c>
      <c r="B133" s="161" t="str">
        <f>IF(ISNA(VLOOKUP(A133,Declarations!B$6:C$293,2,FALSE)),"",IF(VLOOKUP(A133,Declarations!B$6:C$293,2,FALSE)="","",VLOOKUP(A133,Declarations!B$6:C$293,2,FALSE)))</f>
        <v/>
      </c>
      <c r="C133" s="161" t="str">
        <f>IF(ISNA(VLOOKUP(A133,Declarations!B$6:F$293,5,FALSE)),"",IF(VLOOKUP(A133,Declarations!B$6:F$293,5,FALSE)="","",VLOOKUP(A133,Declarations!B$6:F$293,5,FALSE)))</f>
        <v/>
      </c>
      <c r="D133" s="161" t="str">
        <f>IF(ISNA(VLOOKUP(A133,Declarations!B$6:F$293,4,FALSE)),"",IF(VLOOKUP(A133,Declarations!B$6:F$293,4,FALSE)="","",VLOOKUP(A133,Declarations!B$6:F$293,4,FALSE)))</f>
        <v/>
      </c>
      <c r="E133" s="161" t="str">
        <f>IF(ISNA(VLOOKUP(A133,Declarations!B$6:D$293,3,FALSE)),"",IF(VLOOKUP(A133,Declarations!B$6:D$293,3,FALSE)="","",VLOOKUP(A133,Declarations!B$6:D$293,3,FALSE)))</f>
        <v/>
      </c>
      <c r="F133" s="51" t="str">
        <f>IF(B133="","",IF(ISNA(VLOOKUP(A133,'75m'!F$5:G$302,2,FALSE)),"",VLOOKUP(A133,'75m'!F$5:G$302,2,FALSE)))</f>
        <v/>
      </c>
      <c r="G133" s="51">
        <f>IF(B133="",0,IF(ISNA(VLOOKUP(A133,'75m'!F$5:J$302,5,FALSE)),0,VLOOKUP(A133,'75m'!F$5:J$302,5,FALSE)))</f>
        <v>0</v>
      </c>
      <c r="H133" s="51" t="str">
        <f>IF(B133="","",IF(ISNA(VLOOKUP(A133,'75m'!F$5:K$302,6,FALSE)),"",VLOOKUP(A133,'75m'!F$5:K$302,6,FALSE)))</f>
        <v/>
      </c>
      <c r="I133" s="53">
        <f>IF(B133="",0,IF(ISNA(VLOOKUP(A133,'600m'!F$5:J$302,2,FALSE)),0,VLOOKUP(A133,'600m'!F$5:J$302,2,FALSE)))</f>
        <v>0</v>
      </c>
      <c r="J133" s="51">
        <f>IF(B133="",0,IF(ISNA(VLOOKUP(A133,'600m'!F$5:J$302,5,FALSE)),0,VLOOKUP(A133,'600m'!F$5:J$302,5,FALSE)))</f>
        <v>0</v>
      </c>
      <c r="K133" s="51" t="str">
        <f>IF(B133="","",IF(ISNA(VLOOKUP(A133,'600m'!F$5:K$302,6,FALSE)),"",VLOOKUP(A133,'600m'!F$5:K$302,6,FALSE)))</f>
        <v/>
      </c>
      <c r="L133" s="51" t="str">
        <f>IF(B133="","",IF(ISNA(VLOOKUP(A133,LongJump!F$5:G$302,2,FALSE)),"",VLOOKUP(A133,LongJump!F$5:G$302,2,FALSE)))</f>
        <v/>
      </c>
      <c r="M133" s="51">
        <f>IF(B133="",0,IF(ISNA(VLOOKUP(A133,LongJump!F$5:J$302,5,FALSE)),0,VLOOKUP(A133,LongJump!F$5:J$302,5,FALSE)))</f>
        <v>0</v>
      </c>
      <c r="N133" s="51">
        <f>IF(B133="",0,IF(ISNA(VLOOKUP(A133,LongJump!F$5:K$302,6,FALSE)),0,VLOOKUP(A133,LongJump!F$5:K$302,6,FALSE)))</f>
        <v>0</v>
      </c>
      <c r="O133" s="51" t="str">
        <f>IF(B133="","",IF(ISNA(VLOOKUP(A133,Vortex!F$5:J$302,2,FALSE)),"",VLOOKUP(A133,Vortex!F$5:J$302,2,FALSE)))</f>
        <v/>
      </c>
      <c r="P133" s="51">
        <f>IF(B133="",0,IF(ISNA(VLOOKUP(A133,Vortex!F$5:J$302,5,FALSE)),0,VLOOKUP(A133,Vortex!F$5:J$302,5,FALSE)))</f>
        <v>0</v>
      </c>
      <c r="Q133" s="51">
        <f t="shared" si="19"/>
        <v>0</v>
      </c>
      <c r="R133" s="51" t="str">
        <f t="shared" si="15"/>
        <v/>
      </c>
      <c r="S133" s="51" t="str">
        <f t="shared" si="16"/>
        <v/>
      </c>
      <c r="T133" s="51" t="str">
        <f t="shared" si="17"/>
        <v/>
      </c>
      <c r="U133" s="51" t="str">
        <f t="shared" si="18"/>
        <v/>
      </c>
      <c r="V133" s="4"/>
      <c r="W133" s="4"/>
      <c r="X133" s="4"/>
      <c r="Y133" s="39"/>
    </row>
    <row r="134" spans="1:25" ht="20" customHeight="1">
      <c r="A134" s="51" t="str">
        <f>IF(Declarations!B86=0,"",Declarations!B86)</f>
        <v/>
      </c>
      <c r="B134" s="161" t="str">
        <f>IF(ISNA(VLOOKUP(A134,Declarations!B$6:C$293,2,FALSE)),"",IF(VLOOKUP(A134,Declarations!B$6:C$293,2,FALSE)="","",VLOOKUP(A134,Declarations!B$6:C$293,2,FALSE)))</f>
        <v/>
      </c>
      <c r="C134" s="161" t="str">
        <f>IF(ISNA(VLOOKUP(A134,Declarations!B$6:F$293,5,FALSE)),"",IF(VLOOKUP(A134,Declarations!B$6:F$293,5,FALSE)="","",VLOOKUP(A134,Declarations!B$6:F$293,5,FALSE)))</f>
        <v/>
      </c>
      <c r="D134" s="161" t="str">
        <f>IF(ISNA(VLOOKUP(A134,Declarations!B$6:F$293,4,FALSE)),"",IF(VLOOKUP(A134,Declarations!B$6:F$293,4,FALSE)="","",VLOOKUP(A134,Declarations!B$6:F$293,4,FALSE)))</f>
        <v/>
      </c>
      <c r="E134" s="161" t="str">
        <f>IF(ISNA(VLOOKUP(A134,Declarations!B$6:D$293,3,FALSE)),"",IF(VLOOKUP(A134,Declarations!B$6:D$293,3,FALSE)="","",VLOOKUP(A134,Declarations!B$6:D$293,3,FALSE)))</f>
        <v/>
      </c>
      <c r="F134" s="51" t="str">
        <f>IF(B134="","",IF(ISNA(VLOOKUP(A134,'75m'!F$5:G$302,2,FALSE)),"",VLOOKUP(A134,'75m'!F$5:G$302,2,FALSE)))</f>
        <v/>
      </c>
      <c r="G134" s="51">
        <f>IF(B134="",0,IF(ISNA(VLOOKUP(A134,'75m'!F$5:J$302,5,FALSE)),0,VLOOKUP(A134,'75m'!F$5:J$302,5,FALSE)))</f>
        <v>0</v>
      </c>
      <c r="H134" s="51" t="str">
        <f>IF(B134="","",IF(ISNA(VLOOKUP(A134,'75m'!F$5:K$302,6,FALSE)),"",VLOOKUP(A134,'75m'!F$5:K$302,6,FALSE)))</f>
        <v/>
      </c>
      <c r="I134" s="53">
        <f>IF(B134="",0,IF(ISNA(VLOOKUP(A134,'600m'!F$5:J$302,2,FALSE)),0,VLOOKUP(A134,'600m'!F$5:J$302,2,FALSE)))</f>
        <v>0</v>
      </c>
      <c r="J134" s="51">
        <f>IF(B134="",0,IF(ISNA(VLOOKUP(A134,'600m'!F$5:J$302,5,FALSE)),0,VLOOKUP(A134,'600m'!F$5:J$302,5,FALSE)))</f>
        <v>0</v>
      </c>
      <c r="K134" s="51" t="str">
        <f>IF(B134="","",IF(ISNA(VLOOKUP(A134,'600m'!F$5:K$302,6,FALSE)),"",VLOOKUP(A134,'600m'!F$5:K$302,6,FALSE)))</f>
        <v/>
      </c>
      <c r="L134" s="51" t="str">
        <f>IF(B134="","",IF(ISNA(VLOOKUP(A134,LongJump!F$5:G$302,2,FALSE)),"",VLOOKUP(A134,LongJump!F$5:G$302,2,FALSE)))</f>
        <v/>
      </c>
      <c r="M134" s="51">
        <f>IF(B134="",0,IF(ISNA(VLOOKUP(A134,LongJump!F$5:J$302,5,FALSE)),0,VLOOKUP(A134,LongJump!F$5:J$302,5,FALSE)))</f>
        <v>0</v>
      </c>
      <c r="N134" s="51">
        <f>IF(B134="",0,IF(ISNA(VLOOKUP(A134,LongJump!F$5:K$302,6,FALSE)),0,VLOOKUP(A134,LongJump!F$5:K$302,6,FALSE)))</f>
        <v>0</v>
      </c>
      <c r="O134" s="51" t="str">
        <f>IF(B134="","",IF(ISNA(VLOOKUP(A134,Vortex!F$5:J$302,2,FALSE)),"",VLOOKUP(A134,Vortex!F$5:J$302,2,FALSE)))</f>
        <v/>
      </c>
      <c r="P134" s="51">
        <f>IF(B134="",0,IF(ISNA(VLOOKUP(A134,Vortex!F$5:J$302,5,FALSE)),0,VLOOKUP(A134,Vortex!F$5:J$302,5,FALSE)))</f>
        <v>0</v>
      </c>
      <c r="Q134" s="51">
        <f t="shared" si="19"/>
        <v>0</v>
      </c>
      <c r="R134" s="51" t="str">
        <f t="shared" si="15"/>
        <v/>
      </c>
      <c r="S134" s="51" t="str">
        <f t="shared" si="16"/>
        <v/>
      </c>
      <c r="T134" s="51" t="str">
        <f t="shared" si="17"/>
        <v/>
      </c>
      <c r="U134" s="51" t="str">
        <f t="shared" si="18"/>
        <v/>
      </c>
      <c r="V134" s="4"/>
      <c r="W134" s="4"/>
      <c r="X134" s="4"/>
      <c r="Y134" s="39"/>
    </row>
    <row r="135" spans="1:25" ht="20" customHeight="1">
      <c r="A135" s="51" t="str">
        <f>IF(Declarations!B87=0,"",Declarations!B87)</f>
        <v/>
      </c>
      <c r="B135" s="161" t="str">
        <f>IF(ISNA(VLOOKUP(A135,Declarations!B$6:C$293,2,FALSE)),"",IF(VLOOKUP(A135,Declarations!B$6:C$293,2,FALSE)="","",VLOOKUP(A135,Declarations!B$6:C$293,2,FALSE)))</f>
        <v/>
      </c>
      <c r="C135" s="161" t="str">
        <f>IF(ISNA(VLOOKUP(A135,Declarations!B$6:F$293,5,FALSE)),"",IF(VLOOKUP(A135,Declarations!B$6:F$293,5,FALSE)="","",VLOOKUP(A135,Declarations!B$6:F$293,5,FALSE)))</f>
        <v/>
      </c>
      <c r="D135" s="161" t="str">
        <f>IF(ISNA(VLOOKUP(A135,Declarations!B$6:F$293,4,FALSE)),"",IF(VLOOKUP(A135,Declarations!B$6:F$293,4,FALSE)="","",VLOOKUP(A135,Declarations!B$6:F$293,4,FALSE)))</f>
        <v/>
      </c>
      <c r="E135" s="161" t="str">
        <f>IF(ISNA(VLOOKUP(A135,Declarations!B$6:D$293,3,FALSE)),"",IF(VLOOKUP(A135,Declarations!B$6:D$293,3,FALSE)="","",VLOOKUP(A135,Declarations!B$6:D$293,3,FALSE)))</f>
        <v/>
      </c>
      <c r="F135" s="51" t="str">
        <f>IF(B135="","",IF(ISNA(VLOOKUP(A135,'75m'!F$5:G$302,2,FALSE)),"",VLOOKUP(A135,'75m'!F$5:G$302,2,FALSE)))</f>
        <v/>
      </c>
      <c r="G135" s="51">
        <f>IF(B135="",0,IF(ISNA(VLOOKUP(A135,'75m'!F$5:J$302,5,FALSE)),0,VLOOKUP(A135,'75m'!F$5:J$302,5,FALSE)))</f>
        <v>0</v>
      </c>
      <c r="H135" s="51" t="str">
        <f>IF(B135="","",IF(ISNA(VLOOKUP(A135,'75m'!F$5:K$302,6,FALSE)),"",VLOOKUP(A135,'75m'!F$5:K$302,6,FALSE)))</f>
        <v/>
      </c>
      <c r="I135" s="53">
        <f>IF(B135="",0,IF(ISNA(VLOOKUP(A135,'600m'!F$5:J$302,2,FALSE)),0,VLOOKUP(A135,'600m'!F$5:J$302,2,FALSE)))</f>
        <v>0</v>
      </c>
      <c r="J135" s="51">
        <f>IF(B135="",0,IF(ISNA(VLOOKUP(A135,'600m'!F$5:J$302,5,FALSE)),0,VLOOKUP(A135,'600m'!F$5:J$302,5,FALSE)))</f>
        <v>0</v>
      </c>
      <c r="K135" s="51" t="str">
        <f>IF(B135="","",IF(ISNA(VLOOKUP(A135,'600m'!F$5:K$302,6,FALSE)),"",VLOOKUP(A135,'600m'!F$5:K$302,6,FALSE)))</f>
        <v/>
      </c>
      <c r="L135" s="51" t="str">
        <f>IF(B135="","",IF(ISNA(VLOOKUP(A135,LongJump!F$5:G$302,2,FALSE)),"",VLOOKUP(A135,LongJump!F$5:G$302,2,FALSE)))</f>
        <v/>
      </c>
      <c r="M135" s="51">
        <f>IF(B135="",0,IF(ISNA(VLOOKUP(A135,LongJump!F$5:J$302,5,FALSE)),0,VLOOKUP(A135,LongJump!F$5:J$302,5,FALSE)))</f>
        <v>0</v>
      </c>
      <c r="N135" s="51">
        <f>IF(B135="",0,IF(ISNA(VLOOKUP(A135,LongJump!F$5:K$302,6,FALSE)),0,VLOOKUP(A135,LongJump!F$5:K$302,6,FALSE)))</f>
        <v>0</v>
      </c>
      <c r="O135" s="51" t="str">
        <f>IF(B135="","",IF(ISNA(VLOOKUP(A135,Vortex!F$5:J$302,2,FALSE)),"",VLOOKUP(A135,Vortex!F$5:J$302,2,FALSE)))</f>
        <v/>
      </c>
      <c r="P135" s="51">
        <f>IF(B135="",0,IF(ISNA(VLOOKUP(A135,Vortex!F$5:J$302,5,FALSE)),0,VLOOKUP(A135,Vortex!F$5:J$302,5,FALSE)))</f>
        <v>0</v>
      </c>
      <c r="Q135" s="51">
        <f t="shared" si="19"/>
        <v>0</v>
      </c>
      <c r="R135" s="51" t="str">
        <f t="shared" si="15"/>
        <v/>
      </c>
      <c r="S135" s="51" t="str">
        <f t="shared" si="16"/>
        <v/>
      </c>
      <c r="T135" s="51" t="str">
        <f t="shared" si="17"/>
        <v/>
      </c>
      <c r="U135" s="51" t="str">
        <f t="shared" si="18"/>
        <v/>
      </c>
      <c r="V135" s="4"/>
      <c r="W135" s="4"/>
      <c r="X135" s="4"/>
      <c r="Y135" s="39"/>
    </row>
    <row r="136" spans="1:25" ht="20" customHeight="1">
      <c r="A136" s="51" t="str">
        <f>IF(Declarations!B88=0,"",Declarations!B88)</f>
        <v/>
      </c>
      <c r="B136" s="161" t="str">
        <f>IF(ISNA(VLOOKUP(A136,Declarations!B$6:C$293,2,FALSE)),"",IF(VLOOKUP(A136,Declarations!B$6:C$293,2,FALSE)="","",VLOOKUP(A136,Declarations!B$6:C$293,2,FALSE)))</f>
        <v/>
      </c>
      <c r="C136" s="161" t="str">
        <f>IF(ISNA(VLOOKUP(A136,Declarations!B$6:F$293,5,FALSE)),"",IF(VLOOKUP(A136,Declarations!B$6:F$293,5,FALSE)="","",VLOOKUP(A136,Declarations!B$6:F$293,5,FALSE)))</f>
        <v/>
      </c>
      <c r="D136" s="161" t="str">
        <f>IF(ISNA(VLOOKUP(A136,Declarations!B$6:F$293,4,FALSE)),"",IF(VLOOKUP(A136,Declarations!B$6:F$293,4,FALSE)="","",VLOOKUP(A136,Declarations!B$6:F$293,4,FALSE)))</f>
        <v/>
      </c>
      <c r="E136" s="161" t="str">
        <f>IF(ISNA(VLOOKUP(A136,Declarations!B$6:D$293,3,FALSE)),"",IF(VLOOKUP(A136,Declarations!B$6:D$293,3,FALSE)="","",VLOOKUP(A136,Declarations!B$6:D$293,3,FALSE)))</f>
        <v/>
      </c>
      <c r="F136" s="51" t="str">
        <f>IF(B136="","",IF(ISNA(VLOOKUP(A136,'75m'!F$5:G$302,2,FALSE)),"",VLOOKUP(A136,'75m'!F$5:G$302,2,FALSE)))</f>
        <v/>
      </c>
      <c r="G136" s="51">
        <f>IF(B136="",0,IF(ISNA(VLOOKUP(A136,'75m'!F$5:J$302,5,FALSE)),0,VLOOKUP(A136,'75m'!F$5:J$302,5,FALSE)))</f>
        <v>0</v>
      </c>
      <c r="H136" s="51" t="str">
        <f>IF(B136="","",IF(ISNA(VLOOKUP(A136,'75m'!F$5:K$302,6,FALSE)),"",VLOOKUP(A136,'75m'!F$5:K$302,6,FALSE)))</f>
        <v/>
      </c>
      <c r="I136" s="53">
        <f>IF(B136="",0,IF(ISNA(VLOOKUP(A136,'600m'!F$5:J$302,2,FALSE)),0,VLOOKUP(A136,'600m'!F$5:J$302,2,FALSE)))</f>
        <v>0</v>
      </c>
      <c r="J136" s="51">
        <f>IF(B136="",0,IF(ISNA(VLOOKUP(A136,'600m'!F$5:J$302,5,FALSE)),0,VLOOKUP(A136,'600m'!F$5:J$302,5,FALSE)))</f>
        <v>0</v>
      </c>
      <c r="K136" s="51" t="str">
        <f>IF(B136="","",IF(ISNA(VLOOKUP(A136,'600m'!F$5:K$302,6,FALSE)),"",VLOOKUP(A136,'600m'!F$5:K$302,6,FALSE)))</f>
        <v/>
      </c>
      <c r="L136" s="51" t="str">
        <f>IF(B136="","",IF(ISNA(VLOOKUP(A136,LongJump!F$5:G$302,2,FALSE)),"",VLOOKUP(A136,LongJump!F$5:G$302,2,FALSE)))</f>
        <v/>
      </c>
      <c r="M136" s="51">
        <f>IF(B136="",0,IF(ISNA(VLOOKUP(A136,LongJump!F$5:J$302,5,FALSE)),0,VLOOKUP(A136,LongJump!F$5:J$302,5,FALSE)))</f>
        <v>0</v>
      </c>
      <c r="N136" s="51">
        <f>IF(B136="",0,IF(ISNA(VLOOKUP(A136,LongJump!F$5:K$302,6,FALSE)),0,VLOOKUP(A136,LongJump!F$5:K$302,6,FALSE)))</f>
        <v>0</v>
      </c>
      <c r="O136" s="51" t="str">
        <f>IF(B136="","",IF(ISNA(VLOOKUP(A136,Vortex!F$5:J$302,2,FALSE)),"",VLOOKUP(A136,Vortex!F$5:J$302,2,FALSE)))</f>
        <v/>
      </c>
      <c r="P136" s="51">
        <f>IF(B136="",0,IF(ISNA(VLOOKUP(A136,Vortex!F$5:J$302,5,FALSE)),0,VLOOKUP(A136,Vortex!F$5:J$302,5,FALSE)))</f>
        <v>0</v>
      </c>
      <c r="Q136" s="51">
        <f t="shared" si="19"/>
        <v>0</v>
      </c>
      <c r="R136" s="51" t="str">
        <f t="shared" si="15"/>
        <v/>
      </c>
      <c r="S136" s="51" t="str">
        <f t="shared" si="16"/>
        <v/>
      </c>
      <c r="T136" s="51" t="str">
        <f t="shared" si="17"/>
        <v/>
      </c>
      <c r="U136" s="51" t="str">
        <f t="shared" si="18"/>
        <v/>
      </c>
      <c r="V136" s="4"/>
      <c r="W136" s="4"/>
      <c r="X136" s="4"/>
      <c r="Y136" s="39"/>
    </row>
    <row r="137" spans="1:25" ht="20" customHeight="1">
      <c r="A137" s="51" t="str">
        <f>IF(Declarations!B89=0,"",Declarations!B89)</f>
        <v/>
      </c>
      <c r="B137" s="161" t="str">
        <f>IF(ISNA(VLOOKUP(A137,Declarations!B$6:C$293,2,FALSE)),"",IF(VLOOKUP(A137,Declarations!B$6:C$293,2,FALSE)="","",VLOOKUP(A137,Declarations!B$6:C$293,2,FALSE)))</f>
        <v/>
      </c>
      <c r="C137" s="161" t="str">
        <f>IF(ISNA(VLOOKUP(A137,Declarations!B$6:F$293,5,FALSE)),"",IF(VLOOKUP(A137,Declarations!B$6:F$293,5,FALSE)="","",VLOOKUP(A137,Declarations!B$6:F$293,5,FALSE)))</f>
        <v/>
      </c>
      <c r="D137" s="161" t="str">
        <f>IF(ISNA(VLOOKUP(A137,Declarations!B$6:F$293,4,FALSE)),"",IF(VLOOKUP(A137,Declarations!B$6:F$293,4,FALSE)="","",VLOOKUP(A137,Declarations!B$6:F$293,4,FALSE)))</f>
        <v/>
      </c>
      <c r="E137" s="161" t="str">
        <f>IF(ISNA(VLOOKUP(A137,Declarations!B$6:D$293,3,FALSE)),"",IF(VLOOKUP(A137,Declarations!B$6:D$293,3,FALSE)="","",VLOOKUP(A137,Declarations!B$6:D$293,3,FALSE)))</f>
        <v/>
      </c>
      <c r="F137" s="51" t="str">
        <f>IF(B137="","",IF(ISNA(VLOOKUP(A137,'75m'!F$5:G$302,2,FALSE)),"",VLOOKUP(A137,'75m'!F$5:G$302,2,FALSE)))</f>
        <v/>
      </c>
      <c r="G137" s="51">
        <f>IF(B137="",0,IF(ISNA(VLOOKUP(A137,'75m'!F$5:J$302,5,FALSE)),0,VLOOKUP(A137,'75m'!F$5:J$302,5,FALSE)))</f>
        <v>0</v>
      </c>
      <c r="H137" s="51" t="str">
        <f>IF(B137="","",IF(ISNA(VLOOKUP(A137,'75m'!F$5:K$302,6,FALSE)),"",VLOOKUP(A137,'75m'!F$5:K$302,6,FALSE)))</f>
        <v/>
      </c>
      <c r="I137" s="53">
        <f>IF(B137="",0,IF(ISNA(VLOOKUP(A137,'600m'!F$5:J$302,2,FALSE)),0,VLOOKUP(A137,'600m'!F$5:J$302,2,FALSE)))</f>
        <v>0</v>
      </c>
      <c r="J137" s="51">
        <f>IF(B137="",0,IF(ISNA(VLOOKUP(A137,'600m'!F$5:J$302,5,FALSE)),0,VLOOKUP(A137,'600m'!F$5:J$302,5,FALSE)))</f>
        <v>0</v>
      </c>
      <c r="K137" s="51" t="str">
        <f>IF(B137="","",IF(ISNA(VLOOKUP(A137,'600m'!F$5:K$302,6,FALSE)),"",VLOOKUP(A137,'600m'!F$5:K$302,6,FALSE)))</f>
        <v/>
      </c>
      <c r="L137" s="51" t="str">
        <f>IF(B137="","",IF(ISNA(VLOOKUP(A137,LongJump!F$5:G$302,2,FALSE)),"",VLOOKUP(A137,LongJump!F$5:G$302,2,FALSE)))</f>
        <v/>
      </c>
      <c r="M137" s="51">
        <f>IF(B137="",0,IF(ISNA(VLOOKUP(A137,LongJump!F$5:J$302,5,FALSE)),0,VLOOKUP(A137,LongJump!F$5:J$302,5,FALSE)))</f>
        <v>0</v>
      </c>
      <c r="N137" s="51">
        <f>IF(B137="",0,IF(ISNA(VLOOKUP(A137,LongJump!F$5:K$302,6,FALSE)),0,VLOOKUP(A137,LongJump!F$5:K$302,6,FALSE)))</f>
        <v>0</v>
      </c>
      <c r="O137" s="51" t="str">
        <f>IF(B137="","",IF(ISNA(VLOOKUP(A137,Vortex!F$5:J$302,2,FALSE)),"",VLOOKUP(A137,Vortex!F$5:J$302,2,FALSE)))</f>
        <v/>
      </c>
      <c r="P137" s="51">
        <f>IF(B137="",0,IF(ISNA(VLOOKUP(A137,Vortex!F$5:J$302,5,FALSE)),0,VLOOKUP(A137,Vortex!F$5:J$302,5,FALSE)))</f>
        <v>0</v>
      </c>
      <c r="Q137" s="51">
        <f t="shared" si="19"/>
        <v>0</v>
      </c>
      <c r="R137" s="51" t="str">
        <f t="shared" si="15"/>
        <v/>
      </c>
      <c r="S137" s="51" t="str">
        <f t="shared" si="16"/>
        <v/>
      </c>
      <c r="T137" s="51" t="str">
        <f t="shared" si="17"/>
        <v/>
      </c>
      <c r="U137" s="51" t="str">
        <f t="shared" si="18"/>
        <v/>
      </c>
      <c r="V137" s="39"/>
    </row>
    <row r="138" spans="1:25" ht="20" customHeight="1">
      <c r="A138" s="51" t="str">
        <f>IF(Declarations!B90=0,"",Declarations!B90)</f>
        <v/>
      </c>
      <c r="B138" s="161" t="str">
        <f>IF(ISNA(VLOOKUP(A138,Declarations!B$6:C$293,2,FALSE)),"",IF(VLOOKUP(A138,Declarations!B$6:C$293,2,FALSE)="","",VLOOKUP(A138,Declarations!B$6:C$293,2,FALSE)))</f>
        <v/>
      </c>
      <c r="C138" s="161" t="str">
        <f>IF(ISNA(VLOOKUP(A138,Declarations!B$6:F$293,5,FALSE)),"",IF(VLOOKUP(A138,Declarations!B$6:F$293,5,FALSE)="","",VLOOKUP(A138,Declarations!B$6:F$293,5,FALSE)))</f>
        <v/>
      </c>
      <c r="D138" s="161" t="str">
        <f>IF(ISNA(VLOOKUP(A138,Declarations!B$6:F$293,4,FALSE)),"",IF(VLOOKUP(A138,Declarations!B$6:F$293,4,FALSE)="","",VLOOKUP(A138,Declarations!B$6:F$293,4,FALSE)))</f>
        <v/>
      </c>
      <c r="E138" s="161" t="str">
        <f>IF(ISNA(VLOOKUP(A138,Declarations!B$6:D$293,3,FALSE)),"",IF(VLOOKUP(A138,Declarations!B$6:D$293,3,FALSE)="","",VLOOKUP(A138,Declarations!B$6:D$293,3,FALSE)))</f>
        <v/>
      </c>
      <c r="F138" s="51" t="str">
        <f>IF(B138="","",IF(ISNA(VLOOKUP(A138,'75m'!F$5:G$302,2,FALSE)),"",VLOOKUP(A138,'75m'!F$5:G$302,2,FALSE)))</f>
        <v/>
      </c>
      <c r="G138" s="51">
        <f>IF(B138="",0,IF(ISNA(VLOOKUP(A138,'75m'!F$5:J$302,5,FALSE)),0,VLOOKUP(A138,'75m'!F$5:J$302,5,FALSE)))</f>
        <v>0</v>
      </c>
      <c r="H138" s="51" t="str">
        <f>IF(B138="","",IF(ISNA(VLOOKUP(A138,'75m'!F$5:K$302,6,FALSE)),"",VLOOKUP(A138,'75m'!F$5:K$302,6,FALSE)))</f>
        <v/>
      </c>
      <c r="I138" s="53">
        <f>IF(B138="",0,IF(ISNA(VLOOKUP(A138,'600m'!F$5:J$302,2,FALSE)),0,VLOOKUP(A138,'600m'!F$5:J$302,2,FALSE)))</f>
        <v>0</v>
      </c>
      <c r="J138" s="51">
        <f>IF(B138="",0,IF(ISNA(VLOOKUP(A138,'600m'!F$5:J$302,5,FALSE)),0,VLOOKUP(A138,'600m'!F$5:J$302,5,FALSE)))</f>
        <v>0</v>
      </c>
      <c r="K138" s="51" t="str">
        <f>IF(B138="","",IF(ISNA(VLOOKUP(A138,'600m'!F$5:K$302,6,FALSE)),"",VLOOKUP(A138,'600m'!F$5:K$302,6,FALSE)))</f>
        <v/>
      </c>
      <c r="L138" s="51" t="str">
        <f>IF(B138="","",IF(ISNA(VLOOKUP(A138,LongJump!F$5:G$302,2,FALSE)),"",VLOOKUP(A138,LongJump!F$5:G$302,2,FALSE)))</f>
        <v/>
      </c>
      <c r="M138" s="51">
        <f>IF(B138="",0,IF(ISNA(VLOOKUP(A138,LongJump!F$5:J$302,5,FALSE)),0,VLOOKUP(A138,LongJump!F$5:J$302,5,FALSE)))</f>
        <v>0</v>
      </c>
      <c r="N138" s="51">
        <f>IF(B138="",0,IF(ISNA(VLOOKUP(A138,LongJump!F$5:K$302,6,FALSE)),0,VLOOKUP(A138,LongJump!F$5:K$302,6,FALSE)))</f>
        <v>0</v>
      </c>
      <c r="O138" s="51" t="str">
        <f>IF(B138="","",IF(ISNA(VLOOKUP(A138,Vortex!F$5:J$302,2,FALSE)),"",VLOOKUP(A138,Vortex!F$5:J$302,2,FALSE)))</f>
        <v/>
      </c>
      <c r="P138" s="51">
        <f>IF(B138="",0,IF(ISNA(VLOOKUP(A138,Vortex!F$5:J$302,5,FALSE)),0,VLOOKUP(A138,Vortex!F$5:J$302,5,FALSE)))</f>
        <v>0</v>
      </c>
      <c r="Q138" s="51">
        <f t="shared" si="19"/>
        <v>0</v>
      </c>
      <c r="R138" s="51" t="str">
        <f t="shared" si="15"/>
        <v/>
      </c>
      <c r="S138" s="51" t="str">
        <f t="shared" si="16"/>
        <v/>
      </c>
      <c r="T138" s="51" t="str">
        <f t="shared" si="17"/>
        <v/>
      </c>
      <c r="U138" s="51" t="str">
        <f t="shared" si="18"/>
        <v/>
      </c>
      <c r="V138" s="39"/>
    </row>
    <row r="139" spans="1:25" ht="20" customHeight="1">
      <c r="A139" s="51" t="str">
        <f>IF(Declarations!B91=0,"",Declarations!B91)</f>
        <v/>
      </c>
      <c r="B139" s="161" t="str">
        <f>IF(ISNA(VLOOKUP(A139,Declarations!B$6:C$293,2,FALSE)),"",IF(VLOOKUP(A139,Declarations!B$6:C$293,2,FALSE)="","",VLOOKUP(A139,Declarations!B$6:C$293,2,FALSE)))</f>
        <v/>
      </c>
      <c r="C139" s="161" t="str">
        <f>IF(ISNA(VLOOKUP(A139,Declarations!B$6:F$293,5,FALSE)),"",IF(VLOOKUP(A139,Declarations!B$6:F$293,5,FALSE)="","",VLOOKUP(A139,Declarations!B$6:F$293,5,FALSE)))</f>
        <v/>
      </c>
      <c r="D139" s="161" t="str">
        <f>IF(ISNA(VLOOKUP(A139,Declarations!B$6:F$293,4,FALSE)),"",IF(VLOOKUP(A139,Declarations!B$6:F$293,4,FALSE)="","",VLOOKUP(A139,Declarations!B$6:F$293,4,FALSE)))</f>
        <v/>
      </c>
      <c r="E139" s="161" t="str">
        <f>IF(ISNA(VLOOKUP(A139,Declarations!B$6:D$293,3,FALSE)),"",IF(VLOOKUP(A139,Declarations!B$6:D$293,3,FALSE)="","",VLOOKUP(A139,Declarations!B$6:D$293,3,FALSE)))</f>
        <v/>
      </c>
      <c r="F139" s="51" t="str">
        <f>IF(B139="","",IF(ISNA(VLOOKUP(A139,'75m'!F$5:G$302,2,FALSE)),"",VLOOKUP(A139,'75m'!F$5:G$302,2,FALSE)))</f>
        <v/>
      </c>
      <c r="G139" s="51">
        <f>IF(B139="",0,IF(ISNA(VLOOKUP(A139,'75m'!F$5:J$302,5,FALSE)),0,VLOOKUP(A139,'75m'!F$5:J$302,5,FALSE)))</f>
        <v>0</v>
      </c>
      <c r="H139" s="51" t="str">
        <f>IF(B139="","",IF(ISNA(VLOOKUP(A139,'75m'!F$5:K$302,6,FALSE)),"",VLOOKUP(A139,'75m'!F$5:K$302,6,FALSE)))</f>
        <v/>
      </c>
      <c r="I139" s="53">
        <f>IF(B139="",0,IF(ISNA(VLOOKUP(A139,'600m'!F$5:J$302,2,FALSE)),0,VLOOKUP(A139,'600m'!F$5:J$302,2,FALSE)))</f>
        <v>0</v>
      </c>
      <c r="J139" s="51">
        <f>IF(B139="",0,IF(ISNA(VLOOKUP(A139,'600m'!F$5:J$302,5,FALSE)),0,VLOOKUP(A139,'600m'!F$5:J$302,5,FALSE)))</f>
        <v>0</v>
      </c>
      <c r="K139" s="51" t="str">
        <f>IF(B139="","",IF(ISNA(VLOOKUP(A139,'600m'!F$5:K$302,6,FALSE)),"",VLOOKUP(A139,'600m'!F$5:K$302,6,FALSE)))</f>
        <v/>
      </c>
      <c r="L139" s="51" t="str">
        <f>IF(B139="","",IF(ISNA(VLOOKUP(A139,LongJump!F$5:G$302,2,FALSE)),"",VLOOKUP(A139,LongJump!F$5:G$302,2,FALSE)))</f>
        <v/>
      </c>
      <c r="M139" s="51">
        <f>IF(B139="",0,IF(ISNA(VLOOKUP(A139,LongJump!F$5:J$302,5,FALSE)),0,VLOOKUP(A139,LongJump!F$5:J$302,5,FALSE)))</f>
        <v>0</v>
      </c>
      <c r="N139" s="51">
        <f>IF(B139="",0,IF(ISNA(VLOOKUP(A139,LongJump!F$5:K$302,6,FALSE)),0,VLOOKUP(A139,LongJump!F$5:K$302,6,FALSE)))</f>
        <v>0</v>
      </c>
      <c r="O139" s="51" t="str">
        <f>IF(B139="","",IF(ISNA(VLOOKUP(A139,Vortex!F$5:J$302,2,FALSE)),"",VLOOKUP(A139,Vortex!F$5:J$302,2,FALSE)))</f>
        <v/>
      </c>
      <c r="P139" s="51">
        <f>IF(B139="",0,IF(ISNA(VLOOKUP(A139,Vortex!F$5:J$302,5,FALSE)),0,VLOOKUP(A139,Vortex!F$5:J$302,5,FALSE)))</f>
        <v>0</v>
      </c>
      <c r="Q139" s="51">
        <f t="shared" si="19"/>
        <v>0</v>
      </c>
      <c r="R139" s="51" t="str">
        <f t="shared" si="15"/>
        <v/>
      </c>
      <c r="S139" s="51" t="str">
        <f t="shared" si="16"/>
        <v/>
      </c>
      <c r="T139" s="51" t="str">
        <f t="shared" si="17"/>
        <v/>
      </c>
      <c r="U139" s="51" t="str">
        <f t="shared" si="18"/>
        <v/>
      </c>
      <c r="V139" s="39"/>
    </row>
    <row r="140" spans="1:25" ht="20" customHeight="1">
      <c r="A140" s="51" t="str">
        <f>IF(Declarations!B92=0,"",Declarations!B92)</f>
        <v/>
      </c>
      <c r="B140" s="161" t="str">
        <f>IF(ISNA(VLOOKUP(A140,Declarations!B$6:C$293,2,FALSE)),"",IF(VLOOKUP(A140,Declarations!B$6:C$293,2,FALSE)="","",VLOOKUP(A140,Declarations!B$6:C$293,2,FALSE)))</f>
        <v/>
      </c>
      <c r="C140" s="161" t="str">
        <f>IF(ISNA(VLOOKUP(A140,Declarations!B$6:F$293,5,FALSE)),"",IF(VLOOKUP(A140,Declarations!B$6:F$293,5,FALSE)="","",VLOOKUP(A140,Declarations!B$6:F$293,5,FALSE)))</f>
        <v/>
      </c>
      <c r="D140" s="161" t="str">
        <f>IF(ISNA(VLOOKUP(A140,Declarations!B$6:F$293,4,FALSE)),"",IF(VLOOKUP(A140,Declarations!B$6:F$293,4,FALSE)="","",VLOOKUP(A140,Declarations!B$6:F$293,4,FALSE)))</f>
        <v/>
      </c>
      <c r="E140" s="161" t="str">
        <f>IF(ISNA(VLOOKUP(A140,Declarations!B$6:D$293,3,FALSE)),"",IF(VLOOKUP(A140,Declarations!B$6:D$293,3,FALSE)="","",VLOOKUP(A140,Declarations!B$6:D$293,3,FALSE)))</f>
        <v/>
      </c>
      <c r="F140" s="51" t="str">
        <f>IF(B140="","",IF(ISNA(VLOOKUP(A140,'75m'!F$5:G$302,2,FALSE)),"",VLOOKUP(A140,'75m'!F$5:G$302,2,FALSE)))</f>
        <v/>
      </c>
      <c r="G140" s="51">
        <f>IF(B140="",0,IF(ISNA(VLOOKUP(A140,'75m'!F$5:J$302,5,FALSE)),0,VLOOKUP(A140,'75m'!F$5:J$302,5,FALSE)))</f>
        <v>0</v>
      </c>
      <c r="H140" s="51" t="str">
        <f>IF(B140="","",IF(ISNA(VLOOKUP(A140,'75m'!F$5:K$302,6,FALSE)),"",VLOOKUP(A140,'75m'!F$5:K$302,6,FALSE)))</f>
        <v/>
      </c>
      <c r="I140" s="53">
        <f>IF(B140="",0,IF(ISNA(VLOOKUP(A140,'600m'!F$5:J$302,2,FALSE)),0,VLOOKUP(A140,'600m'!F$5:J$302,2,FALSE)))</f>
        <v>0</v>
      </c>
      <c r="J140" s="51">
        <f>IF(B140="",0,IF(ISNA(VLOOKUP(A140,'600m'!F$5:J$302,5,FALSE)),0,VLOOKUP(A140,'600m'!F$5:J$302,5,FALSE)))</f>
        <v>0</v>
      </c>
      <c r="K140" s="51" t="str">
        <f>IF(B140="","",IF(ISNA(VLOOKUP(A140,'600m'!F$5:K$302,6,FALSE)),"",VLOOKUP(A140,'600m'!F$5:K$302,6,FALSE)))</f>
        <v/>
      </c>
      <c r="L140" s="51" t="str">
        <f>IF(B140="","",IF(ISNA(VLOOKUP(A140,LongJump!F$5:G$302,2,FALSE)),"",VLOOKUP(A140,LongJump!F$5:G$302,2,FALSE)))</f>
        <v/>
      </c>
      <c r="M140" s="51">
        <f>IF(B140="",0,IF(ISNA(VLOOKUP(A140,LongJump!F$5:J$302,5,FALSE)),0,VLOOKUP(A140,LongJump!F$5:J$302,5,FALSE)))</f>
        <v>0</v>
      </c>
      <c r="N140" s="51">
        <f>IF(B140="",0,IF(ISNA(VLOOKUP(A140,LongJump!F$5:K$302,6,FALSE)),0,VLOOKUP(A140,LongJump!F$5:K$302,6,FALSE)))</f>
        <v>0</v>
      </c>
      <c r="O140" s="51" t="str">
        <f>IF(B140="","",IF(ISNA(VLOOKUP(A140,Vortex!F$5:J$302,2,FALSE)),"",VLOOKUP(A140,Vortex!F$5:J$302,2,FALSE)))</f>
        <v/>
      </c>
      <c r="P140" s="51">
        <f>IF(B140="",0,IF(ISNA(VLOOKUP(A140,Vortex!F$5:J$302,5,FALSE)),0,VLOOKUP(A140,Vortex!F$5:J$302,5,FALSE)))</f>
        <v>0</v>
      </c>
      <c r="Q140" s="51">
        <f t="shared" si="19"/>
        <v>0</v>
      </c>
      <c r="R140" s="51" t="str">
        <f t="shared" si="15"/>
        <v/>
      </c>
      <c r="S140" s="51" t="str">
        <f t="shared" si="16"/>
        <v/>
      </c>
      <c r="T140" s="51" t="str">
        <f t="shared" si="17"/>
        <v/>
      </c>
      <c r="U140" s="51" t="str">
        <f t="shared" si="18"/>
        <v/>
      </c>
      <c r="V140" s="39"/>
    </row>
    <row r="141" spans="1:25" ht="20" customHeight="1">
      <c r="A141" s="51" t="str">
        <f>IF(Declarations!B93=0,"",Declarations!B93)</f>
        <v/>
      </c>
      <c r="B141" s="161" t="str">
        <f>IF(ISNA(VLOOKUP(A141,Declarations!B$6:C$293,2,FALSE)),"",IF(VLOOKUP(A141,Declarations!B$6:C$293,2,FALSE)="","",VLOOKUP(A141,Declarations!B$6:C$293,2,FALSE)))</f>
        <v/>
      </c>
      <c r="C141" s="161" t="str">
        <f>IF(ISNA(VLOOKUP(A141,Declarations!B$6:F$293,5,FALSE)),"",IF(VLOOKUP(A141,Declarations!B$6:F$293,5,FALSE)="","",VLOOKUP(A141,Declarations!B$6:F$293,5,FALSE)))</f>
        <v/>
      </c>
      <c r="D141" s="161" t="str">
        <f>IF(ISNA(VLOOKUP(A141,Declarations!B$6:F$293,4,FALSE)),"",IF(VLOOKUP(A141,Declarations!B$6:F$293,4,FALSE)="","",VLOOKUP(A141,Declarations!B$6:F$293,4,FALSE)))</f>
        <v/>
      </c>
      <c r="E141" s="161" t="str">
        <f>IF(ISNA(VLOOKUP(A141,Declarations!B$6:D$293,3,FALSE)),"",IF(VLOOKUP(A141,Declarations!B$6:D$293,3,FALSE)="","",VLOOKUP(A141,Declarations!B$6:D$293,3,FALSE)))</f>
        <v/>
      </c>
      <c r="F141" s="51" t="str">
        <f>IF(B141="","",IF(ISNA(VLOOKUP(A141,'75m'!F$5:G$302,2,FALSE)),"",VLOOKUP(A141,'75m'!F$5:G$302,2,FALSE)))</f>
        <v/>
      </c>
      <c r="G141" s="51">
        <f>IF(B141="",0,IF(ISNA(VLOOKUP(A141,'75m'!F$5:J$302,5,FALSE)),0,VLOOKUP(A141,'75m'!F$5:J$302,5,FALSE)))</f>
        <v>0</v>
      </c>
      <c r="H141" s="51" t="str">
        <f>IF(B141="","",IF(ISNA(VLOOKUP(A141,'75m'!F$5:K$302,6,FALSE)),"",VLOOKUP(A141,'75m'!F$5:K$302,6,FALSE)))</f>
        <v/>
      </c>
      <c r="I141" s="53">
        <f>IF(B141="",0,IF(ISNA(VLOOKUP(A141,'600m'!F$5:J$302,2,FALSE)),0,VLOOKUP(A141,'600m'!F$5:J$302,2,FALSE)))</f>
        <v>0</v>
      </c>
      <c r="J141" s="51">
        <f>IF(B141="",0,IF(ISNA(VLOOKUP(A141,'600m'!F$5:J$302,5,FALSE)),0,VLOOKUP(A141,'600m'!F$5:J$302,5,FALSE)))</f>
        <v>0</v>
      </c>
      <c r="K141" s="51" t="str">
        <f>IF(B141="","",IF(ISNA(VLOOKUP(A141,'600m'!F$5:K$302,6,FALSE)),"",VLOOKUP(A141,'600m'!F$5:K$302,6,FALSE)))</f>
        <v/>
      </c>
      <c r="L141" s="51" t="str">
        <f>IF(B141="","",IF(ISNA(VLOOKUP(A141,LongJump!F$5:G$302,2,FALSE)),"",VLOOKUP(A141,LongJump!F$5:G$302,2,FALSE)))</f>
        <v/>
      </c>
      <c r="M141" s="51">
        <f>IF(B141="",0,IF(ISNA(VLOOKUP(A141,LongJump!F$5:J$302,5,FALSE)),0,VLOOKUP(A141,LongJump!F$5:J$302,5,FALSE)))</f>
        <v>0</v>
      </c>
      <c r="N141" s="51">
        <f>IF(B141="",0,IF(ISNA(VLOOKUP(A141,LongJump!F$5:K$302,6,FALSE)),0,VLOOKUP(A141,LongJump!F$5:K$302,6,FALSE)))</f>
        <v>0</v>
      </c>
      <c r="O141" s="51" t="str">
        <f>IF(B141="","",IF(ISNA(VLOOKUP(A141,Vortex!F$5:J$302,2,FALSE)),"",VLOOKUP(A141,Vortex!F$5:J$302,2,FALSE)))</f>
        <v/>
      </c>
      <c r="P141" s="51">
        <f>IF(B141="",0,IF(ISNA(VLOOKUP(A141,Vortex!F$5:J$302,5,FALSE)),0,VLOOKUP(A141,Vortex!F$5:J$302,5,FALSE)))</f>
        <v>0</v>
      </c>
      <c r="Q141" s="51">
        <f t="shared" si="19"/>
        <v>0</v>
      </c>
      <c r="R141" s="51" t="str">
        <f t="shared" si="15"/>
        <v/>
      </c>
      <c r="S141" s="51" t="str">
        <f t="shared" si="16"/>
        <v/>
      </c>
      <c r="T141" s="51" t="str">
        <f t="shared" si="17"/>
        <v/>
      </c>
      <c r="U141" s="51" t="str">
        <f t="shared" si="18"/>
        <v/>
      </c>
      <c r="V141" s="39"/>
    </row>
    <row r="142" spans="1:25" ht="20" customHeight="1">
      <c r="A142" s="51" t="str">
        <f>IF(Declarations!B94=0,"",Declarations!B94)</f>
        <v/>
      </c>
      <c r="B142" s="161" t="str">
        <f>IF(ISNA(VLOOKUP(A142,Declarations!B$6:C$293,2,FALSE)),"",IF(VLOOKUP(A142,Declarations!B$6:C$293,2,FALSE)="","",VLOOKUP(A142,Declarations!B$6:C$293,2,FALSE)))</f>
        <v/>
      </c>
      <c r="C142" s="161" t="str">
        <f>IF(ISNA(VLOOKUP(A142,Declarations!B$6:F$293,5,FALSE)),"",IF(VLOOKUP(A142,Declarations!B$6:F$293,5,FALSE)="","",VLOOKUP(A142,Declarations!B$6:F$293,5,FALSE)))</f>
        <v/>
      </c>
      <c r="D142" s="161" t="str">
        <f>IF(ISNA(VLOOKUP(A142,Declarations!B$6:F$293,4,FALSE)),"",IF(VLOOKUP(A142,Declarations!B$6:F$293,4,FALSE)="","",VLOOKUP(A142,Declarations!B$6:F$293,4,FALSE)))</f>
        <v/>
      </c>
      <c r="E142" s="161" t="str">
        <f>IF(ISNA(VLOOKUP(A142,Declarations!B$6:D$293,3,FALSE)),"",IF(VLOOKUP(A142,Declarations!B$6:D$293,3,FALSE)="","",VLOOKUP(A142,Declarations!B$6:D$293,3,FALSE)))</f>
        <v/>
      </c>
      <c r="F142" s="51" t="str">
        <f>IF(B142="","",IF(ISNA(VLOOKUP(A142,'75m'!F$5:G$302,2,FALSE)),"",VLOOKUP(A142,'75m'!F$5:G$302,2,FALSE)))</f>
        <v/>
      </c>
      <c r="G142" s="51">
        <f>IF(B142="",0,IF(ISNA(VLOOKUP(A142,'75m'!F$5:J$302,5,FALSE)),0,VLOOKUP(A142,'75m'!F$5:J$302,5,FALSE)))</f>
        <v>0</v>
      </c>
      <c r="H142" s="51" t="str">
        <f>IF(B142="","",IF(ISNA(VLOOKUP(A142,'75m'!F$5:K$302,6,FALSE)),"",VLOOKUP(A142,'75m'!F$5:K$302,6,FALSE)))</f>
        <v/>
      </c>
      <c r="I142" s="53">
        <f>IF(B142="",0,IF(ISNA(VLOOKUP(A142,'600m'!F$5:J$302,2,FALSE)),0,VLOOKUP(A142,'600m'!F$5:J$302,2,FALSE)))</f>
        <v>0</v>
      </c>
      <c r="J142" s="51">
        <f>IF(B142="",0,IF(ISNA(VLOOKUP(A142,'600m'!F$5:J$302,5,FALSE)),0,VLOOKUP(A142,'600m'!F$5:J$302,5,FALSE)))</f>
        <v>0</v>
      </c>
      <c r="K142" s="51" t="str">
        <f>IF(B142="","",IF(ISNA(VLOOKUP(A142,'600m'!F$5:K$302,6,FALSE)),"",VLOOKUP(A142,'600m'!F$5:K$302,6,FALSE)))</f>
        <v/>
      </c>
      <c r="L142" s="51" t="str">
        <f>IF(B142="","",IF(ISNA(VLOOKUP(A142,LongJump!F$5:G$302,2,FALSE)),"",VLOOKUP(A142,LongJump!F$5:G$302,2,FALSE)))</f>
        <v/>
      </c>
      <c r="M142" s="51">
        <f>IF(B142="",0,IF(ISNA(VLOOKUP(A142,LongJump!F$5:J$302,5,FALSE)),0,VLOOKUP(A142,LongJump!F$5:J$302,5,FALSE)))</f>
        <v>0</v>
      </c>
      <c r="N142" s="51">
        <f>IF(B142="",0,IF(ISNA(VLOOKUP(A142,LongJump!F$5:K$302,6,FALSE)),0,VLOOKUP(A142,LongJump!F$5:K$302,6,FALSE)))</f>
        <v>0</v>
      </c>
      <c r="O142" s="51" t="str">
        <f>IF(B142="","",IF(ISNA(VLOOKUP(A142,Vortex!F$5:J$302,2,FALSE)),"",VLOOKUP(A142,Vortex!F$5:J$302,2,FALSE)))</f>
        <v/>
      </c>
      <c r="P142" s="51">
        <f>IF(B142="",0,IF(ISNA(VLOOKUP(A142,Vortex!F$5:J$302,5,FALSE)),0,VLOOKUP(A142,Vortex!F$5:J$302,5,FALSE)))</f>
        <v>0</v>
      </c>
      <c r="Q142" s="51">
        <f t="shared" si="19"/>
        <v>0</v>
      </c>
      <c r="R142" s="51" t="str">
        <f t="shared" si="15"/>
        <v/>
      </c>
      <c r="S142" s="51" t="str">
        <f t="shared" si="16"/>
        <v/>
      </c>
      <c r="T142" s="51" t="str">
        <f t="shared" si="17"/>
        <v/>
      </c>
      <c r="U142" s="51" t="str">
        <f t="shared" si="18"/>
        <v/>
      </c>
      <c r="V142" s="39"/>
    </row>
    <row r="143" spans="1:25" ht="20" customHeight="1">
      <c r="A143" s="51" t="str">
        <f>IF(Declarations!B95=0,"",Declarations!B95)</f>
        <v/>
      </c>
      <c r="B143" s="161" t="str">
        <f>IF(ISNA(VLOOKUP(A143,Declarations!B$6:C$293,2,FALSE)),"",IF(VLOOKUP(A143,Declarations!B$6:C$293,2,FALSE)="","",VLOOKUP(A143,Declarations!B$6:C$293,2,FALSE)))</f>
        <v/>
      </c>
      <c r="C143" s="161" t="str">
        <f>IF(ISNA(VLOOKUP(A143,Declarations!B$6:F$293,5,FALSE)),"",IF(VLOOKUP(A143,Declarations!B$6:F$293,5,FALSE)="","",VLOOKUP(A143,Declarations!B$6:F$293,5,FALSE)))</f>
        <v/>
      </c>
      <c r="D143" s="161" t="str">
        <f>IF(ISNA(VLOOKUP(A143,Declarations!B$6:F$293,4,FALSE)),"",IF(VLOOKUP(A143,Declarations!B$6:F$293,4,FALSE)="","",VLOOKUP(A143,Declarations!B$6:F$293,4,FALSE)))</f>
        <v/>
      </c>
      <c r="E143" s="161" t="str">
        <f>IF(ISNA(VLOOKUP(A143,Declarations!B$6:D$293,3,FALSE)),"",IF(VLOOKUP(A143,Declarations!B$6:D$293,3,FALSE)="","",VLOOKUP(A143,Declarations!B$6:D$293,3,FALSE)))</f>
        <v/>
      </c>
      <c r="F143" s="51" t="str">
        <f>IF(B143="","",IF(ISNA(VLOOKUP(A143,'75m'!F$5:G$302,2,FALSE)),"",VLOOKUP(A143,'75m'!F$5:G$302,2,FALSE)))</f>
        <v/>
      </c>
      <c r="G143" s="51">
        <f>IF(B143="",0,IF(ISNA(VLOOKUP(A143,'75m'!F$5:J$302,5,FALSE)),0,VLOOKUP(A143,'75m'!F$5:J$302,5,FALSE)))</f>
        <v>0</v>
      </c>
      <c r="H143" s="51" t="str">
        <f>IF(B143="","",IF(ISNA(VLOOKUP(A143,'75m'!F$5:K$302,6,FALSE)),"",VLOOKUP(A143,'75m'!F$5:K$302,6,FALSE)))</f>
        <v/>
      </c>
      <c r="I143" s="53">
        <f>IF(B143="",0,IF(ISNA(VLOOKUP(A143,'600m'!F$5:J$302,2,FALSE)),0,VLOOKUP(A143,'600m'!F$5:J$302,2,FALSE)))</f>
        <v>0</v>
      </c>
      <c r="J143" s="51">
        <f>IF(B143="",0,IF(ISNA(VLOOKUP(A143,'600m'!F$5:J$302,5,FALSE)),0,VLOOKUP(A143,'600m'!F$5:J$302,5,FALSE)))</f>
        <v>0</v>
      </c>
      <c r="K143" s="51" t="str">
        <f>IF(B143="","",IF(ISNA(VLOOKUP(A143,'600m'!F$5:K$302,6,FALSE)),"",VLOOKUP(A143,'600m'!F$5:K$302,6,FALSE)))</f>
        <v/>
      </c>
      <c r="L143" s="51" t="str">
        <f>IF(B143="","",IF(ISNA(VLOOKUP(A143,LongJump!F$5:G$302,2,FALSE)),"",VLOOKUP(A143,LongJump!F$5:G$302,2,FALSE)))</f>
        <v/>
      </c>
      <c r="M143" s="51">
        <f>IF(B143="",0,IF(ISNA(VLOOKUP(A143,LongJump!F$5:J$302,5,FALSE)),0,VLOOKUP(A143,LongJump!F$5:J$302,5,FALSE)))</f>
        <v>0</v>
      </c>
      <c r="N143" s="51">
        <f>IF(B143="",0,IF(ISNA(VLOOKUP(A143,LongJump!F$5:K$302,6,FALSE)),0,VLOOKUP(A143,LongJump!F$5:K$302,6,FALSE)))</f>
        <v>0</v>
      </c>
      <c r="O143" s="51" t="str">
        <f>IF(B143="","",IF(ISNA(VLOOKUP(A143,Vortex!F$5:J$302,2,FALSE)),"",VLOOKUP(A143,Vortex!F$5:J$302,2,FALSE)))</f>
        <v/>
      </c>
      <c r="P143" s="51">
        <f>IF(B143="",0,IF(ISNA(VLOOKUP(A143,Vortex!F$5:J$302,5,FALSE)),0,VLOOKUP(A143,Vortex!F$5:J$302,5,FALSE)))</f>
        <v>0</v>
      </c>
      <c r="Q143" s="51">
        <f t="shared" si="19"/>
        <v>0</v>
      </c>
      <c r="R143" s="51" t="str">
        <f t="shared" si="15"/>
        <v/>
      </c>
      <c r="S143" s="51" t="str">
        <f t="shared" si="16"/>
        <v/>
      </c>
      <c r="T143" s="51" t="str">
        <f t="shared" si="17"/>
        <v/>
      </c>
      <c r="U143" s="51" t="str">
        <f t="shared" si="18"/>
        <v/>
      </c>
      <c r="V143" s="39"/>
    </row>
    <row r="144" spans="1:25" ht="20" customHeight="1">
      <c r="A144" s="51" t="str">
        <f>IF(Declarations!B96=0,"",Declarations!B96)</f>
        <v/>
      </c>
      <c r="B144" s="161" t="str">
        <f>IF(ISNA(VLOOKUP(A144,Declarations!B$6:C$293,2,FALSE)),"",IF(VLOOKUP(A144,Declarations!B$6:C$293,2,FALSE)="","",VLOOKUP(A144,Declarations!B$6:C$293,2,FALSE)))</f>
        <v/>
      </c>
      <c r="C144" s="161" t="str">
        <f>IF(ISNA(VLOOKUP(A144,Declarations!B$6:F$293,5,FALSE)),"",IF(VLOOKUP(A144,Declarations!B$6:F$293,5,FALSE)="","",VLOOKUP(A144,Declarations!B$6:F$293,5,FALSE)))</f>
        <v/>
      </c>
      <c r="D144" s="161" t="str">
        <f>IF(ISNA(VLOOKUP(A144,Declarations!B$6:F$293,4,FALSE)),"",IF(VLOOKUP(A144,Declarations!B$6:F$293,4,FALSE)="","",VLOOKUP(A144,Declarations!B$6:F$293,4,FALSE)))</f>
        <v/>
      </c>
      <c r="E144" s="161" t="str">
        <f>IF(ISNA(VLOOKUP(A144,Declarations!B$6:D$293,3,FALSE)),"",IF(VLOOKUP(A144,Declarations!B$6:D$293,3,FALSE)="","",VLOOKUP(A144,Declarations!B$6:D$293,3,FALSE)))</f>
        <v/>
      </c>
      <c r="F144" s="51" t="str">
        <f>IF(B144="","",IF(ISNA(VLOOKUP(A144,'75m'!F$5:G$302,2,FALSE)),"",VLOOKUP(A144,'75m'!F$5:G$302,2,FALSE)))</f>
        <v/>
      </c>
      <c r="G144" s="51">
        <f>IF(B144="",0,IF(ISNA(VLOOKUP(A144,'75m'!F$5:J$302,5,FALSE)),0,VLOOKUP(A144,'75m'!F$5:J$302,5,FALSE)))</f>
        <v>0</v>
      </c>
      <c r="H144" s="51" t="str">
        <f>IF(B144="","",IF(ISNA(VLOOKUP(A144,'75m'!F$5:K$302,6,FALSE)),"",VLOOKUP(A144,'75m'!F$5:K$302,6,FALSE)))</f>
        <v/>
      </c>
      <c r="I144" s="53">
        <f>IF(B144="",0,IF(ISNA(VLOOKUP(A144,'600m'!F$5:J$302,2,FALSE)),0,VLOOKUP(A144,'600m'!F$5:J$302,2,FALSE)))</f>
        <v>0</v>
      </c>
      <c r="J144" s="51">
        <f>IF(B144="",0,IF(ISNA(VLOOKUP(A144,'600m'!F$5:J$302,5,FALSE)),0,VLOOKUP(A144,'600m'!F$5:J$302,5,FALSE)))</f>
        <v>0</v>
      </c>
      <c r="K144" s="51" t="str">
        <f>IF(B144="","",IF(ISNA(VLOOKUP(A144,'600m'!F$5:K$302,6,FALSE)),"",VLOOKUP(A144,'600m'!F$5:K$302,6,FALSE)))</f>
        <v/>
      </c>
      <c r="L144" s="51" t="str">
        <f>IF(B144="","",IF(ISNA(VLOOKUP(A144,LongJump!F$5:G$302,2,FALSE)),"",VLOOKUP(A144,LongJump!F$5:G$302,2,FALSE)))</f>
        <v/>
      </c>
      <c r="M144" s="51">
        <f>IF(B144="",0,IF(ISNA(VLOOKUP(A144,LongJump!F$5:J$302,5,FALSE)),0,VLOOKUP(A144,LongJump!F$5:J$302,5,FALSE)))</f>
        <v>0</v>
      </c>
      <c r="N144" s="51">
        <f>IF(B144="",0,IF(ISNA(VLOOKUP(A144,LongJump!F$5:K$302,6,FALSE)),0,VLOOKUP(A144,LongJump!F$5:K$302,6,FALSE)))</f>
        <v>0</v>
      </c>
      <c r="O144" s="51" t="str">
        <f>IF(B144="","",IF(ISNA(VLOOKUP(A144,Vortex!F$5:J$302,2,FALSE)),"",VLOOKUP(A144,Vortex!F$5:J$302,2,FALSE)))</f>
        <v/>
      </c>
      <c r="P144" s="51">
        <f>IF(B144="",0,IF(ISNA(VLOOKUP(A144,Vortex!F$5:J$302,5,FALSE)),0,VLOOKUP(A144,Vortex!F$5:J$302,5,FALSE)))</f>
        <v>0</v>
      </c>
      <c r="Q144" s="51">
        <f t="shared" si="19"/>
        <v>0</v>
      </c>
      <c r="R144" s="51" t="str">
        <f t="shared" si="15"/>
        <v/>
      </c>
      <c r="S144" s="51" t="str">
        <f t="shared" si="16"/>
        <v/>
      </c>
      <c r="T144" s="51" t="str">
        <f t="shared" si="17"/>
        <v/>
      </c>
      <c r="U144" s="51" t="str">
        <f t="shared" si="18"/>
        <v/>
      </c>
      <c r="V144" s="39"/>
    </row>
    <row r="145" spans="1:22" ht="20" customHeight="1">
      <c r="A145" s="51" t="str">
        <f>IF(Declarations!B97=0,"",Declarations!B97)</f>
        <v/>
      </c>
      <c r="B145" s="161" t="str">
        <f>IF(ISNA(VLOOKUP(A145,Declarations!B$6:C$293,2,FALSE)),"",IF(VLOOKUP(A145,Declarations!B$6:C$293,2,FALSE)="","",VLOOKUP(A145,Declarations!B$6:C$293,2,FALSE)))</f>
        <v/>
      </c>
      <c r="C145" s="161" t="str">
        <f>IF(ISNA(VLOOKUP(A145,Declarations!B$6:F$293,5,FALSE)),"",IF(VLOOKUP(A145,Declarations!B$6:F$293,5,FALSE)="","",VLOOKUP(A145,Declarations!B$6:F$293,5,FALSE)))</f>
        <v/>
      </c>
      <c r="D145" s="161" t="str">
        <f>IF(ISNA(VLOOKUP(A145,Declarations!B$6:F$293,4,FALSE)),"",IF(VLOOKUP(A145,Declarations!B$6:F$293,4,FALSE)="","",VLOOKUP(A145,Declarations!B$6:F$293,4,FALSE)))</f>
        <v/>
      </c>
      <c r="E145" s="161" t="str">
        <f>IF(ISNA(VLOOKUP(A145,Declarations!B$6:D$293,3,FALSE)),"",IF(VLOOKUP(A145,Declarations!B$6:D$293,3,FALSE)="","",VLOOKUP(A145,Declarations!B$6:D$293,3,FALSE)))</f>
        <v/>
      </c>
      <c r="F145" s="51" t="str">
        <f>IF(B145="","",IF(ISNA(VLOOKUP(A145,'75m'!F$5:G$302,2,FALSE)),"",VLOOKUP(A145,'75m'!F$5:G$302,2,FALSE)))</f>
        <v/>
      </c>
      <c r="G145" s="51">
        <f>IF(B145="",0,IF(ISNA(VLOOKUP(A145,'75m'!F$5:J$302,5,FALSE)),0,VLOOKUP(A145,'75m'!F$5:J$302,5,FALSE)))</f>
        <v>0</v>
      </c>
      <c r="H145" s="51" t="str">
        <f>IF(B145="","",IF(ISNA(VLOOKUP(A145,'75m'!F$5:K$302,6,FALSE)),"",VLOOKUP(A145,'75m'!F$5:K$302,6,FALSE)))</f>
        <v/>
      </c>
      <c r="I145" s="53">
        <f>IF(B145="",0,IF(ISNA(VLOOKUP(A145,'600m'!F$5:J$302,2,FALSE)),0,VLOOKUP(A145,'600m'!F$5:J$302,2,FALSE)))</f>
        <v>0</v>
      </c>
      <c r="J145" s="51">
        <f>IF(B145="",0,IF(ISNA(VLOOKUP(A145,'600m'!F$5:J$302,5,FALSE)),0,VLOOKUP(A145,'600m'!F$5:J$302,5,FALSE)))</f>
        <v>0</v>
      </c>
      <c r="K145" s="51" t="str">
        <f>IF(B145="","",IF(ISNA(VLOOKUP(A145,'600m'!F$5:K$302,6,FALSE)),"",VLOOKUP(A145,'600m'!F$5:K$302,6,FALSE)))</f>
        <v/>
      </c>
      <c r="L145" s="51" t="str">
        <f>IF(B145="","",IF(ISNA(VLOOKUP(A145,LongJump!F$5:G$302,2,FALSE)),"",VLOOKUP(A145,LongJump!F$5:G$302,2,FALSE)))</f>
        <v/>
      </c>
      <c r="M145" s="51">
        <f>IF(B145="",0,IF(ISNA(VLOOKUP(A145,LongJump!F$5:J$302,5,FALSE)),0,VLOOKUP(A145,LongJump!F$5:J$302,5,FALSE)))</f>
        <v>0</v>
      </c>
      <c r="N145" s="51">
        <f>IF(B145="",0,IF(ISNA(VLOOKUP(A145,LongJump!F$5:K$302,6,FALSE)),0,VLOOKUP(A145,LongJump!F$5:K$302,6,FALSE)))</f>
        <v>0</v>
      </c>
      <c r="O145" s="51" t="str">
        <f>IF(B145="","",IF(ISNA(VLOOKUP(A145,Vortex!F$5:J$302,2,FALSE)),"",VLOOKUP(A145,Vortex!F$5:J$302,2,FALSE)))</f>
        <v/>
      </c>
      <c r="P145" s="51">
        <f>IF(B145="",0,IF(ISNA(VLOOKUP(A145,Vortex!F$5:J$302,5,FALSE)),0,VLOOKUP(A145,Vortex!F$5:J$302,5,FALSE)))</f>
        <v>0</v>
      </c>
      <c r="Q145" s="51">
        <f t="shared" si="19"/>
        <v>0</v>
      </c>
      <c r="R145" s="51" t="str">
        <f t="shared" si="15"/>
        <v/>
      </c>
      <c r="S145" s="51" t="str">
        <f t="shared" si="16"/>
        <v/>
      </c>
      <c r="T145" s="51" t="str">
        <f t="shared" si="17"/>
        <v/>
      </c>
      <c r="U145" s="51" t="str">
        <f t="shared" si="18"/>
        <v/>
      </c>
      <c r="V145" s="39"/>
    </row>
    <row r="146" spans="1:22" ht="20" customHeight="1">
      <c r="A146" s="51" t="str">
        <f>IF(Declarations!B98=0,"",Declarations!B98)</f>
        <v/>
      </c>
      <c r="B146" s="161" t="str">
        <f>IF(ISNA(VLOOKUP(A146,Declarations!B$6:C$293,2,FALSE)),"",IF(VLOOKUP(A146,Declarations!B$6:C$293,2,FALSE)="","",VLOOKUP(A146,Declarations!B$6:C$293,2,FALSE)))</f>
        <v/>
      </c>
      <c r="C146" s="161" t="str">
        <f>IF(ISNA(VLOOKUP(A146,Declarations!B$6:F$293,5,FALSE)),"",IF(VLOOKUP(A146,Declarations!B$6:F$293,5,FALSE)="","",VLOOKUP(A146,Declarations!B$6:F$293,5,FALSE)))</f>
        <v/>
      </c>
      <c r="D146" s="161" t="str">
        <f>IF(ISNA(VLOOKUP(A146,Declarations!B$6:F$293,4,FALSE)),"",IF(VLOOKUP(A146,Declarations!B$6:F$293,4,FALSE)="","",VLOOKUP(A146,Declarations!B$6:F$293,4,FALSE)))</f>
        <v/>
      </c>
      <c r="E146" s="161" t="str">
        <f>IF(ISNA(VLOOKUP(A146,Declarations!B$6:D$293,3,FALSE)),"",IF(VLOOKUP(A146,Declarations!B$6:D$293,3,FALSE)="","",VLOOKUP(A146,Declarations!B$6:D$293,3,FALSE)))</f>
        <v/>
      </c>
      <c r="F146" s="51" t="str">
        <f>IF(B146="","",IF(ISNA(VLOOKUP(A146,'75m'!F$5:G$302,2,FALSE)),"",VLOOKUP(A146,'75m'!F$5:G$302,2,FALSE)))</f>
        <v/>
      </c>
      <c r="G146" s="51">
        <f>IF(B146="",0,IF(ISNA(VLOOKUP(A146,'75m'!F$5:J$302,5,FALSE)),0,VLOOKUP(A146,'75m'!F$5:J$302,5,FALSE)))</f>
        <v>0</v>
      </c>
      <c r="H146" s="51" t="str">
        <f>IF(B146="","",IF(ISNA(VLOOKUP(A146,'75m'!F$5:K$302,6,FALSE)),"",VLOOKUP(A146,'75m'!F$5:K$302,6,FALSE)))</f>
        <v/>
      </c>
      <c r="I146" s="53">
        <f>IF(B146="",0,IF(ISNA(VLOOKUP(A146,'600m'!F$5:J$302,2,FALSE)),0,VLOOKUP(A146,'600m'!F$5:J$302,2,FALSE)))</f>
        <v>0</v>
      </c>
      <c r="J146" s="51">
        <f>IF(B146="",0,IF(ISNA(VLOOKUP(A146,'600m'!F$5:J$302,5,FALSE)),0,VLOOKUP(A146,'600m'!F$5:J$302,5,FALSE)))</f>
        <v>0</v>
      </c>
      <c r="K146" s="51" t="str">
        <f>IF(B146="","",IF(ISNA(VLOOKUP(A146,'600m'!F$5:K$302,6,FALSE)),"",VLOOKUP(A146,'600m'!F$5:K$302,6,FALSE)))</f>
        <v/>
      </c>
      <c r="L146" s="51" t="str">
        <f>IF(B146="","",IF(ISNA(VLOOKUP(A146,LongJump!F$5:G$302,2,FALSE)),"",VLOOKUP(A146,LongJump!F$5:G$302,2,FALSE)))</f>
        <v/>
      </c>
      <c r="M146" s="51">
        <f>IF(B146="",0,IF(ISNA(VLOOKUP(A146,LongJump!F$5:J$302,5,FALSE)),0,VLOOKUP(A146,LongJump!F$5:J$302,5,FALSE)))</f>
        <v>0</v>
      </c>
      <c r="N146" s="51">
        <f>IF(B146="",0,IF(ISNA(VLOOKUP(A146,LongJump!F$5:K$302,6,FALSE)),0,VLOOKUP(A146,LongJump!F$5:K$302,6,FALSE)))</f>
        <v>0</v>
      </c>
      <c r="O146" s="51" t="str">
        <f>IF(B146="","",IF(ISNA(VLOOKUP(A146,Vortex!F$5:J$302,2,FALSE)),"",VLOOKUP(A146,Vortex!F$5:J$302,2,FALSE)))</f>
        <v/>
      </c>
      <c r="P146" s="51">
        <f>IF(B146="",0,IF(ISNA(VLOOKUP(A146,Vortex!F$5:J$302,5,FALSE)),0,VLOOKUP(A146,Vortex!F$5:J$302,5,FALSE)))</f>
        <v>0</v>
      </c>
      <c r="Q146" s="51">
        <f t="shared" si="19"/>
        <v>0</v>
      </c>
      <c r="R146" s="51" t="str">
        <f t="shared" si="15"/>
        <v/>
      </c>
      <c r="S146" s="51" t="str">
        <f t="shared" si="16"/>
        <v/>
      </c>
      <c r="T146" s="51" t="str">
        <f t="shared" si="17"/>
        <v/>
      </c>
      <c r="U146" s="51" t="str">
        <f t="shared" si="18"/>
        <v/>
      </c>
      <c r="V146" s="39"/>
    </row>
    <row r="147" spans="1:22" ht="20" customHeight="1">
      <c r="A147" s="51" t="str">
        <f>IF(Declarations!B99=0,"",Declarations!B99)</f>
        <v/>
      </c>
      <c r="B147" s="161" t="str">
        <f>IF(ISNA(VLOOKUP(A147,Declarations!B$6:C$293,2,FALSE)),"",IF(VLOOKUP(A147,Declarations!B$6:C$293,2,FALSE)="","",VLOOKUP(A147,Declarations!B$6:C$293,2,FALSE)))</f>
        <v/>
      </c>
      <c r="C147" s="161" t="str">
        <f>IF(ISNA(VLOOKUP(A147,Declarations!B$6:F$293,5,FALSE)),"",IF(VLOOKUP(A147,Declarations!B$6:F$293,5,FALSE)="","",VLOOKUP(A147,Declarations!B$6:F$293,5,FALSE)))</f>
        <v/>
      </c>
      <c r="D147" s="161" t="str">
        <f>IF(ISNA(VLOOKUP(A147,Declarations!B$6:F$293,4,FALSE)),"",IF(VLOOKUP(A147,Declarations!B$6:F$293,4,FALSE)="","",VLOOKUP(A147,Declarations!B$6:F$293,4,FALSE)))</f>
        <v/>
      </c>
      <c r="E147" s="161" t="str">
        <f>IF(ISNA(VLOOKUP(A147,Declarations!B$6:D$293,3,FALSE)),"",IF(VLOOKUP(A147,Declarations!B$6:D$293,3,FALSE)="","",VLOOKUP(A147,Declarations!B$6:D$293,3,FALSE)))</f>
        <v/>
      </c>
      <c r="F147" s="51" t="str">
        <f>IF(B147="","",IF(ISNA(VLOOKUP(A147,'75m'!F$5:G$302,2,FALSE)),"",VLOOKUP(A147,'75m'!F$5:G$302,2,FALSE)))</f>
        <v/>
      </c>
      <c r="G147" s="51">
        <f>IF(B147="",0,IF(ISNA(VLOOKUP(A147,'75m'!F$5:J$302,5,FALSE)),0,VLOOKUP(A147,'75m'!F$5:J$302,5,FALSE)))</f>
        <v>0</v>
      </c>
      <c r="H147" s="51" t="str">
        <f>IF(B147="","",IF(ISNA(VLOOKUP(A147,'75m'!F$5:K$302,6,FALSE)),"",VLOOKUP(A147,'75m'!F$5:K$302,6,FALSE)))</f>
        <v/>
      </c>
      <c r="I147" s="53">
        <f>IF(B147="",0,IF(ISNA(VLOOKUP(A147,'600m'!F$5:J$302,2,FALSE)),0,VLOOKUP(A147,'600m'!F$5:J$302,2,FALSE)))</f>
        <v>0</v>
      </c>
      <c r="J147" s="51">
        <f>IF(B147="",0,IF(ISNA(VLOOKUP(A147,'600m'!F$5:J$302,5,FALSE)),0,VLOOKUP(A147,'600m'!F$5:J$302,5,FALSE)))</f>
        <v>0</v>
      </c>
      <c r="K147" s="51" t="str">
        <f>IF(B147="","",IF(ISNA(VLOOKUP(A147,'600m'!F$5:K$302,6,FALSE)),"",VLOOKUP(A147,'600m'!F$5:K$302,6,FALSE)))</f>
        <v/>
      </c>
      <c r="L147" s="51" t="str">
        <f>IF(B147="","",IF(ISNA(VLOOKUP(A147,LongJump!F$5:G$302,2,FALSE)),"",VLOOKUP(A147,LongJump!F$5:G$302,2,FALSE)))</f>
        <v/>
      </c>
      <c r="M147" s="51">
        <f>IF(B147="",0,IF(ISNA(VLOOKUP(A147,LongJump!F$5:J$302,5,FALSE)),0,VLOOKUP(A147,LongJump!F$5:J$302,5,FALSE)))</f>
        <v>0</v>
      </c>
      <c r="N147" s="51">
        <f>IF(B147="",0,IF(ISNA(VLOOKUP(A147,LongJump!F$5:K$302,6,FALSE)),0,VLOOKUP(A147,LongJump!F$5:K$302,6,FALSE)))</f>
        <v>0</v>
      </c>
      <c r="O147" s="51" t="str">
        <f>IF(B147="","",IF(ISNA(VLOOKUP(A147,Vortex!F$5:J$302,2,FALSE)),"",VLOOKUP(A147,Vortex!F$5:J$302,2,FALSE)))</f>
        <v/>
      </c>
      <c r="P147" s="51">
        <f>IF(B147="",0,IF(ISNA(VLOOKUP(A147,Vortex!F$5:J$302,5,FALSE)),0,VLOOKUP(A147,Vortex!F$5:J$302,5,FALSE)))</f>
        <v>0</v>
      </c>
      <c r="Q147" s="51">
        <f t="shared" si="19"/>
        <v>0</v>
      </c>
      <c r="R147" s="51" t="str">
        <f t="shared" si="15"/>
        <v/>
      </c>
      <c r="S147" s="51" t="str">
        <f t="shared" si="16"/>
        <v/>
      </c>
      <c r="T147" s="51" t="str">
        <f t="shared" si="17"/>
        <v/>
      </c>
      <c r="U147" s="51" t="str">
        <f t="shared" si="18"/>
        <v/>
      </c>
      <c r="V147" s="39"/>
    </row>
    <row r="148" spans="1:22" ht="20" customHeight="1">
      <c r="A148" s="51" t="str">
        <f>IF(Declarations!B100=0,"",Declarations!B100)</f>
        <v/>
      </c>
      <c r="B148" s="161" t="str">
        <f>IF(ISNA(VLOOKUP(A148,Declarations!B$6:C$293,2,FALSE)),"",IF(VLOOKUP(A148,Declarations!B$6:C$293,2,FALSE)="","",VLOOKUP(A148,Declarations!B$6:C$293,2,FALSE)))</f>
        <v/>
      </c>
      <c r="C148" s="161" t="str">
        <f>IF(ISNA(VLOOKUP(A148,Declarations!B$6:F$293,5,FALSE)),"",IF(VLOOKUP(A148,Declarations!B$6:F$293,5,FALSE)="","",VLOOKUP(A148,Declarations!B$6:F$293,5,FALSE)))</f>
        <v/>
      </c>
      <c r="D148" s="161" t="str">
        <f>IF(ISNA(VLOOKUP(A148,Declarations!B$6:F$293,4,FALSE)),"",IF(VLOOKUP(A148,Declarations!B$6:F$293,4,FALSE)="","",VLOOKUP(A148,Declarations!B$6:F$293,4,FALSE)))</f>
        <v/>
      </c>
      <c r="E148" s="161" t="str">
        <f>IF(ISNA(VLOOKUP(A148,Declarations!B$6:D$293,3,FALSE)),"",IF(VLOOKUP(A148,Declarations!B$6:D$293,3,FALSE)="","",VLOOKUP(A148,Declarations!B$6:D$293,3,FALSE)))</f>
        <v/>
      </c>
      <c r="F148" s="51" t="str">
        <f>IF(B148="","",IF(ISNA(VLOOKUP(A148,'75m'!F$5:G$302,2,FALSE)),"",VLOOKUP(A148,'75m'!F$5:G$302,2,FALSE)))</f>
        <v/>
      </c>
      <c r="G148" s="51">
        <f>IF(B148="",0,IF(ISNA(VLOOKUP(A148,'75m'!F$5:J$302,5,FALSE)),0,VLOOKUP(A148,'75m'!F$5:J$302,5,FALSE)))</f>
        <v>0</v>
      </c>
      <c r="H148" s="51" t="str">
        <f>IF(B148="","",IF(ISNA(VLOOKUP(A148,'75m'!F$5:K$302,6,FALSE)),"",VLOOKUP(A148,'75m'!F$5:K$302,6,FALSE)))</f>
        <v/>
      </c>
      <c r="I148" s="53">
        <f>IF(B148="",0,IF(ISNA(VLOOKUP(A148,'600m'!F$5:J$302,2,FALSE)),0,VLOOKUP(A148,'600m'!F$5:J$302,2,FALSE)))</f>
        <v>0</v>
      </c>
      <c r="J148" s="51">
        <f>IF(B148="",0,IF(ISNA(VLOOKUP(A148,'600m'!F$5:J$302,5,FALSE)),0,VLOOKUP(A148,'600m'!F$5:J$302,5,FALSE)))</f>
        <v>0</v>
      </c>
      <c r="K148" s="51" t="str">
        <f>IF(B148="","",IF(ISNA(VLOOKUP(A148,'600m'!F$5:K$302,6,FALSE)),"",VLOOKUP(A148,'600m'!F$5:K$302,6,FALSE)))</f>
        <v/>
      </c>
      <c r="L148" s="51" t="str">
        <f>IF(B148="","",IF(ISNA(VLOOKUP(A148,LongJump!F$5:G$302,2,FALSE)),"",VLOOKUP(A148,LongJump!F$5:G$302,2,FALSE)))</f>
        <v/>
      </c>
      <c r="M148" s="51">
        <f>IF(B148="",0,IF(ISNA(VLOOKUP(A148,LongJump!F$5:J$302,5,FALSE)),0,VLOOKUP(A148,LongJump!F$5:J$302,5,FALSE)))</f>
        <v>0</v>
      </c>
      <c r="N148" s="51">
        <f>IF(B148="",0,IF(ISNA(VLOOKUP(A148,LongJump!F$5:K$302,6,FALSE)),0,VLOOKUP(A148,LongJump!F$5:K$302,6,FALSE)))</f>
        <v>0</v>
      </c>
      <c r="O148" s="51" t="str">
        <f>IF(B148="","",IF(ISNA(VLOOKUP(A148,Vortex!F$5:J$302,2,FALSE)),"",VLOOKUP(A148,Vortex!F$5:J$302,2,FALSE)))</f>
        <v/>
      </c>
      <c r="P148" s="51">
        <f>IF(B148="",0,IF(ISNA(VLOOKUP(A148,Vortex!F$5:J$302,5,FALSE)),0,VLOOKUP(A148,Vortex!F$5:J$302,5,FALSE)))</f>
        <v>0</v>
      </c>
      <c r="Q148" s="51">
        <f t="shared" si="19"/>
        <v>0</v>
      </c>
      <c r="R148" s="51" t="str">
        <f t="shared" si="15"/>
        <v/>
      </c>
      <c r="S148" s="51" t="str">
        <f t="shared" si="16"/>
        <v/>
      </c>
      <c r="T148" s="51" t="str">
        <f t="shared" si="17"/>
        <v/>
      </c>
      <c r="U148" s="51" t="str">
        <f t="shared" si="18"/>
        <v/>
      </c>
      <c r="V148" s="39"/>
    </row>
    <row r="149" spans="1:22" ht="20" customHeight="1">
      <c r="A149" s="51" t="str">
        <f>IF(Declarations!B101=0,"",Declarations!B101)</f>
        <v/>
      </c>
      <c r="B149" s="161" t="str">
        <f>IF(ISNA(VLOOKUP(A149,Declarations!B$6:C$293,2,FALSE)),"",IF(VLOOKUP(A149,Declarations!B$6:C$293,2,FALSE)="","",VLOOKUP(A149,Declarations!B$6:C$293,2,FALSE)))</f>
        <v/>
      </c>
      <c r="C149" s="161" t="str">
        <f>IF(ISNA(VLOOKUP(A149,Declarations!B$6:F$293,5,FALSE)),"",IF(VLOOKUP(A149,Declarations!B$6:F$293,5,FALSE)="","",VLOOKUP(A149,Declarations!B$6:F$293,5,FALSE)))</f>
        <v/>
      </c>
      <c r="D149" s="161" t="str">
        <f>IF(ISNA(VLOOKUP(A149,Declarations!B$6:F$293,4,FALSE)),"",IF(VLOOKUP(A149,Declarations!B$6:F$293,4,FALSE)="","",VLOOKUP(A149,Declarations!B$6:F$293,4,FALSE)))</f>
        <v/>
      </c>
      <c r="E149" s="161" t="str">
        <f>IF(ISNA(VLOOKUP(A149,Declarations!B$6:D$293,3,FALSE)),"",IF(VLOOKUP(A149,Declarations!B$6:D$293,3,FALSE)="","",VLOOKUP(A149,Declarations!B$6:D$293,3,FALSE)))</f>
        <v/>
      </c>
      <c r="F149" s="51" t="str">
        <f>IF(B149="","",IF(ISNA(VLOOKUP(A149,'75m'!F$5:G$302,2,FALSE)),"",VLOOKUP(A149,'75m'!F$5:G$302,2,FALSE)))</f>
        <v/>
      </c>
      <c r="G149" s="51">
        <f>IF(B149="",0,IF(ISNA(VLOOKUP(A149,'75m'!F$5:J$302,5,FALSE)),0,VLOOKUP(A149,'75m'!F$5:J$302,5,FALSE)))</f>
        <v>0</v>
      </c>
      <c r="H149" s="51" t="str">
        <f>IF(B149="","",IF(ISNA(VLOOKUP(A149,'75m'!F$5:K$302,6,FALSE)),"",VLOOKUP(A149,'75m'!F$5:K$302,6,FALSE)))</f>
        <v/>
      </c>
      <c r="I149" s="53">
        <f>IF(B149="",0,IF(ISNA(VLOOKUP(A149,'600m'!F$5:J$302,2,FALSE)),0,VLOOKUP(A149,'600m'!F$5:J$302,2,FALSE)))</f>
        <v>0</v>
      </c>
      <c r="J149" s="51">
        <f>IF(B149="",0,IF(ISNA(VLOOKUP(A149,'600m'!F$5:J$302,5,FALSE)),0,VLOOKUP(A149,'600m'!F$5:J$302,5,FALSE)))</f>
        <v>0</v>
      </c>
      <c r="K149" s="51" t="str">
        <f>IF(B149="","",IF(ISNA(VLOOKUP(A149,'600m'!F$5:K$302,6,FALSE)),"",VLOOKUP(A149,'600m'!F$5:K$302,6,FALSE)))</f>
        <v/>
      </c>
      <c r="L149" s="51" t="str">
        <f>IF(B149="","",IF(ISNA(VLOOKUP(A149,LongJump!F$5:G$302,2,FALSE)),"",VLOOKUP(A149,LongJump!F$5:G$302,2,FALSE)))</f>
        <v/>
      </c>
      <c r="M149" s="51">
        <f>IF(B149="",0,IF(ISNA(VLOOKUP(A149,LongJump!F$5:J$302,5,FALSE)),0,VLOOKUP(A149,LongJump!F$5:J$302,5,FALSE)))</f>
        <v>0</v>
      </c>
      <c r="N149" s="51">
        <f>IF(B149="",0,IF(ISNA(VLOOKUP(A149,LongJump!F$5:K$302,6,FALSE)),0,VLOOKUP(A149,LongJump!F$5:K$302,6,FALSE)))</f>
        <v>0</v>
      </c>
      <c r="O149" s="51" t="str">
        <f>IF(B149="","",IF(ISNA(VLOOKUP(A149,Vortex!F$5:J$302,2,FALSE)),"",VLOOKUP(A149,Vortex!F$5:J$302,2,FALSE)))</f>
        <v/>
      </c>
      <c r="P149" s="51">
        <f>IF(B149="",0,IF(ISNA(VLOOKUP(A149,Vortex!F$5:J$302,5,FALSE)),0,VLOOKUP(A149,Vortex!F$5:J$302,5,FALSE)))</f>
        <v>0</v>
      </c>
      <c r="Q149" s="51">
        <f t="shared" si="19"/>
        <v>0</v>
      </c>
      <c r="R149" s="51" t="str">
        <f t="shared" si="15"/>
        <v/>
      </c>
      <c r="S149" s="51" t="str">
        <f t="shared" si="16"/>
        <v/>
      </c>
      <c r="T149" s="51" t="str">
        <f t="shared" si="17"/>
        <v/>
      </c>
      <c r="U149" s="51" t="str">
        <f t="shared" si="18"/>
        <v/>
      </c>
      <c r="V149" s="39"/>
    </row>
    <row r="150" spans="1:22" ht="20" customHeight="1">
      <c r="A150" s="51" t="str">
        <f>IF(Declarations!B102=0,"",Declarations!B102)</f>
        <v/>
      </c>
      <c r="B150" s="161" t="str">
        <f>IF(ISNA(VLOOKUP(A150,Declarations!B$6:C$293,2,FALSE)),"",IF(VLOOKUP(A150,Declarations!B$6:C$293,2,FALSE)="","",VLOOKUP(A150,Declarations!B$6:C$293,2,FALSE)))</f>
        <v/>
      </c>
      <c r="C150" s="161" t="str">
        <f>IF(ISNA(VLOOKUP(A150,Declarations!B$6:F$293,5,FALSE)),"",IF(VLOOKUP(A150,Declarations!B$6:F$293,5,FALSE)="","",VLOOKUP(A150,Declarations!B$6:F$293,5,FALSE)))</f>
        <v/>
      </c>
      <c r="D150" s="161" t="str">
        <f>IF(ISNA(VLOOKUP(A150,Declarations!B$6:F$293,4,FALSE)),"",IF(VLOOKUP(A150,Declarations!B$6:F$293,4,FALSE)="","",VLOOKUP(A150,Declarations!B$6:F$293,4,FALSE)))</f>
        <v/>
      </c>
      <c r="E150" s="161" t="str">
        <f>IF(ISNA(VLOOKUP(A150,Declarations!B$6:D$293,3,FALSE)),"",IF(VLOOKUP(A150,Declarations!B$6:D$293,3,FALSE)="","",VLOOKUP(A150,Declarations!B$6:D$293,3,FALSE)))</f>
        <v/>
      </c>
      <c r="F150" s="51" t="str">
        <f>IF(B150="","",IF(ISNA(VLOOKUP(A150,'75m'!F$5:G$302,2,FALSE)),"",VLOOKUP(A150,'75m'!F$5:G$302,2,FALSE)))</f>
        <v/>
      </c>
      <c r="G150" s="51">
        <f>IF(B150="",0,IF(ISNA(VLOOKUP(A150,'75m'!F$5:J$302,5,FALSE)),0,VLOOKUP(A150,'75m'!F$5:J$302,5,FALSE)))</f>
        <v>0</v>
      </c>
      <c r="H150" s="51" t="str">
        <f>IF(B150="","",IF(ISNA(VLOOKUP(A150,'75m'!F$5:K$302,6,FALSE)),"",VLOOKUP(A150,'75m'!F$5:K$302,6,FALSE)))</f>
        <v/>
      </c>
      <c r="I150" s="53">
        <f>IF(B150="",0,IF(ISNA(VLOOKUP(A150,'600m'!F$5:J$302,2,FALSE)),0,VLOOKUP(A150,'600m'!F$5:J$302,2,FALSE)))</f>
        <v>0</v>
      </c>
      <c r="J150" s="51">
        <f>IF(B150="",0,IF(ISNA(VLOOKUP(A150,'600m'!F$5:J$302,5,FALSE)),0,VLOOKUP(A150,'600m'!F$5:J$302,5,FALSE)))</f>
        <v>0</v>
      </c>
      <c r="K150" s="51" t="str">
        <f>IF(B150="","",IF(ISNA(VLOOKUP(A150,'600m'!F$5:K$302,6,FALSE)),"",VLOOKUP(A150,'600m'!F$5:K$302,6,FALSE)))</f>
        <v/>
      </c>
      <c r="L150" s="51" t="str">
        <f>IF(B150="","",IF(ISNA(VLOOKUP(A150,LongJump!F$5:G$302,2,FALSE)),"",VLOOKUP(A150,LongJump!F$5:G$302,2,FALSE)))</f>
        <v/>
      </c>
      <c r="M150" s="51">
        <f>IF(B150="",0,IF(ISNA(VLOOKUP(A150,LongJump!F$5:J$302,5,FALSE)),0,VLOOKUP(A150,LongJump!F$5:J$302,5,FALSE)))</f>
        <v>0</v>
      </c>
      <c r="N150" s="51">
        <f>IF(B150="",0,IF(ISNA(VLOOKUP(A150,LongJump!F$5:K$302,6,FALSE)),0,VLOOKUP(A150,LongJump!F$5:K$302,6,FALSE)))</f>
        <v>0</v>
      </c>
      <c r="O150" s="51" t="str">
        <f>IF(B150="","",IF(ISNA(VLOOKUP(A150,Vortex!F$5:J$302,2,FALSE)),"",VLOOKUP(A150,Vortex!F$5:J$302,2,FALSE)))</f>
        <v/>
      </c>
      <c r="P150" s="51">
        <f>IF(B150="",0,IF(ISNA(VLOOKUP(A150,Vortex!F$5:J$302,5,FALSE)),0,VLOOKUP(A150,Vortex!F$5:J$302,5,FALSE)))</f>
        <v>0</v>
      </c>
      <c r="Q150" s="51">
        <f t="shared" si="19"/>
        <v>0</v>
      </c>
      <c r="R150" s="51" t="str">
        <f t="shared" si="15"/>
        <v/>
      </c>
      <c r="S150" s="51" t="str">
        <f t="shared" si="16"/>
        <v/>
      </c>
      <c r="T150" s="51" t="str">
        <f t="shared" si="17"/>
        <v/>
      </c>
      <c r="U150" s="51" t="str">
        <f t="shared" si="18"/>
        <v/>
      </c>
      <c r="V150" s="39"/>
    </row>
    <row r="151" spans="1:22" ht="20" customHeight="1">
      <c r="A151" s="51" t="str">
        <f>IF(Declarations!B103=0,"",Declarations!B103)</f>
        <v/>
      </c>
      <c r="B151" s="161" t="str">
        <f>IF(ISNA(VLOOKUP(A151,Declarations!B$6:C$293,2,FALSE)),"",IF(VLOOKUP(A151,Declarations!B$6:C$293,2,FALSE)="","",VLOOKUP(A151,Declarations!B$6:C$293,2,FALSE)))</f>
        <v/>
      </c>
      <c r="C151" s="161" t="str">
        <f>IF(ISNA(VLOOKUP(A151,Declarations!B$6:F$293,5,FALSE)),"",IF(VLOOKUP(A151,Declarations!B$6:F$293,5,FALSE)="","",VLOOKUP(A151,Declarations!B$6:F$293,5,FALSE)))</f>
        <v/>
      </c>
      <c r="D151" s="161" t="str">
        <f>IF(ISNA(VLOOKUP(A151,Declarations!B$6:F$293,4,FALSE)),"",IF(VLOOKUP(A151,Declarations!B$6:F$293,4,FALSE)="","",VLOOKUP(A151,Declarations!B$6:F$293,4,FALSE)))</f>
        <v/>
      </c>
      <c r="E151" s="161" t="str">
        <f>IF(ISNA(VLOOKUP(A151,Declarations!B$6:D$293,3,FALSE)),"",IF(VLOOKUP(A151,Declarations!B$6:D$293,3,FALSE)="","",VLOOKUP(A151,Declarations!B$6:D$293,3,FALSE)))</f>
        <v/>
      </c>
      <c r="F151" s="51" t="str">
        <f>IF(B151="","",IF(ISNA(VLOOKUP(A151,'75m'!F$5:G$302,2,FALSE)),"",VLOOKUP(A151,'75m'!F$5:G$302,2,FALSE)))</f>
        <v/>
      </c>
      <c r="G151" s="51">
        <f>IF(B151="",0,IF(ISNA(VLOOKUP(A151,'75m'!F$5:J$302,5,FALSE)),0,VLOOKUP(A151,'75m'!F$5:J$302,5,FALSE)))</f>
        <v>0</v>
      </c>
      <c r="H151" s="51" t="str">
        <f>IF(B151="","",IF(ISNA(VLOOKUP(A151,'75m'!F$5:K$302,6,FALSE)),"",VLOOKUP(A151,'75m'!F$5:K$302,6,FALSE)))</f>
        <v/>
      </c>
      <c r="I151" s="53">
        <f>IF(B151="",0,IF(ISNA(VLOOKUP(A151,'600m'!F$5:J$302,2,FALSE)),0,VLOOKUP(A151,'600m'!F$5:J$302,2,FALSE)))</f>
        <v>0</v>
      </c>
      <c r="J151" s="51">
        <f>IF(B151="",0,IF(ISNA(VLOOKUP(A151,'600m'!F$5:J$302,5,FALSE)),0,VLOOKUP(A151,'600m'!F$5:J$302,5,FALSE)))</f>
        <v>0</v>
      </c>
      <c r="K151" s="51" t="str">
        <f>IF(B151="","",IF(ISNA(VLOOKUP(A151,'600m'!F$5:K$302,6,FALSE)),"",VLOOKUP(A151,'600m'!F$5:K$302,6,FALSE)))</f>
        <v/>
      </c>
      <c r="L151" s="51" t="str">
        <f>IF(B151="","",IF(ISNA(VLOOKUP(A151,LongJump!F$5:G$302,2,FALSE)),"",VLOOKUP(A151,LongJump!F$5:G$302,2,FALSE)))</f>
        <v/>
      </c>
      <c r="M151" s="51">
        <f>IF(B151="",0,IF(ISNA(VLOOKUP(A151,LongJump!F$5:J$302,5,FALSE)),0,VLOOKUP(A151,LongJump!F$5:J$302,5,FALSE)))</f>
        <v>0</v>
      </c>
      <c r="N151" s="51">
        <f>IF(B151="",0,IF(ISNA(VLOOKUP(A151,LongJump!F$5:K$302,6,FALSE)),0,VLOOKUP(A151,LongJump!F$5:K$302,6,FALSE)))</f>
        <v>0</v>
      </c>
      <c r="O151" s="51" t="str">
        <f>IF(B151="","",IF(ISNA(VLOOKUP(A151,Vortex!F$5:J$302,2,FALSE)),"",VLOOKUP(A151,Vortex!F$5:J$302,2,FALSE)))</f>
        <v/>
      </c>
      <c r="P151" s="51">
        <f>IF(B151="",0,IF(ISNA(VLOOKUP(A151,Vortex!F$5:J$302,5,FALSE)),0,VLOOKUP(A151,Vortex!F$5:J$302,5,FALSE)))</f>
        <v>0</v>
      </c>
      <c r="Q151" s="51">
        <f t="shared" si="19"/>
        <v>0</v>
      </c>
      <c r="R151" s="51" t="str">
        <f t="shared" si="15"/>
        <v/>
      </c>
      <c r="S151" s="51" t="str">
        <f t="shared" si="16"/>
        <v/>
      </c>
      <c r="T151" s="51" t="str">
        <f t="shared" si="17"/>
        <v/>
      </c>
      <c r="U151" s="51" t="str">
        <f t="shared" si="18"/>
        <v/>
      </c>
      <c r="V151" s="39"/>
    </row>
    <row r="152" spans="1:22" ht="20" customHeight="1">
      <c r="A152" s="51" t="str">
        <f>IF(Declarations!B104=0,"",Declarations!B104)</f>
        <v/>
      </c>
      <c r="B152" s="161" t="str">
        <f>IF(ISNA(VLOOKUP(A152,Declarations!B$6:C$293,2,FALSE)),"",IF(VLOOKUP(A152,Declarations!B$6:C$293,2,FALSE)="","",VLOOKUP(A152,Declarations!B$6:C$293,2,FALSE)))</f>
        <v/>
      </c>
      <c r="C152" s="161" t="str">
        <f>IF(ISNA(VLOOKUP(A152,Declarations!B$6:F$293,5,FALSE)),"",IF(VLOOKUP(A152,Declarations!B$6:F$293,5,FALSE)="","",VLOOKUP(A152,Declarations!B$6:F$293,5,FALSE)))</f>
        <v/>
      </c>
      <c r="D152" s="161" t="str">
        <f>IF(ISNA(VLOOKUP(A152,Declarations!B$6:F$293,4,FALSE)),"",IF(VLOOKUP(A152,Declarations!B$6:F$293,4,FALSE)="","",VLOOKUP(A152,Declarations!B$6:F$293,4,FALSE)))</f>
        <v/>
      </c>
      <c r="E152" s="161" t="str">
        <f>IF(ISNA(VLOOKUP(A152,Declarations!B$6:D$293,3,FALSE)),"",IF(VLOOKUP(A152,Declarations!B$6:D$293,3,FALSE)="","",VLOOKUP(A152,Declarations!B$6:D$293,3,FALSE)))</f>
        <v/>
      </c>
      <c r="F152" s="51" t="str">
        <f>IF(B152="","",IF(ISNA(VLOOKUP(A152,'75m'!F$5:G$302,2,FALSE)),"",VLOOKUP(A152,'75m'!F$5:G$302,2,FALSE)))</f>
        <v/>
      </c>
      <c r="G152" s="51">
        <f>IF(B152="",0,IF(ISNA(VLOOKUP(A152,'75m'!F$5:J$302,5,FALSE)),0,VLOOKUP(A152,'75m'!F$5:J$302,5,FALSE)))</f>
        <v>0</v>
      </c>
      <c r="H152" s="51" t="str">
        <f>IF(B152="","",IF(ISNA(VLOOKUP(A152,'75m'!F$5:K$302,6,FALSE)),"",VLOOKUP(A152,'75m'!F$5:K$302,6,FALSE)))</f>
        <v/>
      </c>
      <c r="I152" s="53">
        <f>IF(B152="",0,IF(ISNA(VLOOKUP(A152,'600m'!F$5:J$302,2,FALSE)),0,VLOOKUP(A152,'600m'!F$5:J$302,2,FALSE)))</f>
        <v>0</v>
      </c>
      <c r="J152" s="51">
        <f>IF(B152="",0,IF(ISNA(VLOOKUP(A152,'600m'!F$5:J$302,5,FALSE)),0,VLOOKUP(A152,'600m'!F$5:J$302,5,FALSE)))</f>
        <v>0</v>
      </c>
      <c r="K152" s="51" t="str">
        <f>IF(B152="","",IF(ISNA(VLOOKUP(A152,'600m'!F$5:K$302,6,FALSE)),"",VLOOKUP(A152,'600m'!F$5:K$302,6,FALSE)))</f>
        <v/>
      </c>
      <c r="L152" s="51" t="str">
        <f>IF(B152="","",IF(ISNA(VLOOKUP(A152,LongJump!F$5:G$302,2,FALSE)),"",VLOOKUP(A152,LongJump!F$5:G$302,2,FALSE)))</f>
        <v/>
      </c>
      <c r="M152" s="51">
        <f>IF(B152="",0,IF(ISNA(VLOOKUP(A152,LongJump!F$5:J$302,5,FALSE)),0,VLOOKUP(A152,LongJump!F$5:J$302,5,FALSE)))</f>
        <v>0</v>
      </c>
      <c r="N152" s="51">
        <f>IF(B152="",0,IF(ISNA(VLOOKUP(A152,LongJump!F$5:K$302,6,FALSE)),0,VLOOKUP(A152,LongJump!F$5:K$302,6,FALSE)))</f>
        <v>0</v>
      </c>
      <c r="O152" s="51" t="str">
        <f>IF(B152="","",IF(ISNA(VLOOKUP(A152,Vortex!F$5:J$302,2,FALSE)),"",VLOOKUP(A152,Vortex!F$5:J$302,2,FALSE)))</f>
        <v/>
      </c>
      <c r="P152" s="51">
        <f>IF(B152="",0,IF(ISNA(VLOOKUP(A152,Vortex!F$5:J$302,5,FALSE)),0,VLOOKUP(A152,Vortex!F$5:J$302,5,FALSE)))</f>
        <v>0</v>
      </c>
      <c r="Q152" s="51">
        <f t="shared" si="19"/>
        <v>0</v>
      </c>
      <c r="R152" s="51" t="str">
        <f t="shared" si="15"/>
        <v/>
      </c>
      <c r="S152" s="51" t="str">
        <f t="shared" si="16"/>
        <v/>
      </c>
      <c r="T152" s="51" t="str">
        <f t="shared" si="17"/>
        <v/>
      </c>
      <c r="U152" s="51" t="str">
        <f t="shared" si="18"/>
        <v/>
      </c>
      <c r="V152" s="39"/>
    </row>
    <row r="153" spans="1:22" ht="20" customHeight="1">
      <c r="A153" s="51" t="str">
        <f>IF(Declarations!B105=0,"",Declarations!B105)</f>
        <v/>
      </c>
      <c r="B153" s="161" t="str">
        <f>IF(ISNA(VLOOKUP(A153,Declarations!B$6:C$293,2,FALSE)),"",IF(VLOOKUP(A153,Declarations!B$6:C$293,2,FALSE)="","",VLOOKUP(A153,Declarations!B$6:C$293,2,FALSE)))</f>
        <v/>
      </c>
      <c r="C153" s="161" t="str">
        <f>IF(ISNA(VLOOKUP(A153,Declarations!B$6:F$293,5,FALSE)),"",IF(VLOOKUP(A153,Declarations!B$6:F$293,5,FALSE)="","",VLOOKUP(A153,Declarations!B$6:F$293,5,FALSE)))</f>
        <v/>
      </c>
      <c r="D153" s="161" t="str">
        <f>IF(ISNA(VLOOKUP(A153,Declarations!B$6:F$293,4,FALSE)),"",IF(VLOOKUP(A153,Declarations!B$6:F$293,4,FALSE)="","",VLOOKUP(A153,Declarations!B$6:F$293,4,FALSE)))</f>
        <v/>
      </c>
      <c r="E153" s="161" t="str">
        <f>IF(ISNA(VLOOKUP(A153,Declarations!B$6:D$293,3,FALSE)),"",IF(VLOOKUP(A153,Declarations!B$6:D$293,3,FALSE)="","",VLOOKUP(A153,Declarations!B$6:D$293,3,FALSE)))</f>
        <v/>
      </c>
      <c r="F153" s="51" t="str">
        <f>IF(B153="","",IF(ISNA(VLOOKUP(A153,'75m'!F$5:G$302,2,FALSE)),"",VLOOKUP(A153,'75m'!F$5:G$302,2,FALSE)))</f>
        <v/>
      </c>
      <c r="G153" s="51">
        <f>IF(B153="",0,IF(ISNA(VLOOKUP(A153,'75m'!F$5:J$302,5,FALSE)),0,VLOOKUP(A153,'75m'!F$5:J$302,5,FALSE)))</f>
        <v>0</v>
      </c>
      <c r="H153" s="51" t="str">
        <f>IF(B153="","",IF(ISNA(VLOOKUP(A153,'75m'!F$5:K$302,6,FALSE)),"",VLOOKUP(A153,'75m'!F$5:K$302,6,FALSE)))</f>
        <v/>
      </c>
      <c r="I153" s="53">
        <f>IF(B153="",0,IF(ISNA(VLOOKUP(A153,'600m'!F$5:J$302,2,FALSE)),0,VLOOKUP(A153,'600m'!F$5:J$302,2,FALSE)))</f>
        <v>0</v>
      </c>
      <c r="J153" s="51">
        <f>IF(B153="",0,IF(ISNA(VLOOKUP(A153,'600m'!F$5:J$302,5,FALSE)),0,VLOOKUP(A153,'600m'!F$5:J$302,5,FALSE)))</f>
        <v>0</v>
      </c>
      <c r="K153" s="51" t="str">
        <f>IF(B153="","",IF(ISNA(VLOOKUP(A153,'600m'!F$5:K$302,6,FALSE)),"",VLOOKUP(A153,'600m'!F$5:K$302,6,FALSE)))</f>
        <v/>
      </c>
      <c r="L153" s="51" t="str">
        <f>IF(B153="","",IF(ISNA(VLOOKUP(A153,LongJump!F$5:G$302,2,FALSE)),"",VLOOKUP(A153,LongJump!F$5:G$302,2,FALSE)))</f>
        <v/>
      </c>
      <c r="M153" s="51">
        <f>IF(B153="",0,IF(ISNA(VLOOKUP(A153,LongJump!F$5:J$302,5,FALSE)),0,VLOOKUP(A153,LongJump!F$5:J$302,5,FALSE)))</f>
        <v>0</v>
      </c>
      <c r="N153" s="51">
        <f>IF(B153="",0,IF(ISNA(VLOOKUP(A153,LongJump!F$5:K$302,6,FALSE)),0,VLOOKUP(A153,LongJump!F$5:K$302,6,FALSE)))</f>
        <v>0</v>
      </c>
      <c r="O153" s="51" t="str">
        <f>IF(B153="","",IF(ISNA(VLOOKUP(A153,Vortex!F$5:J$302,2,FALSE)),"",VLOOKUP(A153,Vortex!F$5:J$302,2,FALSE)))</f>
        <v/>
      </c>
      <c r="P153" s="51">
        <f>IF(B153="",0,IF(ISNA(VLOOKUP(A153,Vortex!F$5:J$302,5,FALSE)),0,VLOOKUP(A153,Vortex!F$5:J$302,5,FALSE)))</f>
        <v>0</v>
      </c>
      <c r="Q153" s="51">
        <f t="shared" si="19"/>
        <v>0</v>
      </c>
      <c r="R153" s="51" t="str">
        <f t="shared" si="15"/>
        <v/>
      </c>
      <c r="S153" s="51" t="str">
        <f t="shared" si="16"/>
        <v/>
      </c>
      <c r="T153" s="51" t="str">
        <f t="shared" si="17"/>
        <v/>
      </c>
      <c r="U153" s="51" t="str">
        <f t="shared" si="18"/>
        <v/>
      </c>
      <c r="V153" s="39"/>
    </row>
    <row r="154" spans="1:22" ht="20" customHeight="1">
      <c r="A154" s="51" t="str">
        <f>IF(Declarations!B106=0,"",Declarations!B106)</f>
        <v/>
      </c>
      <c r="B154" s="161" t="str">
        <f>IF(ISNA(VLOOKUP(A154,Declarations!B$6:C$293,2,FALSE)),"",IF(VLOOKUP(A154,Declarations!B$6:C$293,2,FALSE)="","",VLOOKUP(A154,Declarations!B$6:C$293,2,FALSE)))</f>
        <v/>
      </c>
      <c r="C154" s="161" t="str">
        <f>IF(ISNA(VLOOKUP(A154,Declarations!B$6:F$293,5,FALSE)),"",IF(VLOOKUP(A154,Declarations!B$6:F$293,5,FALSE)="","",VLOOKUP(A154,Declarations!B$6:F$293,5,FALSE)))</f>
        <v/>
      </c>
      <c r="D154" s="161" t="str">
        <f>IF(ISNA(VLOOKUP(A154,Declarations!B$6:F$293,4,FALSE)),"",IF(VLOOKUP(A154,Declarations!B$6:F$293,4,FALSE)="","",VLOOKUP(A154,Declarations!B$6:F$293,4,FALSE)))</f>
        <v/>
      </c>
      <c r="E154" s="161" t="str">
        <f>IF(ISNA(VLOOKUP(A154,Declarations!B$6:D$293,3,FALSE)),"",IF(VLOOKUP(A154,Declarations!B$6:D$293,3,FALSE)="","",VLOOKUP(A154,Declarations!B$6:D$293,3,FALSE)))</f>
        <v/>
      </c>
      <c r="F154" s="51" t="str">
        <f>IF(B154="","",IF(ISNA(VLOOKUP(A154,'75m'!F$5:G$302,2,FALSE)),"",VLOOKUP(A154,'75m'!F$5:G$302,2,FALSE)))</f>
        <v/>
      </c>
      <c r="G154" s="51">
        <f>IF(B154="",0,IF(ISNA(VLOOKUP(A154,'75m'!F$5:J$302,5,FALSE)),0,VLOOKUP(A154,'75m'!F$5:J$302,5,FALSE)))</f>
        <v>0</v>
      </c>
      <c r="H154" s="51" t="str">
        <f>IF(B154="","",IF(ISNA(VLOOKUP(A154,'75m'!F$5:K$302,6,FALSE)),"",VLOOKUP(A154,'75m'!F$5:K$302,6,FALSE)))</f>
        <v/>
      </c>
      <c r="I154" s="53">
        <f>IF(B154="",0,IF(ISNA(VLOOKUP(A154,'600m'!F$5:J$302,2,FALSE)),0,VLOOKUP(A154,'600m'!F$5:J$302,2,FALSE)))</f>
        <v>0</v>
      </c>
      <c r="J154" s="51">
        <f>IF(B154="",0,IF(ISNA(VLOOKUP(A154,'600m'!F$5:J$302,5,FALSE)),0,VLOOKUP(A154,'600m'!F$5:J$302,5,FALSE)))</f>
        <v>0</v>
      </c>
      <c r="K154" s="51" t="str">
        <f>IF(B154="","",IF(ISNA(VLOOKUP(A154,'600m'!F$5:K$302,6,FALSE)),"",VLOOKUP(A154,'600m'!F$5:K$302,6,FALSE)))</f>
        <v/>
      </c>
      <c r="L154" s="51" t="str">
        <f>IF(B154="","",IF(ISNA(VLOOKUP(A154,LongJump!F$5:G$302,2,FALSE)),"",VLOOKUP(A154,LongJump!F$5:G$302,2,FALSE)))</f>
        <v/>
      </c>
      <c r="M154" s="51">
        <f>IF(B154="",0,IF(ISNA(VLOOKUP(A154,LongJump!F$5:J$302,5,FALSE)),0,VLOOKUP(A154,LongJump!F$5:J$302,5,FALSE)))</f>
        <v>0</v>
      </c>
      <c r="N154" s="51">
        <f>IF(B154="",0,IF(ISNA(VLOOKUP(A154,LongJump!F$5:K$302,6,FALSE)),0,VLOOKUP(A154,LongJump!F$5:K$302,6,FALSE)))</f>
        <v>0</v>
      </c>
      <c r="O154" s="51" t="str">
        <f>IF(B154="","",IF(ISNA(VLOOKUP(A154,Vortex!F$5:J$302,2,FALSE)),"",VLOOKUP(A154,Vortex!F$5:J$302,2,FALSE)))</f>
        <v/>
      </c>
      <c r="P154" s="51">
        <f>IF(B154="",0,IF(ISNA(VLOOKUP(A154,Vortex!F$5:J$302,5,FALSE)),0,VLOOKUP(A154,Vortex!F$5:J$302,5,FALSE)))</f>
        <v>0</v>
      </c>
      <c r="Q154" s="51">
        <f t="shared" si="19"/>
        <v>0</v>
      </c>
      <c r="R154" s="51" t="str">
        <f t="shared" si="15"/>
        <v/>
      </c>
      <c r="S154" s="51" t="str">
        <f t="shared" si="16"/>
        <v/>
      </c>
      <c r="T154" s="51" t="str">
        <f t="shared" si="17"/>
        <v/>
      </c>
      <c r="U154" s="51" t="str">
        <f t="shared" si="18"/>
        <v/>
      </c>
      <c r="V154" s="39"/>
    </row>
    <row r="155" spans="1:22" ht="20" customHeight="1">
      <c r="A155" s="51" t="str">
        <f>IF(Declarations!B107=0,"",Declarations!B107)</f>
        <v/>
      </c>
      <c r="B155" s="161" t="str">
        <f>IF(ISNA(VLOOKUP(A155,Declarations!B$6:C$293,2,FALSE)),"",IF(VLOOKUP(A155,Declarations!B$6:C$293,2,FALSE)="","",VLOOKUP(A155,Declarations!B$6:C$293,2,FALSE)))</f>
        <v/>
      </c>
      <c r="C155" s="161" t="str">
        <f>IF(ISNA(VLOOKUP(A155,Declarations!B$6:F$293,5,FALSE)),"",IF(VLOOKUP(A155,Declarations!B$6:F$293,5,FALSE)="","",VLOOKUP(A155,Declarations!B$6:F$293,5,FALSE)))</f>
        <v/>
      </c>
      <c r="D155" s="161" t="str">
        <f>IF(ISNA(VLOOKUP(A155,Declarations!B$6:F$293,4,FALSE)),"",IF(VLOOKUP(A155,Declarations!B$6:F$293,4,FALSE)="","",VLOOKUP(A155,Declarations!B$6:F$293,4,FALSE)))</f>
        <v/>
      </c>
      <c r="E155" s="161" t="str">
        <f>IF(ISNA(VLOOKUP(A155,Declarations!B$6:D$293,3,FALSE)),"",IF(VLOOKUP(A155,Declarations!B$6:D$293,3,FALSE)="","",VLOOKUP(A155,Declarations!B$6:D$293,3,FALSE)))</f>
        <v/>
      </c>
      <c r="F155" s="51" t="str">
        <f>IF(B155="","",IF(ISNA(VLOOKUP(A155,'75m'!F$5:G$302,2,FALSE)),"",VLOOKUP(A155,'75m'!F$5:G$302,2,FALSE)))</f>
        <v/>
      </c>
      <c r="G155" s="51">
        <f>IF(B155="",0,IF(ISNA(VLOOKUP(A155,'75m'!F$5:J$302,5,FALSE)),0,VLOOKUP(A155,'75m'!F$5:J$302,5,FALSE)))</f>
        <v>0</v>
      </c>
      <c r="H155" s="51" t="str">
        <f>IF(B155="","",IF(ISNA(VLOOKUP(A155,'75m'!F$5:K$302,6,FALSE)),"",VLOOKUP(A155,'75m'!F$5:K$302,6,FALSE)))</f>
        <v/>
      </c>
      <c r="I155" s="53">
        <f>IF(B155="",0,IF(ISNA(VLOOKUP(A155,'600m'!F$5:J$302,2,FALSE)),0,VLOOKUP(A155,'600m'!F$5:J$302,2,FALSE)))</f>
        <v>0</v>
      </c>
      <c r="J155" s="51">
        <f>IF(B155="",0,IF(ISNA(VLOOKUP(A155,'600m'!F$5:J$302,5,FALSE)),0,VLOOKUP(A155,'600m'!F$5:J$302,5,FALSE)))</f>
        <v>0</v>
      </c>
      <c r="K155" s="51" t="str">
        <f>IF(B155="","",IF(ISNA(VLOOKUP(A155,'600m'!F$5:K$302,6,FALSE)),"",VLOOKUP(A155,'600m'!F$5:K$302,6,FALSE)))</f>
        <v/>
      </c>
      <c r="L155" s="51" t="str">
        <f>IF(B155="","",IF(ISNA(VLOOKUP(A155,LongJump!F$5:G$302,2,FALSE)),"",VLOOKUP(A155,LongJump!F$5:G$302,2,FALSE)))</f>
        <v/>
      </c>
      <c r="M155" s="51">
        <f>IF(B155="",0,IF(ISNA(VLOOKUP(A155,LongJump!F$5:J$302,5,FALSE)),0,VLOOKUP(A155,LongJump!F$5:J$302,5,FALSE)))</f>
        <v>0</v>
      </c>
      <c r="N155" s="51">
        <f>IF(B155="",0,IF(ISNA(VLOOKUP(A155,LongJump!F$5:K$302,6,FALSE)),0,VLOOKUP(A155,LongJump!F$5:K$302,6,FALSE)))</f>
        <v>0</v>
      </c>
      <c r="O155" s="51" t="str">
        <f>IF(B155="","",IF(ISNA(VLOOKUP(A155,Vortex!F$5:J$302,2,FALSE)),"",VLOOKUP(A155,Vortex!F$5:J$302,2,FALSE)))</f>
        <v/>
      </c>
      <c r="P155" s="51">
        <f>IF(B155="",0,IF(ISNA(VLOOKUP(A155,Vortex!F$5:J$302,5,FALSE)),0,VLOOKUP(A155,Vortex!F$5:J$302,5,FALSE)))</f>
        <v>0</v>
      </c>
      <c r="Q155" s="51">
        <f t="shared" si="19"/>
        <v>0</v>
      </c>
      <c r="R155" s="51" t="str">
        <f t="shared" si="15"/>
        <v/>
      </c>
      <c r="S155" s="51" t="str">
        <f t="shared" si="16"/>
        <v/>
      </c>
      <c r="T155" s="51" t="str">
        <f t="shared" si="17"/>
        <v/>
      </c>
      <c r="U155" s="51" t="str">
        <f t="shared" si="18"/>
        <v/>
      </c>
      <c r="V155" s="39"/>
    </row>
    <row r="156" spans="1:22" ht="20" customHeight="1">
      <c r="A156" s="51" t="str">
        <f>IF(Declarations!B108=0,"",Declarations!B108)</f>
        <v/>
      </c>
      <c r="B156" s="161" t="str">
        <f>IF(ISNA(VLOOKUP(A156,Declarations!B$6:C$293,2,FALSE)),"",IF(VLOOKUP(A156,Declarations!B$6:C$293,2,FALSE)="","",VLOOKUP(A156,Declarations!B$6:C$293,2,FALSE)))</f>
        <v/>
      </c>
      <c r="C156" s="161" t="str">
        <f>IF(ISNA(VLOOKUP(A156,Declarations!B$6:F$293,5,FALSE)),"",IF(VLOOKUP(A156,Declarations!B$6:F$293,5,FALSE)="","",VLOOKUP(A156,Declarations!B$6:F$293,5,FALSE)))</f>
        <v/>
      </c>
      <c r="D156" s="161" t="str">
        <f>IF(ISNA(VLOOKUP(A156,Declarations!B$6:F$293,4,FALSE)),"",IF(VLOOKUP(A156,Declarations!B$6:F$293,4,FALSE)="","",VLOOKUP(A156,Declarations!B$6:F$293,4,FALSE)))</f>
        <v/>
      </c>
      <c r="E156" s="161" t="str">
        <f>IF(ISNA(VLOOKUP(A156,Declarations!B$6:D$293,3,FALSE)),"",IF(VLOOKUP(A156,Declarations!B$6:D$293,3,FALSE)="","",VLOOKUP(A156,Declarations!B$6:D$293,3,FALSE)))</f>
        <v/>
      </c>
      <c r="F156" s="51" t="str">
        <f>IF(B156="","",IF(ISNA(VLOOKUP(A156,'75m'!F$5:G$302,2,FALSE)),"",VLOOKUP(A156,'75m'!F$5:G$302,2,FALSE)))</f>
        <v/>
      </c>
      <c r="G156" s="51">
        <f>IF(B156="",0,IF(ISNA(VLOOKUP(A156,'75m'!F$5:J$302,5,FALSE)),0,VLOOKUP(A156,'75m'!F$5:J$302,5,FALSE)))</f>
        <v>0</v>
      </c>
      <c r="H156" s="51" t="str">
        <f>IF(B156="","",IF(ISNA(VLOOKUP(A156,'75m'!F$5:K$302,6,FALSE)),"",VLOOKUP(A156,'75m'!F$5:K$302,6,FALSE)))</f>
        <v/>
      </c>
      <c r="I156" s="53">
        <f>IF(B156="",0,IF(ISNA(VLOOKUP(A156,'600m'!F$5:J$302,2,FALSE)),0,VLOOKUP(A156,'600m'!F$5:J$302,2,FALSE)))</f>
        <v>0</v>
      </c>
      <c r="J156" s="51">
        <f>IF(B156="",0,IF(ISNA(VLOOKUP(A156,'600m'!F$5:J$302,5,FALSE)),0,VLOOKUP(A156,'600m'!F$5:J$302,5,FALSE)))</f>
        <v>0</v>
      </c>
      <c r="K156" s="51" t="str">
        <f>IF(B156="","",IF(ISNA(VLOOKUP(A156,'600m'!F$5:K$302,6,FALSE)),"",VLOOKUP(A156,'600m'!F$5:K$302,6,FALSE)))</f>
        <v/>
      </c>
      <c r="L156" s="51" t="str">
        <f>IF(B156="","",IF(ISNA(VLOOKUP(A156,LongJump!F$5:G$302,2,FALSE)),"",VLOOKUP(A156,LongJump!F$5:G$302,2,FALSE)))</f>
        <v/>
      </c>
      <c r="M156" s="51">
        <f>IF(B156="",0,IF(ISNA(VLOOKUP(A156,LongJump!F$5:J$302,5,FALSE)),0,VLOOKUP(A156,LongJump!F$5:J$302,5,FALSE)))</f>
        <v>0</v>
      </c>
      <c r="N156" s="51">
        <f>IF(B156="",0,IF(ISNA(VLOOKUP(A156,LongJump!F$5:K$302,6,FALSE)),0,VLOOKUP(A156,LongJump!F$5:K$302,6,FALSE)))</f>
        <v>0</v>
      </c>
      <c r="O156" s="51" t="str">
        <f>IF(B156="","",IF(ISNA(VLOOKUP(A156,Vortex!F$5:J$302,2,FALSE)),"",VLOOKUP(A156,Vortex!F$5:J$302,2,FALSE)))</f>
        <v/>
      </c>
      <c r="P156" s="51">
        <f>IF(B156="",0,IF(ISNA(VLOOKUP(A156,Vortex!F$5:J$302,5,FALSE)),0,VLOOKUP(A156,Vortex!F$5:J$302,5,FALSE)))</f>
        <v>0</v>
      </c>
      <c r="Q156" s="51">
        <f t="shared" si="19"/>
        <v>0</v>
      </c>
      <c r="R156" s="51" t="str">
        <f t="shared" si="15"/>
        <v/>
      </c>
      <c r="S156" s="51" t="str">
        <f t="shared" si="16"/>
        <v/>
      </c>
      <c r="T156" s="51" t="str">
        <f t="shared" si="17"/>
        <v/>
      </c>
      <c r="U156" s="51" t="str">
        <f t="shared" si="18"/>
        <v/>
      </c>
      <c r="V156" s="39"/>
    </row>
    <row r="157" spans="1:22" ht="20" customHeight="1">
      <c r="A157" s="51" t="str">
        <f>IF(Declarations!B109=0,"",Declarations!B109)</f>
        <v/>
      </c>
      <c r="B157" s="161" t="str">
        <f>IF(ISNA(VLOOKUP(A157,Declarations!B$6:C$293,2,FALSE)),"",IF(VLOOKUP(A157,Declarations!B$6:C$293,2,FALSE)="","",VLOOKUP(A157,Declarations!B$6:C$293,2,FALSE)))</f>
        <v/>
      </c>
      <c r="C157" s="161" t="str">
        <f>IF(ISNA(VLOOKUP(A157,Declarations!B$6:F$293,5,FALSE)),"",IF(VLOOKUP(A157,Declarations!B$6:F$293,5,FALSE)="","",VLOOKUP(A157,Declarations!B$6:F$293,5,FALSE)))</f>
        <v/>
      </c>
      <c r="D157" s="161" t="str">
        <f>IF(ISNA(VLOOKUP(A157,Declarations!B$6:F$293,4,FALSE)),"",IF(VLOOKUP(A157,Declarations!B$6:F$293,4,FALSE)="","",VLOOKUP(A157,Declarations!B$6:F$293,4,FALSE)))</f>
        <v/>
      </c>
      <c r="E157" s="161" t="str">
        <f>IF(ISNA(VLOOKUP(A157,Declarations!B$6:D$293,3,FALSE)),"",IF(VLOOKUP(A157,Declarations!B$6:D$293,3,FALSE)="","",VLOOKUP(A157,Declarations!B$6:D$293,3,FALSE)))</f>
        <v/>
      </c>
      <c r="F157" s="51" t="str">
        <f>IF(B157="","",IF(ISNA(VLOOKUP(A157,'75m'!F$5:G$302,2,FALSE)),"",VLOOKUP(A157,'75m'!F$5:G$302,2,FALSE)))</f>
        <v/>
      </c>
      <c r="G157" s="51">
        <f>IF(B157="",0,IF(ISNA(VLOOKUP(A157,'75m'!F$5:J$302,5,FALSE)),0,VLOOKUP(A157,'75m'!F$5:J$302,5,FALSE)))</f>
        <v>0</v>
      </c>
      <c r="H157" s="51" t="str">
        <f>IF(B157="","",IF(ISNA(VLOOKUP(A157,'75m'!F$5:K$302,6,FALSE)),"",VLOOKUP(A157,'75m'!F$5:K$302,6,FALSE)))</f>
        <v/>
      </c>
      <c r="I157" s="53">
        <f>IF(B157="",0,IF(ISNA(VLOOKUP(A157,'600m'!F$5:J$302,2,FALSE)),0,VLOOKUP(A157,'600m'!F$5:J$302,2,FALSE)))</f>
        <v>0</v>
      </c>
      <c r="J157" s="51">
        <f>IF(B157="",0,IF(ISNA(VLOOKUP(A157,'600m'!F$5:J$302,5,FALSE)),0,VLOOKUP(A157,'600m'!F$5:J$302,5,FALSE)))</f>
        <v>0</v>
      </c>
      <c r="K157" s="51" t="str">
        <f>IF(B157="","",IF(ISNA(VLOOKUP(A157,'600m'!F$5:K$302,6,FALSE)),"",VLOOKUP(A157,'600m'!F$5:K$302,6,FALSE)))</f>
        <v/>
      </c>
      <c r="L157" s="51" t="str">
        <f>IF(B157="","",IF(ISNA(VLOOKUP(A157,LongJump!F$5:G$302,2,FALSE)),"",VLOOKUP(A157,LongJump!F$5:G$302,2,FALSE)))</f>
        <v/>
      </c>
      <c r="M157" s="51">
        <f>IF(B157="",0,IF(ISNA(VLOOKUP(A157,LongJump!F$5:J$302,5,FALSE)),0,VLOOKUP(A157,LongJump!F$5:J$302,5,FALSE)))</f>
        <v>0</v>
      </c>
      <c r="N157" s="51">
        <f>IF(B157="",0,IF(ISNA(VLOOKUP(A157,LongJump!F$5:K$302,6,FALSE)),0,VLOOKUP(A157,LongJump!F$5:K$302,6,FALSE)))</f>
        <v>0</v>
      </c>
      <c r="O157" s="51" t="str">
        <f>IF(B157="","",IF(ISNA(VLOOKUP(A157,Vortex!F$5:J$302,2,FALSE)),"",VLOOKUP(A157,Vortex!F$5:J$302,2,FALSE)))</f>
        <v/>
      </c>
      <c r="P157" s="51">
        <f>IF(B157="",0,IF(ISNA(VLOOKUP(A157,Vortex!F$5:J$302,5,FALSE)),0,VLOOKUP(A157,Vortex!F$5:J$302,5,FALSE)))</f>
        <v>0</v>
      </c>
      <c r="Q157" s="51">
        <f t="shared" si="19"/>
        <v>0</v>
      </c>
      <c r="R157" s="51" t="str">
        <f t="shared" si="15"/>
        <v/>
      </c>
      <c r="S157" s="51" t="str">
        <f t="shared" si="16"/>
        <v/>
      </c>
      <c r="T157" s="51" t="str">
        <f t="shared" si="17"/>
        <v/>
      </c>
      <c r="U157" s="51" t="str">
        <f t="shared" si="18"/>
        <v/>
      </c>
      <c r="V157" s="39"/>
    </row>
    <row r="158" spans="1:22" ht="20" customHeight="1">
      <c r="A158" s="51" t="str">
        <f>IF(Declarations!B110=0,"",Declarations!B110)</f>
        <v/>
      </c>
      <c r="B158" s="161" t="str">
        <f>IF(ISNA(VLOOKUP(A158,Declarations!B$6:C$293,2,FALSE)),"",IF(VLOOKUP(A158,Declarations!B$6:C$293,2,FALSE)="","",VLOOKUP(A158,Declarations!B$6:C$293,2,FALSE)))</f>
        <v/>
      </c>
      <c r="C158" s="161" t="str">
        <f>IF(ISNA(VLOOKUP(A158,Declarations!B$6:F$293,5,FALSE)),"",IF(VLOOKUP(A158,Declarations!B$6:F$293,5,FALSE)="","",VLOOKUP(A158,Declarations!B$6:F$293,5,FALSE)))</f>
        <v/>
      </c>
      <c r="D158" s="161" t="str">
        <f>IF(ISNA(VLOOKUP(A158,Declarations!B$6:F$293,4,FALSE)),"",IF(VLOOKUP(A158,Declarations!B$6:F$293,4,FALSE)="","",VLOOKUP(A158,Declarations!B$6:F$293,4,FALSE)))</f>
        <v/>
      </c>
      <c r="E158" s="161" t="str">
        <f>IF(ISNA(VLOOKUP(A158,Declarations!B$6:D$293,3,FALSE)),"",IF(VLOOKUP(A158,Declarations!B$6:D$293,3,FALSE)="","",VLOOKUP(A158,Declarations!B$6:D$293,3,FALSE)))</f>
        <v/>
      </c>
      <c r="F158" s="51" t="str">
        <f>IF(B158="","",IF(ISNA(VLOOKUP(A158,'75m'!F$5:G$302,2,FALSE)),"",VLOOKUP(A158,'75m'!F$5:G$302,2,FALSE)))</f>
        <v/>
      </c>
      <c r="G158" s="51">
        <f>IF(B158="",0,IF(ISNA(VLOOKUP(A158,'75m'!F$5:J$302,5,FALSE)),0,VLOOKUP(A158,'75m'!F$5:J$302,5,FALSE)))</f>
        <v>0</v>
      </c>
      <c r="H158" s="51" t="str">
        <f>IF(B158="","",IF(ISNA(VLOOKUP(A158,'75m'!F$5:K$302,6,FALSE)),"",VLOOKUP(A158,'75m'!F$5:K$302,6,FALSE)))</f>
        <v/>
      </c>
      <c r="I158" s="53">
        <f>IF(B158="",0,IF(ISNA(VLOOKUP(A158,'600m'!F$5:J$302,2,FALSE)),0,VLOOKUP(A158,'600m'!F$5:J$302,2,FALSE)))</f>
        <v>0</v>
      </c>
      <c r="J158" s="51">
        <f>IF(B158="",0,IF(ISNA(VLOOKUP(A158,'600m'!F$5:J$302,5,FALSE)),0,VLOOKUP(A158,'600m'!F$5:J$302,5,FALSE)))</f>
        <v>0</v>
      </c>
      <c r="K158" s="51" t="str">
        <f>IF(B158="","",IF(ISNA(VLOOKUP(A158,'600m'!F$5:K$302,6,FALSE)),"",VLOOKUP(A158,'600m'!F$5:K$302,6,FALSE)))</f>
        <v/>
      </c>
      <c r="L158" s="51" t="str">
        <f>IF(B158="","",IF(ISNA(VLOOKUP(A158,LongJump!F$5:G$302,2,FALSE)),"",VLOOKUP(A158,LongJump!F$5:G$302,2,FALSE)))</f>
        <v/>
      </c>
      <c r="M158" s="51">
        <f>IF(B158="",0,IF(ISNA(VLOOKUP(A158,LongJump!F$5:J$302,5,FALSE)),0,VLOOKUP(A158,LongJump!F$5:J$302,5,FALSE)))</f>
        <v>0</v>
      </c>
      <c r="N158" s="51">
        <f>IF(B158="",0,IF(ISNA(VLOOKUP(A158,LongJump!F$5:K$302,6,FALSE)),0,VLOOKUP(A158,LongJump!F$5:K$302,6,FALSE)))</f>
        <v>0</v>
      </c>
      <c r="O158" s="51" t="str">
        <f>IF(B158="","",IF(ISNA(VLOOKUP(A158,Vortex!F$5:J$302,2,FALSE)),"",VLOOKUP(A158,Vortex!F$5:J$302,2,FALSE)))</f>
        <v/>
      </c>
      <c r="P158" s="51">
        <f>IF(B158="",0,IF(ISNA(VLOOKUP(A158,Vortex!F$5:J$302,5,FALSE)),0,VLOOKUP(A158,Vortex!F$5:J$302,5,FALSE)))</f>
        <v>0</v>
      </c>
      <c r="Q158" s="51">
        <f t="shared" si="19"/>
        <v>0</v>
      </c>
      <c r="R158" s="51" t="str">
        <f t="shared" si="15"/>
        <v/>
      </c>
      <c r="S158" s="51" t="str">
        <f t="shared" si="16"/>
        <v/>
      </c>
      <c r="T158" s="51" t="str">
        <f t="shared" si="17"/>
        <v/>
      </c>
      <c r="U158" s="51" t="str">
        <f t="shared" si="18"/>
        <v/>
      </c>
      <c r="V158" s="39"/>
    </row>
    <row r="159" spans="1:22" ht="20" customHeight="1">
      <c r="A159" s="51" t="str">
        <f>IF(Declarations!B111=0,"",Declarations!B111)</f>
        <v/>
      </c>
      <c r="B159" s="161" t="str">
        <f>IF(ISNA(VLOOKUP(A159,Declarations!B$6:C$293,2,FALSE)),"",IF(VLOOKUP(A159,Declarations!B$6:C$293,2,FALSE)="","",VLOOKUP(A159,Declarations!B$6:C$293,2,FALSE)))</f>
        <v/>
      </c>
      <c r="C159" s="161" t="str">
        <f>IF(ISNA(VLOOKUP(A159,Declarations!B$6:F$293,5,FALSE)),"",IF(VLOOKUP(A159,Declarations!B$6:F$293,5,FALSE)="","",VLOOKUP(A159,Declarations!B$6:F$293,5,FALSE)))</f>
        <v/>
      </c>
      <c r="D159" s="161" t="str">
        <f>IF(ISNA(VLOOKUP(A159,Declarations!B$6:F$293,4,FALSE)),"",IF(VLOOKUP(A159,Declarations!B$6:F$293,4,FALSE)="","",VLOOKUP(A159,Declarations!B$6:F$293,4,FALSE)))</f>
        <v/>
      </c>
      <c r="E159" s="161" t="str">
        <f>IF(ISNA(VLOOKUP(A159,Declarations!B$6:D$293,3,FALSE)),"",IF(VLOOKUP(A159,Declarations!B$6:D$293,3,FALSE)="","",VLOOKUP(A159,Declarations!B$6:D$293,3,FALSE)))</f>
        <v/>
      </c>
      <c r="F159" s="51" t="str">
        <f>IF(B159="","",IF(ISNA(VLOOKUP(A159,'75m'!F$5:G$302,2,FALSE)),"",VLOOKUP(A159,'75m'!F$5:G$302,2,FALSE)))</f>
        <v/>
      </c>
      <c r="G159" s="51">
        <f>IF(B159="",0,IF(ISNA(VLOOKUP(A159,'75m'!F$5:J$302,5,FALSE)),0,VLOOKUP(A159,'75m'!F$5:J$302,5,FALSE)))</f>
        <v>0</v>
      </c>
      <c r="H159" s="51" t="str">
        <f>IF(B159="","",IF(ISNA(VLOOKUP(A159,'75m'!F$5:K$302,6,FALSE)),"",VLOOKUP(A159,'75m'!F$5:K$302,6,FALSE)))</f>
        <v/>
      </c>
      <c r="I159" s="53">
        <f>IF(B159="",0,IF(ISNA(VLOOKUP(A159,'600m'!F$5:J$302,2,FALSE)),0,VLOOKUP(A159,'600m'!F$5:J$302,2,FALSE)))</f>
        <v>0</v>
      </c>
      <c r="J159" s="51">
        <f>IF(B159="",0,IF(ISNA(VLOOKUP(A159,'600m'!F$5:J$302,5,FALSE)),0,VLOOKUP(A159,'600m'!F$5:J$302,5,FALSE)))</f>
        <v>0</v>
      </c>
      <c r="K159" s="51" t="str">
        <f>IF(B159="","",IF(ISNA(VLOOKUP(A159,'600m'!F$5:K$302,6,FALSE)),"",VLOOKUP(A159,'600m'!F$5:K$302,6,FALSE)))</f>
        <v/>
      </c>
      <c r="L159" s="51" t="str">
        <f>IF(B159="","",IF(ISNA(VLOOKUP(A159,LongJump!F$5:G$302,2,FALSE)),"",VLOOKUP(A159,LongJump!F$5:G$302,2,FALSE)))</f>
        <v/>
      </c>
      <c r="M159" s="51">
        <f>IF(B159="",0,IF(ISNA(VLOOKUP(A159,LongJump!F$5:J$302,5,FALSE)),0,VLOOKUP(A159,LongJump!F$5:J$302,5,FALSE)))</f>
        <v>0</v>
      </c>
      <c r="N159" s="51">
        <f>IF(B159="",0,IF(ISNA(VLOOKUP(A159,LongJump!F$5:K$302,6,FALSE)),0,VLOOKUP(A159,LongJump!F$5:K$302,6,FALSE)))</f>
        <v>0</v>
      </c>
      <c r="O159" s="51" t="str">
        <f>IF(B159="","",IF(ISNA(VLOOKUP(A159,Vortex!F$5:J$302,2,FALSE)),"",VLOOKUP(A159,Vortex!F$5:J$302,2,FALSE)))</f>
        <v/>
      </c>
      <c r="P159" s="51">
        <f>IF(B159="",0,IF(ISNA(VLOOKUP(A159,Vortex!F$5:J$302,5,FALSE)),0,VLOOKUP(A159,Vortex!F$5:J$302,5,FALSE)))</f>
        <v>0</v>
      </c>
      <c r="Q159" s="51">
        <f t="shared" si="19"/>
        <v>0</v>
      </c>
      <c r="R159" s="51" t="str">
        <f t="shared" si="15"/>
        <v/>
      </c>
      <c r="S159" s="51" t="str">
        <f t="shared" si="16"/>
        <v/>
      </c>
      <c r="T159" s="51" t="str">
        <f t="shared" si="17"/>
        <v/>
      </c>
      <c r="U159" s="51" t="str">
        <f t="shared" si="18"/>
        <v/>
      </c>
      <c r="V159" s="39"/>
    </row>
    <row r="160" spans="1:22" ht="20" customHeight="1">
      <c r="A160" s="51" t="str">
        <f>IF(Declarations!B112=0,"",Declarations!B112)</f>
        <v/>
      </c>
      <c r="B160" s="161" t="str">
        <f>IF(ISNA(VLOOKUP(A160,Declarations!B$6:C$293,2,FALSE)),"",IF(VLOOKUP(A160,Declarations!B$6:C$293,2,FALSE)="","",VLOOKUP(A160,Declarations!B$6:C$293,2,FALSE)))</f>
        <v/>
      </c>
      <c r="C160" s="161" t="str">
        <f>IF(ISNA(VLOOKUP(A160,Declarations!B$6:F$293,5,FALSE)),"",IF(VLOOKUP(A160,Declarations!B$6:F$293,5,FALSE)="","",VLOOKUP(A160,Declarations!B$6:F$293,5,FALSE)))</f>
        <v/>
      </c>
      <c r="D160" s="161" t="str">
        <f>IF(ISNA(VLOOKUP(A160,Declarations!B$6:F$293,4,FALSE)),"",IF(VLOOKUP(A160,Declarations!B$6:F$293,4,FALSE)="","",VLOOKUP(A160,Declarations!B$6:F$293,4,FALSE)))</f>
        <v/>
      </c>
      <c r="E160" s="161" t="str">
        <f>IF(ISNA(VLOOKUP(A160,Declarations!B$6:D$293,3,FALSE)),"",IF(VLOOKUP(A160,Declarations!B$6:D$293,3,FALSE)="","",VLOOKUP(A160,Declarations!B$6:D$293,3,FALSE)))</f>
        <v/>
      </c>
      <c r="F160" s="51" t="str">
        <f>IF(B160="","",IF(ISNA(VLOOKUP(A160,'75m'!F$5:G$302,2,FALSE)),"",VLOOKUP(A160,'75m'!F$5:G$302,2,FALSE)))</f>
        <v/>
      </c>
      <c r="G160" s="51">
        <f>IF(B160="",0,IF(ISNA(VLOOKUP(A160,'75m'!F$5:J$302,5,FALSE)),0,VLOOKUP(A160,'75m'!F$5:J$302,5,FALSE)))</f>
        <v>0</v>
      </c>
      <c r="H160" s="51" t="str">
        <f>IF(B160="","",IF(ISNA(VLOOKUP(A160,'75m'!F$5:K$302,6,FALSE)),"",VLOOKUP(A160,'75m'!F$5:K$302,6,FALSE)))</f>
        <v/>
      </c>
      <c r="I160" s="53">
        <f>IF(B160="",0,IF(ISNA(VLOOKUP(A160,'600m'!F$5:J$302,2,FALSE)),0,VLOOKUP(A160,'600m'!F$5:J$302,2,FALSE)))</f>
        <v>0</v>
      </c>
      <c r="J160" s="51">
        <f>IF(B160="",0,IF(ISNA(VLOOKUP(A160,'600m'!F$5:J$302,5,FALSE)),0,VLOOKUP(A160,'600m'!F$5:J$302,5,FALSE)))</f>
        <v>0</v>
      </c>
      <c r="K160" s="51" t="str">
        <f>IF(B160="","",IF(ISNA(VLOOKUP(A160,'600m'!F$5:K$302,6,FALSE)),"",VLOOKUP(A160,'600m'!F$5:K$302,6,FALSE)))</f>
        <v/>
      </c>
      <c r="L160" s="51" t="str">
        <f>IF(B160="","",IF(ISNA(VLOOKUP(A160,LongJump!F$5:G$302,2,FALSE)),"",VLOOKUP(A160,LongJump!F$5:G$302,2,FALSE)))</f>
        <v/>
      </c>
      <c r="M160" s="51">
        <f>IF(B160="",0,IF(ISNA(VLOOKUP(A160,LongJump!F$5:J$302,5,FALSE)),0,VLOOKUP(A160,LongJump!F$5:J$302,5,FALSE)))</f>
        <v>0</v>
      </c>
      <c r="N160" s="51">
        <f>IF(B160="",0,IF(ISNA(VLOOKUP(A160,LongJump!F$5:K$302,6,FALSE)),0,VLOOKUP(A160,LongJump!F$5:K$302,6,FALSE)))</f>
        <v>0</v>
      </c>
      <c r="O160" s="51" t="str">
        <f>IF(B160="","",IF(ISNA(VLOOKUP(A160,Vortex!F$5:J$302,2,FALSE)),"",VLOOKUP(A160,Vortex!F$5:J$302,2,FALSE)))</f>
        <v/>
      </c>
      <c r="P160" s="51">
        <f>IF(B160="",0,IF(ISNA(VLOOKUP(A160,Vortex!F$5:J$302,5,FALSE)),0,VLOOKUP(A160,Vortex!F$5:J$302,5,FALSE)))</f>
        <v>0</v>
      </c>
      <c r="Q160" s="51">
        <f t="shared" si="19"/>
        <v>0</v>
      </c>
      <c r="R160" s="51" t="str">
        <f t="shared" si="15"/>
        <v/>
      </c>
      <c r="S160" s="51" t="str">
        <f t="shared" si="16"/>
        <v/>
      </c>
      <c r="T160" s="51" t="str">
        <f t="shared" si="17"/>
        <v/>
      </c>
      <c r="U160" s="51" t="str">
        <f t="shared" si="18"/>
        <v/>
      </c>
      <c r="V160" s="39"/>
    </row>
    <row r="161" spans="1:22" ht="20" customHeight="1">
      <c r="A161" s="51" t="str">
        <f>IF(Declarations!B113=0,"",Declarations!B113)</f>
        <v/>
      </c>
      <c r="B161" s="161" t="str">
        <f>IF(ISNA(VLOOKUP(A161,Declarations!B$6:C$293,2,FALSE)),"",IF(VLOOKUP(A161,Declarations!B$6:C$293,2,FALSE)="","",VLOOKUP(A161,Declarations!B$6:C$293,2,FALSE)))</f>
        <v/>
      </c>
      <c r="C161" s="161" t="str">
        <f>IF(ISNA(VLOOKUP(A161,Declarations!B$6:F$293,5,FALSE)),"",IF(VLOOKUP(A161,Declarations!B$6:F$293,5,FALSE)="","",VLOOKUP(A161,Declarations!B$6:F$293,5,FALSE)))</f>
        <v/>
      </c>
      <c r="D161" s="161" t="str">
        <f>IF(ISNA(VLOOKUP(A161,Declarations!B$6:F$293,4,FALSE)),"",IF(VLOOKUP(A161,Declarations!B$6:F$293,4,FALSE)="","",VLOOKUP(A161,Declarations!B$6:F$293,4,FALSE)))</f>
        <v/>
      </c>
      <c r="E161" s="161" t="str">
        <f>IF(ISNA(VLOOKUP(A161,Declarations!B$6:D$293,3,FALSE)),"",IF(VLOOKUP(A161,Declarations!B$6:D$293,3,FALSE)="","",VLOOKUP(A161,Declarations!B$6:D$293,3,FALSE)))</f>
        <v/>
      </c>
      <c r="F161" s="51" t="str">
        <f>IF(B161="","",IF(ISNA(VLOOKUP(A161,'75m'!F$5:G$302,2,FALSE)),"",VLOOKUP(A161,'75m'!F$5:G$302,2,FALSE)))</f>
        <v/>
      </c>
      <c r="G161" s="51">
        <f>IF(B161="",0,IF(ISNA(VLOOKUP(A161,'75m'!F$5:J$302,5,FALSE)),0,VLOOKUP(A161,'75m'!F$5:J$302,5,FALSE)))</f>
        <v>0</v>
      </c>
      <c r="H161" s="51" t="str">
        <f>IF(B161="","",IF(ISNA(VLOOKUP(A161,'75m'!F$5:K$302,6,FALSE)),"",VLOOKUP(A161,'75m'!F$5:K$302,6,FALSE)))</f>
        <v/>
      </c>
      <c r="I161" s="53">
        <f>IF(B161="",0,IF(ISNA(VLOOKUP(A161,'600m'!F$5:J$302,2,FALSE)),0,VLOOKUP(A161,'600m'!F$5:J$302,2,FALSE)))</f>
        <v>0</v>
      </c>
      <c r="J161" s="51">
        <f>IF(B161="",0,IF(ISNA(VLOOKUP(A161,'600m'!F$5:J$302,5,FALSE)),0,VLOOKUP(A161,'600m'!F$5:J$302,5,FALSE)))</f>
        <v>0</v>
      </c>
      <c r="K161" s="51" t="str">
        <f>IF(B161="","",IF(ISNA(VLOOKUP(A161,'600m'!F$5:K$302,6,FALSE)),"",VLOOKUP(A161,'600m'!F$5:K$302,6,FALSE)))</f>
        <v/>
      </c>
      <c r="L161" s="51" t="str">
        <f>IF(B161="","",IF(ISNA(VLOOKUP(A161,LongJump!F$5:G$302,2,FALSE)),"",VLOOKUP(A161,LongJump!F$5:G$302,2,FALSE)))</f>
        <v/>
      </c>
      <c r="M161" s="51">
        <f>IF(B161="",0,IF(ISNA(VLOOKUP(A161,LongJump!F$5:J$302,5,FALSE)),0,VLOOKUP(A161,LongJump!F$5:J$302,5,FALSE)))</f>
        <v>0</v>
      </c>
      <c r="N161" s="51">
        <f>IF(B161="",0,IF(ISNA(VLOOKUP(A161,LongJump!F$5:K$302,6,FALSE)),0,VLOOKUP(A161,LongJump!F$5:K$302,6,FALSE)))</f>
        <v>0</v>
      </c>
      <c r="O161" s="51" t="str">
        <f>IF(B161="","",IF(ISNA(VLOOKUP(A161,Vortex!F$5:J$302,2,FALSE)),"",VLOOKUP(A161,Vortex!F$5:J$302,2,FALSE)))</f>
        <v/>
      </c>
      <c r="P161" s="51">
        <f>IF(B161="",0,IF(ISNA(VLOOKUP(A161,Vortex!F$5:J$302,5,FALSE)),0,VLOOKUP(A161,Vortex!F$5:J$302,5,FALSE)))</f>
        <v>0</v>
      </c>
      <c r="Q161" s="51">
        <f t="shared" si="19"/>
        <v>0</v>
      </c>
      <c r="R161" s="51" t="str">
        <f t="shared" si="15"/>
        <v/>
      </c>
      <c r="S161" s="51" t="str">
        <f t="shared" si="16"/>
        <v/>
      </c>
      <c r="T161" s="51" t="str">
        <f t="shared" si="17"/>
        <v/>
      </c>
      <c r="U161" s="51" t="str">
        <f t="shared" si="18"/>
        <v/>
      </c>
      <c r="V161" s="39"/>
    </row>
    <row r="162" spans="1:22" ht="20" customHeight="1">
      <c r="A162" s="51" t="str">
        <f>IF(Declarations!B114=0,"",Declarations!B114)</f>
        <v/>
      </c>
      <c r="B162" s="161" t="str">
        <f>IF(ISNA(VLOOKUP(A162,Declarations!B$6:C$293,2,FALSE)),"",IF(VLOOKUP(A162,Declarations!B$6:C$293,2,FALSE)="","",VLOOKUP(A162,Declarations!B$6:C$293,2,FALSE)))</f>
        <v/>
      </c>
      <c r="C162" s="161" t="str">
        <f>IF(ISNA(VLOOKUP(A162,Declarations!B$6:F$293,5,FALSE)),"",IF(VLOOKUP(A162,Declarations!B$6:F$293,5,FALSE)="","",VLOOKUP(A162,Declarations!B$6:F$293,5,FALSE)))</f>
        <v/>
      </c>
      <c r="D162" s="161" t="str">
        <f>IF(ISNA(VLOOKUP(A162,Declarations!B$6:F$293,4,FALSE)),"",IF(VLOOKUP(A162,Declarations!B$6:F$293,4,FALSE)="","",VLOOKUP(A162,Declarations!B$6:F$293,4,FALSE)))</f>
        <v/>
      </c>
      <c r="E162" s="161" t="str">
        <f>IF(ISNA(VLOOKUP(A162,Declarations!B$6:D$293,3,FALSE)),"",IF(VLOOKUP(A162,Declarations!B$6:D$293,3,FALSE)="","",VLOOKUP(A162,Declarations!B$6:D$293,3,FALSE)))</f>
        <v/>
      </c>
      <c r="F162" s="51" t="str">
        <f>IF(B162="","",IF(ISNA(VLOOKUP(A162,'75m'!F$5:G$302,2,FALSE)),"",VLOOKUP(A162,'75m'!F$5:G$302,2,FALSE)))</f>
        <v/>
      </c>
      <c r="G162" s="51">
        <f>IF(B162="",0,IF(ISNA(VLOOKUP(A162,'75m'!F$5:J$302,5,FALSE)),0,VLOOKUP(A162,'75m'!F$5:J$302,5,FALSE)))</f>
        <v>0</v>
      </c>
      <c r="H162" s="51" t="str">
        <f>IF(B162="","",IF(ISNA(VLOOKUP(A162,'75m'!F$5:K$302,6,FALSE)),"",VLOOKUP(A162,'75m'!F$5:K$302,6,FALSE)))</f>
        <v/>
      </c>
      <c r="I162" s="53">
        <f>IF(B162="",0,IF(ISNA(VLOOKUP(A162,'600m'!F$5:J$302,2,FALSE)),0,VLOOKUP(A162,'600m'!F$5:J$302,2,FALSE)))</f>
        <v>0</v>
      </c>
      <c r="J162" s="51">
        <f>IF(B162="",0,IF(ISNA(VLOOKUP(A162,'600m'!F$5:J$302,5,FALSE)),0,VLOOKUP(A162,'600m'!F$5:J$302,5,FALSE)))</f>
        <v>0</v>
      </c>
      <c r="K162" s="51" t="str">
        <f>IF(B162="","",IF(ISNA(VLOOKUP(A162,'600m'!F$5:K$302,6,FALSE)),"",VLOOKUP(A162,'600m'!F$5:K$302,6,FALSE)))</f>
        <v/>
      </c>
      <c r="L162" s="51" t="str">
        <f>IF(B162="","",IF(ISNA(VLOOKUP(A162,LongJump!F$5:G$302,2,FALSE)),"",VLOOKUP(A162,LongJump!F$5:G$302,2,FALSE)))</f>
        <v/>
      </c>
      <c r="M162" s="51">
        <f>IF(B162="",0,IF(ISNA(VLOOKUP(A162,LongJump!F$5:J$302,5,FALSE)),0,VLOOKUP(A162,LongJump!F$5:J$302,5,FALSE)))</f>
        <v>0</v>
      </c>
      <c r="N162" s="51">
        <f>IF(B162="",0,IF(ISNA(VLOOKUP(A162,LongJump!F$5:K$302,6,FALSE)),0,VLOOKUP(A162,LongJump!F$5:K$302,6,FALSE)))</f>
        <v>0</v>
      </c>
      <c r="O162" s="51" t="str">
        <f>IF(B162="","",IF(ISNA(VLOOKUP(A162,Vortex!F$5:J$302,2,FALSE)),"",VLOOKUP(A162,Vortex!F$5:J$302,2,FALSE)))</f>
        <v/>
      </c>
      <c r="P162" s="51">
        <f>IF(B162="",0,IF(ISNA(VLOOKUP(A162,Vortex!F$5:J$302,5,FALSE)),0,VLOOKUP(A162,Vortex!F$5:J$302,5,FALSE)))</f>
        <v>0</v>
      </c>
      <c r="Q162" s="51">
        <f t="shared" si="19"/>
        <v>0</v>
      </c>
      <c r="R162" s="51" t="str">
        <f t="shared" si="15"/>
        <v/>
      </c>
      <c r="S162" s="51" t="str">
        <f t="shared" si="16"/>
        <v/>
      </c>
      <c r="T162" s="51" t="str">
        <f t="shared" si="17"/>
        <v/>
      </c>
      <c r="U162" s="51" t="str">
        <f t="shared" si="18"/>
        <v/>
      </c>
      <c r="V162" s="39"/>
    </row>
    <row r="163" spans="1:22" ht="20" customHeight="1">
      <c r="A163" s="51" t="str">
        <f>IF(Declarations!B115=0,"",Declarations!B115)</f>
        <v/>
      </c>
      <c r="B163" s="161" t="str">
        <f>IF(ISNA(VLOOKUP(A163,Declarations!B$6:C$293,2,FALSE)),"",IF(VLOOKUP(A163,Declarations!B$6:C$293,2,FALSE)="","",VLOOKUP(A163,Declarations!B$6:C$293,2,FALSE)))</f>
        <v/>
      </c>
      <c r="C163" s="161" t="str">
        <f>IF(ISNA(VLOOKUP(A163,Declarations!B$6:F$293,5,FALSE)),"",IF(VLOOKUP(A163,Declarations!B$6:F$293,5,FALSE)="","",VLOOKUP(A163,Declarations!B$6:F$293,5,FALSE)))</f>
        <v/>
      </c>
      <c r="D163" s="161" t="str">
        <f>IF(ISNA(VLOOKUP(A163,Declarations!B$6:F$293,4,FALSE)),"",IF(VLOOKUP(A163,Declarations!B$6:F$293,4,FALSE)="","",VLOOKUP(A163,Declarations!B$6:F$293,4,FALSE)))</f>
        <v/>
      </c>
      <c r="E163" s="161" t="str">
        <f>IF(ISNA(VLOOKUP(A163,Declarations!B$6:D$293,3,FALSE)),"",IF(VLOOKUP(A163,Declarations!B$6:D$293,3,FALSE)="","",VLOOKUP(A163,Declarations!B$6:D$293,3,FALSE)))</f>
        <v/>
      </c>
      <c r="F163" s="51" t="str">
        <f>IF(B163="","",IF(ISNA(VLOOKUP(A163,'75m'!F$5:G$302,2,FALSE)),"",VLOOKUP(A163,'75m'!F$5:G$302,2,FALSE)))</f>
        <v/>
      </c>
      <c r="G163" s="51">
        <f>IF(B163="",0,IF(ISNA(VLOOKUP(A163,'75m'!F$5:J$302,5,FALSE)),0,VLOOKUP(A163,'75m'!F$5:J$302,5,FALSE)))</f>
        <v>0</v>
      </c>
      <c r="H163" s="51" t="str">
        <f>IF(B163="","",IF(ISNA(VLOOKUP(A163,'75m'!F$5:K$302,6,FALSE)),"",VLOOKUP(A163,'75m'!F$5:K$302,6,FALSE)))</f>
        <v/>
      </c>
      <c r="I163" s="53">
        <f>IF(B163="",0,IF(ISNA(VLOOKUP(A163,'600m'!F$5:J$302,2,FALSE)),0,VLOOKUP(A163,'600m'!F$5:J$302,2,FALSE)))</f>
        <v>0</v>
      </c>
      <c r="J163" s="51">
        <f>IF(B163="",0,IF(ISNA(VLOOKUP(A163,'600m'!F$5:J$302,5,FALSE)),0,VLOOKUP(A163,'600m'!F$5:J$302,5,FALSE)))</f>
        <v>0</v>
      </c>
      <c r="K163" s="51" t="str">
        <f>IF(B163="","",IF(ISNA(VLOOKUP(A163,'600m'!F$5:K$302,6,FALSE)),"",VLOOKUP(A163,'600m'!F$5:K$302,6,FALSE)))</f>
        <v/>
      </c>
      <c r="L163" s="51" t="str">
        <f>IF(B163="","",IF(ISNA(VLOOKUP(A163,LongJump!F$5:G$302,2,FALSE)),"",VLOOKUP(A163,LongJump!F$5:G$302,2,FALSE)))</f>
        <v/>
      </c>
      <c r="M163" s="51">
        <f>IF(B163="",0,IF(ISNA(VLOOKUP(A163,LongJump!F$5:J$302,5,FALSE)),0,VLOOKUP(A163,LongJump!F$5:J$302,5,FALSE)))</f>
        <v>0</v>
      </c>
      <c r="N163" s="51">
        <f>IF(B163="",0,IF(ISNA(VLOOKUP(A163,LongJump!F$5:K$302,6,FALSE)),0,VLOOKUP(A163,LongJump!F$5:K$302,6,FALSE)))</f>
        <v>0</v>
      </c>
      <c r="O163" s="51" t="str">
        <f>IF(B163="","",IF(ISNA(VLOOKUP(A163,Vortex!F$5:J$302,2,FALSE)),"",VLOOKUP(A163,Vortex!F$5:J$302,2,FALSE)))</f>
        <v/>
      </c>
      <c r="P163" s="51">
        <f>IF(B163="",0,IF(ISNA(VLOOKUP(A163,Vortex!F$5:J$302,5,FALSE)),0,VLOOKUP(A163,Vortex!F$5:J$302,5,FALSE)))</f>
        <v>0</v>
      </c>
      <c r="Q163" s="51">
        <f t="shared" si="19"/>
        <v>0</v>
      </c>
      <c r="R163" s="51" t="str">
        <f t="shared" si="15"/>
        <v/>
      </c>
      <c r="S163" s="51" t="str">
        <f t="shared" si="16"/>
        <v/>
      </c>
      <c r="T163" s="51" t="str">
        <f t="shared" si="17"/>
        <v/>
      </c>
      <c r="U163" s="51" t="str">
        <f t="shared" si="18"/>
        <v/>
      </c>
      <c r="V163" s="39"/>
    </row>
    <row r="164" spans="1:22" ht="20" customHeight="1">
      <c r="A164" s="51" t="str">
        <f>IF(Declarations!B116=0,"",Declarations!B116)</f>
        <v/>
      </c>
      <c r="B164" s="161" t="str">
        <f>IF(ISNA(VLOOKUP(A164,Declarations!B$6:C$293,2,FALSE)),"",IF(VLOOKUP(A164,Declarations!B$6:C$293,2,FALSE)="","",VLOOKUP(A164,Declarations!B$6:C$293,2,FALSE)))</f>
        <v/>
      </c>
      <c r="C164" s="161" t="str">
        <f>IF(ISNA(VLOOKUP(A164,Declarations!B$6:F$293,5,FALSE)),"",IF(VLOOKUP(A164,Declarations!B$6:F$293,5,FALSE)="","",VLOOKUP(A164,Declarations!B$6:F$293,5,FALSE)))</f>
        <v/>
      </c>
      <c r="D164" s="161" t="str">
        <f>IF(ISNA(VLOOKUP(A164,Declarations!B$6:F$293,4,FALSE)),"",IF(VLOOKUP(A164,Declarations!B$6:F$293,4,FALSE)="","",VLOOKUP(A164,Declarations!B$6:F$293,4,FALSE)))</f>
        <v/>
      </c>
      <c r="E164" s="161" t="str">
        <f>IF(ISNA(VLOOKUP(A164,Declarations!B$6:D$293,3,FALSE)),"",IF(VLOOKUP(A164,Declarations!B$6:D$293,3,FALSE)="","",VLOOKUP(A164,Declarations!B$6:D$293,3,FALSE)))</f>
        <v/>
      </c>
      <c r="F164" s="51" t="str">
        <f>IF(B164="","",IF(ISNA(VLOOKUP(A164,'75m'!F$5:G$302,2,FALSE)),"",VLOOKUP(A164,'75m'!F$5:G$302,2,FALSE)))</f>
        <v/>
      </c>
      <c r="G164" s="51">
        <f>IF(B164="",0,IF(ISNA(VLOOKUP(A164,'75m'!F$5:J$302,5,FALSE)),0,VLOOKUP(A164,'75m'!F$5:J$302,5,FALSE)))</f>
        <v>0</v>
      </c>
      <c r="H164" s="51" t="str">
        <f>IF(B164="","",IF(ISNA(VLOOKUP(A164,'75m'!F$5:K$302,6,FALSE)),"",VLOOKUP(A164,'75m'!F$5:K$302,6,FALSE)))</f>
        <v/>
      </c>
      <c r="I164" s="53">
        <f>IF(B164="",0,IF(ISNA(VLOOKUP(A164,'600m'!F$5:J$302,2,FALSE)),0,VLOOKUP(A164,'600m'!F$5:J$302,2,FALSE)))</f>
        <v>0</v>
      </c>
      <c r="J164" s="51">
        <f>IF(B164="",0,IF(ISNA(VLOOKUP(A164,'600m'!F$5:J$302,5,FALSE)),0,VLOOKUP(A164,'600m'!F$5:J$302,5,FALSE)))</f>
        <v>0</v>
      </c>
      <c r="K164" s="51" t="str">
        <f>IF(B164="","",IF(ISNA(VLOOKUP(A164,'600m'!F$5:K$302,6,FALSE)),"",VLOOKUP(A164,'600m'!F$5:K$302,6,FALSE)))</f>
        <v/>
      </c>
      <c r="L164" s="51" t="str">
        <f>IF(B164="","",IF(ISNA(VLOOKUP(A164,LongJump!F$5:G$302,2,FALSE)),"",VLOOKUP(A164,LongJump!F$5:G$302,2,FALSE)))</f>
        <v/>
      </c>
      <c r="M164" s="51">
        <f>IF(B164="",0,IF(ISNA(VLOOKUP(A164,LongJump!F$5:J$302,5,FALSE)),0,VLOOKUP(A164,LongJump!F$5:J$302,5,FALSE)))</f>
        <v>0</v>
      </c>
      <c r="N164" s="51">
        <f>IF(B164="",0,IF(ISNA(VLOOKUP(A164,LongJump!F$5:K$302,6,FALSE)),0,VLOOKUP(A164,LongJump!F$5:K$302,6,FALSE)))</f>
        <v>0</v>
      </c>
      <c r="O164" s="51" t="str">
        <f>IF(B164="","",IF(ISNA(VLOOKUP(A164,Vortex!F$5:J$302,2,FALSE)),"",VLOOKUP(A164,Vortex!F$5:J$302,2,FALSE)))</f>
        <v/>
      </c>
      <c r="P164" s="51">
        <f>IF(B164="",0,IF(ISNA(VLOOKUP(A164,Vortex!F$5:J$302,5,FALSE)),0,VLOOKUP(A164,Vortex!F$5:J$302,5,FALSE)))</f>
        <v>0</v>
      </c>
      <c r="Q164" s="51">
        <f t="shared" si="19"/>
        <v>0</v>
      </c>
      <c r="R164" s="51" t="str">
        <f t="shared" si="15"/>
        <v/>
      </c>
      <c r="S164" s="51" t="str">
        <f t="shared" si="16"/>
        <v/>
      </c>
      <c r="T164" s="51" t="str">
        <f t="shared" si="17"/>
        <v/>
      </c>
      <c r="U164" s="51" t="str">
        <f t="shared" si="18"/>
        <v/>
      </c>
      <c r="V164" s="39"/>
    </row>
    <row r="165" spans="1:22" ht="20" customHeight="1">
      <c r="A165" s="51" t="str">
        <f>IF(Declarations!B117=0,"",Declarations!B117)</f>
        <v/>
      </c>
      <c r="B165" s="161" t="str">
        <f>IF(ISNA(VLOOKUP(A165,Declarations!B$6:C$293,2,FALSE)),"",IF(VLOOKUP(A165,Declarations!B$6:C$293,2,FALSE)="","",VLOOKUP(A165,Declarations!B$6:C$293,2,FALSE)))</f>
        <v/>
      </c>
      <c r="C165" s="161" t="str">
        <f>IF(ISNA(VLOOKUP(A165,Declarations!B$6:F$293,5,FALSE)),"",IF(VLOOKUP(A165,Declarations!B$6:F$293,5,FALSE)="","",VLOOKUP(A165,Declarations!B$6:F$293,5,FALSE)))</f>
        <v/>
      </c>
      <c r="D165" s="161" t="str">
        <f>IF(ISNA(VLOOKUP(A165,Declarations!B$6:F$293,4,FALSE)),"",IF(VLOOKUP(A165,Declarations!B$6:F$293,4,FALSE)="","",VLOOKUP(A165,Declarations!B$6:F$293,4,FALSE)))</f>
        <v/>
      </c>
      <c r="E165" s="161" t="str">
        <f>IF(ISNA(VLOOKUP(A165,Declarations!B$6:D$293,3,FALSE)),"",IF(VLOOKUP(A165,Declarations!B$6:D$293,3,FALSE)="","",VLOOKUP(A165,Declarations!B$6:D$293,3,FALSE)))</f>
        <v/>
      </c>
      <c r="F165" s="51" t="str">
        <f>IF(B165="","",IF(ISNA(VLOOKUP(A165,'75m'!F$5:G$302,2,FALSE)),"",VLOOKUP(A165,'75m'!F$5:G$302,2,FALSE)))</f>
        <v/>
      </c>
      <c r="G165" s="51">
        <f>IF(B165="",0,IF(ISNA(VLOOKUP(A165,'75m'!F$5:J$302,5,FALSE)),0,VLOOKUP(A165,'75m'!F$5:J$302,5,FALSE)))</f>
        <v>0</v>
      </c>
      <c r="H165" s="51" t="str">
        <f>IF(B165="","",IF(ISNA(VLOOKUP(A165,'75m'!F$5:K$302,6,FALSE)),"",VLOOKUP(A165,'75m'!F$5:K$302,6,FALSE)))</f>
        <v/>
      </c>
      <c r="I165" s="53">
        <f>IF(B165="",0,IF(ISNA(VLOOKUP(A165,'600m'!F$5:J$302,2,FALSE)),0,VLOOKUP(A165,'600m'!F$5:J$302,2,FALSE)))</f>
        <v>0</v>
      </c>
      <c r="J165" s="51">
        <f>IF(B165="",0,IF(ISNA(VLOOKUP(A165,'600m'!F$5:J$302,5,FALSE)),0,VLOOKUP(A165,'600m'!F$5:J$302,5,FALSE)))</f>
        <v>0</v>
      </c>
      <c r="K165" s="51" t="str">
        <f>IF(B165="","",IF(ISNA(VLOOKUP(A165,'600m'!F$5:K$302,6,FALSE)),"",VLOOKUP(A165,'600m'!F$5:K$302,6,FALSE)))</f>
        <v/>
      </c>
      <c r="L165" s="51" t="str">
        <f>IF(B165="","",IF(ISNA(VLOOKUP(A165,LongJump!F$5:G$302,2,FALSE)),"",VLOOKUP(A165,LongJump!F$5:G$302,2,FALSE)))</f>
        <v/>
      </c>
      <c r="M165" s="51">
        <f>IF(B165="",0,IF(ISNA(VLOOKUP(A165,LongJump!F$5:J$302,5,FALSE)),0,VLOOKUP(A165,LongJump!F$5:J$302,5,FALSE)))</f>
        <v>0</v>
      </c>
      <c r="N165" s="51">
        <f>IF(B165="",0,IF(ISNA(VLOOKUP(A165,LongJump!F$5:K$302,6,FALSE)),0,VLOOKUP(A165,LongJump!F$5:K$302,6,FALSE)))</f>
        <v>0</v>
      </c>
      <c r="O165" s="51" t="str">
        <f>IF(B165="","",IF(ISNA(VLOOKUP(A165,Vortex!F$5:J$302,2,FALSE)),"",VLOOKUP(A165,Vortex!F$5:J$302,2,FALSE)))</f>
        <v/>
      </c>
      <c r="P165" s="51">
        <f>IF(B165="",0,IF(ISNA(VLOOKUP(A165,Vortex!F$5:J$302,5,FALSE)),0,VLOOKUP(A165,Vortex!F$5:J$302,5,FALSE)))</f>
        <v>0</v>
      </c>
      <c r="Q165" s="51">
        <f t="shared" si="19"/>
        <v>0</v>
      </c>
      <c r="R165" s="51" t="str">
        <f t="shared" si="15"/>
        <v/>
      </c>
      <c r="S165" s="51" t="str">
        <f t="shared" si="16"/>
        <v/>
      </c>
      <c r="T165" s="51" t="str">
        <f t="shared" si="17"/>
        <v/>
      </c>
      <c r="U165" s="51" t="str">
        <f t="shared" si="18"/>
        <v/>
      </c>
      <c r="V165" s="39"/>
    </row>
    <row r="166" spans="1:22" ht="20" customHeight="1">
      <c r="A166" s="51" t="str">
        <f>IF(Declarations!B118=0,"",Declarations!B118)</f>
        <v/>
      </c>
      <c r="B166" s="161" t="str">
        <f>IF(ISNA(VLOOKUP(A166,Declarations!B$6:C$293,2,FALSE)),"",IF(VLOOKUP(A166,Declarations!B$6:C$293,2,FALSE)="","",VLOOKUP(A166,Declarations!B$6:C$293,2,FALSE)))</f>
        <v/>
      </c>
      <c r="C166" s="161" t="str">
        <f>IF(ISNA(VLOOKUP(A166,Declarations!B$6:F$293,5,FALSE)),"",IF(VLOOKUP(A166,Declarations!B$6:F$293,5,FALSE)="","",VLOOKUP(A166,Declarations!B$6:F$293,5,FALSE)))</f>
        <v/>
      </c>
      <c r="D166" s="161" t="str">
        <f>IF(ISNA(VLOOKUP(A166,Declarations!B$6:F$293,4,FALSE)),"",IF(VLOOKUP(A166,Declarations!B$6:F$293,4,FALSE)="","",VLOOKUP(A166,Declarations!B$6:F$293,4,FALSE)))</f>
        <v/>
      </c>
      <c r="E166" s="161" t="str">
        <f>IF(ISNA(VLOOKUP(A166,Declarations!B$6:D$293,3,FALSE)),"",IF(VLOOKUP(A166,Declarations!B$6:D$293,3,FALSE)="","",VLOOKUP(A166,Declarations!B$6:D$293,3,FALSE)))</f>
        <v/>
      </c>
      <c r="F166" s="51" t="str">
        <f>IF(B166="","",IF(ISNA(VLOOKUP(A166,'75m'!F$5:G$302,2,FALSE)),"",VLOOKUP(A166,'75m'!F$5:G$302,2,FALSE)))</f>
        <v/>
      </c>
      <c r="G166" s="51">
        <f>IF(B166="",0,IF(ISNA(VLOOKUP(A166,'75m'!F$5:J$302,5,FALSE)),0,VLOOKUP(A166,'75m'!F$5:J$302,5,FALSE)))</f>
        <v>0</v>
      </c>
      <c r="H166" s="51" t="str">
        <f>IF(B166="","",IF(ISNA(VLOOKUP(A166,'75m'!F$5:K$302,6,FALSE)),"",VLOOKUP(A166,'75m'!F$5:K$302,6,FALSE)))</f>
        <v/>
      </c>
      <c r="I166" s="53">
        <f>IF(B166="",0,IF(ISNA(VLOOKUP(A166,'600m'!F$5:J$302,2,FALSE)),0,VLOOKUP(A166,'600m'!F$5:J$302,2,FALSE)))</f>
        <v>0</v>
      </c>
      <c r="J166" s="51">
        <f>IF(B166="",0,IF(ISNA(VLOOKUP(A166,'600m'!F$5:J$302,5,FALSE)),0,VLOOKUP(A166,'600m'!F$5:J$302,5,FALSE)))</f>
        <v>0</v>
      </c>
      <c r="K166" s="51" t="str">
        <f>IF(B166="","",IF(ISNA(VLOOKUP(A166,'600m'!F$5:K$302,6,FALSE)),"",VLOOKUP(A166,'600m'!F$5:K$302,6,FALSE)))</f>
        <v/>
      </c>
      <c r="L166" s="51" t="str">
        <f>IF(B166="","",IF(ISNA(VLOOKUP(A166,LongJump!F$5:G$302,2,FALSE)),"",VLOOKUP(A166,LongJump!F$5:G$302,2,FALSE)))</f>
        <v/>
      </c>
      <c r="M166" s="51">
        <f>IF(B166="",0,IF(ISNA(VLOOKUP(A166,LongJump!F$5:J$302,5,FALSE)),0,VLOOKUP(A166,LongJump!F$5:J$302,5,FALSE)))</f>
        <v>0</v>
      </c>
      <c r="N166" s="51">
        <f>IF(B166="",0,IF(ISNA(VLOOKUP(A166,LongJump!F$5:K$302,6,FALSE)),0,VLOOKUP(A166,LongJump!F$5:K$302,6,FALSE)))</f>
        <v>0</v>
      </c>
      <c r="O166" s="51" t="str">
        <f>IF(B166="","",IF(ISNA(VLOOKUP(A166,Vortex!F$5:J$302,2,FALSE)),"",VLOOKUP(A166,Vortex!F$5:J$302,2,FALSE)))</f>
        <v/>
      </c>
      <c r="P166" s="51">
        <f>IF(B166="",0,IF(ISNA(VLOOKUP(A166,Vortex!F$5:J$302,5,FALSE)),0,VLOOKUP(A166,Vortex!F$5:J$302,5,FALSE)))</f>
        <v>0</v>
      </c>
      <c r="Q166" s="51">
        <f t="shared" si="19"/>
        <v>0</v>
      </c>
      <c r="R166" s="51" t="str">
        <f t="shared" si="15"/>
        <v/>
      </c>
      <c r="S166" s="51" t="str">
        <f t="shared" si="16"/>
        <v/>
      </c>
      <c r="T166" s="51" t="str">
        <f t="shared" si="17"/>
        <v/>
      </c>
      <c r="U166" s="51" t="str">
        <f t="shared" si="18"/>
        <v/>
      </c>
      <c r="V166" s="39"/>
    </row>
    <row r="167" spans="1:22" ht="20" customHeight="1">
      <c r="A167" s="51" t="str">
        <f>IF(Declarations!B119=0,"",Declarations!B119)</f>
        <v/>
      </c>
      <c r="B167" s="161" t="str">
        <f>IF(ISNA(VLOOKUP(A167,Declarations!B$6:C$293,2,FALSE)),"",IF(VLOOKUP(A167,Declarations!B$6:C$293,2,FALSE)="","",VLOOKUP(A167,Declarations!B$6:C$293,2,FALSE)))</f>
        <v/>
      </c>
      <c r="C167" s="161" t="str">
        <f>IF(ISNA(VLOOKUP(A167,Declarations!B$6:F$293,5,FALSE)),"",IF(VLOOKUP(A167,Declarations!B$6:F$293,5,FALSE)="","",VLOOKUP(A167,Declarations!B$6:F$293,5,FALSE)))</f>
        <v/>
      </c>
      <c r="D167" s="161" t="str">
        <f>IF(ISNA(VLOOKUP(A167,Declarations!B$6:F$293,4,FALSE)),"",IF(VLOOKUP(A167,Declarations!B$6:F$293,4,FALSE)="","",VLOOKUP(A167,Declarations!B$6:F$293,4,FALSE)))</f>
        <v/>
      </c>
      <c r="E167" s="161" t="str">
        <f>IF(ISNA(VLOOKUP(A167,Declarations!B$6:D$293,3,FALSE)),"",IF(VLOOKUP(A167,Declarations!B$6:D$293,3,FALSE)="","",VLOOKUP(A167,Declarations!B$6:D$293,3,FALSE)))</f>
        <v/>
      </c>
      <c r="F167" s="51" t="str">
        <f>IF(B167="","",IF(ISNA(VLOOKUP(A167,'75m'!F$5:G$302,2,FALSE)),"",VLOOKUP(A167,'75m'!F$5:G$302,2,FALSE)))</f>
        <v/>
      </c>
      <c r="G167" s="51">
        <f>IF(B167="",0,IF(ISNA(VLOOKUP(A167,'75m'!F$5:J$302,5,FALSE)),0,VLOOKUP(A167,'75m'!F$5:J$302,5,FALSE)))</f>
        <v>0</v>
      </c>
      <c r="H167" s="51" t="str">
        <f>IF(B167="","",IF(ISNA(VLOOKUP(A167,'75m'!F$5:K$302,6,FALSE)),"",VLOOKUP(A167,'75m'!F$5:K$302,6,FALSE)))</f>
        <v/>
      </c>
      <c r="I167" s="53">
        <f>IF(B167="",0,IF(ISNA(VLOOKUP(A167,'600m'!F$5:J$302,2,FALSE)),0,VLOOKUP(A167,'600m'!F$5:J$302,2,FALSE)))</f>
        <v>0</v>
      </c>
      <c r="J167" s="51">
        <f>IF(B167="",0,IF(ISNA(VLOOKUP(A167,'600m'!F$5:J$302,5,FALSE)),0,VLOOKUP(A167,'600m'!F$5:J$302,5,FALSE)))</f>
        <v>0</v>
      </c>
      <c r="K167" s="51" t="str">
        <f>IF(B167="","",IF(ISNA(VLOOKUP(A167,'600m'!F$5:K$302,6,FALSE)),"",VLOOKUP(A167,'600m'!F$5:K$302,6,FALSE)))</f>
        <v/>
      </c>
      <c r="L167" s="51" t="str">
        <f>IF(B167="","",IF(ISNA(VLOOKUP(A167,LongJump!F$5:G$302,2,FALSE)),"",VLOOKUP(A167,LongJump!F$5:G$302,2,FALSE)))</f>
        <v/>
      </c>
      <c r="M167" s="51">
        <f>IF(B167="",0,IF(ISNA(VLOOKUP(A167,LongJump!F$5:J$302,5,FALSE)),0,VLOOKUP(A167,LongJump!F$5:J$302,5,FALSE)))</f>
        <v>0</v>
      </c>
      <c r="N167" s="51">
        <f>IF(B167="",0,IF(ISNA(VLOOKUP(A167,LongJump!F$5:K$302,6,FALSE)),0,VLOOKUP(A167,LongJump!F$5:K$302,6,FALSE)))</f>
        <v>0</v>
      </c>
      <c r="O167" s="51" t="str">
        <f>IF(B167="","",IF(ISNA(VLOOKUP(A167,Vortex!F$5:J$302,2,FALSE)),"",VLOOKUP(A167,Vortex!F$5:J$302,2,FALSE)))</f>
        <v/>
      </c>
      <c r="P167" s="51">
        <f>IF(B167="",0,IF(ISNA(VLOOKUP(A167,Vortex!F$5:J$302,5,FALSE)),0,VLOOKUP(A167,Vortex!F$5:J$302,5,FALSE)))</f>
        <v>0</v>
      </c>
      <c r="Q167" s="51">
        <f t="shared" si="19"/>
        <v>0</v>
      </c>
      <c r="R167" s="51" t="str">
        <f t="shared" si="15"/>
        <v/>
      </c>
      <c r="S167" s="51" t="str">
        <f t="shared" si="16"/>
        <v/>
      </c>
      <c r="T167" s="51" t="str">
        <f t="shared" si="17"/>
        <v/>
      </c>
      <c r="U167" s="51" t="str">
        <f t="shared" si="18"/>
        <v/>
      </c>
      <c r="V167" s="39"/>
    </row>
    <row r="168" spans="1:22" ht="20" customHeight="1">
      <c r="A168" s="51" t="str">
        <f>IF(Declarations!B120=0,"",Declarations!B120)</f>
        <v/>
      </c>
      <c r="B168" s="161" t="str">
        <f>IF(ISNA(VLOOKUP(A168,Declarations!B$6:C$293,2,FALSE)),"",IF(VLOOKUP(A168,Declarations!B$6:C$293,2,FALSE)="","",VLOOKUP(A168,Declarations!B$6:C$293,2,FALSE)))</f>
        <v/>
      </c>
      <c r="C168" s="161" t="str">
        <f>IF(ISNA(VLOOKUP(A168,Declarations!B$6:F$293,5,FALSE)),"",IF(VLOOKUP(A168,Declarations!B$6:F$293,5,FALSE)="","",VLOOKUP(A168,Declarations!B$6:F$293,5,FALSE)))</f>
        <v/>
      </c>
      <c r="D168" s="161" t="str">
        <f>IF(ISNA(VLOOKUP(A168,Declarations!B$6:F$293,4,FALSE)),"",IF(VLOOKUP(A168,Declarations!B$6:F$293,4,FALSE)="","",VLOOKUP(A168,Declarations!B$6:F$293,4,FALSE)))</f>
        <v/>
      </c>
      <c r="E168" s="161" t="str">
        <f>IF(ISNA(VLOOKUP(A168,Declarations!B$6:D$293,3,FALSE)),"",IF(VLOOKUP(A168,Declarations!B$6:D$293,3,FALSE)="","",VLOOKUP(A168,Declarations!B$6:D$293,3,FALSE)))</f>
        <v/>
      </c>
      <c r="F168" s="51" t="str">
        <f>IF(B168="","",IF(ISNA(VLOOKUP(A168,'75m'!F$5:G$302,2,FALSE)),"",VLOOKUP(A168,'75m'!F$5:G$302,2,FALSE)))</f>
        <v/>
      </c>
      <c r="G168" s="51">
        <f>IF(B168="",0,IF(ISNA(VLOOKUP(A168,'75m'!F$5:J$302,5,FALSE)),0,VLOOKUP(A168,'75m'!F$5:J$302,5,FALSE)))</f>
        <v>0</v>
      </c>
      <c r="H168" s="51" t="str">
        <f>IF(B168="","",IF(ISNA(VLOOKUP(A168,'75m'!F$5:K$302,6,FALSE)),"",VLOOKUP(A168,'75m'!F$5:K$302,6,FALSE)))</f>
        <v/>
      </c>
      <c r="I168" s="53">
        <f>IF(B168="",0,IF(ISNA(VLOOKUP(A168,'600m'!F$5:J$302,2,FALSE)),0,VLOOKUP(A168,'600m'!F$5:J$302,2,FALSE)))</f>
        <v>0</v>
      </c>
      <c r="J168" s="51">
        <f>IF(B168="",0,IF(ISNA(VLOOKUP(A168,'600m'!F$5:J$302,5,FALSE)),0,VLOOKUP(A168,'600m'!F$5:J$302,5,FALSE)))</f>
        <v>0</v>
      </c>
      <c r="K168" s="51" t="str">
        <f>IF(B168="","",IF(ISNA(VLOOKUP(A168,'600m'!F$5:K$302,6,FALSE)),"",VLOOKUP(A168,'600m'!F$5:K$302,6,FALSE)))</f>
        <v/>
      </c>
      <c r="L168" s="51" t="str">
        <f>IF(B168="","",IF(ISNA(VLOOKUP(A168,LongJump!F$5:G$302,2,FALSE)),"",VLOOKUP(A168,LongJump!F$5:G$302,2,FALSE)))</f>
        <v/>
      </c>
      <c r="M168" s="51">
        <f>IF(B168="",0,IF(ISNA(VLOOKUP(A168,LongJump!F$5:J$302,5,FALSE)),0,VLOOKUP(A168,LongJump!F$5:J$302,5,FALSE)))</f>
        <v>0</v>
      </c>
      <c r="N168" s="51">
        <f>IF(B168="",0,IF(ISNA(VLOOKUP(A168,LongJump!F$5:K$302,6,FALSE)),0,VLOOKUP(A168,LongJump!F$5:K$302,6,FALSE)))</f>
        <v>0</v>
      </c>
      <c r="O168" s="51" t="str">
        <f>IF(B168="","",IF(ISNA(VLOOKUP(A168,Vortex!F$5:J$302,2,FALSE)),"",VLOOKUP(A168,Vortex!F$5:J$302,2,FALSE)))</f>
        <v/>
      </c>
      <c r="P168" s="51">
        <f>IF(B168="",0,IF(ISNA(VLOOKUP(A168,Vortex!F$5:J$302,5,FALSE)),0,VLOOKUP(A168,Vortex!F$5:J$302,5,FALSE)))</f>
        <v>0</v>
      </c>
      <c r="Q168" s="51">
        <f t="shared" si="19"/>
        <v>0</v>
      </c>
      <c r="R168" s="51" t="str">
        <f t="shared" si="15"/>
        <v/>
      </c>
      <c r="S168" s="51" t="str">
        <f t="shared" si="16"/>
        <v/>
      </c>
      <c r="T168" s="51" t="str">
        <f t="shared" si="17"/>
        <v/>
      </c>
      <c r="U168" s="51" t="str">
        <f t="shared" si="18"/>
        <v/>
      </c>
      <c r="V168" s="39"/>
    </row>
    <row r="169" spans="1:22" ht="20" customHeight="1">
      <c r="A169" s="51" t="str">
        <f>IF(Declarations!B121=0,"",Declarations!B121)</f>
        <v/>
      </c>
      <c r="B169" s="161" t="str">
        <f>IF(ISNA(VLOOKUP(A169,Declarations!B$6:C$293,2,FALSE)),"",IF(VLOOKUP(A169,Declarations!B$6:C$293,2,FALSE)="","",VLOOKUP(A169,Declarations!B$6:C$293,2,FALSE)))</f>
        <v/>
      </c>
      <c r="C169" s="161" t="str">
        <f>IF(ISNA(VLOOKUP(A169,Declarations!B$6:F$293,5,FALSE)),"",IF(VLOOKUP(A169,Declarations!B$6:F$293,5,FALSE)="","",VLOOKUP(A169,Declarations!B$6:F$293,5,FALSE)))</f>
        <v/>
      </c>
      <c r="D169" s="161" t="str">
        <f>IF(ISNA(VLOOKUP(A169,Declarations!B$6:F$293,4,FALSE)),"",IF(VLOOKUP(A169,Declarations!B$6:F$293,4,FALSE)="","",VLOOKUP(A169,Declarations!B$6:F$293,4,FALSE)))</f>
        <v/>
      </c>
      <c r="E169" s="161" t="str">
        <f>IF(ISNA(VLOOKUP(A169,Declarations!B$6:D$293,3,FALSE)),"",IF(VLOOKUP(A169,Declarations!B$6:D$293,3,FALSE)="","",VLOOKUP(A169,Declarations!B$6:D$293,3,FALSE)))</f>
        <v/>
      </c>
      <c r="F169" s="51" t="str">
        <f>IF(B169="","",IF(ISNA(VLOOKUP(A169,'75m'!F$5:G$302,2,FALSE)),"",VLOOKUP(A169,'75m'!F$5:G$302,2,FALSE)))</f>
        <v/>
      </c>
      <c r="G169" s="51">
        <f>IF(B169="",0,IF(ISNA(VLOOKUP(A169,'75m'!F$5:J$302,5,FALSE)),0,VLOOKUP(A169,'75m'!F$5:J$302,5,FALSE)))</f>
        <v>0</v>
      </c>
      <c r="H169" s="51" t="str">
        <f>IF(B169="","",IF(ISNA(VLOOKUP(A169,'75m'!F$5:K$302,6,FALSE)),"",VLOOKUP(A169,'75m'!F$5:K$302,6,FALSE)))</f>
        <v/>
      </c>
      <c r="I169" s="53">
        <f>IF(B169="",0,IF(ISNA(VLOOKUP(A169,'600m'!F$5:J$302,2,FALSE)),0,VLOOKUP(A169,'600m'!F$5:J$302,2,FALSE)))</f>
        <v>0</v>
      </c>
      <c r="J169" s="51">
        <f>IF(B169="",0,IF(ISNA(VLOOKUP(A169,'600m'!F$5:J$302,5,FALSE)),0,VLOOKUP(A169,'600m'!F$5:J$302,5,FALSE)))</f>
        <v>0</v>
      </c>
      <c r="K169" s="51" t="str">
        <f>IF(B169="","",IF(ISNA(VLOOKUP(A169,'600m'!F$5:K$302,6,FALSE)),"",VLOOKUP(A169,'600m'!F$5:K$302,6,FALSE)))</f>
        <v/>
      </c>
      <c r="L169" s="51" t="str">
        <f>IF(B169="","",IF(ISNA(VLOOKUP(A169,LongJump!F$5:G$302,2,FALSE)),"",VLOOKUP(A169,LongJump!F$5:G$302,2,FALSE)))</f>
        <v/>
      </c>
      <c r="M169" s="51">
        <f>IF(B169="",0,IF(ISNA(VLOOKUP(A169,LongJump!F$5:J$302,5,FALSE)),0,VLOOKUP(A169,LongJump!F$5:J$302,5,FALSE)))</f>
        <v>0</v>
      </c>
      <c r="N169" s="51">
        <f>IF(B169="",0,IF(ISNA(VLOOKUP(A169,LongJump!F$5:K$302,6,FALSE)),0,VLOOKUP(A169,LongJump!F$5:K$302,6,FALSE)))</f>
        <v>0</v>
      </c>
      <c r="O169" s="51" t="str">
        <f>IF(B169="","",IF(ISNA(VLOOKUP(A169,Vortex!F$5:J$302,2,FALSE)),"",VLOOKUP(A169,Vortex!F$5:J$302,2,FALSE)))</f>
        <v/>
      </c>
      <c r="P169" s="51">
        <f>IF(B169="",0,IF(ISNA(VLOOKUP(A169,Vortex!F$5:J$302,5,FALSE)),0,VLOOKUP(A169,Vortex!F$5:J$302,5,FALSE)))</f>
        <v>0</v>
      </c>
      <c r="Q169" s="51">
        <f t="shared" si="19"/>
        <v>0</v>
      </c>
      <c r="R169" s="51" t="str">
        <f t="shared" si="15"/>
        <v/>
      </c>
      <c r="S169" s="51" t="str">
        <f t="shared" si="16"/>
        <v/>
      </c>
      <c r="T169" s="51" t="str">
        <f t="shared" si="17"/>
        <v/>
      </c>
      <c r="U169" s="51" t="str">
        <f t="shared" si="18"/>
        <v/>
      </c>
      <c r="V169" s="39"/>
    </row>
    <row r="170" spans="1:22" ht="20" customHeight="1">
      <c r="A170" s="51" t="str">
        <f>IF(Declarations!B122=0,"",Declarations!B122)</f>
        <v/>
      </c>
      <c r="B170" s="161" t="str">
        <f>IF(ISNA(VLOOKUP(A170,Declarations!B$6:C$293,2,FALSE)),"",IF(VLOOKUP(A170,Declarations!B$6:C$293,2,FALSE)="","",VLOOKUP(A170,Declarations!B$6:C$293,2,FALSE)))</f>
        <v/>
      </c>
      <c r="C170" s="161" t="str">
        <f>IF(ISNA(VLOOKUP(A170,Declarations!B$6:F$293,5,FALSE)),"",IF(VLOOKUP(A170,Declarations!B$6:F$293,5,FALSE)="","",VLOOKUP(A170,Declarations!B$6:F$293,5,FALSE)))</f>
        <v/>
      </c>
      <c r="D170" s="161" t="str">
        <f>IF(ISNA(VLOOKUP(A170,Declarations!B$6:F$293,4,FALSE)),"",IF(VLOOKUP(A170,Declarations!B$6:F$293,4,FALSE)="","",VLOOKUP(A170,Declarations!B$6:F$293,4,FALSE)))</f>
        <v/>
      </c>
      <c r="E170" s="161" t="str">
        <f>IF(ISNA(VLOOKUP(A170,Declarations!B$6:D$293,3,FALSE)),"",IF(VLOOKUP(A170,Declarations!B$6:D$293,3,FALSE)="","",VLOOKUP(A170,Declarations!B$6:D$293,3,FALSE)))</f>
        <v/>
      </c>
      <c r="F170" s="51" t="str">
        <f>IF(B170="","",IF(ISNA(VLOOKUP(A170,'75m'!F$5:G$302,2,FALSE)),"",VLOOKUP(A170,'75m'!F$5:G$302,2,FALSE)))</f>
        <v/>
      </c>
      <c r="G170" s="51">
        <f>IF(B170="",0,IF(ISNA(VLOOKUP(A170,'75m'!F$5:J$302,5,FALSE)),0,VLOOKUP(A170,'75m'!F$5:J$302,5,FALSE)))</f>
        <v>0</v>
      </c>
      <c r="H170" s="51" t="str">
        <f>IF(B170="","",IF(ISNA(VLOOKUP(A170,'75m'!F$5:K$302,6,FALSE)),"",VLOOKUP(A170,'75m'!F$5:K$302,6,FALSE)))</f>
        <v/>
      </c>
      <c r="I170" s="53">
        <f>IF(B170="",0,IF(ISNA(VLOOKUP(A170,'600m'!F$5:J$302,2,FALSE)),0,VLOOKUP(A170,'600m'!F$5:J$302,2,FALSE)))</f>
        <v>0</v>
      </c>
      <c r="J170" s="51">
        <f>IF(B170="",0,IF(ISNA(VLOOKUP(A170,'600m'!F$5:J$302,5,FALSE)),0,VLOOKUP(A170,'600m'!F$5:J$302,5,FALSE)))</f>
        <v>0</v>
      </c>
      <c r="K170" s="51" t="str">
        <f>IF(B170="","",IF(ISNA(VLOOKUP(A170,'600m'!F$5:K$302,6,FALSE)),"",VLOOKUP(A170,'600m'!F$5:K$302,6,FALSE)))</f>
        <v/>
      </c>
      <c r="L170" s="51" t="str">
        <f>IF(B170="","",IF(ISNA(VLOOKUP(A170,LongJump!F$5:G$302,2,FALSE)),"",VLOOKUP(A170,LongJump!F$5:G$302,2,FALSE)))</f>
        <v/>
      </c>
      <c r="M170" s="51">
        <f>IF(B170="",0,IF(ISNA(VLOOKUP(A170,LongJump!F$5:J$302,5,FALSE)),0,VLOOKUP(A170,LongJump!F$5:J$302,5,FALSE)))</f>
        <v>0</v>
      </c>
      <c r="N170" s="51">
        <f>IF(B170="",0,IF(ISNA(VLOOKUP(A170,LongJump!F$5:K$302,6,FALSE)),0,VLOOKUP(A170,LongJump!F$5:K$302,6,FALSE)))</f>
        <v>0</v>
      </c>
      <c r="O170" s="51" t="str">
        <f>IF(B170="","",IF(ISNA(VLOOKUP(A170,Vortex!F$5:J$302,2,FALSE)),"",VLOOKUP(A170,Vortex!F$5:J$302,2,FALSE)))</f>
        <v/>
      </c>
      <c r="P170" s="51">
        <f>IF(B170="",0,IF(ISNA(VLOOKUP(A170,Vortex!F$5:J$302,5,FALSE)),0,VLOOKUP(A170,Vortex!F$5:J$302,5,FALSE)))</f>
        <v>0</v>
      </c>
      <c r="Q170" s="51">
        <f t="shared" si="19"/>
        <v>0</v>
      </c>
      <c r="R170" s="51" t="str">
        <f t="shared" si="15"/>
        <v/>
      </c>
      <c r="S170" s="51" t="str">
        <f t="shared" si="16"/>
        <v/>
      </c>
      <c r="T170" s="51" t="str">
        <f t="shared" si="17"/>
        <v/>
      </c>
      <c r="U170" s="51" t="str">
        <f t="shared" si="18"/>
        <v/>
      </c>
      <c r="V170" s="39"/>
    </row>
    <row r="171" spans="1:22" ht="20" customHeight="1">
      <c r="A171" s="51" t="str">
        <f>IF(Declarations!B123=0,"",Declarations!B123)</f>
        <v/>
      </c>
      <c r="B171" s="161" t="str">
        <f>IF(ISNA(VLOOKUP(A171,Declarations!B$6:C$293,2,FALSE)),"",IF(VLOOKUP(A171,Declarations!B$6:C$293,2,FALSE)="","",VLOOKUP(A171,Declarations!B$6:C$293,2,FALSE)))</f>
        <v/>
      </c>
      <c r="C171" s="161" t="str">
        <f>IF(ISNA(VLOOKUP(A171,Declarations!B$6:F$293,5,FALSE)),"",IF(VLOOKUP(A171,Declarations!B$6:F$293,5,FALSE)="","",VLOOKUP(A171,Declarations!B$6:F$293,5,FALSE)))</f>
        <v/>
      </c>
      <c r="D171" s="161" t="str">
        <f>IF(ISNA(VLOOKUP(A171,Declarations!B$6:F$293,4,FALSE)),"",IF(VLOOKUP(A171,Declarations!B$6:F$293,4,FALSE)="","",VLOOKUP(A171,Declarations!B$6:F$293,4,FALSE)))</f>
        <v/>
      </c>
      <c r="E171" s="161" t="str">
        <f>IF(ISNA(VLOOKUP(A171,Declarations!B$6:D$293,3,FALSE)),"",IF(VLOOKUP(A171,Declarations!B$6:D$293,3,FALSE)="","",VLOOKUP(A171,Declarations!B$6:D$293,3,FALSE)))</f>
        <v/>
      </c>
      <c r="F171" s="51" t="str">
        <f>IF(B171="","",IF(ISNA(VLOOKUP(A171,'75m'!F$5:G$302,2,FALSE)),"",VLOOKUP(A171,'75m'!F$5:G$302,2,FALSE)))</f>
        <v/>
      </c>
      <c r="G171" s="51">
        <f>IF(B171="",0,IF(ISNA(VLOOKUP(A171,'75m'!F$5:J$302,5,FALSE)),0,VLOOKUP(A171,'75m'!F$5:J$302,5,FALSE)))</f>
        <v>0</v>
      </c>
      <c r="H171" s="51" t="str">
        <f>IF(B171="","",IF(ISNA(VLOOKUP(A171,'75m'!F$5:K$302,6,FALSE)),"",VLOOKUP(A171,'75m'!F$5:K$302,6,FALSE)))</f>
        <v/>
      </c>
      <c r="I171" s="53">
        <f>IF(B171="",0,IF(ISNA(VLOOKUP(A171,'600m'!F$5:J$302,2,FALSE)),0,VLOOKUP(A171,'600m'!F$5:J$302,2,FALSE)))</f>
        <v>0</v>
      </c>
      <c r="J171" s="51">
        <f>IF(B171="",0,IF(ISNA(VLOOKUP(A171,'600m'!F$5:J$302,5,FALSE)),0,VLOOKUP(A171,'600m'!F$5:J$302,5,FALSE)))</f>
        <v>0</v>
      </c>
      <c r="K171" s="51" t="str">
        <f>IF(B171="","",IF(ISNA(VLOOKUP(A171,'600m'!F$5:K$302,6,FALSE)),"",VLOOKUP(A171,'600m'!F$5:K$302,6,FALSE)))</f>
        <v/>
      </c>
      <c r="L171" s="51" t="str">
        <f>IF(B171="","",IF(ISNA(VLOOKUP(A171,LongJump!F$5:G$302,2,FALSE)),"",VLOOKUP(A171,LongJump!F$5:G$302,2,FALSE)))</f>
        <v/>
      </c>
      <c r="M171" s="51">
        <f>IF(B171="",0,IF(ISNA(VLOOKUP(A171,LongJump!F$5:J$302,5,FALSE)),0,VLOOKUP(A171,LongJump!F$5:J$302,5,FALSE)))</f>
        <v>0</v>
      </c>
      <c r="N171" s="51">
        <f>IF(B171="",0,IF(ISNA(VLOOKUP(A171,LongJump!F$5:K$302,6,FALSE)),0,VLOOKUP(A171,LongJump!F$5:K$302,6,FALSE)))</f>
        <v>0</v>
      </c>
      <c r="O171" s="51" t="str">
        <f>IF(B171="","",IF(ISNA(VLOOKUP(A171,Vortex!F$5:J$302,2,FALSE)),"",VLOOKUP(A171,Vortex!F$5:J$302,2,FALSE)))</f>
        <v/>
      </c>
      <c r="P171" s="51">
        <f>IF(B171="",0,IF(ISNA(VLOOKUP(A171,Vortex!F$5:J$302,5,FALSE)),0,VLOOKUP(A171,Vortex!F$5:J$302,5,FALSE)))</f>
        <v>0</v>
      </c>
      <c r="Q171" s="51">
        <f t="shared" si="19"/>
        <v>0</v>
      </c>
      <c r="R171" s="51" t="str">
        <f t="shared" si="15"/>
        <v/>
      </c>
      <c r="S171" s="51" t="str">
        <f t="shared" si="16"/>
        <v/>
      </c>
      <c r="T171" s="51" t="str">
        <f t="shared" si="17"/>
        <v/>
      </c>
      <c r="U171" s="51" t="str">
        <f t="shared" si="18"/>
        <v/>
      </c>
      <c r="V171" s="39"/>
    </row>
    <row r="172" spans="1:22" ht="20" customHeight="1">
      <c r="A172" s="51" t="str">
        <f>IF(Declarations!B124=0,"",Declarations!B124)</f>
        <v/>
      </c>
      <c r="B172" s="161" t="str">
        <f>IF(ISNA(VLOOKUP(A172,Declarations!B$6:C$293,2,FALSE)),"",IF(VLOOKUP(A172,Declarations!B$6:C$293,2,FALSE)="","",VLOOKUP(A172,Declarations!B$6:C$293,2,FALSE)))</f>
        <v/>
      </c>
      <c r="C172" s="161" t="str">
        <f>IF(ISNA(VLOOKUP(A172,Declarations!B$6:F$293,5,FALSE)),"",IF(VLOOKUP(A172,Declarations!B$6:F$293,5,FALSE)="","",VLOOKUP(A172,Declarations!B$6:F$293,5,FALSE)))</f>
        <v/>
      </c>
      <c r="D172" s="161" t="str">
        <f>IF(ISNA(VLOOKUP(A172,Declarations!B$6:F$293,4,FALSE)),"",IF(VLOOKUP(A172,Declarations!B$6:F$293,4,FALSE)="","",VLOOKUP(A172,Declarations!B$6:F$293,4,FALSE)))</f>
        <v/>
      </c>
      <c r="E172" s="161" t="str">
        <f>IF(ISNA(VLOOKUP(A172,Declarations!B$6:D$293,3,FALSE)),"",IF(VLOOKUP(A172,Declarations!B$6:D$293,3,FALSE)="","",VLOOKUP(A172,Declarations!B$6:D$293,3,FALSE)))</f>
        <v/>
      </c>
      <c r="F172" s="51" t="str">
        <f>IF(B172="","",IF(ISNA(VLOOKUP(A172,'75m'!F$5:G$302,2,FALSE)),"",VLOOKUP(A172,'75m'!F$5:G$302,2,FALSE)))</f>
        <v/>
      </c>
      <c r="G172" s="51">
        <f>IF(B172="",0,IF(ISNA(VLOOKUP(A172,'75m'!F$5:J$302,5,FALSE)),0,VLOOKUP(A172,'75m'!F$5:J$302,5,FALSE)))</f>
        <v>0</v>
      </c>
      <c r="H172" s="51" t="str">
        <f>IF(B172="","",IF(ISNA(VLOOKUP(A172,'75m'!F$5:K$302,6,FALSE)),"",VLOOKUP(A172,'75m'!F$5:K$302,6,FALSE)))</f>
        <v/>
      </c>
      <c r="I172" s="53">
        <f>IF(B172="",0,IF(ISNA(VLOOKUP(A172,'600m'!F$5:J$302,2,FALSE)),0,VLOOKUP(A172,'600m'!F$5:J$302,2,FALSE)))</f>
        <v>0</v>
      </c>
      <c r="J172" s="51">
        <f>IF(B172="",0,IF(ISNA(VLOOKUP(A172,'600m'!F$5:J$302,5,FALSE)),0,VLOOKUP(A172,'600m'!F$5:J$302,5,FALSE)))</f>
        <v>0</v>
      </c>
      <c r="K172" s="51" t="str">
        <f>IF(B172="","",IF(ISNA(VLOOKUP(A172,'600m'!F$5:K$302,6,FALSE)),"",VLOOKUP(A172,'600m'!F$5:K$302,6,FALSE)))</f>
        <v/>
      </c>
      <c r="L172" s="51" t="str">
        <f>IF(B172="","",IF(ISNA(VLOOKUP(A172,LongJump!F$5:G$302,2,FALSE)),"",VLOOKUP(A172,LongJump!F$5:G$302,2,FALSE)))</f>
        <v/>
      </c>
      <c r="M172" s="51">
        <f>IF(B172="",0,IF(ISNA(VLOOKUP(A172,LongJump!F$5:J$302,5,FALSE)),0,VLOOKUP(A172,LongJump!F$5:J$302,5,FALSE)))</f>
        <v>0</v>
      </c>
      <c r="N172" s="51">
        <f>IF(B172="",0,IF(ISNA(VLOOKUP(A172,LongJump!F$5:K$302,6,FALSE)),0,VLOOKUP(A172,LongJump!F$5:K$302,6,FALSE)))</f>
        <v>0</v>
      </c>
      <c r="O172" s="51" t="str">
        <f>IF(B172="","",IF(ISNA(VLOOKUP(A172,Vortex!F$5:J$302,2,FALSE)),"",VLOOKUP(A172,Vortex!F$5:J$302,2,FALSE)))</f>
        <v/>
      </c>
      <c r="P172" s="51">
        <f>IF(B172="",0,IF(ISNA(VLOOKUP(A172,Vortex!F$5:J$302,5,FALSE)),0,VLOOKUP(A172,Vortex!F$5:J$302,5,FALSE)))</f>
        <v>0</v>
      </c>
      <c r="Q172" s="51">
        <f t="shared" si="19"/>
        <v>0</v>
      </c>
      <c r="R172" s="51" t="str">
        <f t="shared" si="15"/>
        <v/>
      </c>
      <c r="S172" s="51" t="str">
        <f t="shared" si="16"/>
        <v/>
      </c>
      <c r="T172" s="51" t="str">
        <f t="shared" si="17"/>
        <v/>
      </c>
      <c r="U172" s="51" t="str">
        <f t="shared" si="18"/>
        <v/>
      </c>
      <c r="V172" s="39"/>
    </row>
    <row r="173" spans="1:22" ht="20" customHeight="1">
      <c r="A173" s="51" t="str">
        <f>IF(Declarations!B125=0,"",Declarations!B125)</f>
        <v/>
      </c>
      <c r="B173" s="161" t="str">
        <f>IF(ISNA(VLOOKUP(A173,Declarations!B$6:C$293,2,FALSE)),"",IF(VLOOKUP(A173,Declarations!B$6:C$293,2,FALSE)="","",VLOOKUP(A173,Declarations!B$6:C$293,2,FALSE)))</f>
        <v/>
      </c>
      <c r="C173" s="161" t="str">
        <f>IF(ISNA(VLOOKUP(A173,Declarations!B$6:F$293,5,FALSE)),"",IF(VLOOKUP(A173,Declarations!B$6:F$293,5,FALSE)="","",VLOOKUP(A173,Declarations!B$6:F$293,5,FALSE)))</f>
        <v/>
      </c>
      <c r="D173" s="161" t="str">
        <f>IF(ISNA(VLOOKUP(A173,Declarations!B$6:F$293,4,FALSE)),"",IF(VLOOKUP(A173,Declarations!B$6:F$293,4,FALSE)="","",VLOOKUP(A173,Declarations!B$6:F$293,4,FALSE)))</f>
        <v/>
      </c>
      <c r="E173" s="161" t="str">
        <f>IF(ISNA(VLOOKUP(A173,Declarations!B$6:D$293,3,FALSE)),"",IF(VLOOKUP(A173,Declarations!B$6:D$293,3,FALSE)="","",VLOOKUP(A173,Declarations!B$6:D$293,3,FALSE)))</f>
        <v/>
      </c>
      <c r="F173" s="51" t="str">
        <f>IF(B173="","",IF(ISNA(VLOOKUP(A173,'75m'!F$5:G$302,2,FALSE)),"",VLOOKUP(A173,'75m'!F$5:G$302,2,FALSE)))</f>
        <v/>
      </c>
      <c r="G173" s="51">
        <f>IF(B173="",0,IF(ISNA(VLOOKUP(A173,'75m'!F$5:J$302,5,FALSE)),0,VLOOKUP(A173,'75m'!F$5:J$302,5,FALSE)))</f>
        <v>0</v>
      </c>
      <c r="H173" s="51" t="str">
        <f>IF(B173="","",IF(ISNA(VLOOKUP(A173,'75m'!F$5:K$302,6,FALSE)),"",VLOOKUP(A173,'75m'!F$5:K$302,6,FALSE)))</f>
        <v/>
      </c>
      <c r="I173" s="53">
        <f>IF(B173="",0,IF(ISNA(VLOOKUP(A173,'600m'!F$5:J$302,2,FALSE)),0,VLOOKUP(A173,'600m'!F$5:J$302,2,FALSE)))</f>
        <v>0</v>
      </c>
      <c r="J173" s="51">
        <f>IF(B173="",0,IF(ISNA(VLOOKUP(A173,'600m'!F$5:J$302,5,FALSE)),0,VLOOKUP(A173,'600m'!F$5:J$302,5,FALSE)))</f>
        <v>0</v>
      </c>
      <c r="K173" s="51" t="str">
        <f>IF(B173="","",IF(ISNA(VLOOKUP(A173,'600m'!F$5:K$302,6,FALSE)),"",VLOOKUP(A173,'600m'!F$5:K$302,6,FALSE)))</f>
        <v/>
      </c>
      <c r="L173" s="51" t="str">
        <f>IF(B173="","",IF(ISNA(VLOOKUP(A173,LongJump!F$5:G$302,2,FALSE)),"",VLOOKUP(A173,LongJump!F$5:G$302,2,FALSE)))</f>
        <v/>
      </c>
      <c r="M173" s="51">
        <f>IF(B173="",0,IF(ISNA(VLOOKUP(A173,LongJump!F$5:J$302,5,FALSE)),0,VLOOKUP(A173,LongJump!F$5:J$302,5,FALSE)))</f>
        <v>0</v>
      </c>
      <c r="N173" s="51">
        <f>IF(B173="",0,IF(ISNA(VLOOKUP(A173,LongJump!F$5:K$302,6,FALSE)),0,VLOOKUP(A173,LongJump!F$5:K$302,6,FALSE)))</f>
        <v>0</v>
      </c>
      <c r="O173" s="51" t="str">
        <f>IF(B173="","",IF(ISNA(VLOOKUP(A173,Vortex!F$5:J$302,2,FALSE)),"",VLOOKUP(A173,Vortex!F$5:J$302,2,FALSE)))</f>
        <v/>
      </c>
      <c r="P173" s="51">
        <f>IF(B173="",0,IF(ISNA(VLOOKUP(A173,Vortex!F$5:J$302,5,FALSE)),0,VLOOKUP(A173,Vortex!F$5:J$302,5,FALSE)))</f>
        <v>0</v>
      </c>
      <c r="Q173" s="51">
        <f t="shared" si="19"/>
        <v>0</v>
      </c>
      <c r="R173" s="51" t="str">
        <f t="shared" si="15"/>
        <v/>
      </c>
      <c r="S173" s="51" t="str">
        <f t="shared" si="16"/>
        <v/>
      </c>
      <c r="T173" s="51" t="str">
        <f t="shared" si="17"/>
        <v/>
      </c>
      <c r="U173" s="51" t="str">
        <f t="shared" si="18"/>
        <v/>
      </c>
      <c r="V173" s="39"/>
    </row>
    <row r="174" spans="1:22" ht="20" customHeight="1">
      <c r="A174" s="51" t="str">
        <f>IF(Declarations!B126=0,"",Declarations!B126)</f>
        <v/>
      </c>
      <c r="B174" s="161" t="str">
        <f>IF(ISNA(VLOOKUP(A174,Declarations!B$6:C$293,2,FALSE)),"",IF(VLOOKUP(A174,Declarations!B$6:C$293,2,FALSE)="","",VLOOKUP(A174,Declarations!B$6:C$293,2,FALSE)))</f>
        <v/>
      </c>
      <c r="C174" s="161" t="str">
        <f>IF(ISNA(VLOOKUP(A174,Declarations!B$6:F$293,5,FALSE)),"",IF(VLOOKUP(A174,Declarations!B$6:F$293,5,FALSE)="","",VLOOKUP(A174,Declarations!B$6:F$293,5,FALSE)))</f>
        <v/>
      </c>
      <c r="D174" s="161" t="str">
        <f>IF(ISNA(VLOOKUP(A174,Declarations!B$6:F$293,4,FALSE)),"",IF(VLOOKUP(A174,Declarations!B$6:F$293,4,FALSE)="","",VLOOKUP(A174,Declarations!B$6:F$293,4,FALSE)))</f>
        <v/>
      </c>
      <c r="E174" s="161" t="str">
        <f>IF(ISNA(VLOOKUP(A174,Declarations!B$6:D$293,3,FALSE)),"",IF(VLOOKUP(A174,Declarations!B$6:D$293,3,FALSE)="","",VLOOKUP(A174,Declarations!B$6:D$293,3,FALSE)))</f>
        <v/>
      </c>
      <c r="F174" s="51" t="str">
        <f>IF(B174="","",IF(ISNA(VLOOKUP(A174,'75m'!F$5:G$302,2,FALSE)),"",VLOOKUP(A174,'75m'!F$5:G$302,2,FALSE)))</f>
        <v/>
      </c>
      <c r="G174" s="51">
        <f>IF(B174="",0,IF(ISNA(VLOOKUP(A174,'75m'!F$5:J$302,5,FALSE)),0,VLOOKUP(A174,'75m'!F$5:J$302,5,FALSE)))</f>
        <v>0</v>
      </c>
      <c r="H174" s="51" t="str">
        <f>IF(B174="","",IF(ISNA(VLOOKUP(A174,'75m'!F$5:K$302,6,FALSE)),"",VLOOKUP(A174,'75m'!F$5:K$302,6,FALSE)))</f>
        <v/>
      </c>
      <c r="I174" s="53">
        <f>IF(B174="",0,IF(ISNA(VLOOKUP(A174,'600m'!F$5:J$302,2,FALSE)),0,VLOOKUP(A174,'600m'!F$5:J$302,2,FALSE)))</f>
        <v>0</v>
      </c>
      <c r="J174" s="51">
        <f>IF(B174="",0,IF(ISNA(VLOOKUP(A174,'600m'!F$5:J$302,5,FALSE)),0,VLOOKUP(A174,'600m'!F$5:J$302,5,FALSE)))</f>
        <v>0</v>
      </c>
      <c r="K174" s="51" t="str">
        <f>IF(B174="","",IF(ISNA(VLOOKUP(A174,'600m'!F$5:K$302,6,FALSE)),"",VLOOKUP(A174,'600m'!F$5:K$302,6,FALSE)))</f>
        <v/>
      </c>
      <c r="L174" s="51" t="str">
        <f>IF(B174="","",IF(ISNA(VLOOKUP(A174,LongJump!F$5:G$302,2,FALSE)),"",VLOOKUP(A174,LongJump!F$5:G$302,2,FALSE)))</f>
        <v/>
      </c>
      <c r="M174" s="51">
        <f>IF(B174="",0,IF(ISNA(VLOOKUP(A174,LongJump!F$5:J$302,5,FALSE)),0,VLOOKUP(A174,LongJump!F$5:J$302,5,FALSE)))</f>
        <v>0</v>
      </c>
      <c r="N174" s="51">
        <f>IF(B174="",0,IF(ISNA(VLOOKUP(A174,LongJump!F$5:K$302,6,FALSE)),0,VLOOKUP(A174,LongJump!F$5:K$302,6,FALSE)))</f>
        <v>0</v>
      </c>
      <c r="O174" s="51" t="str">
        <f>IF(B174="","",IF(ISNA(VLOOKUP(A174,Vortex!F$5:J$302,2,FALSE)),"",VLOOKUP(A174,Vortex!F$5:J$302,2,FALSE)))</f>
        <v/>
      </c>
      <c r="P174" s="51">
        <f>IF(B174="",0,IF(ISNA(VLOOKUP(A174,Vortex!F$5:J$302,5,FALSE)),0,VLOOKUP(A174,Vortex!F$5:J$302,5,FALSE)))</f>
        <v>0</v>
      </c>
      <c r="Q174" s="51">
        <f t="shared" si="19"/>
        <v>0</v>
      </c>
      <c r="R174" s="51" t="str">
        <f t="shared" si="15"/>
        <v/>
      </c>
      <c r="S174" s="51" t="str">
        <f t="shared" si="16"/>
        <v/>
      </c>
      <c r="T174" s="51" t="str">
        <f t="shared" si="17"/>
        <v/>
      </c>
      <c r="U174" s="51" t="str">
        <f t="shared" si="18"/>
        <v/>
      </c>
      <c r="V174" s="39"/>
    </row>
    <row r="175" spans="1:22" ht="20" customHeight="1">
      <c r="A175" s="51" t="str">
        <f>IF(Declarations!B127=0,"",Declarations!B127)</f>
        <v/>
      </c>
      <c r="B175" s="161" t="str">
        <f>IF(ISNA(VLOOKUP(A175,Declarations!B$6:C$293,2,FALSE)),"",IF(VLOOKUP(A175,Declarations!B$6:C$293,2,FALSE)="","",VLOOKUP(A175,Declarations!B$6:C$293,2,FALSE)))</f>
        <v/>
      </c>
      <c r="C175" s="161" t="str">
        <f>IF(ISNA(VLOOKUP(A175,Declarations!B$6:F$293,5,FALSE)),"",IF(VLOOKUP(A175,Declarations!B$6:F$293,5,FALSE)="","",VLOOKUP(A175,Declarations!B$6:F$293,5,FALSE)))</f>
        <v/>
      </c>
      <c r="D175" s="161" t="str">
        <f>IF(ISNA(VLOOKUP(A175,Declarations!B$6:F$293,4,FALSE)),"",IF(VLOOKUP(A175,Declarations!B$6:F$293,4,FALSE)="","",VLOOKUP(A175,Declarations!B$6:F$293,4,FALSE)))</f>
        <v/>
      </c>
      <c r="E175" s="161" t="str">
        <f>IF(ISNA(VLOOKUP(A175,Declarations!B$6:D$293,3,FALSE)),"",IF(VLOOKUP(A175,Declarations!B$6:D$293,3,FALSE)="","",VLOOKUP(A175,Declarations!B$6:D$293,3,FALSE)))</f>
        <v/>
      </c>
      <c r="F175" s="51" t="str">
        <f>IF(B175="","",IF(ISNA(VLOOKUP(A175,'75m'!F$5:G$302,2,FALSE)),"",VLOOKUP(A175,'75m'!F$5:G$302,2,FALSE)))</f>
        <v/>
      </c>
      <c r="G175" s="51">
        <f>IF(B175="",0,IF(ISNA(VLOOKUP(A175,'75m'!F$5:J$302,5,FALSE)),0,VLOOKUP(A175,'75m'!F$5:J$302,5,FALSE)))</f>
        <v>0</v>
      </c>
      <c r="H175" s="51" t="str">
        <f>IF(B175="","",IF(ISNA(VLOOKUP(A175,'75m'!F$5:K$302,6,FALSE)),"",VLOOKUP(A175,'75m'!F$5:K$302,6,FALSE)))</f>
        <v/>
      </c>
      <c r="I175" s="53">
        <f>IF(B175="",0,IF(ISNA(VLOOKUP(A175,'600m'!F$5:J$302,2,FALSE)),0,VLOOKUP(A175,'600m'!F$5:J$302,2,FALSE)))</f>
        <v>0</v>
      </c>
      <c r="J175" s="51">
        <f>IF(B175="",0,IF(ISNA(VLOOKUP(A175,'600m'!F$5:J$302,5,FALSE)),0,VLOOKUP(A175,'600m'!F$5:J$302,5,FALSE)))</f>
        <v>0</v>
      </c>
      <c r="K175" s="51" t="str">
        <f>IF(B175="","",IF(ISNA(VLOOKUP(A175,'600m'!F$5:K$302,6,FALSE)),"",VLOOKUP(A175,'600m'!F$5:K$302,6,FALSE)))</f>
        <v/>
      </c>
      <c r="L175" s="51" t="str">
        <f>IF(B175="","",IF(ISNA(VLOOKUP(A175,LongJump!F$5:G$302,2,FALSE)),"",VLOOKUP(A175,LongJump!F$5:G$302,2,FALSE)))</f>
        <v/>
      </c>
      <c r="M175" s="51">
        <f>IF(B175="",0,IF(ISNA(VLOOKUP(A175,LongJump!F$5:J$302,5,FALSE)),0,VLOOKUP(A175,LongJump!F$5:J$302,5,FALSE)))</f>
        <v>0</v>
      </c>
      <c r="N175" s="51">
        <f>IF(B175="",0,IF(ISNA(VLOOKUP(A175,LongJump!F$5:K$302,6,FALSE)),0,VLOOKUP(A175,LongJump!F$5:K$302,6,FALSE)))</f>
        <v>0</v>
      </c>
      <c r="O175" s="51" t="str">
        <f>IF(B175="","",IF(ISNA(VLOOKUP(A175,Vortex!F$5:J$302,2,FALSE)),"",VLOOKUP(A175,Vortex!F$5:J$302,2,FALSE)))</f>
        <v/>
      </c>
      <c r="P175" s="51">
        <f>IF(B175="",0,IF(ISNA(VLOOKUP(A175,Vortex!F$5:J$302,5,FALSE)),0,VLOOKUP(A175,Vortex!F$5:J$302,5,FALSE)))</f>
        <v>0</v>
      </c>
      <c r="Q175" s="51">
        <f t="shared" si="19"/>
        <v>0</v>
      </c>
      <c r="R175" s="51" t="str">
        <f t="shared" si="15"/>
        <v/>
      </c>
      <c r="S175" s="51" t="str">
        <f t="shared" si="16"/>
        <v/>
      </c>
      <c r="T175" s="51" t="str">
        <f t="shared" si="17"/>
        <v/>
      </c>
      <c r="U175" s="51" t="str">
        <f t="shared" si="18"/>
        <v/>
      </c>
      <c r="V175" s="39"/>
    </row>
    <row r="176" spans="1:22" ht="20" customHeight="1">
      <c r="A176" s="51" t="str">
        <f>IF(Declarations!B128=0,"",Declarations!B128)</f>
        <v/>
      </c>
      <c r="B176" s="161" t="str">
        <f>IF(ISNA(VLOOKUP(A176,Declarations!B$6:C$293,2,FALSE)),"",IF(VLOOKUP(A176,Declarations!B$6:C$293,2,FALSE)="","",VLOOKUP(A176,Declarations!B$6:C$293,2,FALSE)))</f>
        <v/>
      </c>
      <c r="C176" s="161" t="str">
        <f>IF(ISNA(VLOOKUP(A176,Declarations!B$6:F$293,5,FALSE)),"",IF(VLOOKUP(A176,Declarations!B$6:F$293,5,FALSE)="","",VLOOKUP(A176,Declarations!B$6:F$293,5,FALSE)))</f>
        <v/>
      </c>
      <c r="D176" s="161" t="str">
        <f>IF(ISNA(VLOOKUP(A176,Declarations!B$6:F$293,4,FALSE)),"",IF(VLOOKUP(A176,Declarations!B$6:F$293,4,FALSE)="","",VLOOKUP(A176,Declarations!B$6:F$293,4,FALSE)))</f>
        <v/>
      </c>
      <c r="E176" s="161" t="str">
        <f>IF(ISNA(VLOOKUP(A176,Declarations!B$6:D$293,3,FALSE)),"",IF(VLOOKUP(A176,Declarations!B$6:D$293,3,FALSE)="","",VLOOKUP(A176,Declarations!B$6:D$293,3,FALSE)))</f>
        <v/>
      </c>
      <c r="F176" s="51" t="str">
        <f>IF(B176="","",IF(ISNA(VLOOKUP(A176,'75m'!F$5:G$302,2,FALSE)),"",VLOOKUP(A176,'75m'!F$5:G$302,2,FALSE)))</f>
        <v/>
      </c>
      <c r="G176" s="51">
        <f>IF(B176="",0,IF(ISNA(VLOOKUP(A176,'75m'!F$5:J$302,5,FALSE)),0,VLOOKUP(A176,'75m'!F$5:J$302,5,FALSE)))</f>
        <v>0</v>
      </c>
      <c r="H176" s="51" t="str">
        <f>IF(B176="","",IF(ISNA(VLOOKUP(A176,'75m'!F$5:K$302,6,FALSE)),"",VLOOKUP(A176,'75m'!F$5:K$302,6,FALSE)))</f>
        <v/>
      </c>
      <c r="I176" s="53">
        <f>IF(B176="",0,IF(ISNA(VLOOKUP(A176,'600m'!F$5:J$302,2,FALSE)),0,VLOOKUP(A176,'600m'!F$5:J$302,2,FALSE)))</f>
        <v>0</v>
      </c>
      <c r="J176" s="51">
        <f>IF(B176="",0,IF(ISNA(VLOOKUP(A176,'600m'!F$5:J$302,5,FALSE)),0,VLOOKUP(A176,'600m'!F$5:J$302,5,FALSE)))</f>
        <v>0</v>
      </c>
      <c r="K176" s="51" t="str">
        <f>IF(B176="","",IF(ISNA(VLOOKUP(A176,'600m'!F$5:K$302,6,FALSE)),"",VLOOKUP(A176,'600m'!F$5:K$302,6,FALSE)))</f>
        <v/>
      </c>
      <c r="L176" s="51" t="str">
        <f>IF(B176="","",IF(ISNA(VLOOKUP(A176,LongJump!F$5:G$302,2,FALSE)),"",VLOOKUP(A176,LongJump!F$5:G$302,2,FALSE)))</f>
        <v/>
      </c>
      <c r="M176" s="51">
        <f>IF(B176="",0,IF(ISNA(VLOOKUP(A176,LongJump!F$5:J$302,5,FALSE)),0,VLOOKUP(A176,LongJump!F$5:J$302,5,FALSE)))</f>
        <v>0</v>
      </c>
      <c r="N176" s="51">
        <f>IF(B176="",0,IF(ISNA(VLOOKUP(A176,LongJump!F$5:K$302,6,FALSE)),0,VLOOKUP(A176,LongJump!F$5:K$302,6,FALSE)))</f>
        <v>0</v>
      </c>
      <c r="O176" s="51" t="str">
        <f>IF(B176="","",IF(ISNA(VLOOKUP(A176,Vortex!F$5:J$302,2,FALSE)),"",VLOOKUP(A176,Vortex!F$5:J$302,2,FALSE)))</f>
        <v/>
      </c>
      <c r="P176" s="51">
        <f>IF(B176="",0,IF(ISNA(VLOOKUP(A176,Vortex!F$5:J$302,5,FALSE)),0,VLOOKUP(A176,Vortex!F$5:J$302,5,FALSE)))</f>
        <v>0</v>
      </c>
      <c r="Q176" s="51">
        <f t="shared" si="19"/>
        <v>0</v>
      </c>
      <c r="R176" s="51" t="str">
        <f t="shared" si="15"/>
        <v/>
      </c>
      <c r="S176" s="51" t="str">
        <f t="shared" si="16"/>
        <v/>
      </c>
      <c r="T176" s="51" t="str">
        <f t="shared" si="17"/>
        <v/>
      </c>
      <c r="U176" s="51" t="str">
        <f t="shared" si="18"/>
        <v/>
      </c>
      <c r="V176" s="39"/>
    </row>
    <row r="177" spans="1:41" ht="20" customHeight="1">
      <c r="A177" s="51" t="str">
        <f>IF(Declarations!B129=0,"",Declarations!B129)</f>
        <v/>
      </c>
      <c r="B177" s="161" t="str">
        <f>IF(ISNA(VLOOKUP(A177,Declarations!B$6:C$293,2,FALSE)),"",IF(VLOOKUP(A177,Declarations!B$6:C$293,2,FALSE)="","",VLOOKUP(A177,Declarations!B$6:C$293,2,FALSE)))</f>
        <v/>
      </c>
      <c r="C177" s="161" t="str">
        <f>IF(ISNA(VLOOKUP(A177,Declarations!B$6:F$293,5,FALSE)),"",IF(VLOOKUP(A177,Declarations!B$6:F$293,5,FALSE)="","",VLOOKUP(A177,Declarations!B$6:F$293,5,FALSE)))</f>
        <v/>
      </c>
      <c r="D177" s="161" t="str">
        <f>IF(ISNA(VLOOKUP(A177,Declarations!B$6:F$293,4,FALSE)),"",IF(VLOOKUP(A177,Declarations!B$6:F$293,4,FALSE)="","",VLOOKUP(A177,Declarations!B$6:F$293,4,FALSE)))</f>
        <v/>
      </c>
      <c r="E177" s="161" t="str">
        <f>IF(ISNA(VLOOKUP(A177,Declarations!B$6:D$293,3,FALSE)),"",IF(VLOOKUP(A177,Declarations!B$6:D$293,3,FALSE)="","",VLOOKUP(A177,Declarations!B$6:D$293,3,FALSE)))</f>
        <v/>
      </c>
      <c r="F177" s="51" t="str">
        <f>IF(B177="","",IF(ISNA(VLOOKUP(A177,'75m'!F$5:G$302,2,FALSE)),"",VLOOKUP(A177,'75m'!F$5:G$302,2,FALSE)))</f>
        <v/>
      </c>
      <c r="G177" s="51">
        <f>IF(B177="",0,IF(ISNA(VLOOKUP(A177,'75m'!F$5:J$302,5,FALSE)),0,VLOOKUP(A177,'75m'!F$5:J$302,5,FALSE)))</f>
        <v>0</v>
      </c>
      <c r="H177" s="51" t="str">
        <f>IF(B177="","",IF(ISNA(VLOOKUP(A177,'75m'!F$5:K$302,6,FALSE)),"",VLOOKUP(A177,'75m'!F$5:K$302,6,FALSE)))</f>
        <v/>
      </c>
      <c r="I177" s="53">
        <f>IF(B177="",0,IF(ISNA(VLOOKUP(A177,'600m'!F$5:J$302,2,FALSE)),0,VLOOKUP(A177,'600m'!F$5:J$302,2,FALSE)))</f>
        <v>0</v>
      </c>
      <c r="J177" s="51">
        <f>IF(B177="",0,IF(ISNA(VLOOKUP(A177,'600m'!F$5:J$302,5,FALSE)),0,VLOOKUP(A177,'600m'!F$5:J$302,5,FALSE)))</f>
        <v>0</v>
      </c>
      <c r="K177" s="51" t="str">
        <f>IF(B177="","",IF(ISNA(VLOOKUP(A177,'600m'!F$5:K$302,6,FALSE)),"",VLOOKUP(A177,'600m'!F$5:K$302,6,FALSE)))</f>
        <v/>
      </c>
      <c r="L177" s="51" t="str">
        <f>IF(B177="","",IF(ISNA(VLOOKUP(A177,LongJump!F$5:G$302,2,FALSE)),"",VLOOKUP(A177,LongJump!F$5:G$302,2,FALSE)))</f>
        <v/>
      </c>
      <c r="M177" s="51">
        <f>IF(B177="",0,IF(ISNA(VLOOKUP(A177,LongJump!F$5:J$302,5,FALSE)),0,VLOOKUP(A177,LongJump!F$5:J$302,5,FALSE)))</f>
        <v>0</v>
      </c>
      <c r="N177" s="51">
        <f>IF(B177="",0,IF(ISNA(VLOOKUP(A177,LongJump!F$5:K$302,6,FALSE)),0,VLOOKUP(A177,LongJump!F$5:K$302,6,FALSE)))</f>
        <v>0</v>
      </c>
      <c r="O177" s="51" t="str">
        <f>IF(B177="","",IF(ISNA(VLOOKUP(A177,Vortex!F$5:J$302,2,FALSE)),"",VLOOKUP(A177,Vortex!F$5:J$302,2,FALSE)))</f>
        <v/>
      </c>
      <c r="P177" s="51">
        <f>IF(B177="",0,IF(ISNA(VLOOKUP(A177,Vortex!F$5:J$302,5,FALSE)),0,VLOOKUP(A177,Vortex!F$5:J$302,5,FALSE)))</f>
        <v>0</v>
      </c>
      <c r="Q177" s="51">
        <f t="shared" si="19"/>
        <v>0</v>
      </c>
      <c r="R177" s="51" t="str">
        <f t="shared" si="15"/>
        <v/>
      </c>
      <c r="S177" s="51" t="str">
        <f t="shared" si="16"/>
        <v/>
      </c>
      <c r="T177" s="51" t="str">
        <f t="shared" si="17"/>
        <v/>
      </c>
      <c r="U177" s="51" t="str">
        <f t="shared" si="18"/>
        <v/>
      </c>
      <c r="V177" s="39"/>
      <c r="W177" s="9"/>
      <c r="X177" s="9"/>
      <c r="Y177" s="9"/>
    </row>
    <row r="178" spans="1:41" ht="20" customHeight="1">
      <c r="A178" s="51" t="str">
        <f>IF(Declarations!B130=0,"",Declarations!B130)</f>
        <v/>
      </c>
      <c r="B178" s="161" t="str">
        <f>IF(ISNA(VLOOKUP(A178,Declarations!B$6:C$293,2,FALSE)),"",IF(VLOOKUP(A178,Declarations!B$6:C$293,2,FALSE)="","",VLOOKUP(A178,Declarations!B$6:C$293,2,FALSE)))</f>
        <v/>
      </c>
      <c r="C178" s="161" t="str">
        <f>IF(ISNA(VLOOKUP(A178,Declarations!B$6:F$293,5,FALSE)),"",IF(VLOOKUP(A178,Declarations!B$6:F$293,5,FALSE)="","",VLOOKUP(A178,Declarations!B$6:F$293,5,FALSE)))</f>
        <v/>
      </c>
      <c r="D178" s="161" t="str">
        <f>IF(ISNA(VLOOKUP(A178,Declarations!B$6:F$293,4,FALSE)),"",IF(VLOOKUP(A178,Declarations!B$6:F$293,4,FALSE)="","",VLOOKUP(A178,Declarations!B$6:F$293,4,FALSE)))</f>
        <v/>
      </c>
      <c r="E178" s="161" t="str">
        <f>IF(ISNA(VLOOKUP(A178,Declarations!B$6:D$293,3,FALSE)),"",IF(VLOOKUP(A178,Declarations!B$6:D$293,3,FALSE)="","",VLOOKUP(A178,Declarations!B$6:D$293,3,FALSE)))</f>
        <v/>
      </c>
      <c r="F178" s="51" t="str">
        <f>IF(B178="","",IF(ISNA(VLOOKUP(A178,'75m'!F$5:G$302,2,FALSE)),"",VLOOKUP(A178,'75m'!F$5:G$302,2,FALSE)))</f>
        <v/>
      </c>
      <c r="G178" s="51">
        <f>IF(B178="",0,IF(ISNA(VLOOKUP(A178,'75m'!F$5:J$302,5,FALSE)),0,VLOOKUP(A178,'75m'!F$5:J$302,5,FALSE)))</f>
        <v>0</v>
      </c>
      <c r="H178" s="51" t="str">
        <f>IF(B178="","",IF(ISNA(VLOOKUP(A178,'75m'!F$5:K$302,6,FALSE)),"",VLOOKUP(A178,'75m'!F$5:K$302,6,FALSE)))</f>
        <v/>
      </c>
      <c r="I178" s="53">
        <f>IF(B178="",0,IF(ISNA(VLOOKUP(A178,'600m'!F$5:J$302,2,FALSE)),0,VLOOKUP(A178,'600m'!F$5:J$302,2,FALSE)))</f>
        <v>0</v>
      </c>
      <c r="J178" s="51">
        <f>IF(B178="",0,IF(ISNA(VLOOKUP(A178,'600m'!F$5:J$302,5,FALSE)),0,VLOOKUP(A178,'600m'!F$5:J$302,5,FALSE)))</f>
        <v>0</v>
      </c>
      <c r="K178" s="51" t="str">
        <f>IF(B178="","",IF(ISNA(VLOOKUP(A178,'600m'!F$5:K$302,6,FALSE)),"",VLOOKUP(A178,'600m'!F$5:K$302,6,FALSE)))</f>
        <v/>
      </c>
      <c r="L178" s="51" t="str">
        <f>IF(B178="","",IF(ISNA(VLOOKUP(A178,LongJump!F$5:G$302,2,FALSE)),"",VLOOKUP(A178,LongJump!F$5:G$302,2,FALSE)))</f>
        <v/>
      </c>
      <c r="M178" s="51">
        <f>IF(B178="",0,IF(ISNA(VLOOKUP(A178,LongJump!F$5:J$302,5,FALSE)),0,VLOOKUP(A178,LongJump!F$5:J$302,5,FALSE)))</f>
        <v>0</v>
      </c>
      <c r="N178" s="51">
        <f>IF(B178="",0,IF(ISNA(VLOOKUP(A178,LongJump!F$5:K$302,6,FALSE)),0,VLOOKUP(A178,LongJump!F$5:K$302,6,FALSE)))</f>
        <v>0</v>
      </c>
      <c r="O178" s="51" t="str">
        <f>IF(B178="","",IF(ISNA(VLOOKUP(A178,Vortex!F$5:J$302,2,FALSE)),"",VLOOKUP(A178,Vortex!F$5:J$302,2,FALSE)))</f>
        <v/>
      </c>
      <c r="P178" s="51">
        <f>IF(B178="",0,IF(ISNA(VLOOKUP(A178,Vortex!F$5:J$302,5,FALSE)),0,VLOOKUP(A178,Vortex!F$5:J$302,5,FALSE)))</f>
        <v>0</v>
      </c>
      <c r="Q178" s="51">
        <f t="shared" si="19"/>
        <v>0</v>
      </c>
      <c r="R178" s="51" t="str">
        <f t="shared" si="15"/>
        <v/>
      </c>
      <c r="S178" s="51" t="str">
        <f t="shared" si="16"/>
        <v/>
      </c>
      <c r="T178" s="51" t="str">
        <f t="shared" si="17"/>
        <v/>
      </c>
      <c r="U178" s="51" t="str">
        <f t="shared" si="18"/>
        <v/>
      </c>
      <c r="V178" s="39"/>
      <c r="W178" s="9"/>
      <c r="X178" s="9"/>
      <c r="Y178" s="9"/>
    </row>
    <row r="179" spans="1:41" ht="20" customHeight="1">
      <c r="A179" s="51" t="str">
        <f>IF(Declarations!B131=0,"",Declarations!B131)</f>
        <v/>
      </c>
      <c r="B179" s="161" t="str">
        <f>IF(ISNA(VLOOKUP(A179,Declarations!B$6:C$293,2,FALSE)),"",IF(VLOOKUP(A179,Declarations!B$6:C$293,2,FALSE)="","",VLOOKUP(A179,Declarations!B$6:C$293,2,FALSE)))</f>
        <v/>
      </c>
      <c r="C179" s="161" t="str">
        <f>IF(ISNA(VLOOKUP(A179,Declarations!B$6:F$293,5,FALSE)),"",IF(VLOOKUP(A179,Declarations!B$6:F$293,5,FALSE)="","",VLOOKUP(A179,Declarations!B$6:F$293,5,FALSE)))</f>
        <v/>
      </c>
      <c r="D179" s="161" t="str">
        <f>IF(ISNA(VLOOKUP(A179,Declarations!B$6:F$293,4,FALSE)),"",IF(VLOOKUP(A179,Declarations!B$6:F$293,4,FALSE)="","",VLOOKUP(A179,Declarations!B$6:F$293,4,FALSE)))</f>
        <v/>
      </c>
      <c r="E179" s="161" t="str">
        <f>IF(ISNA(VLOOKUP(A179,Declarations!B$6:D$293,3,FALSE)),"",IF(VLOOKUP(A179,Declarations!B$6:D$293,3,FALSE)="","",VLOOKUP(A179,Declarations!B$6:D$293,3,FALSE)))</f>
        <v/>
      </c>
      <c r="F179" s="51" t="str">
        <f>IF(B179="","",IF(ISNA(VLOOKUP(A179,'75m'!F$5:G$302,2,FALSE)),"",VLOOKUP(A179,'75m'!F$5:G$302,2,FALSE)))</f>
        <v/>
      </c>
      <c r="G179" s="51">
        <f>IF(B179="",0,IF(ISNA(VLOOKUP(A179,'75m'!F$5:J$302,5,FALSE)),0,VLOOKUP(A179,'75m'!F$5:J$302,5,FALSE)))</f>
        <v>0</v>
      </c>
      <c r="H179" s="51" t="str">
        <f>IF(B179="","",IF(ISNA(VLOOKUP(A179,'75m'!F$5:K$302,6,FALSE)),"",VLOOKUP(A179,'75m'!F$5:K$302,6,FALSE)))</f>
        <v/>
      </c>
      <c r="I179" s="53">
        <f>IF(B179="",0,IF(ISNA(VLOOKUP(A179,'600m'!F$5:J$302,2,FALSE)),0,VLOOKUP(A179,'600m'!F$5:J$302,2,FALSE)))</f>
        <v>0</v>
      </c>
      <c r="J179" s="51">
        <f>IF(B179="",0,IF(ISNA(VLOOKUP(A179,'600m'!F$5:J$302,5,FALSE)),0,VLOOKUP(A179,'600m'!F$5:J$302,5,FALSE)))</f>
        <v>0</v>
      </c>
      <c r="K179" s="51" t="str">
        <f>IF(B179="","",IF(ISNA(VLOOKUP(A179,'600m'!F$5:K$302,6,FALSE)),"",VLOOKUP(A179,'600m'!F$5:K$302,6,FALSE)))</f>
        <v/>
      </c>
      <c r="L179" s="51" t="str">
        <f>IF(B179="","",IF(ISNA(VLOOKUP(A179,LongJump!F$5:G$302,2,FALSE)),"",VLOOKUP(A179,LongJump!F$5:G$302,2,FALSE)))</f>
        <v/>
      </c>
      <c r="M179" s="51">
        <f>IF(B179="",0,IF(ISNA(VLOOKUP(A179,LongJump!F$5:J$302,5,FALSE)),0,VLOOKUP(A179,LongJump!F$5:J$302,5,FALSE)))</f>
        <v>0</v>
      </c>
      <c r="N179" s="51">
        <f>IF(B179="",0,IF(ISNA(VLOOKUP(A179,LongJump!F$5:K$302,6,FALSE)),0,VLOOKUP(A179,LongJump!F$5:K$302,6,FALSE)))</f>
        <v>0</v>
      </c>
      <c r="O179" s="51" t="str">
        <f>IF(B179="","",IF(ISNA(VLOOKUP(A179,Vortex!F$5:J$302,2,FALSE)),"",VLOOKUP(A179,Vortex!F$5:J$302,2,FALSE)))</f>
        <v/>
      </c>
      <c r="P179" s="51">
        <f>IF(B179="",0,IF(ISNA(VLOOKUP(A179,Vortex!F$5:J$302,5,FALSE)),0,VLOOKUP(A179,Vortex!F$5:J$302,5,FALSE)))</f>
        <v>0</v>
      </c>
      <c r="Q179" s="51">
        <f t="shared" si="19"/>
        <v>0</v>
      </c>
      <c r="R179" s="51" t="str">
        <f t="shared" si="15"/>
        <v/>
      </c>
      <c r="S179" s="51" t="str">
        <f t="shared" si="16"/>
        <v/>
      </c>
      <c r="T179" s="51" t="str">
        <f t="shared" si="17"/>
        <v/>
      </c>
      <c r="U179" s="51" t="str">
        <f t="shared" si="18"/>
        <v/>
      </c>
      <c r="V179" s="39"/>
      <c r="W179" s="4"/>
      <c r="X179" s="4"/>
      <c r="Y179" s="4"/>
    </row>
    <row r="180" spans="1:41" ht="20" customHeight="1">
      <c r="A180" s="51" t="str">
        <f>IF(Declarations!B132=0,"",Declarations!B132)</f>
        <v/>
      </c>
      <c r="B180" s="161" t="str">
        <f>IF(ISNA(VLOOKUP(A180,Declarations!B$6:C$293,2,FALSE)),"",IF(VLOOKUP(A180,Declarations!B$6:C$293,2,FALSE)="","",VLOOKUP(A180,Declarations!B$6:C$293,2,FALSE)))</f>
        <v/>
      </c>
      <c r="C180" s="161" t="str">
        <f>IF(ISNA(VLOOKUP(A180,Declarations!B$6:F$293,5,FALSE)),"",IF(VLOOKUP(A180,Declarations!B$6:F$293,5,FALSE)="","",VLOOKUP(A180,Declarations!B$6:F$293,5,FALSE)))</f>
        <v/>
      </c>
      <c r="D180" s="161" t="str">
        <f>IF(ISNA(VLOOKUP(A180,Declarations!B$6:F$293,4,FALSE)),"",IF(VLOOKUP(A180,Declarations!B$6:F$293,4,FALSE)="","",VLOOKUP(A180,Declarations!B$6:F$293,4,FALSE)))</f>
        <v/>
      </c>
      <c r="E180" s="161" t="str">
        <f>IF(ISNA(VLOOKUP(A180,Declarations!B$6:D$293,3,FALSE)),"",IF(VLOOKUP(A180,Declarations!B$6:D$293,3,FALSE)="","",VLOOKUP(A180,Declarations!B$6:D$293,3,FALSE)))</f>
        <v/>
      </c>
      <c r="F180" s="51" t="str">
        <f>IF(B180="","",IF(ISNA(VLOOKUP(A180,'75m'!F$5:G$302,2,FALSE)),"",VLOOKUP(A180,'75m'!F$5:G$302,2,FALSE)))</f>
        <v/>
      </c>
      <c r="G180" s="51">
        <f>IF(B180="",0,IF(ISNA(VLOOKUP(A180,'75m'!F$5:J$302,5,FALSE)),0,VLOOKUP(A180,'75m'!F$5:J$302,5,FALSE)))</f>
        <v>0</v>
      </c>
      <c r="H180" s="51" t="str">
        <f>IF(B180="","",IF(ISNA(VLOOKUP(A180,'75m'!F$5:K$302,6,FALSE)),"",VLOOKUP(A180,'75m'!F$5:K$302,6,FALSE)))</f>
        <v/>
      </c>
      <c r="I180" s="53">
        <f>IF(B180="",0,IF(ISNA(VLOOKUP(A180,'600m'!F$5:J$302,2,FALSE)),0,VLOOKUP(A180,'600m'!F$5:J$302,2,FALSE)))</f>
        <v>0</v>
      </c>
      <c r="J180" s="51">
        <f>IF(B180="",0,IF(ISNA(VLOOKUP(A180,'600m'!F$5:J$302,5,FALSE)),0,VLOOKUP(A180,'600m'!F$5:J$302,5,FALSE)))</f>
        <v>0</v>
      </c>
      <c r="K180" s="51" t="str">
        <f>IF(B180="","",IF(ISNA(VLOOKUP(A180,'600m'!F$5:K$302,6,FALSE)),"",VLOOKUP(A180,'600m'!F$5:K$302,6,FALSE)))</f>
        <v/>
      </c>
      <c r="L180" s="51" t="str">
        <f>IF(B180="","",IF(ISNA(VLOOKUP(A180,LongJump!F$5:G$302,2,FALSE)),"",VLOOKUP(A180,LongJump!F$5:G$302,2,FALSE)))</f>
        <v/>
      </c>
      <c r="M180" s="51">
        <f>IF(B180="",0,IF(ISNA(VLOOKUP(A180,LongJump!F$5:J$302,5,FALSE)),0,VLOOKUP(A180,LongJump!F$5:J$302,5,FALSE)))</f>
        <v>0</v>
      </c>
      <c r="N180" s="51">
        <f>IF(B180="",0,IF(ISNA(VLOOKUP(A180,LongJump!F$5:K$302,6,FALSE)),0,VLOOKUP(A180,LongJump!F$5:K$302,6,FALSE)))</f>
        <v>0</v>
      </c>
      <c r="O180" s="51" t="str">
        <f>IF(B180="","",IF(ISNA(VLOOKUP(A180,Vortex!F$5:J$302,2,FALSE)),"",VLOOKUP(A180,Vortex!F$5:J$302,2,FALSE)))</f>
        <v/>
      </c>
      <c r="P180" s="51">
        <f>IF(B180="",0,IF(ISNA(VLOOKUP(A180,Vortex!F$5:J$302,5,FALSE)),0,VLOOKUP(A180,Vortex!F$5:J$302,5,FALSE)))</f>
        <v>0</v>
      </c>
      <c r="Q180" s="51">
        <f t="shared" si="19"/>
        <v>0</v>
      </c>
      <c r="R180" s="51" t="str">
        <f t="shared" si="15"/>
        <v/>
      </c>
      <c r="S180" s="51" t="str">
        <f t="shared" si="16"/>
        <v/>
      </c>
      <c r="T180" s="51" t="str">
        <f t="shared" si="17"/>
        <v/>
      </c>
      <c r="U180" s="51" t="str">
        <f t="shared" si="18"/>
        <v/>
      </c>
      <c r="V180" s="39"/>
      <c r="W180" s="4"/>
      <c r="X180" s="4"/>
      <c r="Y180" s="4"/>
    </row>
    <row r="181" spans="1:41" ht="20" customHeight="1">
      <c r="A181" s="51" t="str">
        <f>IF(Declarations!B133=0,"",Declarations!B133)</f>
        <v/>
      </c>
      <c r="B181" s="161" t="str">
        <f>IF(ISNA(VLOOKUP(A181,Declarations!B$6:C$293,2,FALSE)),"",IF(VLOOKUP(A181,Declarations!B$6:C$293,2,FALSE)="","",VLOOKUP(A181,Declarations!B$6:C$293,2,FALSE)))</f>
        <v/>
      </c>
      <c r="C181" s="161" t="str">
        <f>IF(ISNA(VLOOKUP(A181,Declarations!B$6:F$293,5,FALSE)),"",IF(VLOOKUP(A181,Declarations!B$6:F$293,5,FALSE)="","",VLOOKUP(A181,Declarations!B$6:F$293,5,FALSE)))</f>
        <v/>
      </c>
      <c r="D181" s="161" t="str">
        <f>IF(ISNA(VLOOKUP(A181,Declarations!B$6:F$293,4,FALSE)),"",IF(VLOOKUP(A181,Declarations!B$6:F$293,4,FALSE)="","",VLOOKUP(A181,Declarations!B$6:F$293,4,FALSE)))</f>
        <v/>
      </c>
      <c r="E181" s="161" t="str">
        <f>IF(ISNA(VLOOKUP(A181,Declarations!B$6:D$293,3,FALSE)),"",IF(VLOOKUP(A181,Declarations!B$6:D$293,3,FALSE)="","",VLOOKUP(A181,Declarations!B$6:D$293,3,FALSE)))</f>
        <v/>
      </c>
      <c r="F181" s="51" t="str">
        <f>IF(B181="","",IF(ISNA(VLOOKUP(A181,'75m'!F$5:G$302,2,FALSE)),"",VLOOKUP(A181,'75m'!F$5:G$302,2,FALSE)))</f>
        <v/>
      </c>
      <c r="G181" s="51">
        <f>IF(B181="",0,IF(ISNA(VLOOKUP(A181,'75m'!F$5:J$302,5,FALSE)),0,VLOOKUP(A181,'75m'!F$5:J$302,5,FALSE)))</f>
        <v>0</v>
      </c>
      <c r="H181" s="51" t="str">
        <f>IF(B181="","",IF(ISNA(VLOOKUP(A181,'75m'!F$5:K$302,6,FALSE)),"",VLOOKUP(A181,'75m'!F$5:K$302,6,FALSE)))</f>
        <v/>
      </c>
      <c r="I181" s="53">
        <f>IF(B181="",0,IF(ISNA(VLOOKUP(A181,'600m'!F$5:J$302,2,FALSE)),0,VLOOKUP(A181,'600m'!F$5:J$302,2,FALSE)))</f>
        <v>0</v>
      </c>
      <c r="J181" s="51">
        <f>IF(B181="",0,IF(ISNA(VLOOKUP(A181,'600m'!F$5:J$302,5,FALSE)),0,VLOOKUP(A181,'600m'!F$5:J$302,5,FALSE)))</f>
        <v>0</v>
      </c>
      <c r="K181" s="51" t="str">
        <f>IF(B181="","",IF(ISNA(VLOOKUP(A181,'600m'!F$5:K$302,6,FALSE)),"",VLOOKUP(A181,'600m'!F$5:K$302,6,FALSE)))</f>
        <v/>
      </c>
      <c r="L181" s="51" t="str">
        <f>IF(B181="","",IF(ISNA(VLOOKUP(A181,LongJump!F$5:G$302,2,FALSE)),"",VLOOKUP(A181,LongJump!F$5:G$302,2,FALSE)))</f>
        <v/>
      </c>
      <c r="M181" s="51">
        <f>IF(B181="",0,IF(ISNA(VLOOKUP(A181,LongJump!F$5:J$302,5,FALSE)),0,VLOOKUP(A181,LongJump!F$5:J$302,5,FALSE)))</f>
        <v>0</v>
      </c>
      <c r="N181" s="51">
        <f>IF(B181="",0,IF(ISNA(VLOOKUP(A181,LongJump!F$5:K$302,6,FALSE)),0,VLOOKUP(A181,LongJump!F$5:K$302,6,FALSE)))</f>
        <v>0</v>
      </c>
      <c r="O181" s="51" t="str">
        <f>IF(B181="","",IF(ISNA(VLOOKUP(A181,Vortex!F$5:J$302,2,FALSE)),"",VLOOKUP(A181,Vortex!F$5:J$302,2,FALSE)))</f>
        <v/>
      </c>
      <c r="P181" s="51">
        <f>IF(B181="",0,IF(ISNA(VLOOKUP(A181,Vortex!F$5:J$302,5,FALSE)),0,VLOOKUP(A181,Vortex!F$5:J$302,5,FALSE)))</f>
        <v>0</v>
      </c>
      <c r="Q181" s="51">
        <f t="shared" si="19"/>
        <v>0</v>
      </c>
      <c r="R181" s="51" t="str">
        <f t="shared" si="15"/>
        <v/>
      </c>
      <c r="S181" s="51" t="str">
        <f t="shared" si="16"/>
        <v/>
      </c>
      <c r="T181" s="51" t="str">
        <f t="shared" si="17"/>
        <v/>
      </c>
      <c r="U181" s="51" t="str">
        <f t="shared" si="18"/>
        <v/>
      </c>
      <c r="V181" s="39"/>
      <c r="W181" s="4"/>
      <c r="X181" s="4"/>
      <c r="Y181" s="4"/>
    </row>
    <row r="182" spans="1:41" ht="20" customHeight="1">
      <c r="A182" s="51" t="str">
        <f>IF(Declarations!B134=0,"",Declarations!B134)</f>
        <v/>
      </c>
      <c r="B182" s="161" t="str">
        <f>IF(ISNA(VLOOKUP(A182,Declarations!B$6:C$293,2,FALSE)),"",IF(VLOOKUP(A182,Declarations!B$6:C$293,2,FALSE)="","",VLOOKUP(A182,Declarations!B$6:C$293,2,FALSE)))</f>
        <v/>
      </c>
      <c r="C182" s="161" t="str">
        <f>IF(ISNA(VLOOKUP(A182,Declarations!B$6:F$293,5,FALSE)),"",IF(VLOOKUP(A182,Declarations!B$6:F$293,5,FALSE)="","",VLOOKUP(A182,Declarations!B$6:F$293,5,FALSE)))</f>
        <v/>
      </c>
      <c r="D182" s="161" t="str">
        <f>IF(ISNA(VLOOKUP(A182,Declarations!B$6:F$293,4,FALSE)),"",IF(VLOOKUP(A182,Declarations!B$6:F$293,4,FALSE)="","",VLOOKUP(A182,Declarations!B$6:F$293,4,FALSE)))</f>
        <v/>
      </c>
      <c r="E182" s="161" t="str">
        <f>IF(ISNA(VLOOKUP(A182,Declarations!B$6:D$293,3,FALSE)),"",IF(VLOOKUP(A182,Declarations!B$6:D$293,3,FALSE)="","",VLOOKUP(A182,Declarations!B$6:D$293,3,FALSE)))</f>
        <v/>
      </c>
      <c r="F182" s="51" t="str">
        <f>IF(B182="","",IF(ISNA(VLOOKUP(A182,'75m'!F$5:G$302,2,FALSE)),"",VLOOKUP(A182,'75m'!F$5:G$302,2,FALSE)))</f>
        <v/>
      </c>
      <c r="G182" s="51">
        <f>IF(B182="",0,IF(ISNA(VLOOKUP(A182,'75m'!F$5:J$302,5,FALSE)),0,VLOOKUP(A182,'75m'!F$5:J$302,5,FALSE)))</f>
        <v>0</v>
      </c>
      <c r="H182" s="51" t="str">
        <f>IF(B182="","",IF(ISNA(VLOOKUP(A182,'75m'!F$5:K$302,6,FALSE)),"",VLOOKUP(A182,'75m'!F$5:K$302,6,FALSE)))</f>
        <v/>
      </c>
      <c r="I182" s="53">
        <f>IF(B182="",0,IF(ISNA(VLOOKUP(A182,'600m'!F$5:J$302,2,FALSE)),0,VLOOKUP(A182,'600m'!F$5:J$302,2,FALSE)))</f>
        <v>0</v>
      </c>
      <c r="J182" s="51">
        <f>IF(B182="",0,IF(ISNA(VLOOKUP(A182,'600m'!F$5:J$302,5,FALSE)),0,VLOOKUP(A182,'600m'!F$5:J$302,5,FALSE)))</f>
        <v>0</v>
      </c>
      <c r="K182" s="51" t="str">
        <f>IF(B182="","",IF(ISNA(VLOOKUP(A182,'600m'!F$5:K$302,6,FALSE)),"",VLOOKUP(A182,'600m'!F$5:K$302,6,FALSE)))</f>
        <v/>
      </c>
      <c r="L182" s="51" t="str">
        <f>IF(B182="","",IF(ISNA(VLOOKUP(A182,LongJump!F$5:G$302,2,FALSE)),"",VLOOKUP(A182,LongJump!F$5:G$302,2,FALSE)))</f>
        <v/>
      </c>
      <c r="M182" s="51">
        <f>IF(B182="",0,IF(ISNA(VLOOKUP(A182,LongJump!F$5:J$302,5,FALSE)),0,VLOOKUP(A182,LongJump!F$5:J$302,5,FALSE)))</f>
        <v>0</v>
      </c>
      <c r="N182" s="51">
        <f>IF(B182="",0,IF(ISNA(VLOOKUP(A182,LongJump!F$5:K$302,6,FALSE)),0,VLOOKUP(A182,LongJump!F$5:K$302,6,FALSE)))</f>
        <v>0</v>
      </c>
      <c r="O182" s="51" t="str">
        <f>IF(B182="","",IF(ISNA(VLOOKUP(A182,Vortex!F$5:J$302,2,FALSE)),"",VLOOKUP(A182,Vortex!F$5:J$302,2,FALSE)))</f>
        <v/>
      </c>
      <c r="P182" s="51">
        <f>IF(B182="",0,IF(ISNA(VLOOKUP(A182,Vortex!F$5:J$302,5,FALSE)),0,VLOOKUP(A182,Vortex!F$5:J$302,5,FALSE)))</f>
        <v>0</v>
      </c>
      <c r="Q182" s="51">
        <f t="shared" si="19"/>
        <v>0</v>
      </c>
      <c r="R182" s="51" t="str">
        <f t="shared" ref="R182:R245" si="20">IF(OR($Q182=0,$E182&lt;&gt;"U10"),"",COUNTIFS($C$54:$C$341, $C182, $D$54:$D$341, $D182, $E$54:$E$341, $E182, $Q$54:$Q$341,"&gt;"&amp;$Q182)+1)</f>
        <v/>
      </c>
      <c r="S182" s="51" t="str">
        <f t="shared" ref="S182:S245" si="21">IF(OR($Q182=0,$E182&lt;&gt;"U12"),"",COUNTIFS($C$54:$C$341, $C182, $D$54:$D$341, $D182, $E$54:$E$341, $E182, $Q$54:$Q$341,"&gt;"&amp;$Q182)+1)</f>
        <v/>
      </c>
      <c r="T182" s="51" t="str">
        <f t="shared" ref="T182:T245" si="22">IF(OR($Q182=0,$E182&lt;&gt;"U10"),"",COUNTIFS($D$54:$D$341, $D182,$E$54:$E$341,$E182,$Q$54:$Q$341,"&gt;"&amp;$Q182)+1)</f>
        <v/>
      </c>
      <c r="U182" s="51" t="str">
        <f t="shared" ref="U182:U245" si="23">IF(OR($Q182=0,$E182&lt;&gt;"U12"),"",COUNTIFS($D$54:$D$341, $D182,$E$54:$E$341,$E182,$Q$54:$Q$341,"&gt;"&amp;$Q182)+1)</f>
        <v/>
      </c>
      <c r="V182" s="39"/>
      <c r="W182" s="4"/>
      <c r="X182" s="4"/>
      <c r="Y182" s="4"/>
    </row>
    <row r="183" spans="1:41" ht="20" customHeight="1">
      <c r="A183" s="51" t="str">
        <f>IF(Declarations!B135=0,"",Declarations!B135)</f>
        <v/>
      </c>
      <c r="B183" s="161" t="str">
        <f>IF(ISNA(VLOOKUP(A183,Declarations!B$6:C$293,2,FALSE)),"",IF(VLOOKUP(A183,Declarations!B$6:C$293,2,FALSE)="","",VLOOKUP(A183,Declarations!B$6:C$293,2,FALSE)))</f>
        <v/>
      </c>
      <c r="C183" s="161" t="str">
        <f>IF(ISNA(VLOOKUP(A183,Declarations!B$6:F$293,5,FALSE)),"",IF(VLOOKUP(A183,Declarations!B$6:F$293,5,FALSE)="","",VLOOKUP(A183,Declarations!B$6:F$293,5,FALSE)))</f>
        <v/>
      </c>
      <c r="D183" s="161" t="str">
        <f>IF(ISNA(VLOOKUP(A183,Declarations!B$6:F$293,4,FALSE)),"",IF(VLOOKUP(A183,Declarations!B$6:F$293,4,FALSE)="","",VLOOKUP(A183,Declarations!B$6:F$293,4,FALSE)))</f>
        <v/>
      </c>
      <c r="E183" s="161" t="str">
        <f>IF(ISNA(VLOOKUP(A183,Declarations!B$6:D$293,3,FALSE)),"",IF(VLOOKUP(A183,Declarations!B$6:D$293,3,FALSE)="","",VLOOKUP(A183,Declarations!B$6:D$293,3,FALSE)))</f>
        <v/>
      </c>
      <c r="F183" s="51" t="str">
        <f>IF(B183="","",IF(ISNA(VLOOKUP(A183,'75m'!F$5:G$302,2,FALSE)),"",VLOOKUP(A183,'75m'!F$5:G$302,2,FALSE)))</f>
        <v/>
      </c>
      <c r="G183" s="51">
        <f>IF(B183="",0,IF(ISNA(VLOOKUP(A183,'75m'!F$5:J$302,5,FALSE)),0,VLOOKUP(A183,'75m'!F$5:J$302,5,FALSE)))</f>
        <v>0</v>
      </c>
      <c r="H183" s="51" t="str">
        <f>IF(B183="","",IF(ISNA(VLOOKUP(A183,'75m'!F$5:K$302,6,FALSE)),"",VLOOKUP(A183,'75m'!F$5:K$302,6,FALSE)))</f>
        <v/>
      </c>
      <c r="I183" s="53">
        <f>IF(B183="",0,IF(ISNA(VLOOKUP(A183,'600m'!F$5:J$302,2,FALSE)),0,VLOOKUP(A183,'600m'!F$5:J$302,2,FALSE)))</f>
        <v>0</v>
      </c>
      <c r="J183" s="51">
        <f>IF(B183="",0,IF(ISNA(VLOOKUP(A183,'600m'!F$5:J$302,5,FALSE)),0,VLOOKUP(A183,'600m'!F$5:J$302,5,FALSE)))</f>
        <v>0</v>
      </c>
      <c r="K183" s="51" t="str">
        <f>IF(B183="","",IF(ISNA(VLOOKUP(A183,'600m'!F$5:K$302,6,FALSE)),"",VLOOKUP(A183,'600m'!F$5:K$302,6,FALSE)))</f>
        <v/>
      </c>
      <c r="L183" s="51" t="str">
        <f>IF(B183="","",IF(ISNA(VLOOKUP(A183,LongJump!F$5:G$302,2,FALSE)),"",VLOOKUP(A183,LongJump!F$5:G$302,2,FALSE)))</f>
        <v/>
      </c>
      <c r="M183" s="51">
        <f>IF(B183="",0,IF(ISNA(VLOOKUP(A183,LongJump!F$5:J$302,5,FALSE)),0,VLOOKUP(A183,LongJump!F$5:J$302,5,FALSE)))</f>
        <v>0</v>
      </c>
      <c r="N183" s="51">
        <f>IF(B183="",0,IF(ISNA(VLOOKUP(A183,LongJump!F$5:K$302,6,FALSE)),0,VLOOKUP(A183,LongJump!F$5:K$302,6,FALSE)))</f>
        <v>0</v>
      </c>
      <c r="O183" s="51" t="str">
        <f>IF(B183="","",IF(ISNA(VLOOKUP(A183,Vortex!F$5:J$302,2,FALSE)),"",VLOOKUP(A183,Vortex!F$5:J$302,2,FALSE)))</f>
        <v/>
      </c>
      <c r="P183" s="51">
        <f>IF(B183="",0,IF(ISNA(VLOOKUP(A183,Vortex!F$5:J$302,5,FALSE)),0,VLOOKUP(A183,Vortex!F$5:J$302,5,FALSE)))</f>
        <v>0</v>
      </c>
      <c r="Q183" s="51">
        <f t="shared" ref="Q183:Q246" si="24">G183+J183+M183+P183</f>
        <v>0</v>
      </c>
      <c r="R183" s="51" t="str">
        <f t="shared" si="20"/>
        <v/>
      </c>
      <c r="S183" s="51" t="str">
        <f t="shared" si="21"/>
        <v/>
      </c>
      <c r="T183" s="51" t="str">
        <f t="shared" si="22"/>
        <v/>
      </c>
      <c r="U183" s="51" t="str">
        <f t="shared" si="23"/>
        <v/>
      </c>
      <c r="V183" s="39"/>
    </row>
    <row r="184" spans="1:41" ht="20" customHeight="1">
      <c r="A184" s="51" t="str">
        <f>IF(Declarations!B136=0,"",Declarations!B136)</f>
        <v/>
      </c>
      <c r="B184" s="161" t="str">
        <f>IF(ISNA(VLOOKUP(A184,Declarations!B$6:C$293,2,FALSE)),"",IF(VLOOKUP(A184,Declarations!B$6:C$293,2,FALSE)="","",VLOOKUP(A184,Declarations!B$6:C$293,2,FALSE)))</f>
        <v/>
      </c>
      <c r="C184" s="161" t="str">
        <f>IF(ISNA(VLOOKUP(A184,Declarations!B$6:F$293,5,FALSE)),"",IF(VLOOKUP(A184,Declarations!B$6:F$293,5,FALSE)="","",VLOOKUP(A184,Declarations!B$6:F$293,5,FALSE)))</f>
        <v/>
      </c>
      <c r="D184" s="161" t="str">
        <f>IF(ISNA(VLOOKUP(A184,Declarations!B$6:F$293,4,FALSE)),"",IF(VLOOKUP(A184,Declarations!B$6:F$293,4,FALSE)="","",VLOOKUP(A184,Declarations!B$6:F$293,4,FALSE)))</f>
        <v/>
      </c>
      <c r="E184" s="161" t="str">
        <f>IF(ISNA(VLOOKUP(A184,Declarations!B$6:D$293,3,FALSE)),"",IF(VLOOKUP(A184,Declarations!B$6:D$293,3,FALSE)="","",VLOOKUP(A184,Declarations!B$6:D$293,3,FALSE)))</f>
        <v/>
      </c>
      <c r="F184" s="51" t="str">
        <f>IF(B184="","",IF(ISNA(VLOOKUP(A184,'75m'!F$5:G$302,2,FALSE)),"",VLOOKUP(A184,'75m'!F$5:G$302,2,FALSE)))</f>
        <v/>
      </c>
      <c r="G184" s="51">
        <f>IF(B184="",0,IF(ISNA(VLOOKUP(A184,'75m'!F$5:J$302,5,FALSE)),0,VLOOKUP(A184,'75m'!F$5:J$302,5,FALSE)))</f>
        <v>0</v>
      </c>
      <c r="H184" s="51" t="str">
        <f>IF(B184="","",IF(ISNA(VLOOKUP(A184,'75m'!F$5:K$302,6,FALSE)),"",VLOOKUP(A184,'75m'!F$5:K$302,6,FALSE)))</f>
        <v/>
      </c>
      <c r="I184" s="53">
        <f>IF(B184="",0,IF(ISNA(VLOOKUP(A184,'600m'!F$5:J$302,2,FALSE)),0,VLOOKUP(A184,'600m'!F$5:J$302,2,FALSE)))</f>
        <v>0</v>
      </c>
      <c r="J184" s="51">
        <f>IF(B184="",0,IF(ISNA(VLOOKUP(A184,'600m'!F$5:J$302,5,FALSE)),0,VLOOKUP(A184,'600m'!F$5:J$302,5,FALSE)))</f>
        <v>0</v>
      </c>
      <c r="K184" s="51" t="str">
        <f>IF(B184="","",IF(ISNA(VLOOKUP(A184,'600m'!F$5:K$302,6,FALSE)),"",VLOOKUP(A184,'600m'!F$5:K$302,6,FALSE)))</f>
        <v/>
      </c>
      <c r="L184" s="51" t="str">
        <f>IF(B184="","",IF(ISNA(VLOOKUP(A184,LongJump!F$5:G$302,2,FALSE)),"",VLOOKUP(A184,LongJump!F$5:G$302,2,FALSE)))</f>
        <v/>
      </c>
      <c r="M184" s="51">
        <f>IF(B184="",0,IF(ISNA(VLOOKUP(A184,LongJump!F$5:J$302,5,FALSE)),0,VLOOKUP(A184,LongJump!F$5:J$302,5,FALSE)))</f>
        <v>0</v>
      </c>
      <c r="N184" s="51">
        <f>IF(B184="",0,IF(ISNA(VLOOKUP(A184,LongJump!F$5:K$302,6,FALSE)),0,VLOOKUP(A184,LongJump!F$5:K$302,6,FALSE)))</f>
        <v>0</v>
      </c>
      <c r="O184" s="51" t="str">
        <f>IF(B184="","",IF(ISNA(VLOOKUP(A184,Vortex!F$5:J$302,2,FALSE)),"",VLOOKUP(A184,Vortex!F$5:J$302,2,FALSE)))</f>
        <v/>
      </c>
      <c r="P184" s="51">
        <f>IF(B184="",0,IF(ISNA(VLOOKUP(A184,Vortex!F$5:J$302,5,FALSE)),0,VLOOKUP(A184,Vortex!F$5:J$302,5,FALSE)))</f>
        <v>0</v>
      </c>
      <c r="Q184" s="51">
        <f t="shared" si="24"/>
        <v>0</v>
      </c>
      <c r="R184" s="51" t="str">
        <f t="shared" si="20"/>
        <v/>
      </c>
      <c r="S184" s="51" t="str">
        <f t="shared" si="21"/>
        <v/>
      </c>
      <c r="T184" s="51" t="str">
        <f t="shared" si="22"/>
        <v/>
      </c>
      <c r="U184" s="51" t="str">
        <f t="shared" si="23"/>
        <v/>
      </c>
      <c r="V184" s="39"/>
    </row>
    <row r="185" spans="1:41" ht="20" customHeight="1">
      <c r="A185" s="51" t="str">
        <f>IF(Declarations!B137=0,"",Declarations!B137)</f>
        <v/>
      </c>
      <c r="B185" s="161" t="str">
        <f>IF(ISNA(VLOOKUP(A185,Declarations!B$6:C$293,2,FALSE)),"",IF(VLOOKUP(A185,Declarations!B$6:C$293,2,FALSE)="","",VLOOKUP(A185,Declarations!B$6:C$293,2,FALSE)))</f>
        <v/>
      </c>
      <c r="C185" s="161" t="str">
        <f>IF(ISNA(VLOOKUP(A185,Declarations!B$6:F$293,5,FALSE)),"",IF(VLOOKUP(A185,Declarations!B$6:F$293,5,FALSE)="","",VLOOKUP(A185,Declarations!B$6:F$293,5,FALSE)))</f>
        <v/>
      </c>
      <c r="D185" s="161" t="str">
        <f>IF(ISNA(VLOOKUP(A185,Declarations!B$6:F$293,4,FALSE)),"",IF(VLOOKUP(A185,Declarations!B$6:F$293,4,FALSE)="","",VLOOKUP(A185,Declarations!B$6:F$293,4,FALSE)))</f>
        <v/>
      </c>
      <c r="E185" s="161" t="str">
        <f>IF(ISNA(VLOOKUP(A185,Declarations!B$6:D$293,3,FALSE)),"",IF(VLOOKUP(A185,Declarations!B$6:D$293,3,FALSE)="","",VLOOKUP(A185,Declarations!B$6:D$293,3,FALSE)))</f>
        <v/>
      </c>
      <c r="F185" s="51" t="str">
        <f>IF(B185="","",IF(ISNA(VLOOKUP(A185,'75m'!F$5:G$302,2,FALSE)),"",VLOOKUP(A185,'75m'!F$5:G$302,2,FALSE)))</f>
        <v/>
      </c>
      <c r="G185" s="51">
        <f>IF(B185="",0,IF(ISNA(VLOOKUP(A185,'75m'!F$5:J$302,5,FALSE)),0,VLOOKUP(A185,'75m'!F$5:J$302,5,FALSE)))</f>
        <v>0</v>
      </c>
      <c r="H185" s="51" t="str">
        <f>IF(B185="","",IF(ISNA(VLOOKUP(A185,'75m'!F$5:K$302,6,FALSE)),"",VLOOKUP(A185,'75m'!F$5:K$302,6,FALSE)))</f>
        <v/>
      </c>
      <c r="I185" s="53">
        <f>IF(B185="",0,IF(ISNA(VLOOKUP(A185,'600m'!F$5:J$302,2,FALSE)),0,VLOOKUP(A185,'600m'!F$5:J$302,2,FALSE)))</f>
        <v>0</v>
      </c>
      <c r="J185" s="51">
        <f>IF(B185="",0,IF(ISNA(VLOOKUP(A185,'600m'!F$5:J$302,5,FALSE)),0,VLOOKUP(A185,'600m'!F$5:J$302,5,FALSE)))</f>
        <v>0</v>
      </c>
      <c r="K185" s="51" t="str">
        <f>IF(B185="","",IF(ISNA(VLOOKUP(A185,'600m'!F$5:K$302,6,FALSE)),"",VLOOKUP(A185,'600m'!F$5:K$302,6,FALSE)))</f>
        <v/>
      </c>
      <c r="L185" s="51" t="str">
        <f>IF(B185="","",IF(ISNA(VLOOKUP(A185,LongJump!F$5:G$302,2,FALSE)),"",VLOOKUP(A185,LongJump!F$5:G$302,2,FALSE)))</f>
        <v/>
      </c>
      <c r="M185" s="51">
        <f>IF(B185="",0,IF(ISNA(VLOOKUP(A185,LongJump!F$5:J$302,5,FALSE)),0,VLOOKUP(A185,LongJump!F$5:J$302,5,FALSE)))</f>
        <v>0</v>
      </c>
      <c r="N185" s="51">
        <f>IF(B185="",0,IF(ISNA(VLOOKUP(A185,LongJump!F$5:K$302,6,FALSE)),0,VLOOKUP(A185,LongJump!F$5:K$302,6,FALSE)))</f>
        <v>0</v>
      </c>
      <c r="O185" s="51" t="str">
        <f>IF(B185="","",IF(ISNA(VLOOKUP(A185,Vortex!F$5:J$302,2,FALSE)),"",VLOOKUP(A185,Vortex!F$5:J$302,2,FALSE)))</f>
        <v/>
      </c>
      <c r="P185" s="51">
        <f>IF(B185="",0,IF(ISNA(VLOOKUP(A185,Vortex!F$5:J$302,5,FALSE)),0,VLOOKUP(A185,Vortex!F$5:J$302,5,FALSE)))</f>
        <v>0</v>
      </c>
      <c r="Q185" s="51">
        <f t="shared" si="24"/>
        <v>0</v>
      </c>
      <c r="R185" s="51" t="str">
        <f t="shared" si="20"/>
        <v/>
      </c>
      <c r="S185" s="51" t="str">
        <f t="shared" si="21"/>
        <v/>
      </c>
      <c r="T185" s="51" t="str">
        <f t="shared" si="22"/>
        <v/>
      </c>
      <c r="U185" s="51" t="str">
        <f t="shared" si="23"/>
        <v/>
      </c>
      <c r="V185" s="39"/>
    </row>
    <row r="186" spans="1:41" ht="20" customHeight="1">
      <c r="A186" s="51" t="str">
        <f>IF(Declarations!B138=0,"",Declarations!B138)</f>
        <v/>
      </c>
      <c r="B186" s="161" t="str">
        <f>IF(ISNA(VLOOKUP(A186,Declarations!B$6:C$293,2,FALSE)),"",IF(VLOOKUP(A186,Declarations!B$6:C$293,2,FALSE)="","",VLOOKUP(A186,Declarations!B$6:C$293,2,FALSE)))</f>
        <v/>
      </c>
      <c r="C186" s="161" t="str">
        <f>IF(ISNA(VLOOKUP(A186,Declarations!B$6:F$293,5,FALSE)),"",IF(VLOOKUP(A186,Declarations!B$6:F$293,5,FALSE)="","",VLOOKUP(A186,Declarations!B$6:F$293,5,FALSE)))</f>
        <v/>
      </c>
      <c r="D186" s="161" t="str">
        <f>IF(ISNA(VLOOKUP(A186,Declarations!B$6:F$293,4,FALSE)),"",IF(VLOOKUP(A186,Declarations!B$6:F$293,4,FALSE)="","",VLOOKUP(A186,Declarations!B$6:F$293,4,FALSE)))</f>
        <v/>
      </c>
      <c r="E186" s="161" t="str">
        <f>IF(ISNA(VLOOKUP(A186,Declarations!B$6:D$293,3,FALSE)),"",IF(VLOOKUP(A186,Declarations!B$6:D$293,3,FALSE)="","",VLOOKUP(A186,Declarations!B$6:D$293,3,FALSE)))</f>
        <v/>
      </c>
      <c r="F186" s="51" t="str">
        <f>IF(B186="","",IF(ISNA(VLOOKUP(A186,'75m'!F$5:G$302,2,FALSE)),"",VLOOKUP(A186,'75m'!F$5:G$302,2,FALSE)))</f>
        <v/>
      </c>
      <c r="G186" s="51">
        <f>IF(B186="",0,IF(ISNA(VLOOKUP(A186,'75m'!F$5:J$302,5,FALSE)),0,VLOOKUP(A186,'75m'!F$5:J$302,5,FALSE)))</f>
        <v>0</v>
      </c>
      <c r="H186" s="51" t="str">
        <f>IF(B186="","",IF(ISNA(VLOOKUP(A186,'75m'!F$5:K$302,6,FALSE)),"",VLOOKUP(A186,'75m'!F$5:K$302,6,FALSE)))</f>
        <v/>
      </c>
      <c r="I186" s="53">
        <f>IF(B186="",0,IF(ISNA(VLOOKUP(A186,'600m'!F$5:J$302,2,FALSE)),0,VLOOKUP(A186,'600m'!F$5:J$302,2,FALSE)))</f>
        <v>0</v>
      </c>
      <c r="J186" s="51">
        <f>IF(B186="",0,IF(ISNA(VLOOKUP(A186,'600m'!F$5:J$302,5,FALSE)),0,VLOOKUP(A186,'600m'!F$5:J$302,5,FALSE)))</f>
        <v>0</v>
      </c>
      <c r="K186" s="51" t="str">
        <f>IF(B186="","",IF(ISNA(VLOOKUP(A186,'600m'!F$5:K$302,6,FALSE)),"",VLOOKUP(A186,'600m'!F$5:K$302,6,FALSE)))</f>
        <v/>
      </c>
      <c r="L186" s="51" t="str">
        <f>IF(B186="","",IF(ISNA(VLOOKUP(A186,LongJump!F$5:G$302,2,FALSE)),"",VLOOKUP(A186,LongJump!F$5:G$302,2,FALSE)))</f>
        <v/>
      </c>
      <c r="M186" s="51">
        <f>IF(B186="",0,IF(ISNA(VLOOKUP(A186,LongJump!F$5:J$302,5,FALSE)),0,VLOOKUP(A186,LongJump!F$5:J$302,5,FALSE)))</f>
        <v>0</v>
      </c>
      <c r="N186" s="51">
        <f>IF(B186="",0,IF(ISNA(VLOOKUP(A186,LongJump!F$5:K$302,6,FALSE)),0,VLOOKUP(A186,LongJump!F$5:K$302,6,FALSE)))</f>
        <v>0</v>
      </c>
      <c r="O186" s="51" t="str">
        <f>IF(B186="","",IF(ISNA(VLOOKUP(A186,Vortex!F$5:J$302,2,FALSE)),"",VLOOKUP(A186,Vortex!F$5:J$302,2,FALSE)))</f>
        <v/>
      </c>
      <c r="P186" s="51">
        <f>IF(B186="",0,IF(ISNA(VLOOKUP(A186,Vortex!F$5:J$302,5,FALSE)),0,VLOOKUP(A186,Vortex!F$5:J$302,5,FALSE)))</f>
        <v>0</v>
      </c>
      <c r="Q186" s="51">
        <f t="shared" si="24"/>
        <v>0</v>
      </c>
      <c r="R186" s="51" t="str">
        <f t="shared" si="20"/>
        <v/>
      </c>
      <c r="S186" s="51" t="str">
        <f t="shared" si="21"/>
        <v/>
      </c>
      <c r="T186" s="51" t="str">
        <f t="shared" si="22"/>
        <v/>
      </c>
      <c r="U186" s="51" t="str">
        <f t="shared" si="23"/>
        <v/>
      </c>
      <c r="V186" s="39"/>
      <c r="AL186" s="11"/>
      <c r="AM186" s="11"/>
      <c r="AN186" s="11"/>
      <c r="AO186" s="11"/>
    </row>
    <row r="187" spans="1:41" s="11" customFormat="1" ht="20" customHeight="1">
      <c r="A187" s="51" t="str">
        <f>IF(Declarations!B139=0,"",Declarations!B139)</f>
        <v/>
      </c>
      <c r="B187" s="161" t="str">
        <f>IF(ISNA(VLOOKUP(A187,Declarations!B$6:C$293,2,FALSE)),"",IF(VLOOKUP(A187,Declarations!B$6:C$293,2,FALSE)="","",VLOOKUP(A187,Declarations!B$6:C$293,2,FALSE)))</f>
        <v/>
      </c>
      <c r="C187" s="161" t="str">
        <f>IF(ISNA(VLOOKUP(A187,Declarations!B$6:F$293,5,FALSE)),"",IF(VLOOKUP(A187,Declarations!B$6:F$293,5,FALSE)="","",VLOOKUP(A187,Declarations!B$6:F$293,5,FALSE)))</f>
        <v/>
      </c>
      <c r="D187" s="161" t="str">
        <f>IF(ISNA(VLOOKUP(A187,Declarations!B$6:F$293,4,FALSE)),"",IF(VLOOKUP(A187,Declarations!B$6:F$293,4,FALSE)="","",VLOOKUP(A187,Declarations!B$6:F$293,4,FALSE)))</f>
        <v/>
      </c>
      <c r="E187" s="161" t="str">
        <f>IF(ISNA(VLOOKUP(A187,Declarations!B$6:D$293,3,FALSE)),"",IF(VLOOKUP(A187,Declarations!B$6:D$293,3,FALSE)="","",VLOOKUP(A187,Declarations!B$6:D$293,3,FALSE)))</f>
        <v/>
      </c>
      <c r="F187" s="51" t="str">
        <f>IF(B187="","",IF(ISNA(VLOOKUP(A187,'75m'!F$5:G$302,2,FALSE)),"",VLOOKUP(A187,'75m'!F$5:G$302,2,FALSE)))</f>
        <v/>
      </c>
      <c r="G187" s="51">
        <f>IF(B187="",0,IF(ISNA(VLOOKUP(A187,'75m'!F$5:J$302,5,FALSE)),0,VLOOKUP(A187,'75m'!F$5:J$302,5,FALSE)))</f>
        <v>0</v>
      </c>
      <c r="H187" s="51" t="str">
        <f>IF(B187="","",IF(ISNA(VLOOKUP(A187,'75m'!F$5:K$302,6,FALSE)),"",VLOOKUP(A187,'75m'!F$5:K$302,6,FALSE)))</f>
        <v/>
      </c>
      <c r="I187" s="53">
        <f>IF(B187="",0,IF(ISNA(VLOOKUP(A187,'600m'!F$5:J$302,2,FALSE)),0,VLOOKUP(A187,'600m'!F$5:J$302,2,FALSE)))</f>
        <v>0</v>
      </c>
      <c r="J187" s="51">
        <f>IF(B187="",0,IF(ISNA(VLOOKUP(A187,'600m'!F$5:J$302,5,FALSE)),0,VLOOKUP(A187,'600m'!F$5:J$302,5,FALSE)))</f>
        <v>0</v>
      </c>
      <c r="K187" s="51" t="str">
        <f>IF(B187="","",IF(ISNA(VLOOKUP(A187,'600m'!F$5:K$302,6,FALSE)),"",VLOOKUP(A187,'600m'!F$5:K$302,6,FALSE)))</f>
        <v/>
      </c>
      <c r="L187" s="51" t="str">
        <f>IF(B187="","",IF(ISNA(VLOOKUP(A187,LongJump!F$5:G$302,2,FALSE)),"",VLOOKUP(A187,LongJump!F$5:G$302,2,FALSE)))</f>
        <v/>
      </c>
      <c r="M187" s="51">
        <f>IF(B187="",0,IF(ISNA(VLOOKUP(A187,LongJump!F$5:J$302,5,FALSE)),0,VLOOKUP(A187,LongJump!F$5:J$302,5,FALSE)))</f>
        <v>0</v>
      </c>
      <c r="N187" s="51">
        <f>IF(B187="",0,IF(ISNA(VLOOKUP(A187,LongJump!F$5:K$302,6,FALSE)),0,VLOOKUP(A187,LongJump!F$5:K$302,6,FALSE)))</f>
        <v>0</v>
      </c>
      <c r="O187" s="51" t="str">
        <f>IF(B187="","",IF(ISNA(VLOOKUP(A187,Vortex!F$5:J$302,2,FALSE)),"",VLOOKUP(A187,Vortex!F$5:J$302,2,FALSE)))</f>
        <v/>
      </c>
      <c r="P187" s="51">
        <f>IF(B187="",0,IF(ISNA(VLOOKUP(A187,Vortex!F$5:J$302,5,FALSE)),0,VLOOKUP(A187,Vortex!F$5:J$302,5,FALSE)))</f>
        <v>0</v>
      </c>
      <c r="Q187" s="51">
        <f t="shared" si="24"/>
        <v>0</v>
      </c>
      <c r="R187" s="51" t="str">
        <f t="shared" si="20"/>
        <v/>
      </c>
      <c r="S187" s="51" t="str">
        <f t="shared" si="21"/>
        <v/>
      </c>
      <c r="T187" s="51" t="str">
        <f t="shared" si="22"/>
        <v/>
      </c>
      <c r="U187" s="51" t="str">
        <f t="shared" si="23"/>
        <v/>
      </c>
      <c r="V187" s="39"/>
      <c r="W187"/>
      <c r="X187"/>
      <c r="Y187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/>
      <c r="AL187"/>
      <c r="AM187"/>
      <c r="AN187"/>
      <c r="AO187"/>
    </row>
    <row r="188" spans="1:41" ht="20" customHeight="1">
      <c r="A188" s="51" t="str">
        <f>IF(Declarations!B140=0,"",Declarations!B140)</f>
        <v/>
      </c>
      <c r="B188" s="161" t="str">
        <f>IF(ISNA(VLOOKUP(A188,Declarations!B$6:C$293,2,FALSE)),"",IF(VLOOKUP(A188,Declarations!B$6:C$293,2,FALSE)="","",VLOOKUP(A188,Declarations!B$6:C$293,2,FALSE)))</f>
        <v/>
      </c>
      <c r="C188" s="161" t="str">
        <f>IF(ISNA(VLOOKUP(A188,Declarations!B$6:F$293,5,FALSE)),"",IF(VLOOKUP(A188,Declarations!B$6:F$293,5,FALSE)="","",VLOOKUP(A188,Declarations!B$6:F$293,5,FALSE)))</f>
        <v/>
      </c>
      <c r="D188" s="161" t="str">
        <f>IF(ISNA(VLOOKUP(A188,Declarations!B$6:F$293,4,FALSE)),"",IF(VLOOKUP(A188,Declarations!B$6:F$293,4,FALSE)="","",VLOOKUP(A188,Declarations!B$6:F$293,4,FALSE)))</f>
        <v/>
      </c>
      <c r="E188" s="161" t="str">
        <f>IF(ISNA(VLOOKUP(A188,Declarations!B$6:D$293,3,FALSE)),"",IF(VLOOKUP(A188,Declarations!B$6:D$293,3,FALSE)="","",VLOOKUP(A188,Declarations!B$6:D$293,3,FALSE)))</f>
        <v/>
      </c>
      <c r="F188" s="51" t="str">
        <f>IF(B188="","",IF(ISNA(VLOOKUP(A188,'75m'!F$5:G$302,2,FALSE)),"",VLOOKUP(A188,'75m'!F$5:G$302,2,FALSE)))</f>
        <v/>
      </c>
      <c r="G188" s="51">
        <f>IF(B188="",0,IF(ISNA(VLOOKUP(A188,'75m'!F$5:J$302,5,FALSE)),0,VLOOKUP(A188,'75m'!F$5:J$302,5,FALSE)))</f>
        <v>0</v>
      </c>
      <c r="H188" s="51" t="str">
        <f>IF(B188="","",IF(ISNA(VLOOKUP(A188,'75m'!F$5:K$302,6,FALSE)),"",VLOOKUP(A188,'75m'!F$5:K$302,6,FALSE)))</f>
        <v/>
      </c>
      <c r="I188" s="53">
        <f>IF(B188="",0,IF(ISNA(VLOOKUP(A188,'600m'!F$5:J$302,2,FALSE)),0,VLOOKUP(A188,'600m'!F$5:J$302,2,FALSE)))</f>
        <v>0</v>
      </c>
      <c r="J188" s="51">
        <f>IF(B188="",0,IF(ISNA(VLOOKUP(A188,'600m'!F$5:J$302,5,FALSE)),0,VLOOKUP(A188,'600m'!F$5:J$302,5,FALSE)))</f>
        <v>0</v>
      </c>
      <c r="K188" s="51" t="str">
        <f>IF(B188="","",IF(ISNA(VLOOKUP(A188,'600m'!F$5:K$302,6,FALSE)),"",VLOOKUP(A188,'600m'!F$5:K$302,6,FALSE)))</f>
        <v/>
      </c>
      <c r="L188" s="51" t="str">
        <f>IF(B188="","",IF(ISNA(VLOOKUP(A188,LongJump!F$5:G$302,2,FALSE)),"",VLOOKUP(A188,LongJump!F$5:G$302,2,FALSE)))</f>
        <v/>
      </c>
      <c r="M188" s="51">
        <f>IF(B188="",0,IF(ISNA(VLOOKUP(A188,LongJump!F$5:J$302,5,FALSE)),0,VLOOKUP(A188,LongJump!F$5:J$302,5,FALSE)))</f>
        <v>0</v>
      </c>
      <c r="N188" s="51">
        <f>IF(B188="",0,IF(ISNA(VLOOKUP(A188,LongJump!F$5:K$302,6,FALSE)),0,VLOOKUP(A188,LongJump!F$5:K$302,6,FALSE)))</f>
        <v>0</v>
      </c>
      <c r="O188" s="51" t="str">
        <f>IF(B188="","",IF(ISNA(VLOOKUP(A188,Vortex!F$5:J$302,2,FALSE)),"",VLOOKUP(A188,Vortex!F$5:J$302,2,FALSE)))</f>
        <v/>
      </c>
      <c r="P188" s="51">
        <f>IF(B188="",0,IF(ISNA(VLOOKUP(A188,Vortex!F$5:J$302,5,FALSE)),0,VLOOKUP(A188,Vortex!F$5:J$302,5,FALSE)))</f>
        <v>0</v>
      </c>
      <c r="Q188" s="51">
        <f t="shared" si="24"/>
        <v>0</v>
      </c>
      <c r="R188" s="51" t="str">
        <f t="shared" si="20"/>
        <v/>
      </c>
      <c r="S188" s="51" t="str">
        <f t="shared" si="21"/>
        <v/>
      </c>
      <c r="T188" s="51" t="str">
        <f t="shared" si="22"/>
        <v/>
      </c>
      <c r="U188" s="51" t="str">
        <f t="shared" si="23"/>
        <v/>
      </c>
      <c r="V188" s="39"/>
    </row>
    <row r="189" spans="1:41" ht="20" customHeight="1">
      <c r="A189" s="51" t="str">
        <f>IF(Declarations!B141=0,"",Declarations!B141)</f>
        <v/>
      </c>
      <c r="B189" s="161" t="str">
        <f>IF(ISNA(VLOOKUP(A189,Declarations!B$6:C$293,2,FALSE)),"",IF(VLOOKUP(A189,Declarations!B$6:C$293,2,FALSE)="","",VLOOKUP(A189,Declarations!B$6:C$293,2,FALSE)))</f>
        <v/>
      </c>
      <c r="C189" s="161" t="str">
        <f>IF(ISNA(VLOOKUP(A189,Declarations!B$6:F$293,5,FALSE)),"",IF(VLOOKUP(A189,Declarations!B$6:F$293,5,FALSE)="","",VLOOKUP(A189,Declarations!B$6:F$293,5,FALSE)))</f>
        <v/>
      </c>
      <c r="D189" s="161" t="str">
        <f>IF(ISNA(VLOOKUP(A189,Declarations!B$6:F$293,4,FALSE)),"",IF(VLOOKUP(A189,Declarations!B$6:F$293,4,FALSE)="","",VLOOKUP(A189,Declarations!B$6:F$293,4,FALSE)))</f>
        <v/>
      </c>
      <c r="E189" s="161" t="str">
        <f>IF(ISNA(VLOOKUP(A189,Declarations!B$6:D$293,3,FALSE)),"",IF(VLOOKUP(A189,Declarations!B$6:D$293,3,FALSE)="","",VLOOKUP(A189,Declarations!B$6:D$293,3,FALSE)))</f>
        <v/>
      </c>
      <c r="F189" s="51" t="str">
        <f>IF(B189="","",IF(ISNA(VLOOKUP(A189,'75m'!F$5:G$302,2,FALSE)),"",VLOOKUP(A189,'75m'!F$5:G$302,2,FALSE)))</f>
        <v/>
      </c>
      <c r="G189" s="51">
        <f>IF(B189="",0,IF(ISNA(VLOOKUP(A189,'75m'!F$5:J$302,5,FALSE)),0,VLOOKUP(A189,'75m'!F$5:J$302,5,FALSE)))</f>
        <v>0</v>
      </c>
      <c r="H189" s="51" t="str">
        <f>IF(B189="","",IF(ISNA(VLOOKUP(A189,'75m'!F$5:K$302,6,FALSE)),"",VLOOKUP(A189,'75m'!F$5:K$302,6,FALSE)))</f>
        <v/>
      </c>
      <c r="I189" s="53">
        <f>IF(B189="",0,IF(ISNA(VLOOKUP(A189,'600m'!F$5:J$302,2,FALSE)),0,VLOOKUP(A189,'600m'!F$5:J$302,2,FALSE)))</f>
        <v>0</v>
      </c>
      <c r="J189" s="51">
        <f>IF(B189="",0,IF(ISNA(VLOOKUP(A189,'600m'!F$5:J$302,5,FALSE)),0,VLOOKUP(A189,'600m'!F$5:J$302,5,FALSE)))</f>
        <v>0</v>
      </c>
      <c r="K189" s="51" t="str">
        <f>IF(B189="","",IF(ISNA(VLOOKUP(A189,'600m'!F$5:K$302,6,FALSE)),"",VLOOKUP(A189,'600m'!F$5:K$302,6,FALSE)))</f>
        <v/>
      </c>
      <c r="L189" s="51" t="str">
        <f>IF(B189="","",IF(ISNA(VLOOKUP(A189,LongJump!F$5:G$302,2,FALSE)),"",VLOOKUP(A189,LongJump!F$5:G$302,2,FALSE)))</f>
        <v/>
      </c>
      <c r="M189" s="51">
        <f>IF(B189="",0,IF(ISNA(VLOOKUP(A189,LongJump!F$5:J$302,5,FALSE)),0,VLOOKUP(A189,LongJump!F$5:J$302,5,FALSE)))</f>
        <v>0</v>
      </c>
      <c r="N189" s="51">
        <f>IF(B189="",0,IF(ISNA(VLOOKUP(A189,LongJump!F$5:K$302,6,FALSE)),0,VLOOKUP(A189,LongJump!F$5:K$302,6,FALSE)))</f>
        <v>0</v>
      </c>
      <c r="O189" s="51" t="str">
        <f>IF(B189="","",IF(ISNA(VLOOKUP(A189,Vortex!F$5:J$302,2,FALSE)),"",VLOOKUP(A189,Vortex!F$5:J$302,2,FALSE)))</f>
        <v/>
      </c>
      <c r="P189" s="51">
        <f>IF(B189="",0,IF(ISNA(VLOOKUP(A189,Vortex!F$5:J$302,5,FALSE)),0,VLOOKUP(A189,Vortex!F$5:J$302,5,FALSE)))</f>
        <v>0</v>
      </c>
      <c r="Q189" s="51">
        <f t="shared" si="24"/>
        <v>0</v>
      </c>
      <c r="R189" s="51" t="str">
        <f t="shared" si="20"/>
        <v/>
      </c>
      <c r="S189" s="51" t="str">
        <f t="shared" si="21"/>
        <v/>
      </c>
      <c r="T189" s="51" t="str">
        <f t="shared" si="22"/>
        <v/>
      </c>
      <c r="U189" s="51" t="str">
        <f t="shared" si="23"/>
        <v/>
      </c>
      <c r="V189" s="39"/>
    </row>
    <row r="190" spans="1:41" ht="20" customHeight="1">
      <c r="A190" s="51" t="str">
        <f>IF(Declarations!B142=0,"",Declarations!B142)</f>
        <v/>
      </c>
      <c r="B190" s="161" t="str">
        <f>IF(ISNA(VLOOKUP(A190,Declarations!B$6:C$293,2,FALSE)),"",IF(VLOOKUP(A190,Declarations!B$6:C$293,2,FALSE)="","",VLOOKUP(A190,Declarations!B$6:C$293,2,FALSE)))</f>
        <v/>
      </c>
      <c r="C190" s="161" t="str">
        <f>IF(ISNA(VLOOKUP(A190,Declarations!B$6:F$293,5,FALSE)),"",IF(VLOOKUP(A190,Declarations!B$6:F$293,5,FALSE)="","",VLOOKUP(A190,Declarations!B$6:F$293,5,FALSE)))</f>
        <v/>
      </c>
      <c r="D190" s="161" t="str">
        <f>IF(ISNA(VLOOKUP(A190,Declarations!B$6:F$293,4,FALSE)),"",IF(VLOOKUP(A190,Declarations!B$6:F$293,4,FALSE)="","",VLOOKUP(A190,Declarations!B$6:F$293,4,FALSE)))</f>
        <v/>
      </c>
      <c r="E190" s="161" t="str">
        <f>IF(ISNA(VLOOKUP(A190,Declarations!B$6:D$293,3,FALSE)),"",IF(VLOOKUP(A190,Declarations!B$6:D$293,3,FALSE)="","",VLOOKUP(A190,Declarations!B$6:D$293,3,FALSE)))</f>
        <v/>
      </c>
      <c r="F190" s="51" t="str">
        <f>IF(B190="","",IF(ISNA(VLOOKUP(A190,'75m'!F$5:G$302,2,FALSE)),"",VLOOKUP(A190,'75m'!F$5:G$302,2,FALSE)))</f>
        <v/>
      </c>
      <c r="G190" s="51">
        <f>IF(B190="",0,IF(ISNA(VLOOKUP(A190,'75m'!F$5:J$302,5,FALSE)),0,VLOOKUP(A190,'75m'!F$5:J$302,5,FALSE)))</f>
        <v>0</v>
      </c>
      <c r="H190" s="51" t="str">
        <f>IF(B190="","",IF(ISNA(VLOOKUP(A190,'75m'!F$5:K$302,6,FALSE)),"",VLOOKUP(A190,'75m'!F$5:K$302,6,FALSE)))</f>
        <v/>
      </c>
      <c r="I190" s="53">
        <f>IF(B190="",0,IF(ISNA(VLOOKUP(A190,'600m'!F$5:J$302,2,FALSE)),0,VLOOKUP(A190,'600m'!F$5:J$302,2,FALSE)))</f>
        <v>0</v>
      </c>
      <c r="J190" s="51">
        <f>IF(B190="",0,IF(ISNA(VLOOKUP(A190,'600m'!F$5:J$302,5,FALSE)),0,VLOOKUP(A190,'600m'!F$5:J$302,5,FALSE)))</f>
        <v>0</v>
      </c>
      <c r="K190" s="51" t="str">
        <f>IF(B190="","",IF(ISNA(VLOOKUP(A190,'600m'!F$5:K$302,6,FALSE)),"",VLOOKUP(A190,'600m'!F$5:K$302,6,FALSE)))</f>
        <v/>
      </c>
      <c r="L190" s="51" t="str">
        <f>IF(B190="","",IF(ISNA(VLOOKUP(A190,LongJump!F$5:G$302,2,FALSE)),"",VLOOKUP(A190,LongJump!F$5:G$302,2,FALSE)))</f>
        <v/>
      </c>
      <c r="M190" s="51">
        <f>IF(B190="",0,IF(ISNA(VLOOKUP(A190,LongJump!F$5:J$302,5,FALSE)),0,VLOOKUP(A190,LongJump!F$5:J$302,5,FALSE)))</f>
        <v>0</v>
      </c>
      <c r="N190" s="51">
        <f>IF(B190="",0,IF(ISNA(VLOOKUP(A190,LongJump!F$5:K$302,6,FALSE)),0,VLOOKUP(A190,LongJump!F$5:K$302,6,FALSE)))</f>
        <v>0</v>
      </c>
      <c r="O190" s="51" t="str">
        <f>IF(B190="","",IF(ISNA(VLOOKUP(A190,Vortex!F$5:J$302,2,FALSE)),"",VLOOKUP(A190,Vortex!F$5:J$302,2,FALSE)))</f>
        <v/>
      </c>
      <c r="P190" s="51">
        <f>IF(B190="",0,IF(ISNA(VLOOKUP(A190,Vortex!F$5:J$302,5,FALSE)),0,VLOOKUP(A190,Vortex!F$5:J$302,5,FALSE)))</f>
        <v>0</v>
      </c>
      <c r="Q190" s="51">
        <f t="shared" si="24"/>
        <v>0</v>
      </c>
      <c r="R190" s="51" t="str">
        <f t="shared" si="20"/>
        <v/>
      </c>
      <c r="S190" s="51" t="str">
        <f t="shared" si="21"/>
        <v/>
      </c>
      <c r="T190" s="51" t="str">
        <f t="shared" si="22"/>
        <v/>
      </c>
      <c r="U190" s="51" t="str">
        <f t="shared" si="23"/>
        <v/>
      </c>
      <c r="V190" s="39"/>
    </row>
    <row r="191" spans="1:41" ht="20" customHeight="1">
      <c r="A191" s="51" t="str">
        <f>IF(Declarations!B143=0,"",Declarations!B143)</f>
        <v/>
      </c>
      <c r="B191" s="161" t="str">
        <f>IF(ISNA(VLOOKUP(A191,Declarations!B$6:C$293,2,FALSE)),"",IF(VLOOKUP(A191,Declarations!B$6:C$293,2,FALSE)="","",VLOOKUP(A191,Declarations!B$6:C$293,2,FALSE)))</f>
        <v/>
      </c>
      <c r="C191" s="161" t="str">
        <f>IF(ISNA(VLOOKUP(A191,Declarations!B$6:F$293,5,FALSE)),"",IF(VLOOKUP(A191,Declarations!B$6:F$293,5,FALSE)="","",VLOOKUP(A191,Declarations!B$6:F$293,5,FALSE)))</f>
        <v/>
      </c>
      <c r="D191" s="161" t="str">
        <f>IF(ISNA(VLOOKUP(A191,Declarations!B$6:F$293,4,FALSE)),"",IF(VLOOKUP(A191,Declarations!B$6:F$293,4,FALSE)="","",VLOOKUP(A191,Declarations!B$6:F$293,4,FALSE)))</f>
        <v/>
      </c>
      <c r="E191" s="161" t="str">
        <f>IF(ISNA(VLOOKUP(A191,Declarations!B$6:D$293,3,FALSE)),"",IF(VLOOKUP(A191,Declarations!B$6:D$293,3,FALSE)="","",VLOOKUP(A191,Declarations!B$6:D$293,3,FALSE)))</f>
        <v/>
      </c>
      <c r="F191" s="51" t="str">
        <f>IF(B191="","",IF(ISNA(VLOOKUP(A191,'75m'!F$5:G$302,2,FALSE)),"",VLOOKUP(A191,'75m'!F$5:G$302,2,FALSE)))</f>
        <v/>
      </c>
      <c r="G191" s="51">
        <f>IF(B191="",0,IF(ISNA(VLOOKUP(A191,'75m'!F$5:J$302,5,FALSE)),0,VLOOKUP(A191,'75m'!F$5:J$302,5,FALSE)))</f>
        <v>0</v>
      </c>
      <c r="H191" s="51" t="str">
        <f>IF(B191="","",IF(ISNA(VLOOKUP(A191,'75m'!F$5:K$302,6,FALSE)),"",VLOOKUP(A191,'75m'!F$5:K$302,6,FALSE)))</f>
        <v/>
      </c>
      <c r="I191" s="53">
        <f>IF(B191="",0,IF(ISNA(VLOOKUP(A191,'600m'!F$5:J$302,2,FALSE)),0,VLOOKUP(A191,'600m'!F$5:J$302,2,FALSE)))</f>
        <v>0</v>
      </c>
      <c r="J191" s="51">
        <f>IF(B191="",0,IF(ISNA(VLOOKUP(A191,'600m'!F$5:J$302,5,FALSE)),0,VLOOKUP(A191,'600m'!F$5:J$302,5,FALSE)))</f>
        <v>0</v>
      </c>
      <c r="K191" s="51" t="str">
        <f>IF(B191="","",IF(ISNA(VLOOKUP(A191,'600m'!F$5:K$302,6,FALSE)),"",VLOOKUP(A191,'600m'!F$5:K$302,6,FALSE)))</f>
        <v/>
      </c>
      <c r="L191" s="51" t="str">
        <f>IF(B191="","",IF(ISNA(VLOOKUP(A191,LongJump!F$5:G$302,2,FALSE)),"",VLOOKUP(A191,LongJump!F$5:G$302,2,FALSE)))</f>
        <v/>
      </c>
      <c r="M191" s="51">
        <f>IF(B191="",0,IF(ISNA(VLOOKUP(A191,LongJump!F$5:J$302,5,FALSE)),0,VLOOKUP(A191,LongJump!F$5:J$302,5,FALSE)))</f>
        <v>0</v>
      </c>
      <c r="N191" s="51">
        <f>IF(B191="",0,IF(ISNA(VLOOKUP(A191,LongJump!F$5:K$302,6,FALSE)),0,VLOOKUP(A191,LongJump!F$5:K$302,6,FALSE)))</f>
        <v>0</v>
      </c>
      <c r="O191" s="51" t="str">
        <f>IF(B191="","",IF(ISNA(VLOOKUP(A191,Vortex!F$5:J$302,2,FALSE)),"",VLOOKUP(A191,Vortex!F$5:J$302,2,FALSE)))</f>
        <v/>
      </c>
      <c r="P191" s="51">
        <f>IF(B191="",0,IF(ISNA(VLOOKUP(A191,Vortex!F$5:J$302,5,FALSE)),0,VLOOKUP(A191,Vortex!F$5:J$302,5,FALSE)))</f>
        <v>0</v>
      </c>
      <c r="Q191" s="51">
        <f t="shared" si="24"/>
        <v>0</v>
      </c>
      <c r="R191" s="51" t="str">
        <f t="shared" si="20"/>
        <v/>
      </c>
      <c r="S191" s="51" t="str">
        <f t="shared" si="21"/>
        <v/>
      </c>
      <c r="T191" s="51" t="str">
        <f t="shared" si="22"/>
        <v/>
      </c>
      <c r="U191" s="51" t="str">
        <f t="shared" si="23"/>
        <v/>
      </c>
      <c r="V191" s="39"/>
      <c r="AJ191" s="11"/>
      <c r="AK191" s="11"/>
    </row>
    <row r="192" spans="1:41" ht="20" customHeight="1">
      <c r="A192" s="51" t="str">
        <f>IF(Declarations!B144=0,"",Declarations!B144)</f>
        <v/>
      </c>
      <c r="B192" s="161" t="str">
        <f>IF(ISNA(VLOOKUP(A192,Declarations!B$6:C$293,2,FALSE)),"",IF(VLOOKUP(A192,Declarations!B$6:C$293,2,FALSE)="","",VLOOKUP(A192,Declarations!B$6:C$293,2,FALSE)))</f>
        <v/>
      </c>
      <c r="C192" s="161" t="str">
        <f>IF(ISNA(VLOOKUP(A192,Declarations!B$6:F$293,5,FALSE)),"",IF(VLOOKUP(A192,Declarations!B$6:F$293,5,FALSE)="","",VLOOKUP(A192,Declarations!B$6:F$293,5,FALSE)))</f>
        <v/>
      </c>
      <c r="D192" s="161" t="str">
        <f>IF(ISNA(VLOOKUP(A192,Declarations!B$6:F$293,4,FALSE)),"",IF(VLOOKUP(A192,Declarations!B$6:F$293,4,FALSE)="","",VLOOKUP(A192,Declarations!B$6:F$293,4,FALSE)))</f>
        <v/>
      </c>
      <c r="E192" s="161" t="str">
        <f>IF(ISNA(VLOOKUP(A192,Declarations!B$6:D$293,3,FALSE)),"",IF(VLOOKUP(A192,Declarations!B$6:D$293,3,FALSE)="","",VLOOKUP(A192,Declarations!B$6:D$293,3,FALSE)))</f>
        <v/>
      </c>
      <c r="F192" s="51" t="str">
        <f>IF(B192="","",IF(ISNA(VLOOKUP(A192,'75m'!F$5:G$302,2,FALSE)),"",VLOOKUP(A192,'75m'!F$5:G$302,2,FALSE)))</f>
        <v/>
      </c>
      <c r="G192" s="51">
        <f>IF(B192="",0,IF(ISNA(VLOOKUP(A192,'75m'!F$5:J$302,5,FALSE)),0,VLOOKUP(A192,'75m'!F$5:J$302,5,FALSE)))</f>
        <v>0</v>
      </c>
      <c r="H192" s="51" t="str">
        <f>IF(B192="","",IF(ISNA(VLOOKUP(A192,'75m'!F$5:K$302,6,FALSE)),"",VLOOKUP(A192,'75m'!F$5:K$302,6,FALSE)))</f>
        <v/>
      </c>
      <c r="I192" s="53">
        <f>IF(B192="",0,IF(ISNA(VLOOKUP(A192,'600m'!F$5:J$302,2,FALSE)),0,VLOOKUP(A192,'600m'!F$5:J$302,2,FALSE)))</f>
        <v>0</v>
      </c>
      <c r="J192" s="51">
        <f>IF(B192="",0,IF(ISNA(VLOOKUP(A192,'600m'!F$5:J$302,5,FALSE)),0,VLOOKUP(A192,'600m'!F$5:J$302,5,FALSE)))</f>
        <v>0</v>
      </c>
      <c r="K192" s="51" t="str">
        <f>IF(B192="","",IF(ISNA(VLOOKUP(A192,'600m'!F$5:K$302,6,FALSE)),"",VLOOKUP(A192,'600m'!F$5:K$302,6,FALSE)))</f>
        <v/>
      </c>
      <c r="L192" s="51" t="str">
        <f>IF(B192="","",IF(ISNA(VLOOKUP(A192,LongJump!F$5:G$302,2,FALSE)),"",VLOOKUP(A192,LongJump!F$5:G$302,2,FALSE)))</f>
        <v/>
      </c>
      <c r="M192" s="51">
        <f>IF(B192="",0,IF(ISNA(VLOOKUP(A192,LongJump!F$5:J$302,5,FALSE)),0,VLOOKUP(A192,LongJump!F$5:J$302,5,FALSE)))</f>
        <v>0</v>
      </c>
      <c r="N192" s="51">
        <f>IF(B192="",0,IF(ISNA(VLOOKUP(A192,LongJump!F$5:K$302,6,FALSE)),0,VLOOKUP(A192,LongJump!F$5:K$302,6,FALSE)))</f>
        <v>0</v>
      </c>
      <c r="O192" s="51" t="str">
        <f>IF(B192="","",IF(ISNA(VLOOKUP(A192,Vortex!F$5:J$302,2,FALSE)),"",VLOOKUP(A192,Vortex!F$5:J$302,2,FALSE)))</f>
        <v/>
      </c>
      <c r="P192" s="51">
        <f>IF(B192="",0,IF(ISNA(VLOOKUP(A192,Vortex!F$5:J$302,5,FALSE)),0,VLOOKUP(A192,Vortex!F$5:J$302,5,FALSE)))</f>
        <v>0</v>
      </c>
      <c r="Q192" s="51">
        <f t="shared" si="24"/>
        <v>0</v>
      </c>
      <c r="R192" s="51" t="str">
        <f t="shared" si="20"/>
        <v/>
      </c>
      <c r="S192" s="51" t="str">
        <f t="shared" si="21"/>
        <v/>
      </c>
      <c r="T192" s="51" t="str">
        <f t="shared" si="22"/>
        <v/>
      </c>
      <c r="U192" s="51" t="str">
        <f t="shared" si="23"/>
        <v/>
      </c>
      <c r="V192" s="39"/>
    </row>
    <row r="193" spans="1:35" ht="20" customHeight="1">
      <c r="A193" s="51" t="str">
        <f>IF(Declarations!B145=0,"",Declarations!B145)</f>
        <v/>
      </c>
      <c r="B193" s="161" t="str">
        <f>IF(ISNA(VLOOKUP(A193,Declarations!B$6:C$293,2,FALSE)),"",IF(VLOOKUP(A193,Declarations!B$6:C$293,2,FALSE)="","",VLOOKUP(A193,Declarations!B$6:C$293,2,FALSE)))</f>
        <v/>
      </c>
      <c r="C193" s="161" t="str">
        <f>IF(ISNA(VLOOKUP(A193,Declarations!B$6:F$293,5,FALSE)),"",IF(VLOOKUP(A193,Declarations!B$6:F$293,5,FALSE)="","",VLOOKUP(A193,Declarations!B$6:F$293,5,FALSE)))</f>
        <v/>
      </c>
      <c r="D193" s="161" t="str">
        <f>IF(ISNA(VLOOKUP(A193,Declarations!B$6:F$293,4,FALSE)),"",IF(VLOOKUP(A193,Declarations!B$6:F$293,4,FALSE)="","",VLOOKUP(A193,Declarations!B$6:F$293,4,FALSE)))</f>
        <v/>
      </c>
      <c r="E193" s="161" t="str">
        <f>IF(ISNA(VLOOKUP(A193,Declarations!B$6:D$293,3,FALSE)),"",IF(VLOOKUP(A193,Declarations!B$6:D$293,3,FALSE)="","",VLOOKUP(A193,Declarations!B$6:D$293,3,FALSE)))</f>
        <v/>
      </c>
      <c r="F193" s="51" t="str">
        <f>IF(B193="","",IF(ISNA(VLOOKUP(A193,'75m'!F$5:G$302,2,FALSE)),"",VLOOKUP(A193,'75m'!F$5:G$302,2,FALSE)))</f>
        <v/>
      </c>
      <c r="G193" s="51">
        <f>IF(B193="",0,IF(ISNA(VLOOKUP(A193,'75m'!F$5:J$302,5,FALSE)),0,VLOOKUP(A193,'75m'!F$5:J$302,5,FALSE)))</f>
        <v>0</v>
      </c>
      <c r="H193" s="51" t="str">
        <f>IF(B193="","",IF(ISNA(VLOOKUP(A193,'75m'!F$5:K$302,6,FALSE)),"",VLOOKUP(A193,'75m'!F$5:K$302,6,FALSE)))</f>
        <v/>
      </c>
      <c r="I193" s="53">
        <f>IF(B193="",0,IF(ISNA(VLOOKUP(A193,'600m'!F$5:J$302,2,FALSE)),0,VLOOKUP(A193,'600m'!F$5:J$302,2,FALSE)))</f>
        <v>0</v>
      </c>
      <c r="J193" s="51">
        <f>IF(B193="",0,IF(ISNA(VLOOKUP(A193,'600m'!F$5:J$302,5,FALSE)),0,VLOOKUP(A193,'600m'!F$5:J$302,5,FALSE)))</f>
        <v>0</v>
      </c>
      <c r="K193" s="51" t="str">
        <f>IF(B193="","",IF(ISNA(VLOOKUP(A193,'600m'!F$5:K$302,6,FALSE)),"",VLOOKUP(A193,'600m'!F$5:K$302,6,FALSE)))</f>
        <v/>
      </c>
      <c r="L193" s="51" t="str">
        <f>IF(B193="","",IF(ISNA(VLOOKUP(A193,LongJump!F$5:G$302,2,FALSE)),"",VLOOKUP(A193,LongJump!F$5:G$302,2,FALSE)))</f>
        <v/>
      </c>
      <c r="M193" s="51">
        <f>IF(B193="",0,IF(ISNA(VLOOKUP(A193,LongJump!F$5:J$302,5,FALSE)),0,VLOOKUP(A193,LongJump!F$5:J$302,5,FALSE)))</f>
        <v>0</v>
      </c>
      <c r="N193" s="51">
        <f>IF(B193="",0,IF(ISNA(VLOOKUP(A193,LongJump!F$5:K$302,6,FALSE)),0,VLOOKUP(A193,LongJump!F$5:K$302,6,FALSE)))</f>
        <v>0</v>
      </c>
      <c r="O193" s="51" t="str">
        <f>IF(B193="","",IF(ISNA(VLOOKUP(A193,Vortex!F$5:J$302,2,FALSE)),"",VLOOKUP(A193,Vortex!F$5:J$302,2,FALSE)))</f>
        <v/>
      </c>
      <c r="P193" s="51">
        <f>IF(B193="",0,IF(ISNA(VLOOKUP(A193,Vortex!F$5:J$302,5,FALSE)),0,VLOOKUP(A193,Vortex!F$5:J$302,5,FALSE)))</f>
        <v>0</v>
      </c>
      <c r="Q193" s="51">
        <f t="shared" si="24"/>
        <v>0</v>
      </c>
      <c r="R193" s="51" t="str">
        <f t="shared" si="20"/>
        <v/>
      </c>
      <c r="S193" s="51" t="str">
        <f t="shared" si="21"/>
        <v/>
      </c>
      <c r="T193" s="51" t="str">
        <f t="shared" si="22"/>
        <v/>
      </c>
      <c r="U193" s="51" t="str">
        <f t="shared" si="23"/>
        <v/>
      </c>
      <c r="V193" s="39"/>
    </row>
    <row r="194" spans="1:35" ht="20" customHeight="1">
      <c r="A194" s="51" t="str">
        <f>IF(Declarations!B146=0,"",Declarations!B146)</f>
        <v/>
      </c>
      <c r="B194" s="161" t="str">
        <f>IF(ISNA(VLOOKUP(A194,Declarations!B$6:C$293,2,FALSE)),"",IF(VLOOKUP(A194,Declarations!B$6:C$293,2,FALSE)="","",VLOOKUP(A194,Declarations!B$6:C$293,2,FALSE)))</f>
        <v/>
      </c>
      <c r="C194" s="161" t="str">
        <f>IF(ISNA(VLOOKUP(A194,Declarations!B$6:F$293,5,FALSE)),"",IF(VLOOKUP(A194,Declarations!B$6:F$293,5,FALSE)="","",VLOOKUP(A194,Declarations!B$6:F$293,5,FALSE)))</f>
        <v/>
      </c>
      <c r="D194" s="161" t="str">
        <f>IF(ISNA(VLOOKUP(A194,Declarations!B$6:F$293,4,FALSE)),"",IF(VLOOKUP(A194,Declarations!B$6:F$293,4,FALSE)="","",VLOOKUP(A194,Declarations!B$6:F$293,4,FALSE)))</f>
        <v/>
      </c>
      <c r="E194" s="161" t="str">
        <f>IF(ISNA(VLOOKUP(A194,Declarations!B$6:D$293,3,FALSE)),"",IF(VLOOKUP(A194,Declarations!B$6:D$293,3,FALSE)="","",VLOOKUP(A194,Declarations!B$6:D$293,3,FALSE)))</f>
        <v/>
      </c>
      <c r="F194" s="51" t="str">
        <f>IF(B194="","",IF(ISNA(VLOOKUP(A194,'75m'!F$5:G$302,2,FALSE)),"",VLOOKUP(A194,'75m'!F$5:G$302,2,FALSE)))</f>
        <v/>
      </c>
      <c r="G194" s="51">
        <f>IF(B194="",0,IF(ISNA(VLOOKUP(A194,'75m'!F$5:J$302,5,FALSE)),0,VLOOKUP(A194,'75m'!F$5:J$302,5,FALSE)))</f>
        <v>0</v>
      </c>
      <c r="H194" s="51" t="str">
        <f>IF(B194="","",IF(ISNA(VLOOKUP(A194,'75m'!F$5:K$302,6,FALSE)),"",VLOOKUP(A194,'75m'!F$5:K$302,6,FALSE)))</f>
        <v/>
      </c>
      <c r="I194" s="53">
        <f>IF(B194="",0,IF(ISNA(VLOOKUP(A194,'600m'!F$5:J$302,2,FALSE)),0,VLOOKUP(A194,'600m'!F$5:J$302,2,FALSE)))</f>
        <v>0</v>
      </c>
      <c r="J194" s="51">
        <f>IF(B194="",0,IF(ISNA(VLOOKUP(A194,'600m'!F$5:J$302,5,FALSE)),0,VLOOKUP(A194,'600m'!F$5:J$302,5,FALSE)))</f>
        <v>0</v>
      </c>
      <c r="K194" s="51" t="str">
        <f>IF(B194="","",IF(ISNA(VLOOKUP(A194,'600m'!F$5:K$302,6,FALSE)),"",VLOOKUP(A194,'600m'!F$5:K$302,6,FALSE)))</f>
        <v/>
      </c>
      <c r="L194" s="51" t="str">
        <f>IF(B194="","",IF(ISNA(VLOOKUP(A194,LongJump!F$5:G$302,2,FALSE)),"",VLOOKUP(A194,LongJump!F$5:G$302,2,FALSE)))</f>
        <v/>
      </c>
      <c r="M194" s="51">
        <f>IF(B194="",0,IF(ISNA(VLOOKUP(A194,LongJump!F$5:J$302,5,FALSE)),0,VLOOKUP(A194,LongJump!F$5:J$302,5,FALSE)))</f>
        <v>0</v>
      </c>
      <c r="N194" s="51">
        <f>IF(B194="",0,IF(ISNA(VLOOKUP(A194,LongJump!F$5:K$302,6,FALSE)),0,VLOOKUP(A194,LongJump!F$5:K$302,6,FALSE)))</f>
        <v>0</v>
      </c>
      <c r="O194" s="51" t="str">
        <f>IF(B194="","",IF(ISNA(VLOOKUP(A194,Vortex!F$5:J$302,2,FALSE)),"",VLOOKUP(A194,Vortex!F$5:J$302,2,FALSE)))</f>
        <v/>
      </c>
      <c r="P194" s="51">
        <f>IF(B194="",0,IF(ISNA(VLOOKUP(A194,Vortex!F$5:J$302,5,FALSE)),0,VLOOKUP(A194,Vortex!F$5:J$302,5,FALSE)))</f>
        <v>0</v>
      </c>
      <c r="Q194" s="51">
        <f t="shared" si="24"/>
        <v>0</v>
      </c>
      <c r="R194" s="51" t="str">
        <f t="shared" si="20"/>
        <v/>
      </c>
      <c r="S194" s="51" t="str">
        <f t="shared" si="21"/>
        <v/>
      </c>
      <c r="T194" s="51" t="str">
        <f t="shared" si="22"/>
        <v/>
      </c>
      <c r="U194" s="51" t="str">
        <f t="shared" si="23"/>
        <v/>
      </c>
      <c r="V194" s="39"/>
    </row>
    <row r="195" spans="1:35" ht="20" customHeight="1">
      <c r="A195" s="51" t="str">
        <f>IF(Declarations!B147=0,"",Declarations!B147)</f>
        <v/>
      </c>
      <c r="B195" s="161" t="str">
        <f>IF(ISNA(VLOOKUP(A195,Declarations!B$6:C$293,2,FALSE)),"",IF(VLOOKUP(A195,Declarations!B$6:C$293,2,FALSE)="","",VLOOKUP(A195,Declarations!B$6:C$293,2,FALSE)))</f>
        <v/>
      </c>
      <c r="C195" s="161" t="str">
        <f>IF(ISNA(VLOOKUP(A195,Declarations!B$6:F$293,5,FALSE)),"",IF(VLOOKUP(A195,Declarations!B$6:F$293,5,FALSE)="","",VLOOKUP(A195,Declarations!B$6:F$293,5,FALSE)))</f>
        <v/>
      </c>
      <c r="D195" s="161" t="str">
        <f>IF(ISNA(VLOOKUP(A195,Declarations!B$6:F$293,4,FALSE)),"",IF(VLOOKUP(A195,Declarations!B$6:F$293,4,FALSE)="","",VLOOKUP(A195,Declarations!B$6:F$293,4,FALSE)))</f>
        <v/>
      </c>
      <c r="E195" s="161" t="str">
        <f>IF(ISNA(VLOOKUP(A195,Declarations!B$6:D$293,3,FALSE)),"",IF(VLOOKUP(A195,Declarations!B$6:D$293,3,FALSE)="","",VLOOKUP(A195,Declarations!B$6:D$293,3,FALSE)))</f>
        <v/>
      </c>
      <c r="F195" s="51" t="str">
        <f>IF(B195="","",IF(ISNA(VLOOKUP(A195,'75m'!F$5:G$302,2,FALSE)),"",VLOOKUP(A195,'75m'!F$5:G$302,2,FALSE)))</f>
        <v/>
      </c>
      <c r="G195" s="51">
        <f>IF(B195="",0,IF(ISNA(VLOOKUP(A195,'75m'!F$5:J$302,5,FALSE)),0,VLOOKUP(A195,'75m'!F$5:J$302,5,FALSE)))</f>
        <v>0</v>
      </c>
      <c r="H195" s="51" t="str">
        <f>IF(B195="","",IF(ISNA(VLOOKUP(A195,'75m'!F$5:K$302,6,FALSE)),"",VLOOKUP(A195,'75m'!F$5:K$302,6,FALSE)))</f>
        <v/>
      </c>
      <c r="I195" s="53">
        <f>IF(B195="",0,IF(ISNA(VLOOKUP(A195,'600m'!F$5:J$302,2,FALSE)),0,VLOOKUP(A195,'600m'!F$5:J$302,2,FALSE)))</f>
        <v>0</v>
      </c>
      <c r="J195" s="51">
        <f>IF(B195="",0,IF(ISNA(VLOOKUP(A195,'600m'!F$5:J$302,5,FALSE)),0,VLOOKUP(A195,'600m'!F$5:J$302,5,FALSE)))</f>
        <v>0</v>
      </c>
      <c r="K195" s="51" t="str">
        <f>IF(B195="","",IF(ISNA(VLOOKUP(A195,'600m'!F$5:K$302,6,FALSE)),"",VLOOKUP(A195,'600m'!F$5:K$302,6,FALSE)))</f>
        <v/>
      </c>
      <c r="L195" s="51" t="str">
        <f>IF(B195="","",IF(ISNA(VLOOKUP(A195,LongJump!F$5:G$302,2,FALSE)),"",VLOOKUP(A195,LongJump!F$5:G$302,2,FALSE)))</f>
        <v/>
      </c>
      <c r="M195" s="51">
        <f>IF(B195="",0,IF(ISNA(VLOOKUP(A195,LongJump!F$5:J$302,5,FALSE)),0,VLOOKUP(A195,LongJump!F$5:J$302,5,FALSE)))</f>
        <v>0</v>
      </c>
      <c r="N195" s="51">
        <f>IF(B195="",0,IF(ISNA(VLOOKUP(A195,LongJump!F$5:K$302,6,FALSE)),0,VLOOKUP(A195,LongJump!F$5:K$302,6,FALSE)))</f>
        <v>0</v>
      </c>
      <c r="O195" s="51" t="str">
        <f>IF(B195="","",IF(ISNA(VLOOKUP(A195,Vortex!F$5:J$302,2,FALSE)),"",VLOOKUP(A195,Vortex!F$5:J$302,2,FALSE)))</f>
        <v/>
      </c>
      <c r="P195" s="51">
        <f>IF(B195="",0,IF(ISNA(VLOOKUP(A195,Vortex!F$5:J$302,5,FALSE)),0,VLOOKUP(A195,Vortex!F$5:J$302,5,FALSE)))</f>
        <v>0</v>
      </c>
      <c r="Q195" s="51">
        <f t="shared" si="24"/>
        <v>0</v>
      </c>
      <c r="R195" s="51" t="str">
        <f t="shared" si="20"/>
        <v/>
      </c>
      <c r="S195" s="51" t="str">
        <f t="shared" si="21"/>
        <v/>
      </c>
      <c r="T195" s="51" t="str">
        <f t="shared" si="22"/>
        <v/>
      </c>
      <c r="U195" s="51" t="str">
        <f t="shared" si="23"/>
        <v/>
      </c>
      <c r="V195" s="39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</row>
    <row r="196" spans="1:35" ht="20" customHeight="1">
      <c r="A196" s="51" t="str">
        <f>IF(Declarations!B148=0,"",Declarations!B148)</f>
        <v/>
      </c>
      <c r="B196" s="161" t="str">
        <f>IF(ISNA(VLOOKUP(A196,Declarations!B$6:C$293,2,FALSE)),"",IF(VLOOKUP(A196,Declarations!B$6:C$293,2,FALSE)="","",VLOOKUP(A196,Declarations!B$6:C$293,2,FALSE)))</f>
        <v/>
      </c>
      <c r="C196" s="161" t="str">
        <f>IF(ISNA(VLOOKUP(A196,Declarations!B$6:F$293,5,FALSE)),"",IF(VLOOKUP(A196,Declarations!B$6:F$293,5,FALSE)="","",VLOOKUP(A196,Declarations!B$6:F$293,5,FALSE)))</f>
        <v/>
      </c>
      <c r="D196" s="161" t="str">
        <f>IF(ISNA(VLOOKUP(A196,Declarations!B$6:F$293,4,FALSE)),"",IF(VLOOKUP(A196,Declarations!B$6:F$293,4,FALSE)="","",VLOOKUP(A196,Declarations!B$6:F$293,4,FALSE)))</f>
        <v/>
      </c>
      <c r="E196" s="161" t="str">
        <f>IF(ISNA(VLOOKUP(A196,Declarations!B$6:D$293,3,FALSE)),"",IF(VLOOKUP(A196,Declarations!B$6:D$293,3,FALSE)="","",VLOOKUP(A196,Declarations!B$6:D$293,3,FALSE)))</f>
        <v/>
      </c>
      <c r="F196" s="51" t="str">
        <f>IF(B196="","",IF(ISNA(VLOOKUP(A196,'75m'!F$5:G$302,2,FALSE)),"",VLOOKUP(A196,'75m'!F$5:G$302,2,FALSE)))</f>
        <v/>
      </c>
      <c r="G196" s="51">
        <f>IF(B196="",0,IF(ISNA(VLOOKUP(A196,'75m'!F$5:J$302,5,FALSE)),0,VLOOKUP(A196,'75m'!F$5:J$302,5,FALSE)))</f>
        <v>0</v>
      </c>
      <c r="H196" s="51" t="str">
        <f>IF(B196="","",IF(ISNA(VLOOKUP(A196,'75m'!F$5:K$302,6,FALSE)),"",VLOOKUP(A196,'75m'!F$5:K$302,6,FALSE)))</f>
        <v/>
      </c>
      <c r="I196" s="53">
        <f>IF(B196="",0,IF(ISNA(VLOOKUP(A196,'600m'!F$5:J$302,2,FALSE)),0,VLOOKUP(A196,'600m'!F$5:J$302,2,FALSE)))</f>
        <v>0</v>
      </c>
      <c r="J196" s="51">
        <f>IF(B196="",0,IF(ISNA(VLOOKUP(A196,'600m'!F$5:J$302,5,FALSE)),0,VLOOKUP(A196,'600m'!F$5:J$302,5,FALSE)))</f>
        <v>0</v>
      </c>
      <c r="K196" s="51" t="str">
        <f>IF(B196="","",IF(ISNA(VLOOKUP(A196,'600m'!F$5:K$302,6,FALSE)),"",VLOOKUP(A196,'600m'!F$5:K$302,6,FALSE)))</f>
        <v/>
      </c>
      <c r="L196" s="51" t="str">
        <f>IF(B196="","",IF(ISNA(VLOOKUP(A196,LongJump!F$5:G$302,2,FALSE)),"",VLOOKUP(A196,LongJump!F$5:G$302,2,FALSE)))</f>
        <v/>
      </c>
      <c r="M196" s="51">
        <f>IF(B196="",0,IF(ISNA(VLOOKUP(A196,LongJump!F$5:J$302,5,FALSE)),0,VLOOKUP(A196,LongJump!F$5:J$302,5,FALSE)))</f>
        <v>0</v>
      </c>
      <c r="N196" s="51">
        <f>IF(B196="",0,IF(ISNA(VLOOKUP(A196,LongJump!F$5:K$302,6,FALSE)),0,VLOOKUP(A196,LongJump!F$5:K$302,6,FALSE)))</f>
        <v>0</v>
      </c>
      <c r="O196" s="51" t="str">
        <f>IF(B196="","",IF(ISNA(VLOOKUP(A196,Vortex!F$5:J$302,2,FALSE)),"",VLOOKUP(A196,Vortex!F$5:J$302,2,FALSE)))</f>
        <v/>
      </c>
      <c r="P196" s="51">
        <f>IF(B196="",0,IF(ISNA(VLOOKUP(A196,Vortex!F$5:J$302,5,FALSE)),0,VLOOKUP(A196,Vortex!F$5:J$302,5,FALSE)))</f>
        <v>0</v>
      </c>
      <c r="Q196" s="51">
        <f t="shared" si="24"/>
        <v>0</v>
      </c>
      <c r="R196" s="51" t="str">
        <f t="shared" si="20"/>
        <v/>
      </c>
      <c r="S196" s="51" t="str">
        <f t="shared" si="21"/>
        <v/>
      </c>
      <c r="T196" s="51" t="str">
        <f t="shared" si="22"/>
        <v/>
      </c>
      <c r="U196" s="51" t="str">
        <f t="shared" si="23"/>
        <v/>
      </c>
      <c r="V196" s="39"/>
    </row>
    <row r="197" spans="1:35" ht="20" customHeight="1">
      <c r="A197" s="51" t="str">
        <f>IF(Declarations!B149=0,"",Declarations!B149)</f>
        <v/>
      </c>
      <c r="B197" s="161" t="str">
        <f>IF(ISNA(VLOOKUP(A197,Declarations!B$6:C$293,2,FALSE)),"",IF(VLOOKUP(A197,Declarations!B$6:C$293,2,FALSE)="","",VLOOKUP(A197,Declarations!B$6:C$293,2,FALSE)))</f>
        <v/>
      </c>
      <c r="C197" s="161" t="str">
        <f>IF(ISNA(VLOOKUP(A197,Declarations!B$6:F$293,5,FALSE)),"",IF(VLOOKUP(A197,Declarations!B$6:F$293,5,FALSE)="","",VLOOKUP(A197,Declarations!B$6:F$293,5,FALSE)))</f>
        <v/>
      </c>
      <c r="D197" s="161" t="str">
        <f>IF(ISNA(VLOOKUP(A197,Declarations!B$6:F$293,4,FALSE)),"",IF(VLOOKUP(A197,Declarations!B$6:F$293,4,FALSE)="","",VLOOKUP(A197,Declarations!B$6:F$293,4,FALSE)))</f>
        <v/>
      </c>
      <c r="E197" s="161" t="str">
        <f>IF(ISNA(VLOOKUP(A197,Declarations!B$6:D$293,3,FALSE)),"",IF(VLOOKUP(A197,Declarations!B$6:D$293,3,FALSE)="","",VLOOKUP(A197,Declarations!B$6:D$293,3,FALSE)))</f>
        <v/>
      </c>
      <c r="F197" s="51" t="str">
        <f>IF(B197="","",IF(ISNA(VLOOKUP(A197,'75m'!F$5:G$302,2,FALSE)),"",VLOOKUP(A197,'75m'!F$5:G$302,2,FALSE)))</f>
        <v/>
      </c>
      <c r="G197" s="51">
        <f>IF(B197="",0,IF(ISNA(VLOOKUP(A197,'75m'!F$5:J$302,5,FALSE)),0,VLOOKUP(A197,'75m'!F$5:J$302,5,FALSE)))</f>
        <v>0</v>
      </c>
      <c r="H197" s="51" t="str">
        <f>IF(B197="","",IF(ISNA(VLOOKUP(A197,'75m'!F$5:K$302,6,FALSE)),"",VLOOKUP(A197,'75m'!F$5:K$302,6,FALSE)))</f>
        <v/>
      </c>
      <c r="I197" s="53">
        <f>IF(B197="",0,IF(ISNA(VLOOKUP(A197,'600m'!F$5:J$302,2,FALSE)),0,VLOOKUP(A197,'600m'!F$5:J$302,2,FALSE)))</f>
        <v>0</v>
      </c>
      <c r="J197" s="51">
        <f>IF(B197="",0,IF(ISNA(VLOOKUP(A197,'600m'!F$5:J$302,5,FALSE)),0,VLOOKUP(A197,'600m'!F$5:J$302,5,FALSE)))</f>
        <v>0</v>
      </c>
      <c r="K197" s="51" t="str">
        <f>IF(B197="","",IF(ISNA(VLOOKUP(A197,'600m'!F$5:K$302,6,FALSE)),"",VLOOKUP(A197,'600m'!F$5:K$302,6,FALSE)))</f>
        <v/>
      </c>
      <c r="L197" s="51" t="str">
        <f>IF(B197="","",IF(ISNA(VLOOKUP(A197,LongJump!F$5:G$302,2,FALSE)),"",VLOOKUP(A197,LongJump!F$5:G$302,2,FALSE)))</f>
        <v/>
      </c>
      <c r="M197" s="51">
        <f>IF(B197="",0,IF(ISNA(VLOOKUP(A197,LongJump!F$5:J$302,5,FALSE)),0,VLOOKUP(A197,LongJump!F$5:J$302,5,FALSE)))</f>
        <v>0</v>
      </c>
      <c r="N197" s="51">
        <f>IF(B197="",0,IF(ISNA(VLOOKUP(A197,LongJump!F$5:K$302,6,FALSE)),0,VLOOKUP(A197,LongJump!F$5:K$302,6,FALSE)))</f>
        <v>0</v>
      </c>
      <c r="O197" s="51" t="str">
        <f>IF(B197="","",IF(ISNA(VLOOKUP(A197,Vortex!F$5:J$302,2,FALSE)),"",VLOOKUP(A197,Vortex!F$5:J$302,2,FALSE)))</f>
        <v/>
      </c>
      <c r="P197" s="51">
        <f>IF(B197="",0,IF(ISNA(VLOOKUP(A197,Vortex!F$5:J$302,5,FALSE)),0,VLOOKUP(A197,Vortex!F$5:J$302,5,FALSE)))</f>
        <v>0</v>
      </c>
      <c r="Q197" s="51">
        <f t="shared" si="24"/>
        <v>0</v>
      </c>
      <c r="R197" s="51" t="str">
        <f t="shared" si="20"/>
        <v/>
      </c>
      <c r="S197" s="51" t="str">
        <f t="shared" si="21"/>
        <v/>
      </c>
      <c r="T197" s="51" t="str">
        <f t="shared" si="22"/>
        <v/>
      </c>
      <c r="U197" s="51" t="str">
        <f t="shared" si="23"/>
        <v/>
      </c>
      <c r="V197" s="39"/>
    </row>
    <row r="198" spans="1:35" ht="20" customHeight="1">
      <c r="A198" s="51" t="str">
        <f>IF(Declarations!B150=0,"",Declarations!B150)</f>
        <v/>
      </c>
      <c r="B198" s="161" t="str">
        <f>IF(ISNA(VLOOKUP(A198,Declarations!B$6:C$293,2,FALSE)),"",IF(VLOOKUP(A198,Declarations!B$6:C$293,2,FALSE)="","",VLOOKUP(A198,Declarations!B$6:C$293,2,FALSE)))</f>
        <v/>
      </c>
      <c r="C198" s="161" t="str">
        <f>IF(ISNA(VLOOKUP(A198,Declarations!B$6:F$293,5,FALSE)),"",IF(VLOOKUP(A198,Declarations!B$6:F$293,5,FALSE)="","",VLOOKUP(A198,Declarations!B$6:F$293,5,FALSE)))</f>
        <v/>
      </c>
      <c r="D198" s="161" t="str">
        <f>IF(ISNA(VLOOKUP(A198,Declarations!B$6:F$293,4,FALSE)),"",IF(VLOOKUP(A198,Declarations!B$6:F$293,4,FALSE)="","",VLOOKUP(A198,Declarations!B$6:F$293,4,FALSE)))</f>
        <v/>
      </c>
      <c r="E198" s="161" t="str">
        <f>IF(ISNA(VLOOKUP(A198,Declarations!B$6:D$293,3,FALSE)),"",IF(VLOOKUP(A198,Declarations!B$6:D$293,3,FALSE)="","",VLOOKUP(A198,Declarations!B$6:D$293,3,FALSE)))</f>
        <v/>
      </c>
      <c r="F198" s="51" t="str">
        <f>IF(B198="","",IF(ISNA(VLOOKUP(A198,'75m'!F$5:G$302,2,FALSE)),"",VLOOKUP(A198,'75m'!F$5:G$302,2,FALSE)))</f>
        <v/>
      </c>
      <c r="G198" s="51">
        <f>IF(B198="",0,IF(ISNA(VLOOKUP(A198,'75m'!F$5:J$302,5,FALSE)),0,VLOOKUP(A198,'75m'!F$5:J$302,5,FALSE)))</f>
        <v>0</v>
      </c>
      <c r="H198" s="51" t="str">
        <f>IF(B198="","",IF(ISNA(VLOOKUP(A198,'75m'!F$5:K$302,6,FALSE)),"",VLOOKUP(A198,'75m'!F$5:K$302,6,FALSE)))</f>
        <v/>
      </c>
      <c r="I198" s="53">
        <f>IF(B198="",0,IF(ISNA(VLOOKUP(A198,'600m'!F$5:J$302,2,FALSE)),0,VLOOKUP(A198,'600m'!F$5:J$302,2,FALSE)))</f>
        <v>0</v>
      </c>
      <c r="J198" s="51">
        <f>IF(B198="",0,IF(ISNA(VLOOKUP(A198,'600m'!F$5:J$302,5,FALSE)),0,VLOOKUP(A198,'600m'!F$5:J$302,5,FALSE)))</f>
        <v>0</v>
      </c>
      <c r="K198" s="51" t="str">
        <f>IF(B198="","",IF(ISNA(VLOOKUP(A198,'600m'!F$5:K$302,6,FALSE)),"",VLOOKUP(A198,'600m'!F$5:K$302,6,FALSE)))</f>
        <v/>
      </c>
      <c r="L198" s="51" t="str">
        <f>IF(B198="","",IF(ISNA(VLOOKUP(A198,LongJump!F$5:G$302,2,FALSE)),"",VLOOKUP(A198,LongJump!F$5:G$302,2,FALSE)))</f>
        <v/>
      </c>
      <c r="M198" s="51">
        <f>IF(B198="",0,IF(ISNA(VLOOKUP(A198,LongJump!F$5:J$302,5,FALSE)),0,VLOOKUP(A198,LongJump!F$5:J$302,5,FALSE)))</f>
        <v>0</v>
      </c>
      <c r="N198" s="51">
        <f>IF(B198="",0,IF(ISNA(VLOOKUP(A198,LongJump!F$5:K$302,6,FALSE)),0,VLOOKUP(A198,LongJump!F$5:K$302,6,FALSE)))</f>
        <v>0</v>
      </c>
      <c r="O198" s="51" t="str">
        <f>IF(B198="","",IF(ISNA(VLOOKUP(A198,Vortex!F$5:J$302,2,FALSE)),"",VLOOKUP(A198,Vortex!F$5:J$302,2,FALSE)))</f>
        <v/>
      </c>
      <c r="P198" s="51">
        <f>IF(B198="",0,IF(ISNA(VLOOKUP(A198,Vortex!F$5:J$302,5,FALSE)),0,VLOOKUP(A198,Vortex!F$5:J$302,5,FALSE)))</f>
        <v>0</v>
      </c>
      <c r="Q198" s="51">
        <f t="shared" si="24"/>
        <v>0</v>
      </c>
      <c r="R198" s="51" t="str">
        <f t="shared" si="20"/>
        <v/>
      </c>
      <c r="S198" s="51" t="str">
        <f t="shared" si="21"/>
        <v/>
      </c>
      <c r="T198" s="51" t="str">
        <f t="shared" si="22"/>
        <v/>
      </c>
      <c r="U198" s="51" t="str">
        <f t="shared" si="23"/>
        <v/>
      </c>
      <c r="V198" s="39"/>
    </row>
    <row r="199" spans="1:35" ht="20" customHeight="1">
      <c r="A199" s="51" t="str">
        <f>IF(Declarations!B151=0,"",Declarations!B151)</f>
        <v/>
      </c>
      <c r="B199" s="161" t="str">
        <f>IF(ISNA(VLOOKUP(A199,Declarations!B$6:C$293,2,FALSE)),"",IF(VLOOKUP(A199,Declarations!B$6:C$293,2,FALSE)="","",VLOOKUP(A199,Declarations!B$6:C$293,2,FALSE)))</f>
        <v/>
      </c>
      <c r="C199" s="161" t="str">
        <f>IF(ISNA(VLOOKUP(A199,Declarations!B$6:F$293,5,FALSE)),"",IF(VLOOKUP(A199,Declarations!B$6:F$293,5,FALSE)="","",VLOOKUP(A199,Declarations!B$6:F$293,5,FALSE)))</f>
        <v/>
      </c>
      <c r="D199" s="161" t="str">
        <f>IF(ISNA(VLOOKUP(A199,Declarations!B$6:F$293,4,FALSE)),"",IF(VLOOKUP(A199,Declarations!B$6:F$293,4,FALSE)="","",VLOOKUP(A199,Declarations!B$6:F$293,4,FALSE)))</f>
        <v/>
      </c>
      <c r="E199" s="161" t="str">
        <f>IF(ISNA(VLOOKUP(A199,Declarations!B$6:D$293,3,FALSE)),"",IF(VLOOKUP(A199,Declarations!B$6:D$293,3,FALSE)="","",VLOOKUP(A199,Declarations!B$6:D$293,3,FALSE)))</f>
        <v/>
      </c>
      <c r="F199" s="51" t="str">
        <f>IF(B199="","",IF(ISNA(VLOOKUP(A199,'75m'!F$5:G$302,2,FALSE)),"",VLOOKUP(A199,'75m'!F$5:G$302,2,FALSE)))</f>
        <v/>
      </c>
      <c r="G199" s="51">
        <f>IF(B199="",0,IF(ISNA(VLOOKUP(A199,'75m'!F$5:J$302,5,FALSE)),0,VLOOKUP(A199,'75m'!F$5:J$302,5,FALSE)))</f>
        <v>0</v>
      </c>
      <c r="H199" s="51" t="str">
        <f>IF(B199="","",IF(ISNA(VLOOKUP(A199,'75m'!F$5:K$302,6,FALSE)),"",VLOOKUP(A199,'75m'!F$5:K$302,6,FALSE)))</f>
        <v/>
      </c>
      <c r="I199" s="53">
        <f>IF(B199="",0,IF(ISNA(VLOOKUP(A199,'600m'!F$5:J$302,2,FALSE)),0,VLOOKUP(A199,'600m'!F$5:J$302,2,FALSE)))</f>
        <v>0</v>
      </c>
      <c r="J199" s="51">
        <f>IF(B199="",0,IF(ISNA(VLOOKUP(A199,'600m'!F$5:J$302,5,FALSE)),0,VLOOKUP(A199,'600m'!F$5:J$302,5,FALSE)))</f>
        <v>0</v>
      </c>
      <c r="K199" s="51" t="str">
        <f>IF(B199="","",IF(ISNA(VLOOKUP(A199,'600m'!F$5:K$302,6,FALSE)),"",VLOOKUP(A199,'600m'!F$5:K$302,6,FALSE)))</f>
        <v/>
      </c>
      <c r="L199" s="51" t="str">
        <f>IF(B199="","",IF(ISNA(VLOOKUP(A199,LongJump!F$5:G$302,2,FALSE)),"",VLOOKUP(A199,LongJump!F$5:G$302,2,FALSE)))</f>
        <v/>
      </c>
      <c r="M199" s="51">
        <f>IF(B199="",0,IF(ISNA(VLOOKUP(A199,LongJump!F$5:J$302,5,FALSE)),0,VLOOKUP(A199,LongJump!F$5:J$302,5,FALSE)))</f>
        <v>0</v>
      </c>
      <c r="N199" s="51">
        <f>IF(B199="",0,IF(ISNA(VLOOKUP(A199,LongJump!F$5:K$302,6,FALSE)),0,VLOOKUP(A199,LongJump!F$5:K$302,6,FALSE)))</f>
        <v>0</v>
      </c>
      <c r="O199" s="51" t="str">
        <f>IF(B199="","",IF(ISNA(VLOOKUP(A199,Vortex!F$5:J$302,2,FALSE)),"",VLOOKUP(A199,Vortex!F$5:J$302,2,FALSE)))</f>
        <v/>
      </c>
      <c r="P199" s="51">
        <f>IF(B199="",0,IF(ISNA(VLOOKUP(A199,Vortex!F$5:J$302,5,FALSE)),0,VLOOKUP(A199,Vortex!F$5:J$302,5,FALSE)))</f>
        <v>0</v>
      </c>
      <c r="Q199" s="51">
        <f t="shared" si="24"/>
        <v>0</v>
      </c>
      <c r="R199" s="51" t="str">
        <f t="shared" si="20"/>
        <v/>
      </c>
      <c r="S199" s="51" t="str">
        <f t="shared" si="21"/>
        <v/>
      </c>
      <c r="T199" s="51" t="str">
        <f t="shared" si="22"/>
        <v/>
      </c>
      <c r="U199" s="51" t="str">
        <f t="shared" si="23"/>
        <v/>
      </c>
      <c r="V199" s="39"/>
    </row>
    <row r="200" spans="1:35" ht="20" customHeight="1">
      <c r="A200" s="51" t="str">
        <f>IF(Declarations!B152=0,"",Declarations!B152)</f>
        <v/>
      </c>
      <c r="B200" s="161" t="str">
        <f>IF(ISNA(VLOOKUP(A200,Declarations!B$6:C$293,2,FALSE)),"",IF(VLOOKUP(A200,Declarations!B$6:C$293,2,FALSE)="","",VLOOKUP(A200,Declarations!B$6:C$293,2,FALSE)))</f>
        <v/>
      </c>
      <c r="C200" s="161" t="str">
        <f>IF(ISNA(VLOOKUP(A200,Declarations!B$6:F$293,5,FALSE)),"",IF(VLOOKUP(A200,Declarations!B$6:F$293,5,FALSE)="","",VLOOKUP(A200,Declarations!B$6:F$293,5,FALSE)))</f>
        <v/>
      </c>
      <c r="D200" s="161" t="str">
        <f>IF(ISNA(VLOOKUP(A200,Declarations!B$6:F$293,4,FALSE)),"",IF(VLOOKUP(A200,Declarations!B$6:F$293,4,FALSE)="","",VLOOKUP(A200,Declarations!B$6:F$293,4,FALSE)))</f>
        <v/>
      </c>
      <c r="E200" s="161" t="str">
        <f>IF(ISNA(VLOOKUP(A200,Declarations!B$6:D$293,3,FALSE)),"",IF(VLOOKUP(A200,Declarations!B$6:D$293,3,FALSE)="","",VLOOKUP(A200,Declarations!B$6:D$293,3,FALSE)))</f>
        <v/>
      </c>
      <c r="F200" s="51" t="str">
        <f>IF(B200="","",IF(ISNA(VLOOKUP(A200,'75m'!F$5:G$302,2,FALSE)),"",VLOOKUP(A200,'75m'!F$5:G$302,2,FALSE)))</f>
        <v/>
      </c>
      <c r="G200" s="51">
        <f>IF(B200="",0,IF(ISNA(VLOOKUP(A200,'75m'!F$5:J$302,5,FALSE)),0,VLOOKUP(A200,'75m'!F$5:J$302,5,FALSE)))</f>
        <v>0</v>
      </c>
      <c r="H200" s="51" t="str">
        <f>IF(B200="","",IF(ISNA(VLOOKUP(A200,'75m'!F$5:K$302,6,FALSE)),"",VLOOKUP(A200,'75m'!F$5:K$302,6,FALSE)))</f>
        <v/>
      </c>
      <c r="I200" s="53">
        <f>IF(B200="",0,IF(ISNA(VLOOKUP(A200,'600m'!F$5:J$302,2,FALSE)),0,VLOOKUP(A200,'600m'!F$5:J$302,2,FALSE)))</f>
        <v>0</v>
      </c>
      <c r="J200" s="51">
        <f>IF(B200="",0,IF(ISNA(VLOOKUP(A200,'600m'!F$5:J$302,5,FALSE)),0,VLOOKUP(A200,'600m'!F$5:J$302,5,FALSE)))</f>
        <v>0</v>
      </c>
      <c r="K200" s="51" t="str">
        <f>IF(B200="","",IF(ISNA(VLOOKUP(A200,'600m'!F$5:K$302,6,FALSE)),"",VLOOKUP(A200,'600m'!F$5:K$302,6,FALSE)))</f>
        <v/>
      </c>
      <c r="L200" s="51" t="str">
        <f>IF(B200="","",IF(ISNA(VLOOKUP(A200,LongJump!F$5:G$302,2,FALSE)),"",VLOOKUP(A200,LongJump!F$5:G$302,2,FALSE)))</f>
        <v/>
      </c>
      <c r="M200" s="51">
        <f>IF(B200="",0,IF(ISNA(VLOOKUP(A200,LongJump!F$5:J$302,5,FALSE)),0,VLOOKUP(A200,LongJump!F$5:J$302,5,FALSE)))</f>
        <v>0</v>
      </c>
      <c r="N200" s="51">
        <f>IF(B200="",0,IF(ISNA(VLOOKUP(A200,LongJump!F$5:K$302,6,FALSE)),0,VLOOKUP(A200,LongJump!F$5:K$302,6,FALSE)))</f>
        <v>0</v>
      </c>
      <c r="O200" s="51" t="str">
        <f>IF(B200="","",IF(ISNA(VLOOKUP(A200,Vortex!F$5:J$302,2,FALSE)),"",VLOOKUP(A200,Vortex!F$5:J$302,2,FALSE)))</f>
        <v/>
      </c>
      <c r="P200" s="51">
        <f>IF(B200="",0,IF(ISNA(VLOOKUP(A200,Vortex!F$5:J$302,5,FALSE)),0,VLOOKUP(A200,Vortex!F$5:J$302,5,FALSE)))</f>
        <v>0</v>
      </c>
      <c r="Q200" s="51">
        <f t="shared" si="24"/>
        <v>0</v>
      </c>
      <c r="R200" s="51" t="str">
        <f t="shared" si="20"/>
        <v/>
      </c>
      <c r="S200" s="51" t="str">
        <f t="shared" si="21"/>
        <v/>
      </c>
      <c r="T200" s="51" t="str">
        <f t="shared" si="22"/>
        <v/>
      </c>
      <c r="U200" s="51" t="str">
        <f t="shared" si="23"/>
        <v/>
      </c>
      <c r="V200" s="39"/>
    </row>
    <row r="201" spans="1:35" ht="20" customHeight="1">
      <c r="A201" s="51" t="str">
        <f>IF(Declarations!B153=0,"",Declarations!B153)</f>
        <v/>
      </c>
      <c r="B201" s="161" t="str">
        <f>IF(ISNA(VLOOKUP(A201,Declarations!B$6:C$293,2,FALSE)),"",IF(VLOOKUP(A201,Declarations!B$6:C$293,2,FALSE)="","",VLOOKUP(A201,Declarations!B$6:C$293,2,FALSE)))</f>
        <v/>
      </c>
      <c r="C201" s="161" t="str">
        <f>IF(ISNA(VLOOKUP(A201,Declarations!B$6:F$293,5,FALSE)),"",IF(VLOOKUP(A201,Declarations!B$6:F$293,5,FALSE)="","",VLOOKUP(A201,Declarations!B$6:F$293,5,FALSE)))</f>
        <v/>
      </c>
      <c r="D201" s="161" t="str">
        <f>IF(ISNA(VLOOKUP(A201,Declarations!B$6:F$293,4,FALSE)),"",IF(VLOOKUP(A201,Declarations!B$6:F$293,4,FALSE)="","",VLOOKUP(A201,Declarations!B$6:F$293,4,FALSE)))</f>
        <v/>
      </c>
      <c r="E201" s="161" t="str">
        <f>IF(ISNA(VLOOKUP(A201,Declarations!B$6:D$293,3,FALSE)),"",IF(VLOOKUP(A201,Declarations!B$6:D$293,3,FALSE)="","",VLOOKUP(A201,Declarations!B$6:D$293,3,FALSE)))</f>
        <v/>
      </c>
      <c r="F201" s="51" t="str">
        <f>IF(B201="","",IF(ISNA(VLOOKUP(A201,'75m'!F$5:G$302,2,FALSE)),"",VLOOKUP(A201,'75m'!F$5:G$302,2,FALSE)))</f>
        <v/>
      </c>
      <c r="G201" s="51">
        <f>IF(B201="",0,IF(ISNA(VLOOKUP(A201,'75m'!F$5:J$302,5,FALSE)),0,VLOOKUP(A201,'75m'!F$5:J$302,5,FALSE)))</f>
        <v>0</v>
      </c>
      <c r="H201" s="51" t="str">
        <f>IF(B201="","",IF(ISNA(VLOOKUP(A201,'75m'!F$5:K$302,6,FALSE)),"",VLOOKUP(A201,'75m'!F$5:K$302,6,FALSE)))</f>
        <v/>
      </c>
      <c r="I201" s="53">
        <f>IF(B201="",0,IF(ISNA(VLOOKUP(A201,'600m'!F$5:J$302,2,FALSE)),0,VLOOKUP(A201,'600m'!F$5:J$302,2,FALSE)))</f>
        <v>0</v>
      </c>
      <c r="J201" s="51">
        <f>IF(B201="",0,IF(ISNA(VLOOKUP(A201,'600m'!F$5:J$302,5,FALSE)),0,VLOOKUP(A201,'600m'!F$5:J$302,5,FALSE)))</f>
        <v>0</v>
      </c>
      <c r="K201" s="51" t="str">
        <f>IF(B201="","",IF(ISNA(VLOOKUP(A201,'600m'!F$5:K$302,6,FALSE)),"",VLOOKUP(A201,'600m'!F$5:K$302,6,FALSE)))</f>
        <v/>
      </c>
      <c r="L201" s="51" t="str">
        <f>IF(B201="","",IF(ISNA(VLOOKUP(A201,LongJump!F$5:G$302,2,FALSE)),"",VLOOKUP(A201,LongJump!F$5:G$302,2,FALSE)))</f>
        <v/>
      </c>
      <c r="M201" s="51">
        <f>IF(B201="",0,IF(ISNA(VLOOKUP(A201,LongJump!F$5:J$302,5,FALSE)),0,VLOOKUP(A201,LongJump!F$5:J$302,5,FALSE)))</f>
        <v>0</v>
      </c>
      <c r="N201" s="51">
        <f>IF(B201="",0,IF(ISNA(VLOOKUP(A201,LongJump!F$5:K$302,6,FALSE)),0,VLOOKUP(A201,LongJump!F$5:K$302,6,FALSE)))</f>
        <v>0</v>
      </c>
      <c r="O201" s="51" t="str">
        <f>IF(B201="","",IF(ISNA(VLOOKUP(A201,Vortex!F$5:J$302,2,FALSE)),"",VLOOKUP(A201,Vortex!F$5:J$302,2,FALSE)))</f>
        <v/>
      </c>
      <c r="P201" s="51">
        <f>IF(B201="",0,IF(ISNA(VLOOKUP(A201,Vortex!F$5:J$302,5,FALSE)),0,VLOOKUP(A201,Vortex!F$5:J$302,5,FALSE)))</f>
        <v>0</v>
      </c>
      <c r="Q201" s="51">
        <f t="shared" si="24"/>
        <v>0</v>
      </c>
      <c r="R201" s="51" t="str">
        <f t="shared" si="20"/>
        <v/>
      </c>
      <c r="S201" s="51" t="str">
        <f t="shared" si="21"/>
        <v/>
      </c>
      <c r="T201" s="51" t="str">
        <f t="shared" si="22"/>
        <v/>
      </c>
      <c r="U201" s="51" t="str">
        <f t="shared" si="23"/>
        <v/>
      </c>
      <c r="V201" s="39"/>
    </row>
    <row r="202" spans="1:35" ht="20" customHeight="1">
      <c r="A202" s="51" t="str">
        <f>IF(Declarations!B154=0,"",Declarations!B154)</f>
        <v/>
      </c>
      <c r="B202" s="161" t="str">
        <f>IF(ISNA(VLOOKUP(A202,Declarations!B$6:C$293,2,FALSE)),"",IF(VLOOKUP(A202,Declarations!B$6:C$293,2,FALSE)="","",VLOOKUP(A202,Declarations!B$6:C$293,2,FALSE)))</f>
        <v/>
      </c>
      <c r="C202" s="161" t="str">
        <f>IF(ISNA(VLOOKUP(A202,Declarations!B$6:F$293,5,FALSE)),"",IF(VLOOKUP(A202,Declarations!B$6:F$293,5,FALSE)="","",VLOOKUP(A202,Declarations!B$6:F$293,5,FALSE)))</f>
        <v/>
      </c>
      <c r="D202" s="161" t="str">
        <f>IF(ISNA(VLOOKUP(A202,Declarations!B$6:F$293,4,FALSE)),"",IF(VLOOKUP(A202,Declarations!B$6:F$293,4,FALSE)="","",VLOOKUP(A202,Declarations!B$6:F$293,4,FALSE)))</f>
        <v/>
      </c>
      <c r="E202" s="161" t="str">
        <f>IF(ISNA(VLOOKUP(A202,Declarations!B$6:D$293,3,FALSE)),"",IF(VLOOKUP(A202,Declarations!B$6:D$293,3,FALSE)="","",VLOOKUP(A202,Declarations!B$6:D$293,3,FALSE)))</f>
        <v/>
      </c>
      <c r="F202" s="51" t="str">
        <f>IF(B202="","",IF(ISNA(VLOOKUP(A202,'75m'!F$5:G$302,2,FALSE)),"",VLOOKUP(A202,'75m'!F$5:G$302,2,FALSE)))</f>
        <v/>
      </c>
      <c r="G202" s="51">
        <f>IF(B202="",0,IF(ISNA(VLOOKUP(A202,'75m'!F$5:J$302,5,FALSE)),0,VLOOKUP(A202,'75m'!F$5:J$302,5,FALSE)))</f>
        <v>0</v>
      </c>
      <c r="H202" s="51" t="str">
        <f>IF(B202="","",IF(ISNA(VLOOKUP(A202,'75m'!F$5:K$302,6,FALSE)),"",VLOOKUP(A202,'75m'!F$5:K$302,6,FALSE)))</f>
        <v/>
      </c>
      <c r="I202" s="53">
        <f>IF(B202="",0,IF(ISNA(VLOOKUP(A202,'600m'!F$5:J$302,2,FALSE)),0,VLOOKUP(A202,'600m'!F$5:J$302,2,FALSE)))</f>
        <v>0</v>
      </c>
      <c r="J202" s="51">
        <f>IF(B202="",0,IF(ISNA(VLOOKUP(A202,'600m'!F$5:J$302,5,FALSE)),0,VLOOKUP(A202,'600m'!F$5:J$302,5,FALSE)))</f>
        <v>0</v>
      </c>
      <c r="K202" s="51" t="str">
        <f>IF(B202="","",IF(ISNA(VLOOKUP(A202,'600m'!F$5:K$302,6,FALSE)),"",VLOOKUP(A202,'600m'!F$5:K$302,6,FALSE)))</f>
        <v/>
      </c>
      <c r="L202" s="51" t="str">
        <f>IF(B202="","",IF(ISNA(VLOOKUP(A202,LongJump!F$5:G$302,2,FALSE)),"",VLOOKUP(A202,LongJump!F$5:G$302,2,FALSE)))</f>
        <v/>
      </c>
      <c r="M202" s="51">
        <f>IF(B202="",0,IF(ISNA(VLOOKUP(A202,LongJump!F$5:J$302,5,FALSE)),0,VLOOKUP(A202,LongJump!F$5:J$302,5,FALSE)))</f>
        <v>0</v>
      </c>
      <c r="N202" s="51">
        <f>IF(B202="",0,IF(ISNA(VLOOKUP(A202,LongJump!F$5:K$302,6,FALSE)),0,VLOOKUP(A202,LongJump!F$5:K$302,6,FALSE)))</f>
        <v>0</v>
      </c>
      <c r="O202" s="51" t="str">
        <f>IF(B202="","",IF(ISNA(VLOOKUP(A202,Vortex!F$5:J$302,2,FALSE)),"",VLOOKUP(A202,Vortex!F$5:J$302,2,FALSE)))</f>
        <v/>
      </c>
      <c r="P202" s="51">
        <f>IF(B202="",0,IF(ISNA(VLOOKUP(A202,Vortex!F$5:J$302,5,FALSE)),0,VLOOKUP(A202,Vortex!F$5:J$302,5,FALSE)))</f>
        <v>0</v>
      </c>
      <c r="Q202" s="51">
        <f t="shared" si="24"/>
        <v>0</v>
      </c>
      <c r="R202" s="51" t="str">
        <f t="shared" si="20"/>
        <v/>
      </c>
      <c r="S202" s="51" t="str">
        <f t="shared" si="21"/>
        <v/>
      </c>
      <c r="T202" s="51" t="str">
        <f t="shared" si="22"/>
        <v/>
      </c>
      <c r="U202" s="51" t="str">
        <f t="shared" si="23"/>
        <v/>
      </c>
      <c r="V202" s="39"/>
    </row>
    <row r="203" spans="1:35" ht="20" customHeight="1">
      <c r="A203" s="51" t="str">
        <f>IF(Declarations!B155=0,"",Declarations!B155)</f>
        <v/>
      </c>
      <c r="B203" s="161" t="str">
        <f>IF(ISNA(VLOOKUP(A203,Declarations!B$6:C$293,2,FALSE)),"",IF(VLOOKUP(A203,Declarations!B$6:C$293,2,FALSE)="","",VLOOKUP(A203,Declarations!B$6:C$293,2,FALSE)))</f>
        <v/>
      </c>
      <c r="C203" s="161" t="str">
        <f>IF(ISNA(VLOOKUP(A203,Declarations!B$6:F$293,5,FALSE)),"",IF(VLOOKUP(A203,Declarations!B$6:F$293,5,FALSE)="","",VLOOKUP(A203,Declarations!B$6:F$293,5,FALSE)))</f>
        <v/>
      </c>
      <c r="D203" s="161" t="str">
        <f>IF(ISNA(VLOOKUP(A203,Declarations!B$6:F$293,4,FALSE)),"",IF(VLOOKUP(A203,Declarations!B$6:F$293,4,FALSE)="","",VLOOKUP(A203,Declarations!B$6:F$293,4,FALSE)))</f>
        <v/>
      </c>
      <c r="E203" s="161" t="str">
        <f>IF(ISNA(VLOOKUP(A203,Declarations!B$6:D$293,3,FALSE)),"",IF(VLOOKUP(A203,Declarations!B$6:D$293,3,FALSE)="","",VLOOKUP(A203,Declarations!B$6:D$293,3,FALSE)))</f>
        <v/>
      </c>
      <c r="F203" s="51" t="str">
        <f>IF(B203="","",IF(ISNA(VLOOKUP(A203,'75m'!F$5:G$302,2,FALSE)),"",VLOOKUP(A203,'75m'!F$5:G$302,2,FALSE)))</f>
        <v/>
      </c>
      <c r="G203" s="51">
        <f>IF(B203="",0,IF(ISNA(VLOOKUP(A203,'75m'!F$5:J$302,5,FALSE)),0,VLOOKUP(A203,'75m'!F$5:J$302,5,FALSE)))</f>
        <v>0</v>
      </c>
      <c r="H203" s="51" t="str">
        <f>IF(B203="","",IF(ISNA(VLOOKUP(A203,'75m'!F$5:K$302,6,FALSE)),"",VLOOKUP(A203,'75m'!F$5:K$302,6,FALSE)))</f>
        <v/>
      </c>
      <c r="I203" s="53">
        <f>IF(B203="",0,IF(ISNA(VLOOKUP(A203,'600m'!F$5:J$302,2,FALSE)),0,VLOOKUP(A203,'600m'!F$5:J$302,2,FALSE)))</f>
        <v>0</v>
      </c>
      <c r="J203" s="51">
        <f>IF(B203="",0,IF(ISNA(VLOOKUP(A203,'600m'!F$5:J$302,5,FALSE)),0,VLOOKUP(A203,'600m'!F$5:J$302,5,FALSE)))</f>
        <v>0</v>
      </c>
      <c r="K203" s="51" t="str">
        <f>IF(B203="","",IF(ISNA(VLOOKUP(A203,'600m'!F$5:K$302,6,FALSE)),"",VLOOKUP(A203,'600m'!F$5:K$302,6,FALSE)))</f>
        <v/>
      </c>
      <c r="L203" s="51" t="str">
        <f>IF(B203="","",IF(ISNA(VLOOKUP(A203,LongJump!F$5:G$302,2,FALSE)),"",VLOOKUP(A203,LongJump!F$5:G$302,2,FALSE)))</f>
        <v/>
      </c>
      <c r="M203" s="51">
        <f>IF(B203="",0,IF(ISNA(VLOOKUP(A203,LongJump!F$5:J$302,5,FALSE)),0,VLOOKUP(A203,LongJump!F$5:J$302,5,FALSE)))</f>
        <v>0</v>
      </c>
      <c r="N203" s="51">
        <f>IF(B203="",0,IF(ISNA(VLOOKUP(A203,LongJump!F$5:K$302,6,FALSE)),0,VLOOKUP(A203,LongJump!F$5:K$302,6,FALSE)))</f>
        <v>0</v>
      </c>
      <c r="O203" s="51" t="str">
        <f>IF(B203="","",IF(ISNA(VLOOKUP(A203,Vortex!F$5:J$302,2,FALSE)),"",VLOOKUP(A203,Vortex!F$5:J$302,2,FALSE)))</f>
        <v/>
      </c>
      <c r="P203" s="51">
        <f>IF(B203="",0,IF(ISNA(VLOOKUP(A203,Vortex!F$5:J$302,5,FALSE)),0,VLOOKUP(A203,Vortex!F$5:J$302,5,FALSE)))</f>
        <v>0</v>
      </c>
      <c r="Q203" s="51">
        <f t="shared" si="24"/>
        <v>0</v>
      </c>
      <c r="R203" s="51" t="str">
        <f t="shared" si="20"/>
        <v/>
      </c>
      <c r="S203" s="51" t="str">
        <f t="shared" si="21"/>
        <v/>
      </c>
      <c r="T203" s="51" t="str">
        <f t="shared" si="22"/>
        <v/>
      </c>
      <c r="U203" s="51" t="str">
        <f t="shared" si="23"/>
        <v/>
      </c>
      <c r="V203" s="39"/>
    </row>
    <row r="204" spans="1:35" ht="20" customHeight="1">
      <c r="A204" s="51" t="str">
        <f>IF(Declarations!B156=0,"",Declarations!B156)</f>
        <v/>
      </c>
      <c r="B204" s="161" t="str">
        <f>IF(ISNA(VLOOKUP(A204,Declarations!B$6:C$293,2,FALSE)),"",IF(VLOOKUP(A204,Declarations!B$6:C$293,2,FALSE)="","",VLOOKUP(A204,Declarations!B$6:C$293,2,FALSE)))</f>
        <v/>
      </c>
      <c r="C204" s="161" t="str">
        <f>IF(ISNA(VLOOKUP(A204,Declarations!B$6:F$293,5,FALSE)),"",IF(VLOOKUP(A204,Declarations!B$6:F$293,5,FALSE)="","",VLOOKUP(A204,Declarations!B$6:F$293,5,FALSE)))</f>
        <v/>
      </c>
      <c r="D204" s="161" t="str">
        <f>IF(ISNA(VLOOKUP(A204,Declarations!B$6:F$293,4,FALSE)),"",IF(VLOOKUP(A204,Declarations!B$6:F$293,4,FALSE)="","",VLOOKUP(A204,Declarations!B$6:F$293,4,FALSE)))</f>
        <v/>
      </c>
      <c r="E204" s="161" t="str">
        <f>IF(ISNA(VLOOKUP(A204,Declarations!B$6:D$293,3,FALSE)),"",IF(VLOOKUP(A204,Declarations!B$6:D$293,3,FALSE)="","",VLOOKUP(A204,Declarations!B$6:D$293,3,FALSE)))</f>
        <v/>
      </c>
      <c r="F204" s="51" t="str">
        <f>IF(B204="","",IF(ISNA(VLOOKUP(A204,'75m'!F$5:G$302,2,FALSE)),"",VLOOKUP(A204,'75m'!F$5:G$302,2,FALSE)))</f>
        <v/>
      </c>
      <c r="G204" s="51">
        <f>IF(B204="",0,IF(ISNA(VLOOKUP(A204,'75m'!F$5:J$302,5,FALSE)),0,VLOOKUP(A204,'75m'!F$5:J$302,5,FALSE)))</f>
        <v>0</v>
      </c>
      <c r="H204" s="51" t="str">
        <f>IF(B204="","",IF(ISNA(VLOOKUP(A204,'75m'!F$5:K$302,6,FALSE)),"",VLOOKUP(A204,'75m'!F$5:K$302,6,FALSE)))</f>
        <v/>
      </c>
      <c r="I204" s="53">
        <f>IF(B204="",0,IF(ISNA(VLOOKUP(A204,'600m'!F$5:J$302,2,FALSE)),0,VLOOKUP(A204,'600m'!F$5:J$302,2,FALSE)))</f>
        <v>0</v>
      </c>
      <c r="J204" s="51">
        <f>IF(B204="",0,IF(ISNA(VLOOKUP(A204,'600m'!F$5:J$302,5,FALSE)),0,VLOOKUP(A204,'600m'!F$5:J$302,5,FALSE)))</f>
        <v>0</v>
      </c>
      <c r="K204" s="51" t="str">
        <f>IF(B204="","",IF(ISNA(VLOOKUP(A204,'600m'!F$5:K$302,6,FALSE)),"",VLOOKUP(A204,'600m'!F$5:K$302,6,FALSE)))</f>
        <v/>
      </c>
      <c r="L204" s="51" t="str">
        <f>IF(B204="","",IF(ISNA(VLOOKUP(A204,LongJump!F$5:G$302,2,FALSE)),"",VLOOKUP(A204,LongJump!F$5:G$302,2,FALSE)))</f>
        <v/>
      </c>
      <c r="M204" s="51">
        <f>IF(B204="",0,IF(ISNA(VLOOKUP(A204,LongJump!F$5:J$302,5,FALSE)),0,VLOOKUP(A204,LongJump!F$5:J$302,5,FALSE)))</f>
        <v>0</v>
      </c>
      <c r="N204" s="51">
        <f>IF(B204="",0,IF(ISNA(VLOOKUP(A204,LongJump!F$5:K$302,6,FALSE)),0,VLOOKUP(A204,LongJump!F$5:K$302,6,FALSE)))</f>
        <v>0</v>
      </c>
      <c r="O204" s="51" t="str">
        <f>IF(B204="","",IF(ISNA(VLOOKUP(A204,Vortex!F$5:J$302,2,FALSE)),"",VLOOKUP(A204,Vortex!F$5:J$302,2,FALSE)))</f>
        <v/>
      </c>
      <c r="P204" s="51">
        <f>IF(B204="",0,IF(ISNA(VLOOKUP(A204,Vortex!F$5:J$302,5,FALSE)),0,VLOOKUP(A204,Vortex!F$5:J$302,5,FALSE)))</f>
        <v>0</v>
      </c>
      <c r="Q204" s="51">
        <f t="shared" si="24"/>
        <v>0</v>
      </c>
      <c r="R204" s="51" t="str">
        <f t="shared" si="20"/>
        <v/>
      </c>
      <c r="S204" s="51" t="str">
        <f t="shared" si="21"/>
        <v/>
      </c>
      <c r="T204" s="51" t="str">
        <f t="shared" si="22"/>
        <v/>
      </c>
      <c r="U204" s="51" t="str">
        <f t="shared" si="23"/>
        <v/>
      </c>
      <c r="V204" s="39"/>
    </row>
    <row r="205" spans="1:35" ht="20" customHeight="1">
      <c r="A205" s="51" t="str">
        <f>IF(Declarations!B157=0,"",Declarations!B157)</f>
        <v/>
      </c>
      <c r="B205" s="161" t="str">
        <f>IF(ISNA(VLOOKUP(A205,Declarations!B$6:C$293,2,FALSE)),"",IF(VLOOKUP(A205,Declarations!B$6:C$293,2,FALSE)="","",VLOOKUP(A205,Declarations!B$6:C$293,2,FALSE)))</f>
        <v/>
      </c>
      <c r="C205" s="161" t="str">
        <f>IF(ISNA(VLOOKUP(A205,Declarations!B$6:F$293,5,FALSE)),"",IF(VLOOKUP(A205,Declarations!B$6:F$293,5,FALSE)="","",VLOOKUP(A205,Declarations!B$6:F$293,5,FALSE)))</f>
        <v/>
      </c>
      <c r="D205" s="161" t="str">
        <f>IF(ISNA(VLOOKUP(A205,Declarations!B$6:F$293,4,FALSE)),"",IF(VLOOKUP(A205,Declarations!B$6:F$293,4,FALSE)="","",VLOOKUP(A205,Declarations!B$6:F$293,4,FALSE)))</f>
        <v/>
      </c>
      <c r="E205" s="161" t="str">
        <f>IF(ISNA(VLOOKUP(A205,Declarations!B$6:D$293,3,FALSE)),"",IF(VLOOKUP(A205,Declarations!B$6:D$293,3,FALSE)="","",VLOOKUP(A205,Declarations!B$6:D$293,3,FALSE)))</f>
        <v/>
      </c>
      <c r="F205" s="51" t="str">
        <f>IF(B205="","",IF(ISNA(VLOOKUP(A205,'75m'!F$5:G$302,2,FALSE)),"",VLOOKUP(A205,'75m'!F$5:G$302,2,FALSE)))</f>
        <v/>
      </c>
      <c r="G205" s="51">
        <f>IF(B205="",0,IF(ISNA(VLOOKUP(A205,'75m'!F$5:J$302,5,FALSE)),0,VLOOKUP(A205,'75m'!F$5:J$302,5,FALSE)))</f>
        <v>0</v>
      </c>
      <c r="H205" s="51" t="str">
        <f>IF(B205="","",IF(ISNA(VLOOKUP(A205,'75m'!F$5:K$302,6,FALSE)),"",VLOOKUP(A205,'75m'!F$5:K$302,6,FALSE)))</f>
        <v/>
      </c>
      <c r="I205" s="53">
        <f>IF(B205="",0,IF(ISNA(VLOOKUP(A205,'600m'!F$5:J$302,2,FALSE)),0,VLOOKUP(A205,'600m'!F$5:J$302,2,FALSE)))</f>
        <v>0</v>
      </c>
      <c r="J205" s="51">
        <f>IF(B205="",0,IF(ISNA(VLOOKUP(A205,'600m'!F$5:J$302,5,FALSE)),0,VLOOKUP(A205,'600m'!F$5:J$302,5,FALSE)))</f>
        <v>0</v>
      </c>
      <c r="K205" s="51" t="str">
        <f>IF(B205="","",IF(ISNA(VLOOKUP(A205,'600m'!F$5:K$302,6,FALSE)),"",VLOOKUP(A205,'600m'!F$5:K$302,6,FALSE)))</f>
        <v/>
      </c>
      <c r="L205" s="51" t="str">
        <f>IF(B205="","",IF(ISNA(VLOOKUP(A205,LongJump!F$5:G$302,2,FALSE)),"",VLOOKUP(A205,LongJump!F$5:G$302,2,FALSE)))</f>
        <v/>
      </c>
      <c r="M205" s="51">
        <f>IF(B205="",0,IF(ISNA(VLOOKUP(A205,LongJump!F$5:J$302,5,FALSE)),0,VLOOKUP(A205,LongJump!F$5:J$302,5,FALSE)))</f>
        <v>0</v>
      </c>
      <c r="N205" s="51">
        <f>IF(B205="",0,IF(ISNA(VLOOKUP(A205,LongJump!F$5:K$302,6,FALSE)),0,VLOOKUP(A205,LongJump!F$5:K$302,6,FALSE)))</f>
        <v>0</v>
      </c>
      <c r="O205" s="51" t="str">
        <f>IF(B205="","",IF(ISNA(VLOOKUP(A205,Vortex!F$5:J$302,2,FALSE)),"",VLOOKUP(A205,Vortex!F$5:J$302,2,FALSE)))</f>
        <v/>
      </c>
      <c r="P205" s="51">
        <f>IF(B205="",0,IF(ISNA(VLOOKUP(A205,Vortex!F$5:J$302,5,FALSE)),0,VLOOKUP(A205,Vortex!F$5:J$302,5,FALSE)))</f>
        <v>0</v>
      </c>
      <c r="Q205" s="51">
        <f t="shared" si="24"/>
        <v>0</v>
      </c>
      <c r="R205" s="51" t="str">
        <f t="shared" si="20"/>
        <v/>
      </c>
      <c r="S205" s="51" t="str">
        <f t="shared" si="21"/>
        <v/>
      </c>
      <c r="T205" s="51" t="str">
        <f t="shared" si="22"/>
        <v/>
      </c>
      <c r="U205" s="51" t="str">
        <f t="shared" si="23"/>
        <v/>
      </c>
      <c r="V205" s="39"/>
    </row>
    <row r="206" spans="1:35" ht="20" customHeight="1">
      <c r="A206" s="51" t="str">
        <f>IF(Declarations!B158=0,"",Declarations!B158)</f>
        <v/>
      </c>
      <c r="B206" s="161" t="str">
        <f>IF(ISNA(VLOOKUP(A206,Declarations!B$6:C$293,2,FALSE)),"",IF(VLOOKUP(A206,Declarations!B$6:C$293,2,FALSE)="","",VLOOKUP(A206,Declarations!B$6:C$293,2,FALSE)))</f>
        <v/>
      </c>
      <c r="C206" s="161" t="str">
        <f>IF(ISNA(VLOOKUP(A206,Declarations!B$6:F$293,5,FALSE)),"",IF(VLOOKUP(A206,Declarations!B$6:F$293,5,FALSE)="","",VLOOKUP(A206,Declarations!B$6:F$293,5,FALSE)))</f>
        <v/>
      </c>
      <c r="D206" s="161" t="str">
        <f>IF(ISNA(VLOOKUP(A206,Declarations!B$6:F$293,4,FALSE)),"",IF(VLOOKUP(A206,Declarations!B$6:F$293,4,FALSE)="","",VLOOKUP(A206,Declarations!B$6:F$293,4,FALSE)))</f>
        <v/>
      </c>
      <c r="E206" s="161" t="str">
        <f>IF(ISNA(VLOOKUP(A206,Declarations!B$6:D$293,3,FALSE)),"",IF(VLOOKUP(A206,Declarations!B$6:D$293,3,FALSE)="","",VLOOKUP(A206,Declarations!B$6:D$293,3,FALSE)))</f>
        <v/>
      </c>
      <c r="F206" s="51" t="str">
        <f>IF(B206="","",IF(ISNA(VLOOKUP(A206,'75m'!F$5:G$302,2,FALSE)),"",VLOOKUP(A206,'75m'!F$5:G$302,2,FALSE)))</f>
        <v/>
      </c>
      <c r="G206" s="51">
        <f>IF(B206="",0,IF(ISNA(VLOOKUP(A206,'75m'!F$5:J$302,5,FALSE)),0,VLOOKUP(A206,'75m'!F$5:J$302,5,FALSE)))</f>
        <v>0</v>
      </c>
      <c r="H206" s="51" t="str">
        <f>IF(B206="","",IF(ISNA(VLOOKUP(A206,'75m'!F$5:K$302,6,FALSE)),"",VLOOKUP(A206,'75m'!F$5:K$302,6,FALSE)))</f>
        <v/>
      </c>
      <c r="I206" s="53">
        <f>IF(B206="",0,IF(ISNA(VLOOKUP(A206,'600m'!F$5:J$302,2,FALSE)),0,VLOOKUP(A206,'600m'!F$5:J$302,2,FALSE)))</f>
        <v>0</v>
      </c>
      <c r="J206" s="51">
        <f>IF(B206="",0,IF(ISNA(VLOOKUP(A206,'600m'!F$5:J$302,5,FALSE)),0,VLOOKUP(A206,'600m'!F$5:J$302,5,FALSE)))</f>
        <v>0</v>
      </c>
      <c r="K206" s="51" t="str">
        <f>IF(B206="","",IF(ISNA(VLOOKUP(A206,'600m'!F$5:K$302,6,FALSE)),"",VLOOKUP(A206,'600m'!F$5:K$302,6,FALSE)))</f>
        <v/>
      </c>
      <c r="L206" s="51" t="str">
        <f>IF(B206="","",IF(ISNA(VLOOKUP(A206,LongJump!F$5:G$302,2,FALSE)),"",VLOOKUP(A206,LongJump!F$5:G$302,2,FALSE)))</f>
        <v/>
      </c>
      <c r="M206" s="51">
        <f>IF(B206="",0,IF(ISNA(VLOOKUP(A206,LongJump!F$5:J$302,5,FALSE)),0,VLOOKUP(A206,LongJump!F$5:J$302,5,FALSE)))</f>
        <v>0</v>
      </c>
      <c r="N206" s="51">
        <f>IF(B206="",0,IF(ISNA(VLOOKUP(A206,LongJump!F$5:K$302,6,FALSE)),0,VLOOKUP(A206,LongJump!F$5:K$302,6,FALSE)))</f>
        <v>0</v>
      </c>
      <c r="O206" s="51" t="str">
        <f>IF(B206="","",IF(ISNA(VLOOKUP(A206,Vortex!F$5:J$302,2,FALSE)),"",VLOOKUP(A206,Vortex!F$5:J$302,2,FALSE)))</f>
        <v/>
      </c>
      <c r="P206" s="51">
        <f>IF(B206="",0,IF(ISNA(VLOOKUP(A206,Vortex!F$5:J$302,5,FALSE)),0,VLOOKUP(A206,Vortex!F$5:J$302,5,FALSE)))</f>
        <v>0</v>
      </c>
      <c r="Q206" s="51">
        <f t="shared" si="24"/>
        <v>0</v>
      </c>
      <c r="R206" s="51" t="str">
        <f t="shared" si="20"/>
        <v/>
      </c>
      <c r="S206" s="51" t="str">
        <f t="shared" si="21"/>
        <v/>
      </c>
      <c r="T206" s="51" t="str">
        <f t="shared" si="22"/>
        <v/>
      </c>
      <c r="U206" s="51" t="str">
        <f t="shared" si="23"/>
        <v/>
      </c>
      <c r="V206" s="39"/>
    </row>
    <row r="207" spans="1:35" ht="20" customHeight="1">
      <c r="A207" s="51" t="str">
        <f>IF(Declarations!B159=0,"",Declarations!B159)</f>
        <v/>
      </c>
      <c r="B207" s="161" t="str">
        <f>IF(ISNA(VLOOKUP(A207,Declarations!B$6:C$293,2,FALSE)),"",IF(VLOOKUP(A207,Declarations!B$6:C$293,2,FALSE)="","",VLOOKUP(A207,Declarations!B$6:C$293,2,FALSE)))</f>
        <v/>
      </c>
      <c r="C207" s="161" t="str">
        <f>IF(ISNA(VLOOKUP(A207,Declarations!B$6:F$293,5,FALSE)),"",IF(VLOOKUP(A207,Declarations!B$6:F$293,5,FALSE)="","",VLOOKUP(A207,Declarations!B$6:F$293,5,FALSE)))</f>
        <v/>
      </c>
      <c r="D207" s="161" t="str">
        <f>IF(ISNA(VLOOKUP(A207,Declarations!B$6:F$293,4,FALSE)),"",IF(VLOOKUP(A207,Declarations!B$6:F$293,4,FALSE)="","",VLOOKUP(A207,Declarations!B$6:F$293,4,FALSE)))</f>
        <v/>
      </c>
      <c r="E207" s="161" t="str">
        <f>IF(ISNA(VLOOKUP(A207,Declarations!B$6:D$293,3,FALSE)),"",IF(VLOOKUP(A207,Declarations!B$6:D$293,3,FALSE)="","",VLOOKUP(A207,Declarations!B$6:D$293,3,FALSE)))</f>
        <v/>
      </c>
      <c r="F207" s="51" t="str">
        <f>IF(B207="","",IF(ISNA(VLOOKUP(A207,'75m'!F$5:G$302,2,FALSE)),"",VLOOKUP(A207,'75m'!F$5:G$302,2,FALSE)))</f>
        <v/>
      </c>
      <c r="G207" s="51">
        <f>IF(B207="",0,IF(ISNA(VLOOKUP(A207,'75m'!F$5:J$302,5,FALSE)),0,VLOOKUP(A207,'75m'!F$5:J$302,5,FALSE)))</f>
        <v>0</v>
      </c>
      <c r="H207" s="51" t="str">
        <f>IF(B207="","",IF(ISNA(VLOOKUP(A207,'75m'!F$5:K$302,6,FALSE)),"",VLOOKUP(A207,'75m'!F$5:K$302,6,FALSE)))</f>
        <v/>
      </c>
      <c r="I207" s="53">
        <f>IF(B207="",0,IF(ISNA(VLOOKUP(A207,'600m'!F$5:J$302,2,FALSE)),0,VLOOKUP(A207,'600m'!F$5:J$302,2,FALSE)))</f>
        <v>0</v>
      </c>
      <c r="J207" s="51">
        <f>IF(B207="",0,IF(ISNA(VLOOKUP(A207,'600m'!F$5:J$302,5,FALSE)),0,VLOOKUP(A207,'600m'!F$5:J$302,5,FALSE)))</f>
        <v>0</v>
      </c>
      <c r="K207" s="51" t="str">
        <f>IF(B207="","",IF(ISNA(VLOOKUP(A207,'600m'!F$5:K$302,6,FALSE)),"",VLOOKUP(A207,'600m'!F$5:K$302,6,FALSE)))</f>
        <v/>
      </c>
      <c r="L207" s="51" t="str">
        <f>IF(B207="","",IF(ISNA(VLOOKUP(A207,LongJump!F$5:G$302,2,FALSE)),"",VLOOKUP(A207,LongJump!F$5:G$302,2,FALSE)))</f>
        <v/>
      </c>
      <c r="M207" s="51">
        <f>IF(B207="",0,IF(ISNA(VLOOKUP(A207,LongJump!F$5:J$302,5,FALSE)),0,VLOOKUP(A207,LongJump!F$5:J$302,5,FALSE)))</f>
        <v>0</v>
      </c>
      <c r="N207" s="51">
        <f>IF(B207="",0,IF(ISNA(VLOOKUP(A207,LongJump!F$5:K$302,6,FALSE)),0,VLOOKUP(A207,LongJump!F$5:K$302,6,FALSE)))</f>
        <v>0</v>
      </c>
      <c r="O207" s="51" t="str">
        <f>IF(B207="","",IF(ISNA(VLOOKUP(A207,Vortex!F$5:J$302,2,FALSE)),"",VLOOKUP(A207,Vortex!F$5:J$302,2,FALSE)))</f>
        <v/>
      </c>
      <c r="P207" s="51">
        <f>IF(B207="",0,IF(ISNA(VLOOKUP(A207,Vortex!F$5:J$302,5,FALSE)),0,VLOOKUP(A207,Vortex!F$5:J$302,5,FALSE)))</f>
        <v>0</v>
      </c>
      <c r="Q207" s="51">
        <f t="shared" si="24"/>
        <v>0</v>
      </c>
      <c r="R207" s="51" t="str">
        <f t="shared" si="20"/>
        <v/>
      </c>
      <c r="S207" s="51" t="str">
        <f t="shared" si="21"/>
        <v/>
      </c>
      <c r="T207" s="51" t="str">
        <f t="shared" si="22"/>
        <v/>
      </c>
      <c r="U207" s="51" t="str">
        <f t="shared" si="23"/>
        <v/>
      </c>
      <c r="V207" s="39"/>
    </row>
    <row r="208" spans="1:35" ht="20" customHeight="1">
      <c r="A208" s="51" t="str">
        <f>IF(Declarations!B160=0,"",Declarations!B160)</f>
        <v/>
      </c>
      <c r="B208" s="161" t="str">
        <f>IF(ISNA(VLOOKUP(A208,Declarations!B$6:C$293,2,FALSE)),"",IF(VLOOKUP(A208,Declarations!B$6:C$293,2,FALSE)="","",VLOOKUP(A208,Declarations!B$6:C$293,2,FALSE)))</f>
        <v/>
      </c>
      <c r="C208" s="161" t="str">
        <f>IF(ISNA(VLOOKUP(A208,Declarations!B$6:F$293,5,FALSE)),"",IF(VLOOKUP(A208,Declarations!B$6:F$293,5,FALSE)="","",VLOOKUP(A208,Declarations!B$6:F$293,5,FALSE)))</f>
        <v/>
      </c>
      <c r="D208" s="161" t="str">
        <f>IF(ISNA(VLOOKUP(A208,Declarations!B$6:F$293,4,FALSE)),"",IF(VLOOKUP(A208,Declarations!B$6:F$293,4,FALSE)="","",VLOOKUP(A208,Declarations!B$6:F$293,4,FALSE)))</f>
        <v/>
      </c>
      <c r="E208" s="161" t="str">
        <f>IF(ISNA(VLOOKUP(A208,Declarations!B$6:D$293,3,FALSE)),"",IF(VLOOKUP(A208,Declarations!B$6:D$293,3,FALSE)="","",VLOOKUP(A208,Declarations!B$6:D$293,3,FALSE)))</f>
        <v/>
      </c>
      <c r="F208" s="51" t="str">
        <f>IF(B208="","",IF(ISNA(VLOOKUP(A208,'75m'!F$5:G$302,2,FALSE)),"",VLOOKUP(A208,'75m'!F$5:G$302,2,FALSE)))</f>
        <v/>
      </c>
      <c r="G208" s="51">
        <f>IF(B208="",0,IF(ISNA(VLOOKUP(A208,'75m'!F$5:J$302,5,FALSE)),0,VLOOKUP(A208,'75m'!F$5:J$302,5,FALSE)))</f>
        <v>0</v>
      </c>
      <c r="H208" s="51" t="str">
        <f>IF(B208="","",IF(ISNA(VLOOKUP(A208,'75m'!F$5:K$302,6,FALSE)),"",VLOOKUP(A208,'75m'!F$5:K$302,6,FALSE)))</f>
        <v/>
      </c>
      <c r="I208" s="53">
        <f>IF(B208="",0,IF(ISNA(VLOOKUP(A208,'600m'!F$5:J$302,2,FALSE)),0,VLOOKUP(A208,'600m'!F$5:J$302,2,FALSE)))</f>
        <v>0</v>
      </c>
      <c r="J208" s="51">
        <f>IF(B208="",0,IF(ISNA(VLOOKUP(A208,'600m'!F$5:J$302,5,FALSE)),0,VLOOKUP(A208,'600m'!F$5:J$302,5,FALSE)))</f>
        <v>0</v>
      </c>
      <c r="K208" s="51" t="str">
        <f>IF(B208="","",IF(ISNA(VLOOKUP(A208,'600m'!F$5:K$302,6,FALSE)),"",VLOOKUP(A208,'600m'!F$5:K$302,6,FALSE)))</f>
        <v/>
      </c>
      <c r="L208" s="51" t="str">
        <f>IF(B208="","",IF(ISNA(VLOOKUP(A208,LongJump!F$5:G$302,2,FALSE)),"",VLOOKUP(A208,LongJump!F$5:G$302,2,FALSE)))</f>
        <v/>
      </c>
      <c r="M208" s="51">
        <f>IF(B208="",0,IF(ISNA(VLOOKUP(A208,LongJump!F$5:J$302,5,FALSE)),0,VLOOKUP(A208,LongJump!F$5:J$302,5,FALSE)))</f>
        <v>0</v>
      </c>
      <c r="N208" s="51">
        <f>IF(B208="",0,IF(ISNA(VLOOKUP(A208,LongJump!F$5:K$302,6,FALSE)),0,VLOOKUP(A208,LongJump!F$5:K$302,6,FALSE)))</f>
        <v>0</v>
      </c>
      <c r="O208" s="51" t="str">
        <f>IF(B208="","",IF(ISNA(VLOOKUP(A208,Vortex!F$5:J$302,2,FALSE)),"",VLOOKUP(A208,Vortex!F$5:J$302,2,FALSE)))</f>
        <v/>
      </c>
      <c r="P208" s="51">
        <f>IF(B208="",0,IF(ISNA(VLOOKUP(A208,Vortex!F$5:J$302,5,FALSE)),0,VLOOKUP(A208,Vortex!F$5:J$302,5,FALSE)))</f>
        <v>0</v>
      </c>
      <c r="Q208" s="51">
        <f t="shared" si="24"/>
        <v>0</v>
      </c>
      <c r="R208" s="51" t="str">
        <f t="shared" si="20"/>
        <v/>
      </c>
      <c r="S208" s="51" t="str">
        <f t="shared" si="21"/>
        <v/>
      </c>
      <c r="T208" s="51" t="str">
        <f t="shared" si="22"/>
        <v/>
      </c>
      <c r="U208" s="51" t="str">
        <f t="shared" si="23"/>
        <v/>
      </c>
      <c r="V208" s="39"/>
    </row>
    <row r="209" spans="1:22" ht="20" customHeight="1">
      <c r="A209" s="51" t="str">
        <f>IF(Declarations!B161=0,"",Declarations!B161)</f>
        <v/>
      </c>
      <c r="B209" s="161" t="str">
        <f>IF(ISNA(VLOOKUP(A209,Declarations!B$6:C$293,2,FALSE)),"",IF(VLOOKUP(A209,Declarations!B$6:C$293,2,FALSE)="","",VLOOKUP(A209,Declarations!B$6:C$293,2,FALSE)))</f>
        <v/>
      </c>
      <c r="C209" s="161" t="str">
        <f>IF(ISNA(VLOOKUP(A209,Declarations!B$6:F$293,5,FALSE)),"",IF(VLOOKUP(A209,Declarations!B$6:F$293,5,FALSE)="","",VLOOKUP(A209,Declarations!B$6:F$293,5,FALSE)))</f>
        <v/>
      </c>
      <c r="D209" s="161" t="str">
        <f>IF(ISNA(VLOOKUP(A209,Declarations!B$6:F$293,4,FALSE)),"",IF(VLOOKUP(A209,Declarations!B$6:F$293,4,FALSE)="","",VLOOKUP(A209,Declarations!B$6:F$293,4,FALSE)))</f>
        <v/>
      </c>
      <c r="E209" s="161" t="str">
        <f>IF(ISNA(VLOOKUP(A209,Declarations!B$6:D$293,3,FALSE)),"",IF(VLOOKUP(A209,Declarations!B$6:D$293,3,FALSE)="","",VLOOKUP(A209,Declarations!B$6:D$293,3,FALSE)))</f>
        <v/>
      </c>
      <c r="F209" s="51" t="str">
        <f>IF(B209="","",IF(ISNA(VLOOKUP(A209,'75m'!F$5:G$302,2,FALSE)),"",VLOOKUP(A209,'75m'!F$5:G$302,2,FALSE)))</f>
        <v/>
      </c>
      <c r="G209" s="51">
        <f>IF(B209="",0,IF(ISNA(VLOOKUP(A209,'75m'!F$5:J$302,5,FALSE)),0,VLOOKUP(A209,'75m'!F$5:J$302,5,FALSE)))</f>
        <v>0</v>
      </c>
      <c r="H209" s="51" t="str">
        <f>IF(B209="","",IF(ISNA(VLOOKUP(A209,'75m'!F$5:K$302,6,FALSE)),"",VLOOKUP(A209,'75m'!F$5:K$302,6,FALSE)))</f>
        <v/>
      </c>
      <c r="I209" s="53">
        <f>IF(B209="",0,IF(ISNA(VLOOKUP(A209,'600m'!F$5:J$302,2,FALSE)),0,VLOOKUP(A209,'600m'!F$5:J$302,2,FALSE)))</f>
        <v>0</v>
      </c>
      <c r="J209" s="51">
        <f>IF(B209="",0,IF(ISNA(VLOOKUP(A209,'600m'!F$5:J$302,5,FALSE)),0,VLOOKUP(A209,'600m'!F$5:J$302,5,FALSE)))</f>
        <v>0</v>
      </c>
      <c r="K209" s="51" t="str">
        <f>IF(B209="","",IF(ISNA(VLOOKUP(A209,'600m'!F$5:K$302,6,FALSE)),"",VLOOKUP(A209,'600m'!F$5:K$302,6,FALSE)))</f>
        <v/>
      </c>
      <c r="L209" s="51" t="str">
        <f>IF(B209="","",IF(ISNA(VLOOKUP(A209,LongJump!F$5:G$302,2,FALSE)),"",VLOOKUP(A209,LongJump!F$5:G$302,2,FALSE)))</f>
        <v/>
      </c>
      <c r="M209" s="51">
        <f>IF(B209="",0,IF(ISNA(VLOOKUP(A209,LongJump!F$5:J$302,5,FALSE)),0,VLOOKUP(A209,LongJump!F$5:J$302,5,FALSE)))</f>
        <v>0</v>
      </c>
      <c r="N209" s="51">
        <f>IF(B209="",0,IF(ISNA(VLOOKUP(A209,LongJump!F$5:K$302,6,FALSE)),0,VLOOKUP(A209,LongJump!F$5:K$302,6,FALSE)))</f>
        <v>0</v>
      </c>
      <c r="O209" s="51" t="str">
        <f>IF(B209="","",IF(ISNA(VLOOKUP(A209,Vortex!F$5:J$302,2,FALSE)),"",VLOOKUP(A209,Vortex!F$5:J$302,2,FALSE)))</f>
        <v/>
      </c>
      <c r="P209" s="51">
        <f>IF(B209="",0,IF(ISNA(VLOOKUP(A209,Vortex!F$5:J$302,5,FALSE)),0,VLOOKUP(A209,Vortex!F$5:J$302,5,FALSE)))</f>
        <v>0</v>
      </c>
      <c r="Q209" s="51">
        <f t="shared" si="24"/>
        <v>0</v>
      </c>
      <c r="R209" s="51" t="str">
        <f t="shared" si="20"/>
        <v/>
      </c>
      <c r="S209" s="51" t="str">
        <f t="shared" si="21"/>
        <v/>
      </c>
      <c r="T209" s="51" t="str">
        <f t="shared" si="22"/>
        <v/>
      </c>
      <c r="U209" s="51" t="str">
        <f t="shared" si="23"/>
        <v/>
      </c>
      <c r="V209" s="39"/>
    </row>
    <row r="210" spans="1:22" ht="20" customHeight="1">
      <c r="A210" s="51" t="str">
        <f>IF(Declarations!B162=0,"",Declarations!B162)</f>
        <v/>
      </c>
      <c r="B210" s="161" t="str">
        <f>IF(ISNA(VLOOKUP(A210,Declarations!B$6:C$293,2,FALSE)),"",IF(VLOOKUP(A210,Declarations!B$6:C$293,2,FALSE)="","",VLOOKUP(A210,Declarations!B$6:C$293,2,FALSE)))</f>
        <v/>
      </c>
      <c r="C210" s="161" t="str">
        <f>IF(ISNA(VLOOKUP(A210,Declarations!B$6:F$293,5,FALSE)),"",IF(VLOOKUP(A210,Declarations!B$6:F$293,5,FALSE)="","",VLOOKUP(A210,Declarations!B$6:F$293,5,FALSE)))</f>
        <v/>
      </c>
      <c r="D210" s="161" t="str">
        <f>IF(ISNA(VLOOKUP(A210,Declarations!B$6:F$293,4,FALSE)),"",IF(VLOOKUP(A210,Declarations!B$6:F$293,4,FALSE)="","",VLOOKUP(A210,Declarations!B$6:F$293,4,FALSE)))</f>
        <v/>
      </c>
      <c r="E210" s="161" t="str">
        <f>IF(ISNA(VLOOKUP(A210,Declarations!B$6:D$293,3,FALSE)),"",IF(VLOOKUP(A210,Declarations!B$6:D$293,3,FALSE)="","",VLOOKUP(A210,Declarations!B$6:D$293,3,FALSE)))</f>
        <v/>
      </c>
      <c r="F210" s="51" t="str">
        <f>IF(B210="","",IF(ISNA(VLOOKUP(A210,'75m'!F$5:G$302,2,FALSE)),"",VLOOKUP(A210,'75m'!F$5:G$302,2,FALSE)))</f>
        <v/>
      </c>
      <c r="G210" s="51">
        <f>IF(B210="",0,IF(ISNA(VLOOKUP(A210,'75m'!F$5:J$302,5,FALSE)),0,VLOOKUP(A210,'75m'!F$5:J$302,5,FALSE)))</f>
        <v>0</v>
      </c>
      <c r="H210" s="51" t="str">
        <f>IF(B210="","",IF(ISNA(VLOOKUP(A210,'75m'!F$5:K$302,6,FALSE)),"",VLOOKUP(A210,'75m'!F$5:K$302,6,FALSE)))</f>
        <v/>
      </c>
      <c r="I210" s="53">
        <f>IF(B210="",0,IF(ISNA(VLOOKUP(A210,'600m'!F$5:J$302,2,FALSE)),0,VLOOKUP(A210,'600m'!F$5:J$302,2,FALSE)))</f>
        <v>0</v>
      </c>
      <c r="J210" s="51">
        <f>IF(B210="",0,IF(ISNA(VLOOKUP(A210,'600m'!F$5:J$302,5,FALSE)),0,VLOOKUP(A210,'600m'!F$5:J$302,5,FALSE)))</f>
        <v>0</v>
      </c>
      <c r="K210" s="51" t="str">
        <f>IF(B210="","",IF(ISNA(VLOOKUP(A210,'600m'!F$5:K$302,6,FALSE)),"",VLOOKUP(A210,'600m'!F$5:K$302,6,FALSE)))</f>
        <v/>
      </c>
      <c r="L210" s="51" t="str">
        <f>IF(B210="","",IF(ISNA(VLOOKUP(A210,LongJump!F$5:G$302,2,FALSE)),"",VLOOKUP(A210,LongJump!F$5:G$302,2,FALSE)))</f>
        <v/>
      </c>
      <c r="M210" s="51">
        <f>IF(B210="",0,IF(ISNA(VLOOKUP(A210,LongJump!F$5:J$302,5,FALSE)),0,VLOOKUP(A210,LongJump!F$5:J$302,5,FALSE)))</f>
        <v>0</v>
      </c>
      <c r="N210" s="51">
        <f>IF(B210="",0,IF(ISNA(VLOOKUP(A210,LongJump!F$5:K$302,6,FALSE)),0,VLOOKUP(A210,LongJump!F$5:K$302,6,FALSE)))</f>
        <v>0</v>
      </c>
      <c r="O210" s="51" t="str">
        <f>IF(B210="","",IF(ISNA(VLOOKUP(A210,Vortex!F$5:J$302,2,FALSE)),"",VLOOKUP(A210,Vortex!F$5:J$302,2,FALSE)))</f>
        <v/>
      </c>
      <c r="P210" s="51">
        <f>IF(B210="",0,IF(ISNA(VLOOKUP(A210,Vortex!F$5:J$302,5,FALSE)),0,VLOOKUP(A210,Vortex!F$5:J$302,5,FALSE)))</f>
        <v>0</v>
      </c>
      <c r="Q210" s="51">
        <f t="shared" si="24"/>
        <v>0</v>
      </c>
      <c r="R210" s="51" t="str">
        <f t="shared" si="20"/>
        <v/>
      </c>
      <c r="S210" s="51" t="str">
        <f t="shared" si="21"/>
        <v/>
      </c>
      <c r="T210" s="51" t="str">
        <f t="shared" si="22"/>
        <v/>
      </c>
      <c r="U210" s="51" t="str">
        <f t="shared" si="23"/>
        <v/>
      </c>
      <c r="V210" s="39"/>
    </row>
    <row r="211" spans="1:22" ht="20" customHeight="1">
      <c r="A211" s="51" t="str">
        <f>IF(Declarations!B163=0,"",Declarations!B163)</f>
        <v/>
      </c>
      <c r="B211" s="161" t="str">
        <f>IF(ISNA(VLOOKUP(A211,Declarations!B$6:C$293,2,FALSE)),"",IF(VLOOKUP(A211,Declarations!B$6:C$293,2,FALSE)="","",VLOOKUP(A211,Declarations!B$6:C$293,2,FALSE)))</f>
        <v/>
      </c>
      <c r="C211" s="161" t="str">
        <f>IF(ISNA(VLOOKUP(A211,Declarations!B$6:F$293,5,FALSE)),"",IF(VLOOKUP(A211,Declarations!B$6:F$293,5,FALSE)="","",VLOOKUP(A211,Declarations!B$6:F$293,5,FALSE)))</f>
        <v/>
      </c>
      <c r="D211" s="161" t="str">
        <f>IF(ISNA(VLOOKUP(A211,Declarations!B$6:F$293,4,FALSE)),"",IF(VLOOKUP(A211,Declarations!B$6:F$293,4,FALSE)="","",VLOOKUP(A211,Declarations!B$6:F$293,4,FALSE)))</f>
        <v/>
      </c>
      <c r="E211" s="161" t="str">
        <f>IF(ISNA(VLOOKUP(A211,Declarations!B$6:D$293,3,FALSE)),"",IF(VLOOKUP(A211,Declarations!B$6:D$293,3,FALSE)="","",VLOOKUP(A211,Declarations!B$6:D$293,3,FALSE)))</f>
        <v/>
      </c>
      <c r="F211" s="51" t="str">
        <f>IF(B211="","",IF(ISNA(VLOOKUP(A211,'75m'!F$5:G$302,2,FALSE)),"",VLOOKUP(A211,'75m'!F$5:G$302,2,FALSE)))</f>
        <v/>
      </c>
      <c r="G211" s="51">
        <f>IF(B211="",0,IF(ISNA(VLOOKUP(A211,'75m'!F$5:J$302,5,FALSE)),0,VLOOKUP(A211,'75m'!F$5:J$302,5,FALSE)))</f>
        <v>0</v>
      </c>
      <c r="H211" s="51" t="str">
        <f>IF(B211="","",IF(ISNA(VLOOKUP(A211,'75m'!F$5:K$302,6,FALSE)),"",VLOOKUP(A211,'75m'!F$5:K$302,6,FALSE)))</f>
        <v/>
      </c>
      <c r="I211" s="53">
        <f>IF(B211="",0,IF(ISNA(VLOOKUP(A211,'600m'!F$5:J$302,2,FALSE)),0,VLOOKUP(A211,'600m'!F$5:J$302,2,FALSE)))</f>
        <v>0</v>
      </c>
      <c r="J211" s="51">
        <f>IF(B211="",0,IF(ISNA(VLOOKUP(A211,'600m'!F$5:J$302,5,FALSE)),0,VLOOKUP(A211,'600m'!F$5:J$302,5,FALSE)))</f>
        <v>0</v>
      </c>
      <c r="K211" s="51" t="str">
        <f>IF(B211="","",IF(ISNA(VLOOKUP(A211,'600m'!F$5:K$302,6,FALSE)),"",VLOOKUP(A211,'600m'!F$5:K$302,6,FALSE)))</f>
        <v/>
      </c>
      <c r="L211" s="51" t="str">
        <f>IF(B211="","",IF(ISNA(VLOOKUP(A211,LongJump!F$5:G$302,2,FALSE)),"",VLOOKUP(A211,LongJump!F$5:G$302,2,FALSE)))</f>
        <v/>
      </c>
      <c r="M211" s="51">
        <f>IF(B211="",0,IF(ISNA(VLOOKUP(A211,LongJump!F$5:J$302,5,FALSE)),0,VLOOKUP(A211,LongJump!F$5:J$302,5,FALSE)))</f>
        <v>0</v>
      </c>
      <c r="N211" s="51">
        <f>IF(B211="",0,IF(ISNA(VLOOKUP(A211,LongJump!F$5:K$302,6,FALSE)),0,VLOOKUP(A211,LongJump!F$5:K$302,6,FALSE)))</f>
        <v>0</v>
      </c>
      <c r="O211" s="51" t="str">
        <f>IF(B211="","",IF(ISNA(VLOOKUP(A211,Vortex!F$5:J$302,2,FALSE)),"",VLOOKUP(A211,Vortex!F$5:J$302,2,FALSE)))</f>
        <v/>
      </c>
      <c r="P211" s="51">
        <f>IF(B211="",0,IF(ISNA(VLOOKUP(A211,Vortex!F$5:J$302,5,FALSE)),0,VLOOKUP(A211,Vortex!F$5:J$302,5,FALSE)))</f>
        <v>0</v>
      </c>
      <c r="Q211" s="51">
        <f t="shared" si="24"/>
        <v>0</v>
      </c>
      <c r="R211" s="51" t="str">
        <f t="shared" si="20"/>
        <v/>
      </c>
      <c r="S211" s="51" t="str">
        <f t="shared" si="21"/>
        <v/>
      </c>
      <c r="T211" s="51" t="str">
        <f t="shared" si="22"/>
        <v/>
      </c>
      <c r="U211" s="51" t="str">
        <f t="shared" si="23"/>
        <v/>
      </c>
      <c r="V211" s="39"/>
    </row>
    <row r="212" spans="1:22" ht="20" customHeight="1">
      <c r="A212" s="51" t="str">
        <f>IF(Declarations!B164=0,"",Declarations!B164)</f>
        <v/>
      </c>
      <c r="B212" s="161" t="str">
        <f>IF(ISNA(VLOOKUP(A212,Declarations!B$6:C$293,2,FALSE)),"",IF(VLOOKUP(A212,Declarations!B$6:C$293,2,FALSE)="","",VLOOKUP(A212,Declarations!B$6:C$293,2,FALSE)))</f>
        <v/>
      </c>
      <c r="C212" s="161" t="str">
        <f>IF(ISNA(VLOOKUP(A212,Declarations!B$6:F$293,5,FALSE)),"",IF(VLOOKUP(A212,Declarations!B$6:F$293,5,FALSE)="","",VLOOKUP(A212,Declarations!B$6:F$293,5,FALSE)))</f>
        <v/>
      </c>
      <c r="D212" s="161" t="str">
        <f>IF(ISNA(VLOOKUP(A212,Declarations!B$6:F$293,4,FALSE)),"",IF(VLOOKUP(A212,Declarations!B$6:F$293,4,FALSE)="","",VLOOKUP(A212,Declarations!B$6:F$293,4,FALSE)))</f>
        <v/>
      </c>
      <c r="E212" s="161" t="str">
        <f>IF(ISNA(VLOOKUP(A212,Declarations!B$6:D$293,3,FALSE)),"",IF(VLOOKUP(A212,Declarations!B$6:D$293,3,FALSE)="","",VLOOKUP(A212,Declarations!B$6:D$293,3,FALSE)))</f>
        <v/>
      </c>
      <c r="F212" s="51" t="str">
        <f>IF(B212="","",IF(ISNA(VLOOKUP(A212,'75m'!F$5:G$302,2,FALSE)),"",VLOOKUP(A212,'75m'!F$5:G$302,2,FALSE)))</f>
        <v/>
      </c>
      <c r="G212" s="51">
        <f>IF(B212="",0,IF(ISNA(VLOOKUP(A212,'75m'!F$5:J$302,5,FALSE)),0,VLOOKUP(A212,'75m'!F$5:J$302,5,FALSE)))</f>
        <v>0</v>
      </c>
      <c r="H212" s="51" t="str">
        <f>IF(B212="","",IF(ISNA(VLOOKUP(A212,'75m'!F$5:K$302,6,FALSE)),"",VLOOKUP(A212,'75m'!F$5:K$302,6,FALSE)))</f>
        <v/>
      </c>
      <c r="I212" s="53">
        <f>IF(B212="",0,IF(ISNA(VLOOKUP(A212,'600m'!F$5:J$302,2,FALSE)),0,VLOOKUP(A212,'600m'!F$5:J$302,2,FALSE)))</f>
        <v>0</v>
      </c>
      <c r="J212" s="51">
        <f>IF(B212="",0,IF(ISNA(VLOOKUP(A212,'600m'!F$5:J$302,5,FALSE)),0,VLOOKUP(A212,'600m'!F$5:J$302,5,FALSE)))</f>
        <v>0</v>
      </c>
      <c r="K212" s="51" t="str">
        <f>IF(B212="","",IF(ISNA(VLOOKUP(A212,'600m'!F$5:K$302,6,FALSE)),"",VLOOKUP(A212,'600m'!F$5:K$302,6,FALSE)))</f>
        <v/>
      </c>
      <c r="L212" s="51" t="str">
        <f>IF(B212="","",IF(ISNA(VLOOKUP(A212,LongJump!F$5:G$302,2,FALSE)),"",VLOOKUP(A212,LongJump!F$5:G$302,2,FALSE)))</f>
        <v/>
      </c>
      <c r="M212" s="51">
        <f>IF(B212="",0,IF(ISNA(VLOOKUP(A212,LongJump!F$5:J$302,5,FALSE)),0,VLOOKUP(A212,LongJump!F$5:J$302,5,FALSE)))</f>
        <v>0</v>
      </c>
      <c r="N212" s="51">
        <f>IF(B212="",0,IF(ISNA(VLOOKUP(A212,LongJump!F$5:K$302,6,FALSE)),0,VLOOKUP(A212,LongJump!F$5:K$302,6,FALSE)))</f>
        <v>0</v>
      </c>
      <c r="O212" s="51" t="str">
        <f>IF(B212="","",IF(ISNA(VLOOKUP(A212,Vortex!F$5:J$302,2,FALSE)),"",VLOOKUP(A212,Vortex!F$5:J$302,2,FALSE)))</f>
        <v/>
      </c>
      <c r="P212" s="51">
        <f>IF(B212="",0,IF(ISNA(VLOOKUP(A212,Vortex!F$5:J$302,5,FALSE)),0,VLOOKUP(A212,Vortex!F$5:J$302,5,FALSE)))</f>
        <v>0</v>
      </c>
      <c r="Q212" s="51">
        <f t="shared" si="24"/>
        <v>0</v>
      </c>
      <c r="R212" s="51" t="str">
        <f t="shared" si="20"/>
        <v/>
      </c>
      <c r="S212" s="51" t="str">
        <f t="shared" si="21"/>
        <v/>
      </c>
      <c r="T212" s="51" t="str">
        <f t="shared" si="22"/>
        <v/>
      </c>
      <c r="U212" s="51" t="str">
        <f t="shared" si="23"/>
        <v/>
      </c>
      <c r="V212" s="39"/>
    </row>
    <row r="213" spans="1:22" ht="20" customHeight="1">
      <c r="A213" s="51" t="str">
        <f>IF(Declarations!B165=0,"",Declarations!B165)</f>
        <v/>
      </c>
      <c r="B213" s="161" t="str">
        <f>IF(ISNA(VLOOKUP(A213,Declarations!B$6:C$293,2,FALSE)),"",IF(VLOOKUP(A213,Declarations!B$6:C$293,2,FALSE)="","",VLOOKUP(A213,Declarations!B$6:C$293,2,FALSE)))</f>
        <v/>
      </c>
      <c r="C213" s="161" t="str">
        <f>IF(ISNA(VLOOKUP(A213,Declarations!B$6:F$293,5,FALSE)),"",IF(VLOOKUP(A213,Declarations!B$6:F$293,5,FALSE)="","",VLOOKUP(A213,Declarations!B$6:F$293,5,FALSE)))</f>
        <v/>
      </c>
      <c r="D213" s="161" t="str">
        <f>IF(ISNA(VLOOKUP(A213,Declarations!B$6:F$293,4,FALSE)),"",IF(VLOOKUP(A213,Declarations!B$6:F$293,4,FALSE)="","",VLOOKUP(A213,Declarations!B$6:F$293,4,FALSE)))</f>
        <v/>
      </c>
      <c r="E213" s="161" t="str">
        <f>IF(ISNA(VLOOKUP(A213,Declarations!B$6:D$293,3,FALSE)),"",IF(VLOOKUP(A213,Declarations!B$6:D$293,3,FALSE)="","",VLOOKUP(A213,Declarations!B$6:D$293,3,FALSE)))</f>
        <v/>
      </c>
      <c r="F213" s="51" t="str">
        <f>IF(B213="","",IF(ISNA(VLOOKUP(A213,'75m'!F$5:G$302,2,FALSE)),"",VLOOKUP(A213,'75m'!F$5:G$302,2,FALSE)))</f>
        <v/>
      </c>
      <c r="G213" s="51">
        <f>IF(B213="",0,IF(ISNA(VLOOKUP(A213,'75m'!F$5:J$302,5,FALSE)),0,VLOOKUP(A213,'75m'!F$5:J$302,5,FALSE)))</f>
        <v>0</v>
      </c>
      <c r="H213" s="51" t="str">
        <f>IF(B213="","",IF(ISNA(VLOOKUP(A213,'75m'!F$5:K$302,6,FALSE)),"",VLOOKUP(A213,'75m'!F$5:K$302,6,FALSE)))</f>
        <v/>
      </c>
      <c r="I213" s="53">
        <f>IF(B213="",0,IF(ISNA(VLOOKUP(A213,'600m'!F$5:J$302,2,FALSE)),0,VLOOKUP(A213,'600m'!F$5:J$302,2,FALSE)))</f>
        <v>0</v>
      </c>
      <c r="J213" s="51">
        <f>IF(B213="",0,IF(ISNA(VLOOKUP(A213,'600m'!F$5:J$302,5,FALSE)),0,VLOOKUP(A213,'600m'!F$5:J$302,5,FALSE)))</f>
        <v>0</v>
      </c>
      <c r="K213" s="51" t="str">
        <f>IF(B213="","",IF(ISNA(VLOOKUP(A213,'600m'!F$5:K$302,6,FALSE)),"",VLOOKUP(A213,'600m'!F$5:K$302,6,FALSE)))</f>
        <v/>
      </c>
      <c r="L213" s="51" t="str">
        <f>IF(B213="","",IF(ISNA(VLOOKUP(A213,LongJump!F$5:G$302,2,FALSE)),"",VLOOKUP(A213,LongJump!F$5:G$302,2,FALSE)))</f>
        <v/>
      </c>
      <c r="M213" s="51">
        <f>IF(B213="",0,IF(ISNA(VLOOKUP(A213,LongJump!F$5:J$302,5,FALSE)),0,VLOOKUP(A213,LongJump!F$5:J$302,5,FALSE)))</f>
        <v>0</v>
      </c>
      <c r="N213" s="51">
        <f>IF(B213="",0,IF(ISNA(VLOOKUP(A213,LongJump!F$5:K$302,6,FALSE)),0,VLOOKUP(A213,LongJump!F$5:K$302,6,FALSE)))</f>
        <v>0</v>
      </c>
      <c r="O213" s="51" t="str">
        <f>IF(B213="","",IF(ISNA(VLOOKUP(A213,Vortex!F$5:J$302,2,FALSE)),"",VLOOKUP(A213,Vortex!F$5:J$302,2,FALSE)))</f>
        <v/>
      </c>
      <c r="P213" s="51">
        <f>IF(B213="",0,IF(ISNA(VLOOKUP(A213,Vortex!F$5:J$302,5,FALSE)),0,VLOOKUP(A213,Vortex!F$5:J$302,5,FALSE)))</f>
        <v>0</v>
      </c>
      <c r="Q213" s="51">
        <f t="shared" si="24"/>
        <v>0</v>
      </c>
      <c r="R213" s="51" t="str">
        <f t="shared" si="20"/>
        <v/>
      </c>
      <c r="S213" s="51" t="str">
        <f t="shared" si="21"/>
        <v/>
      </c>
      <c r="T213" s="51" t="str">
        <f t="shared" si="22"/>
        <v/>
      </c>
      <c r="U213" s="51" t="str">
        <f t="shared" si="23"/>
        <v/>
      </c>
      <c r="V213" s="39"/>
    </row>
    <row r="214" spans="1:22" ht="20" customHeight="1">
      <c r="A214" s="51" t="str">
        <f>IF(Declarations!B166=0,"",Declarations!B166)</f>
        <v/>
      </c>
      <c r="B214" s="161" t="str">
        <f>IF(ISNA(VLOOKUP(A214,Declarations!B$6:C$293,2,FALSE)),"",IF(VLOOKUP(A214,Declarations!B$6:C$293,2,FALSE)="","",VLOOKUP(A214,Declarations!B$6:C$293,2,FALSE)))</f>
        <v/>
      </c>
      <c r="C214" s="161" t="str">
        <f>IF(ISNA(VLOOKUP(A214,Declarations!B$6:F$293,5,FALSE)),"",IF(VLOOKUP(A214,Declarations!B$6:F$293,5,FALSE)="","",VLOOKUP(A214,Declarations!B$6:F$293,5,FALSE)))</f>
        <v/>
      </c>
      <c r="D214" s="161" t="str">
        <f>IF(ISNA(VLOOKUP(A214,Declarations!B$6:F$293,4,FALSE)),"",IF(VLOOKUP(A214,Declarations!B$6:F$293,4,FALSE)="","",VLOOKUP(A214,Declarations!B$6:F$293,4,FALSE)))</f>
        <v/>
      </c>
      <c r="E214" s="161" t="str">
        <f>IF(ISNA(VLOOKUP(A214,Declarations!B$6:D$293,3,FALSE)),"",IF(VLOOKUP(A214,Declarations!B$6:D$293,3,FALSE)="","",VLOOKUP(A214,Declarations!B$6:D$293,3,FALSE)))</f>
        <v/>
      </c>
      <c r="F214" s="51" t="str">
        <f>IF(B214="","",IF(ISNA(VLOOKUP(A214,'75m'!F$5:G$302,2,FALSE)),"",VLOOKUP(A214,'75m'!F$5:G$302,2,FALSE)))</f>
        <v/>
      </c>
      <c r="G214" s="51">
        <f>IF(B214="",0,IF(ISNA(VLOOKUP(A214,'75m'!F$5:J$302,5,FALSE)),0,VLOOKUP(A214,'75m'!F$5:J$302,5,FALSE)))</f>
        <v>0</v>
      </c>
      <c r="H214" s="51" t="str">
        <f>IF(B214="","",IF(ISNA(VLOOKUP(A214,'75m'!F$5:K$302,6,FALSE)),"",VLOOKUP(A214,'75m'!F$5:K$302,6,FALSE)))</f>
        <v/>
      </c>
      <c r="I214" s="53">
        <f>IF(B214="",0,IF(ISNA(VLOOKUP(A214,'600m'!F$5:J$302,2,FALSE)),0,VLOOKUP(A214,'600m'!F$5:J$302,2,FALSE)))</f>
        <v>0</v>
      </c>
      <c r="J214" s="51">
        <f>IF(B214="",0,IF(ISNA(VLOOKUP(A214,'600m'!F$5:J$302,5,FALSE)),0,VLOOKUP(A214,'600m'!F$5:J$302,5,FALSE)))</f>
        <v>0</v>
      </c>
      <c r="K214" s="51" t="str">
        <f>IF(B214="","",IF(ISNA(VLOOKUP(A214,'600m'!F$5:K$302,6,FALSE)),"",VLOOKUP(A214,'600m'!F$5:K$302,6,FALSE)))</f>
        <v/>
      </c>
      <c r="L214" s="51" t="str">
        <f>IF(B214="","",IF(ISNA(VLOOKUP(A214,LongJump!F$5:G$302,2,FALSE)),"",VLOOKUP(A214,LongJump!F$5:G$302,2,FALSE)))</f>
        <v/>
      </c>
      <c r="M214" s="51">
        <f>IF(B214="",0,IF(ISNA(VLOOKUP(A214,LongJump!F$5:J$302,5,FALSE)),0,VLOOKUP(A214,LongJump!F$5:J$302,5,FALSE)))</f>
        <v>0</v>
      </c>
      <c r="N214" s="51">
        <f>IF(B214="",0,IF(ISNA(VLOOKUP(A214,LongJump!F$5:K$302,6,FALSE)),0,VLOOKUP(A214,LongJump!F$5:K$302,6,FALSE)))</f>
        <v>0</v>
      </c>
      <c r="O214" s="51" t="str">
        <f>IF(B214="","",IF(ISNA(VLOOKUP(A214,Vortex!F$5:J$302,2,FALSE)),"",VLOOKUP(A214,Vortex!F$5:J$302,2,FALSE)))</f>
        <v/>
      </c>
      <c r="P214" s="51">
        <f>IF(B214="",0,IF(ISNA(VLOOKUP(A214,Vortex!F$5:J$302,5,FALSE)),0,VLOOKUP(A214,Vortex!F$5:J$302,5,FALSE)))</f>
        <v>0</v>
      </c>
      <c r="Q214" s="51">
        <f t="shared" si="24"/>
        <v>0</v>
      </c>
      <c r="R214" s="51" t="str">
        <f t="shared" si="20"/>
        <v/>
      </c>
      <c r="S214" s="51" t="str">
        <f t="shared" si="21"/>
        <v/>
      </c>
      <c r="T214" s="51" t="str">
        <f t="shared" si="22"/>
        <v/>
      </c>
      <c r="U214" s="51" t="str">
        <f t="shared" si="23"/>
        <v/>
      </c>
      <c r="V214" s="39"/>
    </row>
    <row r="215" spans="1:22" ht="20" customHeight="1">
      <c r="A215" s="51" t="str">
        <f>IF(Declarations!B167=0,"",Declarations!B167)</f>
        <v/>
      </c>
      <c r="B215" s="161" t="str">
        <f>IF(ISNA(VLOOKUP(A215,Declarations!B$6:C$293,2,FALSE)),"",IF(VLOOKUP(A215,Declarations!B$6:C$293,2,FALSE)="","",VLOOKUP(A215,Declarations!B$6:C$293,2,FALSE)))</f>
        <v/>
      </c>
      <c r="C215" s="161" t="str">
        <f>IF(ISNA(VLOOKUP(A215,Declarations!B$6:F$293,5,FALSE)),"",IF(VLOOKUP(A215,Declarations!B$6:F$293,5,FALSE)="","",VLOOKUP(A215,Declarations!B$6:F$293,5,FALSE)))</f>
        <v/>
      </c>
      <c r="D215" s="161" t="str">
        <f>IF(ISNA(VLOOKUP(A215,Declarations!B$6:F$293,4,FALSE)),"",IF(VLOOKUP(A215,Declarations!B$6:F$293,4,FALSE)="","",VLOOKUP(A215,Declarations!B$6:F$293,4,FALSE)))</f>
        <v/>
      </c>
      <c r="E215" s="161" t="str">
        <f>IF(ISNA(VLOOKUP(A215,Declarations!B$6:D$293,3,FALSE)),"",IF(VLOOKUP(A215,Declarations!B$6:D$293,3,FALSE)="","",VLOOKUP(A215,Declarations!B$6:D$293,3,FALSE)))</f>
        <v/>
      </c>
      <c r="F215" s="51" t="str">
        <f>IF(B215="","",IF(ISNA(VLOOKUP(A215,'75m'!F$5:G$302,2,FALSE)),"",VLOOKUP(A215,'75m'!F$5:G$302,2,FALSE)))</f>
        <v/>
      </c>
      <c r="G215" s="51">
        <f>IF(B215="",0,IF(ISNA(VLOOKUP(A215,'75m'!F$5:J$302,5,FALSE)),0,VLOOKUP(A215,'75m'!F$5:J$302,5,FALSE)))</f>
        <v>0</v>
      </c>
      <c r="H215" s="51" t="str">
        <f>IF(B215="","",IF(ISNA(VLOOKUP(A215,'75m'!F$5:K$302,6,FALSE)),"",VLOOKUP(A215,'75m'!F$5:K$302,6,FALSE)))</f>
        <v/>
      </c>
      <c r="I215" s="53">
        <f>IF(B215="",0,IF(ISNA(VLOOKUP(A215,'600m'!F$5:J$302,2,FALSE)),0,VLOOKUP(A215,'600m'!F$5:J$302,2,FALSE)))</f>
        <v>0</v>
      </c>
      <c r="J215" s="51">
        <f>IF(B215="",0,IF(ISNA(VLOOKUP(A215,'600m'!F$5:J$302,5,FALSE)),0,VLOOKUP(A215,'600m'!F$5:J$302,5,FALSE)))</f>
        <v>0</v>
      </c>
      <c r="K215" s="51" t="str">
        <f>IF(B215="","",IF(ISNA(VLOOKUP(A215,'600m'!F$5:K$302,6,FALSE)),"",VLOOKUP(A215,'600m'!F$5:K$302,6,FALSE)))</f>
        <v/>
      </c>
      <c r="L215" s="51" t="str">
        <f>IF(B215="","",IF(ISNA(VLOOKUP(A215,LongJump!F$5:G$302,2,FALSE)),"",VLOOKUP(A215,LongJump!F$5:G$302,2,FALSE)))</f>
        <v/>
      </c>
      <c r="M215" s="51">
        <f>IF(B215="",0,IF(ISNA(VLOOKUP(A215,LongJump!F$5:J$302,5,FALSE)),0,VLOOKUP(A215,LongJump!F$5:J$302,5,FALSE)))</f>
        <v>0</v>
      </c>
      <c r="N215" s="51">
        <f>IF(B215="",0,IF(ISNA(VLOOKUP(A215,LongJump!F$5:K$302,6,FALSE)),0,VLOOKUP(A215,LongJump!F$5:K$302,6,FALSE)))</f>
        <v>0</v>
      </c>
      <c r="O215" s="51" t="str">
        <f>IF(B215="","",IF(ISNA(VLOOKUP(A215,Vortex!F$5:J$302,2,FALSE)),"",VLOOKUP(A215,Vortex!F$5:J$302,2,FALSE)))</f>
        <v/>
      </c>
      <c r="P215" s="51">
        <f>IF(B215="",0,IF(ISNA(VLOOKUP(A215,Vortex!F$5:J$302,5,FALSE)),0,VLOOKUP(A215,Vortex!F$5:J$302,5,FALSE)))</f>
        <v>0</v>
      </c>
      <c r="Q215" s="51">
        <f t="shared" si="24"/>
        <v>0</v>
      </c>
      <c r="R215" s="51" t="str">
        <f t="shared" si="20"/>
        <v/>
      </c>
      <c r="S215" s="51" t="str">
        <f t="shared" si="21"/>
        <v/>
      </c>
      <c r="T215" s="51" t="str">
        <f t="shared" si="22"/>
        <v/>
      </c>
      <c r="U215" s="51" t="str">
        <f t="shared" si="23"/>
        <v/>
      </c>
      <c r="V215" s="39"/>
    </row>
    <row r="216" spans="1:22" ht="20" customHeight="1">
      <c r="A216" s="51" t="str">
        <f>IF(Declarations!B168=0,"",Declarations!B168)</f>
        <v/>
      </c>
      <c r="B216" s="161" t="str">
        <f>IF(ISNA(VLOOKUP(A216,Declarations!B$6:C$293,2,FALSE)),"",IF(VLOOKUP(A216,Declarations!B$6:C$293,2,FALSE)="","",VLOOKUP(A216,Declarations!B$6:C$293,2,FALSE)))</f>
        <v/>
      </c>
      <c r="C216" s="161" t="str">
        <f>IF(ISNA(VLOOKUP(A216,Declarations!B$6:F$293,5,FALSE)),"",IF(VLOOKUP(A216,Declarations!B$6:F$293,5,FALSE)="","",VLOOKUP(A216,Declarations!B$6:F$293,5,FALSE)))</f>
        <v/>
      </c>
      <c r="D216" s="161" t="str">
        <f>IF(ISNA(VLOOKUP(A216,Declarations!B$6:F$293,4,FALSE)),"",IF(VLOOKUP(A216,Declarations!B$6:F$293,4,FALSE)="","",VLOOKUP(A216,Declarations!B$6:F$293,4,FALSE)))</f>
        <v/>
      </c>
      <c r="E216" s="161" t="str">
        <f>IF(ISNA(VLOOKUP(A216,Declarations!B$6:D$293,3,FALSE)),"",IF(VLOOKUP(A216,Declarations!B$6:D$293,3,FALSE)="","",VLOOKUP(A216,Declarations!B$6:D$293,3,FALSE)))</f>
        <v/>
      </c>
      <c r="F216" s="51" t="str">
        <f>IF(B216="","",IF(ISNA(VLOOKUP(A216,'75m'!F$5:G$302,2,FALSE)),"",VLOOKUP(A216,'75m'!F$5:G$302,2,FALSE)))</f>
        <v/>
      </c>
      <c r="G216" s="51">
        <f>IF(B216="",0,IF(ISNA(VLOOKUP(A216,'75m'!F$5:J$302,5,FALSE)),0,VLOOKUP(A216,'75m'!F$5:J$302,5,FALSE)))</f>
        <v>0</v>
      </c>
      <c r="H216" s="51" t="str">
        <f>IF(B216="","",IF(ISNA(VLOOKUP(A216,'75m'!F$5:K$302,6,FALSE)),"",VLOOKUP(A216,'75m'!F$5:K$302,6,FALSE)))</f>
        <v/>
      </c>
      <c r="I216" s="53">
        <f>IF(B216="",0,IF(ISNA(VLOOKUP(A216,'600m'!F$5:J$302,2,FALSE)),0,VLOOKUP(A216,'600m'!F$5:J$302,2,FALSE)))</f>
        <v>0</v>
      </c>
      <c r="J216" s="51">
        <f>IF(B216="",0,IF(ISNA(VLOOKUP(A216,'600m'!F$5:J$302,5,FALSE)),0,VLOOKUP(A216,'600m'!F$5:J$302,5,FALSE)))</f>
        <v>0</v>
      </c>
      <c r="K216" s="51" t="str">
        <f>IF(B216="","",IF(ISNA(VLOOKUP(A216,'600m'!F$5:K$302,6,FALSE)),"",VLOOKUP(A216,'600m'!F$5:K$302,6,FALSE)))</f>
        <v/>
      </c>
      <c r="L216" s="51" t="str">
        <f>IF(B216="","",IF(ISNA(VLOOKUP(A216,LongJump!F$5:G$302,2,FALSE)),"",VLOOKUP(A216,LongJump!F$5:G$302,2,FALSE)))</f>
        <v/>
      </c>
      <c r="M216" s="51">
        <f>IF(B216="",0,IF(ISNA(VLOOKUP(A216,LongJump!F$5:J$302,5,FALSE)),0,VLOOKUP(A216,LongJump!F$5:J$302,5,FALSE)))</f>
        <v>0</v>
      </c>
      <c r="N216" s="51">
        <f>IF(B216="",0,IF(ISNA(VLOOKUP(A216,LongJump!F$5:K$302,6,FALSE)),0,VLOOKUP(A216,LongJump!F$5:K$302,6,FALSE)))</f>
        <v>0</v>
      </c>
      <c r="O216" s="51" t="str">
        <f>IF(B216="","",IF(ISNA(VLOOKUP(A216,Vortex!F$5:J$302,2,FALSE)),"",VLOOKUP(A216,Vortex!F$5:J$302,2,FALSE)))</f>
        <v/>
      </c>
      <c r="P216" s="51">
        <f>IF(B216="",0,IF(ISNA(VLOOKUP(A216,Vortex!F$5:J$302,5,FALSE)),0,VLOOKUP(A216,Vortex!F$5:J$302,5,FALSE)))</f>
        <v>0</v>
      </c>
      <c r="Q216" s="51">
        <f t="shared" si="24"/>
        <v>0</v>
      </c>
      <c r="R216" s="51" t="str">
        <f t="shared" si="20"/>
        <v/>
      </c>
      <c r="S216" s="51" t="str">
        <f t="shared" si="21"/>
        <v/>
      </c>
      <c r="T216" s="51" t="str">
        <f t="shared" si="22"/>
        <v/>
      </c>
      <c r="U216" s="51" t="str">
        <f t="shared" si="23"/>
        <v/>
      </c>
      <c r="V216" s="39"/>
    </row>
    <row r="217" spans="1:22" ht="20" customHeight="1">
      <c r="A217" s="51" t="str">
        <f>IF(Declarations!B169=0,"",Declarations!B169)</f>
        <v/>
      </c>
      <c r="B217" s="161" t="str">
        <f>IF(ISNA(VLOOKUP(A217,Declarations!B$6:C$293,2,FALSE)),"",IF(VLOOKUP(A217,Declarations!B$6:C$293,2,FALSE)="","",VLOOKUP(A217,Declarations!B$6:C$293,2,FALSE)))</f>
        <v/>
      </c>
      <c r="C217" s="161" t="str">
        <f>IF(ISNA(VLOOKUP(A217,Declarations!B$6:F$293,5,FALSE)),"",IF(VLOOKUP(A217,Declarations!B$6:F$293,5,FALSE)="","",VLOOKUP(A217,Declarations!B$6:F$293,5,FALSE)))</f>
        <v/>
      </c>
      <c r="D217" s="161" t="str">
        <f>IF(ISNA(VLOOKUP(A217,Declarations!B$6:F$293,4,FALSE)),"",IF(VLOOKUP(A217,Declarations!B$6:F$293,4,FALSE)="","",VLOOKUP(A217,Declarations!B$6:F$293,4,FALSE)))</f>
        <v/>
      </c>
      <c r="E217" s="161" t="str">
        <f>IF(ISNA(VLOOKUP(A217,Declarations!B$6:D$293,3,FALSE)),"",IF(VLOOKUP(A217,Declarations!B$6:D$293,3,FALSE)="","",VLOOKUP(A217,Declarations!B$6:D$293,3,FALSE)))</f>
        <v/>
      </c>
      <c r="F217" s="51" t="str">
        <f>IF(B217="","",IF(ISNA(VLOOKUP(A217,'75m'!F$5:G$302,2,FALSE)),"",VLOOKUP(A217,'75m'!F$5:G$302,2,FALSE)))</f>
        <v/>
      </c>
      <c r="G217" s="51">
        <f>IF(B217="",0,IF(ISNA(VLOOKUP(A217,'75m'!F$5:J$302,5,FALSE)),0,VLOOKUP(A217,'75m'!F$5:J$302,5,FALSE)))</f>
        <v>0</v>
      </c>
      <c r="H217" s="51" t="str">
        <f>IF(B217="","",IF(ISNA(VLOOKUP(A217,'75m'!F$5:K$302,6,FALSE)),"",VLOOKUP(A217,'75m'!F$5:K$302,6,FALSE)))</f>
        <v/>
      </c>
      <c r="I217" s="53">
        <f>IF(B217="",0,IF(ISNA(VLOOKUP(A217,'600m'!F$5:J$302,2,FALSE)),0,VLOOKUP(A217,'600m'!F$5:J$302,2,FALSE)))</f>
        <v>0</v>
      </c>
      <c r="J217" s="51">
        <f>IF(B217="",0,IF(ISNA(VLOOKUP(A217,'600m'!F$5:J$302,5,FALSE)),0,VLOOKUP(A217,'600m'!F$5:J$302,5,FALSE)))</f>
        <v>0</v>
      </c>
      <c r="K217" s="51" t="str">
        <f>IF(B217="","",IF(ISNA(VLOOKUP(A217,'600m'!F$5:K$302,6,FALSE)),"",VLOOKUP(A217,'600m'!F$5:K$302,6,FALSE)))</f>
        <v/>
      </c>
      <c r="L217" s="51" t="str">
        <f>IF(B217="","",IF(ISNA(VLOOKUP(A217,LongJump!F$5:G$302,2,FALSE)),"",VLOOKUP(A217,LongJump!F$5:G$302,2,FALSE)))</f>
        <v/>
      </c>
      <c r="M217" s="51">
        <f>IF(B217="",0,IF(ISNA(VLOOKUP(A217,LongJump!F$5:J$302,5,FALSE)),0,VLOOKUP(A217,LongJump!F$5:J$302,5,FALSE)))</f>
        <v>0</v>
      </c>
      <c r="N217" s="51">
        <f>IF(B217="",0,IF(ISNA(VLOOKUP(A217,LongJump!F$5:K$302,6,FALSE)),0,VLOOKUP(A217,LongJump!F$5:K$302,6,FALSE)))</f>
        <v>0</v>
      </c>
      <c r="O217" s="51" t="str">
        <f>IF(B217="","",IF(ISNA(VLOOKUP(A217,Vortex!F$5:J$302,2,FALSE)),"",VLOOKUP(A217,Vortex!F$5:J$302,2,FALSE)))</f>
        <v/>
      </c>
      <c r="P217" s="51">
        <f>IF(B217="",0,IF(ISNA(VLOOKUP(A217,Vortex!F$5:J$302,5,FALSE)),0,VLOOKUP(A217,Vortex!F$5:J$302,5,FALSE)))</f>
        <v>0</v>
      </c>
      <c r="Q217" s="51">
        <f t="shared" si="24"/>
        <v>0</v>
      </c>
      <c r="R217" s="51" t="str">
        <f t="shared" si="20"/>
        <v/>
      </c>
      <c r="S217" s="51" t="str">
        <f t="shared" si="21"/>
        <v/>
      </c>
      <c r="T217" s="51" t="str">
        <f t="shared" si="22"/>
        <v/>
      </c>
      <c r="U217" s="51" t="str">
        <f t="shared" si="23"/>
        <v/>
      </c>
      <c r="V217" s="39"/>
    </row>
    <row r="218" spans="1:22" ht="20" customHeight="1">
      <c r="A218" s="51" t="str">
        <f>IF(Declarations!B170=0,"",Declarations!B170)</f>
        <v/>
      </c>
      <c r="B218" s="161" t="str">
        <f>IF(ISNA(VLOOKUP(A218,Declarations!B$6:C$293,2,FALSE)),"",IF(VLOOKUP(A218,Declarations!B$6:C$293,2,FALSE)="","",VLOOKUP(A218,Declarations!B$6:C$293,2,FALSE)))</f>
        <v/>
      </c>
      <c r="C218" s="161" t="str">
        <f>IF(ISNA(VLOOKUP(A218,Declarations!B$6:F$293,5,FALSE)),"",IF(VLOOKUP(A218,Declarations!B$6:F$293,5,FALSE)="","",VLOOKUP(A218,Declarations!B$6:F$293,5,FALSE)))</f>
        <v/>
      </c>
      <c r="D218" s="161" t="str">
        <f>IF(ISNA(VLOOKUP(A218,Declarations!B$6:F$293,4,FALSE)),"",IF(VLOOKUP(A218,Declarations!B$6:F$293,4,FALSE)="","",VLOOKUP(A218,Declarations!B$6:F$293,4,FALSE)))</f>
        <v/>
      </c>
      <c r="E218" s="161" t="str">
        <f>IF(ISNA(VLOOKUP(A218,Declarations!B$6:D$293,3,FALSE)),"",IF(VLOOKUP(A218,Declarations!B$6:D$293,3,FALSE)="","",VLOOKUP(A218,Declarations!B$6:D$293,3,FALSE)))</f>
        <v/>
      </c>
      <c r="F218" s="51" t="str">
        <f>IF(B218="","",IF(ISNA(VLOOKUP(A218,'75m'!F$5:G$302,2,FALSE)),"",VLOOKUP(A218,'75m'!F$5:G$302,2,FALSE)))</f>
        <v/>
      </c>
      <c r="G218" s="51">
        <f>IF(B218="",0,IF(ISNA(VLOOKUP(A218,'75m'!F$5:J$302,5,FALSE)),0,VLOOKUP(A218,'75m'!F$5:J$302,5,FALSE)))</f>
        <v>0</v>
      </c>
      <c r="H218" s="51" t="str">
        <f>IF(B218="","",IF(ISNA(VLOOKUP(A218,'75m'!F$5:K$302,6,FALSE)),"",VLOOKUP(A218,'75m'!F$5:K$302,6,FALSE)))</f>
        <v/>
      </c>
      <c r="I218" s="53">
        <f>IF(B218="",0,IF(ISNA(VLOOKUP(A218,'600m'!F$5:J$302,2,FALSE)),0,VLOOKUP(A218,'600m'!F$5:J$302,2,FALSE)))</f>
        <v>0</v>
      </c>
      <c r="J218" s="51">
        <f>IF(B218="",0,IF(ISNA(VLOOKUP(A218,'600m'!F$5:J$302,5,FALSE)),0,VLOOKUP(A218,'600m'!F$5:J$302,5,FALSE)))</f>
        <v>0</v>
      </c>
      <c r="K218" s="51" t="str">
        <f>IF(B218="","",IF(ISNA(VLOOKUP(A218,'600m'!F$5:K$302,6,FALSE)),"",VLOOKUP(A218,'600m'!F$5:K$302,6,FALSE)))</f>
        <v/>
      </c>
      <c r="L218" s="51" t="str">
        <f>IF(B218="","",IF(ISNA(VLOOKUP(A218,LongJump!F$5:G$302,2,FALSE)),"",VLOOKUP(A218,LongJump!F$5:G$302,2,FALSE)))</f>
        <v/>
      </c>
      <c r="M218" s="51">
        <f>IF(B218="",0,IF(ISNA(VLOOKUP(A218,LongJump!F$5:J$302,5,FALSE)),0,VLOOKUP(A218,LongJump!F$5:J$302,5,FALSE)))</f>
        <v>0</v>
      </c>
      <c r="N218" s="51">
        <f>IF(B218="",0,IF(ISNA(VLOOKUP(A218,LongJump!F$5:K$302,6,FALSE)),0,VLOOKUP(A218,LongJump!F$5:K$302,6,FALSE)))</f>
        <v>0</v>
      </c>
      <c r="O218" s="51" t="str">
        <f>IF(B218="","",IF(ISNA(VLOOKUP(A218,Vortex!F$5:J$302,2,FALSE)),"",VLOOKUP(A218,Vortex!F$5:J$302,2,FALSE)))</f>
        <v/>
      </c>
      <c r="P218" s="51">
        <f>IF(B218="",0,IF(ISNA(VLOOKUP(A218,Vortex!F$5:J$302,5,FALSE)),0,VLOOKUP(A218,Vortex!F$5:J$302,5,FALSE)))</f>
        <v>0</v>
      </c>
      <c r="Q218" s="51">
        <f t="shared" si="24"/>
        <v>0</v>
      </c>
      <c r="R218" s="51" t="str">
        <f t="shared" si="20"/>
        <v/>
      </c>
      <c r="S218" s="51" t="str">
        <f t="shared" si="21"/>
        <v/>
      </c>
      <c r="T218" s="51" t="str">
        <f t="shared" si="22"/>
        <v/>
      </c>
      <c r="U218" s="51" t="str">
        <f t="shared" si="23"/>
        <v/>
      </c>
      <c r="V218" s="39"/>
    </row>
    <row r="219" spans="1:22" ht="20" customHeight="1">
      <c r="A219" s="51" t="str">
        <f>IF(Declarations!B171=0,"",Declarations!B171)</f>
        <v/>
      </c>
      <c r="B219" s="161" t="str">
        <f>IF(ISNA(VLOOKUP(A219,Declarations!B$6:C$293,2,FALSE)),"",IF(VLOOKUP(A219,Declarations!B$6:C$293,2,FALSE)="","",VLOOKUP(A219,Declarations!B$6:C$293,2,FALSE)))</f>
        <v/>
      </c>
      <c r="C219" s="161" t="str">
        <f>IF(ISNA(VLOOKUP(A219,Declarations!B$6:F$293,5,FALSE)),"",IF(VLOOKUP(A219,Declarations!B$6:F$293,5,FALSE)="","",VLOOKUP(A219,Declarations!B$6:F$293,5,FALSE)))</f>
        <v/>
      </c>
      <c r="D219" s="161" t="str">
        <f>IF(ISNA(VLOOKUP(A219,Declarations!B$6:F$293,4,FALSE)),"",IF(VLOOKUP(A219,Declarations!B$6:F$293,4,FALSE)="","",VLOOKUP(A219,Declarations!B$6:F$293,4,FALSE)))</f>
        <v/>
      </c>
      <c r="E219" s="161" t="str">
        <f>IF(ISNA(VLOOKUP(A219,Declarations!B$6:D$293,3,FALSE)),"",IF(VLOOKUP(A219,Declarations!B$6:D$293,3,FALSE)="","",VLOOKUP(A219,Declarations!B$6:D$293,3,FALSE)))</f>
        <v/>
      </c>
      <c r="F219" s="51" t="str">
        <f>IF(B219="","",IF(ISNA(VLOOKUP(A219,'75m'!F$5:G$302,2,FALSE)),"",VLOOKUP(A219,'75m'!F$5:G$302,2,FALSE)))</f>
        <v/>
      </c>
      <c r="G219" s="51">
        <f>IF(B219="",0,IF(ISNA(VLOOKUP(A219,'75m'!F$5:J$302,5,FALSE)),0,VLOOKUP(A219,'75m'!F$5:J$302,5,FALSE)))</f>
        <v>0</v>
      </c>
      <c r="H219" s="51" t="str">
        <f>IF(B219="","",IF(ISNA(VLOOKUP(A219,'75m'!F$5:K$302,6,FALSE)),"",VLOOKUP(A219,'75m'!F$5:K$302,6,FALSE)))</f>
        <v/>
      </c>
      <c r="I219" s="53">
        <f>IF(B219="",0,IF(ISNA(VLOOKUP(A219,'600m'!F$5:J$302,2,FALSE)),0,VLOOKUP(A219,'600m'!F$5:J$302,2,FALSE)))</f>
        <v>0</v>
      </c>
      <c r="J219" s="51">
        <f>IF(B219="",0,IF(ISNA(VLOOKUP(A219,'600m'!F$5:J$302,5,FALSE)),0,VLOOKUP(A219,'600m'!F$5:J$302,5,FALSE)))</f>
        <v>0</v>
      </c>
      <c r="K219" s="51" t="str">
        <f>IF(B219="","",IF(ISNA(VLOOKUP(A219,'600m'!F$5:K$302,6,FALSE)),"",VLOOKUP(A219,'600m'!F$5:K$302,6,FALSE)))</f>
        <v/>
      </c>
      <c r="L219" s="51" t="str">
        <f>IF(B219="","",IF(ISNA(VLOOKUP(A219,LongJump!F$5:G$302,2,FALSE)),"",VLOOKUP(A219,LongJump!F$5:G$302,2,FALSE)))</f>
        <v/>
      </c>
      <c r="M219" s="51">
        <f>IF(B219="",0,IF(ISNA(VLOOKUP(A219,LongJump!F$5:J$302,5,FALSE)),0,VLOOKUP(A219,LongJump!F$5:J$302,5,FALSE)))</f>
        <v>0</v>
      </c>
      <c r="N219" s="51">
        <f>IF(B219="",0,IF(ISNA(VLOOKUP(A219,LongJump!F$5:K$302,6,FALSE)),0,VLOOKUP(A219,LongJump!F$5:K$302,6,FALSE)))</f>
        <v>0</v>
      </c>
      <c r="O219" s="51" t="str">
        <f>IF(B219="","",IF(ISNA(VLOOKUP(A219,Vortex!F$5:J$302,2,FALSE)),"",VLOOKUP(A219,Vortex!F$5:J$302,2,FALSE)))</f>
        <v/>
      </c>
      <c r="P219" s="51">
        <f>IF(B219="",0,IF(ISNA(VLOOKUP(A219,Vortex!F$5:J$302,5,FALSE)),0,VLOOKUP(A219,Vortex!F$5:J$302,5,FALSE)))</f>
        <v>0</v>
      </c>
      <c r="Q219" s="51">
        <f t="shared" si="24"/>
        <v>0</v>
      </c>
      <c r="R219" s="51" t="str">
        <f t="shared" si="20"/>
        <v/>
      </c>
      <c r="S219" s="51" t="str">
        <f t="shared" si="21"/>
        <v/>
      </c>
      <c r="T219" s="51" t="str">
        <f t="shared" si="22"/>
        <v/>
      </c>
      <c r="U219" s="51" t="str">
        <f t="shared" si="23"/>
        <v/>
      </c>
      <c r="V219" s="39"/>
    </row>
    <row r="220" spans="1:22" ht="20" customHeight="1">
      <c r="A220" s="51" t="str">
        <f>IF(Declarations!B172=0,"",Declarations!B172)</f>
        <v/>
      </c>
      <c r="B220" s="161" t="str">
        <f>IF(ISNA(VLOOKUP(A220,Declarations!B$6:C$293,2,FALSE)),"",IF(VLOOKUP(A220,Declarations!B$6:C$293,2,FALSE)="","",VLOOKUP(A220,Declarations!B$6:C$293,2,FALSE)))</f>
        <v/>
      </c>
      <c r="C220" s="161" t="str">
        <f>IF(ISNA(VLOOKUP(A220,Declarations!B$6:F$293,5,FALSE)),"",IF(VLOOKUP(A220,Declarations!B$6:F$293,5,FALSE)="","",VLOOKUP(A220,Declarations!B$6:F$293,5,FALSE)))</f>
        <v/>
      </c>
      <c r="D220" s="161" t="str">
        <f>IF(ISNA(VLOOKUP(A220,Declarations!B$6:F$293,4,FALSE)),"",IF(VLOOKUP(A220,Declarations!B$6:F$293,4,FALSE)="","",VLOOKUP(A220,Declarations!B$6:F$293,4,FALSE)))</f>
        <v/>
      </c>
      <c r="E220" s="161" t="str">
        <f>IF(ISNA(VLOOKUP(A220,Declarations!B$6:D$293,3,FALSE)),"",IF(VLOOKUP(A220,Declarations!B$6:D$293,3,FALSE)="","",VLOOKUP(A220,Declarations!B$6:D$293,3,FALSE)))</f>
        <v/>
      </c>
      <c r="F220" s="51" t="str">
        <f>IF(B220="","",IF(ISNA(VLOOKUP(A220,'75m'!F$5:G$302,2,FALSE)),"",VLOOKUP(A220,'75m'!F$5:G$302,2,FALSE)))</f>
        <v/>
      </c>
      <c r="G220" s="51">
        <f>IF(B220="",0,IF(ISNA(VLOOKUP(A220,'75m'!F$5:J$302,5,FALSE)),0,VLOOKUP(A220,'75m'!F$5:J$302,5,FALSE)))</f>
        <v>0</v>
      </c>
      <c r="H220" s="51" t="str">
        <f>IF(B220="","",IF(ISNA(VLOOKUP(A220,'75m'!F$5:K$302,6,FALSE)),"",VLOOKUP(A220,'75m'!F$5:K$302,6,FALSE)))</f>
        <v/>
      </c>
      <c r="I220" s="53">
        <f>IF(B220="",0,IF(ISNA(VLOOKUP(A220,'600m'!F$5:J$302,2,FALSE)),0,VLOOKUP(A220,'600m'!F$5:J$302,2,FALSE)))</f>
        <v>0</v>
      </c>
      <c r="J220" s="51">
        <f>IF(B220="",0,IF(ISNA(VLOOKUP(A220,'600m'!F$5:J$302,5,FALSE)),0,VLOOKUP(A220,'600m'!F$5:J$302,5,FALSE)))</f>
        <v>0</v>
      </c>
      <c r="K220" s="51" t="str">
        <f>IF(B220="","",IF(ISNA(VLOOKUP(A220,'600m'!F$5:K$302,6,FALSE)),"",VLOOKUP(A220,'600m'!F$5:K$302,6,FALSE)))</f>
        <v/>
      </c>
      <c r="L220" s="51" t="str">
        <f>IF(B220="","",IF(ISNA(VLOOKUP(A220,LongJump!F$5:G$302,2,FALSE)),"",VLOOKUP(A220,LongJump!F$5:G$302,2,FALSE)))</f>
        <v/>
      </c>
      <c r="M220" s="51">
        <f>IF(B220="",0,IF(ISNA(VLOOKUP(A220,LongJump!F$5:J$302,5,FALSE)),0,VLOOKUP(A220,LongJump!F$5:J$302,5,FALSE)))</f>
        <v>0</v>
      </c>
      <c r="N220" s="51">
        <f>IF(B220="",0,IF(ISNA(VLOOKUP(A220,LongJump!F$5:K$302,6,FALSE)),0,VLOOKUP(A220,LongJump!F$5:K$302,6,FALSE)))</f>
        <v>0</v>
      </c>
      <c r="O220" s="51" t="str">
        <f>IF(B220="","",IF(ISNA(VLOOKUP(A220,Vortex!F$5:J$302,2,FALSE)),"",VLOOKUP(A220,Vortex!F$5:J$302,2,FALSE)))</f>
        <v/>
      </c>
      <c r="P220" s="51">
        <f>IF(B220="",0,IF(ISNA(VLOOKUP(A220,Vortex!F$5:J$302,5,FALSE)),0,VLOOKUP(A220,Vortex!F$5:J$302,5,FALSE)))</f>
        <v>0</v>
      </c>
      <c r="Q220" s="51">
        <f t="shared" si="24"/>
        <v>0</v>
      </c>
      <c r="R220" s="51" t="str">
        <f t="shared" si="20"/>
        <v/>
      </c>
      <c r="S220" s="51" t="str">
        <f t="shared" si="21"/>
        <v/>
      </c>
      <c r="T220" s="51" t="str">
        <f t="shared" si="22"/>
        <v/>
      </c>
      <c r="U220" s="51" t="str">
        <f t="shared" si="23"/>
        <v/>
      </c>
      <c r="V220" s="39"/>
    </row>
    <row r="221" spans="1:22" ht="20" customHeight="1">
      <c r="A221" s="51" t="str">
        <f>IF(Declarations!B173=0,"",Declarations!B173)</f>
        <v/>
      </c>
      <c r="B221" s="161" t="str">
        <f>IF(ISNA(VLOOKUP(A221,Declarations!B$6:C$293,2,FALSE)),"",IF(VLOOKUP(A221,Declarations!B$6:C$293,2,FALSE)="","",VLOOKUP(A221,Declarations!B$6:C$293,2,FALSE)))</f>
        <v/>
      </c>
      <c r="C221" s="161" t="str">
        <f>IF(ISNA(VLOOKUP(A221,Declarations!B$6:F$293,5,FALSE)),"",IF(VLOOKUP(A221,Declarations!B$6:F$293,5,FALSE)="","",VLOOKUP(A221,Declarations!B$6:F$293,5,FALSE)))</f>
        <v/>
      </c>
      <c r="D221" s="161" t="str">
        <f>IF(ISNA(VLOOKUP(A221,Declarations!B$6:F$293,4,FALSE)),"",IF(VLOOKUP(A221,Declarations!B$6:F$293,4,FALSE)="","",VLOOKUP(A221,Declarations!B$6:F$293,4,FALSE)))</f>
        <v/>
      </c>
      <c r="E221" s="161" t="str">
        <f>IF(ISNA(VLOOKUP(A221,Declarations!B$6:D$293,3,FALSE)),"",IF(VLOOKUP(A221,Declarations!B$6:D$293,3,FALSE)="","",VLOOKUP(A221,Declarations!B$6:D$293,3,FALSE)))</f>
        <v/>
      </c>
      <c r="F221" s="51" t="str">
        <f>IF(B221="","",IF(ISNA(VLOOKUP(A221,'75m'!F$5:G$302,2,FALSE)),"",VLOOKUP(A221,'75m'!F$5:G$302,2,FALSE)))</f>
        <v/>
      </c>
      <c r="G221" s="51">
        <f>IF(B221="",0,IF(ISNA(VLOOKUP(A221,'75m'!F$5:J$302,5,FALSE)),0,VLOOKUP(A221,'75m'!F$5:J$302,5,FALSE)))</f>
        <v>0</v>
      </c>
      <c r="H221" s="51" t="str">
        <f>IF(B221="","",IF(ISNA(VLOOKUP(A221,'75m'!F$5:K$302,6,FALSE)),"",VLOOKUP(A221,'75m'!F$5:K$302,6,FALSE)))</f>
        <v/>
      </c>
      <c r="I221" s="53">
        <f>IF(B221="",0,IF(ISNA(VLOOKUP(A221,'600m'!F$5:J$302,2,FALSE)),0,VLOOKUP(A221,'600m'!F$5:J$302,2,FALSE)))</f>
        <v>0</v>
      </c>
      <c r="J221" s="51">
        <f>IF(B221="",0,IF(ISNA(VLOOKUP(A221,'600m'!F$5:J$302,5,FALSE)),0,VLOOKUP(A221,'600m'!F$5:J$302,5,FALSE)))</f>
        <v>0</v>
      </c>
      <c r="K221" s="51" t="str">
        <f>IF(B221="","",IF(ISNA(VLOOKUP(A221,'600m'!F$5:K$302,6,FALSE)),"",VLOOKUP(A221,'600m'!F$5:K$302,6,FALSE)))</f>
        <v/>
      </c>
      <c r="L221" s="51" t="str">
        <f>IF(B221="","",IF(ISNA(VLOOKUP(A221,LongJump!F$5:G$302,2,FALSE)),"",VLOOKUP(A221,LongJump!F$5:G$302,2,FALSE)))</f>
        <v/>
      </c>
      <c r="M221" s="51">
        <f>IF(B221="",0,IF(ISNA(VLOOKUP(A221,LongJump!F$5:J$302,5,FALSE)),0,VLOOKUP(A221,LongJump!F$5:J$302,5,FALSE)))</f>
        <v>0</v>
      </c>
      <c r="N221" s="51">
        <f>IF(B221="",0,IF(ISNA(VLOOKUP(A221,LongJump!F$5:K$302,6,FALSE)),0,VLOOKUP(A221,LongJump!F$5:K$302,6,FALSE)))</f>
        <v>0</v>
      </c>
      <c r="O221" s="51" t="str">
        <f>IF(B221="","",IF(ISNA(VLOOKUP(A221,Vortex!F$5:J$302,2,FALSE)),"",VLOOKUP(A221,Vortex!F$5:J$302,2,FALSE)))</f>
        <v/>
      </c>
      <c r="P221" s="51">
        <f>IF(B221="",0,IF(ISNA(VLOOKUP(A221,Vortex!F$5:J$302,5,FALSE)),0,VLOOKUP(A221,Vortex!F$5:J$302,5,FALSE)))</f>
        <v>0</v>
      </c>
      <c r="Q221" s="51">
        <f t="shared" si="24"/>
        <v>0</v>
      </c>
      <c r="R221" s="51" t="str">
        <f t="shared" si="20"/>
        <v/>
      </c>
      <c r="S221" s="51" t="str">
        <f t="shared" si="21"/>
        <v/>
      </c>
      <c r="T221" s="51" t="str">
        <f t="shared" si="22"/>
        <v/>
      </c>
      <c r="U221" s="51" t="str">
        <f t="shared" si="23"/>
        <v/>
      </c>
      <c r="V221" s="39"/>
    </row>
    <row r="222" spans="1:22" ht="20" customHeight="1">
      <c r="A222" s="51" t="str">
        <f>IF(Declarations!B174=0,"",Declarations!B174)</f>
        <v/>
      </c>
      <c r="B222" s="161" t="str">
        <f>IF(ISNA(VLOOKUP(A222,Declarations!B$6:C$293,2,FALSE)),"",IF(VLOOKUP(A222,Declarations!B$6:C$293,2,FALSE)="","",VLOOKUP(A222,Declarations!B$6:C$293,2,FALSE)))</f>
        <v/>
      </c>
      <c r="C222" s="161" t="str">
        <f>IF(ISNA(VLOOKUP(A222,Declarations!B$6:F$293,5,FALSE)),"",IF(VLOOKUP(A222,Declarations!B$6:F$293,5,FALSE)="","",VLOOKUP(A222,Declarations!B$6:F$293,5,FALSE)))</f>
        <v/>
      </c>
      <c r="D222" s="161" t="str">
        <f>IF(ISNA(VLOOKUP(A222,Declarations!B$6:F$293,4,FALSE)),"",IF(VLOOKUP(A222,Declarations!B$6:F$293,4,FALSE)="","",VLOOKUP(A222,Declarations!B$6:F$293,4,FALSE)))</f>
        <v/>
      </c>
      <c r="E222" s="161" t="str">
        <f>IF(ISNA(VLOOKUP(A222,Declarations!B$6:D$293,3,FALSE)),"",IF(VLOOKUP(A222,Declarations!B$6:D$293,3,FALSE)="","",VLOOKUP(A222,Declarations!B$6:D$293,3,FALSE)))</f>
        <v/>
      </c>
      <c r="F222" s="51" t="str">
        <f>IF(B222="","",IF(ISNA(VLOOKUP(A222,'75m'!F$5:G$302,2,FALSE)),"",VLOOKUP(A222,'75m'!F$5:G$302,2,FALSE)))</f>
        <v/>
      </c>
      <c r="G222" s="51">
        <f>IF(B222="",0,IF(ISNA(VLOOKUP(A222,'75m'!F$5:J$302,5,FALSE)),0,VLOOKUP(A222,'75m'!F$5:J$302,5,FALSE)))</f>
        <v>0</v>
      </c>
      <c r="H222" s="51" t="str">
        <f>IF(B222="","",IF(ISNA(VLOOKUP(A222,'75m'!F$5:K$302,6,FALSE)),"",VLOOKUP(A222,'75m'!F$5:K$302,6,FALSE)))</f>
        <v/>
      </c>
      <c r="I222" s="53">
        <f>IF(B222="",0,IF(ISNA(VLOOKUP(A222,'600m'!F$5:J$302,2,FALSE)),0,VLOOKUP(A222,'600m'!F$5:J$302,2,FALSE)))</f>
        <v>0</v>
      </c>
      <c r="J222" s="51">
        <f>IF(B222="",0,IF(ISNA(VLOOKUP(A222,'600m'!F$5:J$302,5,FALSE)),0,VLOOKUP(A222,'600m'!F$5:J$302,5,FALSE)))</f>
        <v>0</v>
      </c>
      <c r="K222" s="51" t="str">
        <f>IF(B222="","",IF(ISNA(VLOOKUP(A222,'600m'!F$5:K$302,6,FALSE)),"",VLOOKUP(A222,'600m'!F$5:K$302,6,FALSE)))</f>
        <v/>
      </c>
      <c r="L222" s="51" t="str">
        <f>IF(B222="","",IF(ISNA(VLOOKUP(A222,LongJump!F$5:G$302,2,FALSE)),"",VLOOKUP(A222,LongJump!F$5:G$302,2,FALSE)))</f>
        <v/>
      </c>
      <c r="M222" s="51">
        <f>IF(B222="",0,IF(ISNA(VLOOKUP(A222,LongJump!F$5:J$302,5,FALSE)),0,VLOOKUP(A222,LongJump!F$5:J$302,5,FALSE)))</f>
        <v>0</v>
      </c>
      <c r="N222" s="51">
        <f>IF(B222="",0,IF(ISNA(VLOOKUP(A222,LongJump!F$5:K$302,6,FALSE)),0,VLOOKUP(A222,LongJump!F$5:K$302,6,FALSE)))</f>
        <v>0</v>
      </c>
      <c r="O222" s="51" t="str">
        <f>IF(B222="","",IF(ISNA(VLOOKUP(A222,Vortex!F$5:J$302,2,FALSE)),"",VLOOKUP(A222,Vortex!F$5:J$302,2,FALSE)))</f>
        <v/>
      </c>
      <c r="P222" s="51">
        <f>IF(B222="",0,IF(ISNA(VLOOKUP(A222,Vortex!F$5:J$302,5,FALSE)),0,VLOOKUP(A222,Vortex!F$5:J$302,5,FALSE)))</f>
        <v>0</v>
      </c>
      <c r="Q222" s="51">
        <f t="shared" si="24"/>
        <v>0</v>
      </c>
      <c r="R222" s="51" t="str">
        <f t="shared" si="20"/>
        <v/>
      </c>
      <c r="S222" s="51" t="str">
        <f t="shared" si="21"/>
        <v/>
      </c>
      <c r="T222" s="51" t="str">
        <f t="shared" si="22"/>
        <v/>
      </c>
      <c r="U222" s="51" t="str">
        <f t="shared" si="23"/>
        <v/>
      </c>
      <c r="V222" s="39"/>
    </row>
    <row r="223" spans="1:22" ht="20" customHeight="1">
      <c r="A223" s="51" t="str">
        <f>IF(Declarations!B175=0,"",Declarations!B175)</f>
        <v/>
      </c>
      <c r="B223" s="161" t="str">
        <f>IF(ISNA(VLOOKUP(A223,Declarations!B$6:C$293,2,FALSE)),"",IF(VLOOKUP(A223,Declarations!B$6:C$293,2,FALSE)="","",VLOOKUP(A223,Declarations!B$6:C$293,2,FALSE)))</f>
        <v/>
      </c>
      <c r="C223" s="161" t="str">
        <f>IF(ISNA(VLOOKUP(A223,Declarations!B$6:F$293,5,FALSE)),"",IF(VLOOKUP(A223,Declarations!B$6:F$293,5,FALSE)="","",VLOOKUP(A223,Declarations!B$6:F$293,5,FALSE)))</f>
        <v/>
      </c>
      <c r="D223" s="161" t="str">
        <f>IF(ISNA(VLOOKUP(A223,Declarations!B$6:F$293,4,FALSE)),"",IF(VLOOKUP(A223,Declarations!B$6:F$293,4,FALSE)="","",VLOOKUP(A223,Declarations!B$6:F$293,4,FALSE)))</f>
        <v/>
      </c>
      <c r="E223" s="161" t="str">
        <f>IF(ISNA(VLOOKUP(A223,Declarations!B$6:D$293,3,FALSE)),"",IF(VLOOKUP(A223,Declarations!B$6:D$293,3,FALSE)="","",VLOOKUP(A223,Declarations!B$6:D$293,3,FALSE)))</f>
        <v/>
      </c>
      <c r="F223" s="51" t="str">
        <f>IF(B223="","",IF(ISNA(VLOOKUP(A223,'75m'!F$5:G$302,2,FALSE)),"",VLOOKUP(A223,'75m'!F$5:G$302,2,FALSE)))</f>
        <v/>
      </c>
      <c r="G223" s="51">
        <f>IF(B223="",0,IF(ISNA(VLOOKUP(A223,'75m'!F$5:J$302,5,FALSE)),0,VLOOKUP(A223,'75m'!F$5:J$302,5,FALSE)))</f>
        <v>0</v>
      </c>
      <c r="H223" s="51" t="str">
        <f>IF(B223="","",IF(ISNA(VLOOKUP(A223,'75m'!F$5:K$302,6,FALSE)),"",VLOOKUP(A223,'75m'!F$5:K$302,6,FALSE)))</f>
        <v/>
      </c>
      <c r="I223" s="53">
        <f>IF(B223="",0,IF(ISNA(VLOOKUP(A223,'600m'!F$5:J$302,2,FALSE)),0,VLOOKUP(A223,'600m'!F$5:J$302,2,FALSE)))</f>
        <v>0</v>
      </c>
      <c r="J223" s="51">
        <f>IF(B223="",0,IF(ISNA(VLOOKUP(A223,'600m'!F$5:J$302,5,FALSE)),0,VLOOKUP(A223,'600m'!F$5:J$302,5,FALSE)))</f>
        <v>0</v>
      </c>
      <c r="K223" s="51" t="str">
        <f>IF(B223="","",IF(ISNA(VLOOKUP(A223,'600m'!F$5:K$302,6,FALSE)),"",VLOOKUP(A223,'600m'!F$5:K$302,6,FALSE)))</f>
        <v/>
      </c>
      <c r="L223" s="51" t="str">
        <f>IF(B223="","",IF(ISNA(VLOOKUP(A223,LongJump!F$5:G$302,2,FALSE)),"",VLOOKUP(A223,LongJump!F$5:G$302,2,FALSE)))</f>
        <v/>
      </c>
      <c r="M223" s="51">
        <f>IF(B223="",0,IF(ISNA(VLOOKUP(A223,LongJump!F$5:J$302,5,FALSE)),0,VLOOKUP(A223,LongJump!F$5:J$302,5,FALSE)))</f>
        <v>0</v>
      </c>
      <c r="N223" s="51">
        <f>IF(B223="",0,IF(ISNA(VLOOKUP(A223,LongJump!F$5:K$302,6,FALSE)),0,VLOOKUP(A223,LongJump!F$5:K$302,6,FALSE)))</f>
        <v>0</v>
      </c>
      <c r="O223" s="51" t="str">
        <f>IF(B223="","",IF(ISNA(VLOOKUP(A223,Vortex!F$5:J$302,2,FALSE)),"",VLOOKUP(A223,Vortex!F$5:J$302,2,FALSE)))</f>
        <v/>
      </c>
      <c r="P223" s="51">
        <f>IF(B223="",0,IF(ISNA(VLOOKUP(A223,Vortex!F$5:J$302,5,FALSE)),0,VLOOKUP(A223,Vortex!F$5:J$302,5,FALSE)))</f>
        <v>0</v>
      </c>
      <c r="Q223" s="51">
        <f t="shared" si="24"/>
        <v>0</v>
      </c>
      <c r="R223" s="51" t="str">
        <f t="shared" si="20"/>
        <v/>
      </c>
      <c r="S223" s="51" t="str">
        <f t="shared" si="21"/>
        <v/>
      </c>
      <c r="T223" s="51" t="str">
        <f t="shared" si="22"/>
        <v/>
      </c>
      <c r="U223" s="51" t="str">
        <f t="shared" si="23"/>
        <v/>
      </c>
      <c r="V223" s="39"/>
    </row>
    <row r="224" spans="1:22" ht="20" customHeight="1">
      <c r="A224" s="51" t="str">
        <f>IF(Declarations!B176=0,"",Declarations!B176)</f>
        <v/>
      </c>
      <c r="B224" s="161" t="str">
        <f>IF(ISNA(VLOOKUP(A224,Declarations!B$6:C$293,2,FALSE)),"",IF(VLOOKUP(A224,Declarations!B$6:C$293,2,FALSE)="","",VLOOKUP(A224,Declarations!B$6:C$293,2,FALSE)))</f>
        <v/>
      </c>
      <c r="C224" s="161" t="str">
        <f>IF(ISNA(VLOOKUP(A224,Declarations!B$6:F$293,5,FALSE)),"",IF(VLOOKUP(A224,Declarations!B$6:F$293,5,FALSE)="","",VLOOKUP(A224,Declarations!B$6:F$293,5,FALSE)))</f>
        <v/>
      </c>
      <c r="D224" s="161" t="str">
        <f>IF(ISNA(VLOOKUP(A224,Declarations!B$6:F$293,4,FALSE)),"",IF(VLOOKUP(A224,Declarations!B$6:F$293,4,FALSE)="","",VLOOKUP(A224,Declarations!B$6:F$293,4,FALSE)))</f>
        <v/>
      </c>
      <c r="E224" s="161" t="str">
        <f>IF(ISNA(VLOOKUP(A224,Declarations!B$6:D$293,3,FALSE)),"",IF(VLOOKUP(A224,Declarations!B$6:D$293,3,FALSE)="","",VLOOKUP(A224,Declarations!B$6:D$293,3,FALSE)))</f>
        <v/>
      </c>
      <c r="F224" s="51" t="str">
        <f>IF(B224="","",IF(ISNA(VLOOKUP(A224,'75m'!F$5:G$302,2,FALSE)),"",VLOOKUP(A224,'75m'!F$5:G$302,2,FALSE)))</f>
        <v/>
      </c>
      <c r="G224" s="51">
        <f>IF(B224="",0,IF(ISNA(VLOOKUP(A224,'75m'!F$5:J$302,5,FALSE)),0,VLOOKUP(A224,'75m'!F$5:J$302,5,FALSE)))</f>
        <v>0</v>
      </c>
      <c r="H224" s="51" t="str">
        <f>IF(B224="","",IF(ISNA(VLOOKUP(A224,'75m'!F$5:K$302,6,FALSE)),"",VLOOKUP(A224,'75m'!F$5:K$302,6,FALSE)))</f>
        <v/>
      </c>
      <c r="I224" s="53">
        <f>IF(B224="",0,IF(ISNA(VLOOKUP(A224,'600m'!F$5:J$302,2,FALSE)),0,VLOOKUP(A224,'600m'!F$5:J$302,2,FALSE)))</f>
        <v>0</v>
      </c>
      <c r="J224" s="51">
        <f>IF(B224="",0,IF(ISNA(VLOOKUP(A224,'600m'!F$5:J$302,5,FALSE)),0,VLOOKUP(A224,'600m'!F$5:J$302,5,FALSE)))</f>
        <v>0</v>
      </c>
      <c r="K224" s="51" t="str">
        <f>IF(B224="","",IF(ISNA(VLOOKUP(A224,'600m'!F$5:K$302,6,FALSE)),"",VLOOKUP(A224,'600m'!F$5:K$302,6,FALSE)))</f>
        <v/>
      </c>
      <c r="L224" s="51" t="str">
        <f>IF(B224="","",IF(ISNA(VLOOKUP(A224,LongJump!F$5:G$302,2,FALSE)),"",VLOOKUP(A224,LongJump!F$5:G$302,2,FALSE)))</f>
        <v/>
      </c>
      <c r="M224" s="51">
        <f>IF(B224="",0,IF(ISNA(VLOOKUP(A224,LongJump!F$5:J$302,5,FALSE)),0,VLOOKUP(A224,LongJump!F$5:J$302,5,FALSE)))</f>
        <v>0</v>
      </c>
      <c r="N224" s="51">
        <f>IF(B224="",0,IF(ISNA(VLOOKUP(A224,LongJump!F$5:K$302,6,FALSE)),0,VLOOKUP(A224,LongJump!F$5:K$302,6,FALSE)))</f>
        <v>0</v>
      </c>
      <c r="O224" s="51" t="str">
        <f>IF(B224="","",IF(ISNA(VLOOKUP(A224,Vortex!F$5:J$302,2,FALSE)),"",VLOOKUP(A224,Vortex!F$5:J$302,2,FALSE)))</f>
        <v/>
      </c>
      <c r="P224" s="51">
        <f>IF(B224="",0,IF(ISNA(VLOOKUP(A224,Vortex!F$5:J$302,5,FALSE)),0,VLOOKUP(A224,Vortex!F$5:J$302,5,FALSE)))</f>
        <v>0</v>
      </c>
      <c r="Q224" s="51">
        <f t="shared" si="24"/>
        <v>0</v>
      </c>
      <c r="R224" s="51" t="str">
        <f t="shared" si="20"/>
        <v/>
      </c>
      <c r="S224" s="51" t="str">
        <f t="shared" si="21"/>
        <v/>
      </c>
      <c r="T224" s="51" t="str">
        <f t="shared" si="22"/>
        <v/>
      </c>
      <c r="U224" s="51" t="str">
        <f t="shared" si="23"/>
        <v/>
      </c>
      <c r="V224" s="39"/>
    </row>
    <row r="225" spans="1:22" ht="20" customHeight="1">
      <c r="A225" s="51" t="str">
        <f>IF(Declarations!B177=0,"",Declarations!B177)</f>
        <v/>
      </c>
      <c r="B225" s="161" t="str">
        <f>IF(ISNA(VLOOKUP(A225,Declarations!B$6:C$293,2,FALSE)),"",IF(VLOOKUP(A225,Declarations!B$6:C$293,2,FALSE)="","",VLOOKUP(A225,Declarations!B$6:C$293,2,FALSE)))</f>
        <v/>
      </c>
      <c r="C225" s="161" t="str">
        <f>IF(ISNA(VLOOKUP(A225,Declarations!B$6:F$293,5,FALSE)),"",IF(VLOOKUP(A225,Declarations!B$6:F$293,5,FALSE)="","",VLOOKUP(A225,Declarations!B$6:F$293,5,FALSE)))</f>
        <v/>
      </c>
      <c r="D225" s="161" t="str">
        <f>IF(ISNA(VLOOKUP(A225,Declarations!B$6:F$293,4,FALSE)),"",IF(VLOOKUP(A225,Declarations!B$6:F$293,4,FALSE)="","",VLOOKUP(A225,Declarations!B$6:F$293,4,FALSE)))</f>
        <v/>
      </c>
      <c r="E225" s="161" t="str">
        <f>IF(ISNA(VLOOKUP(A225,Declarations!B$6:D$293,3,FALSE)),"",IF(VLOOKUP(A225,Declarations!B$6:D$293,3,FALSE)="","",VLOOKUP(A225,Declarations!B$6:D$293,3,FALSE)))</f>
        <v/>
      </c>
      <c r="F225" s="51" t="str">
        <f>IF(B225="","",IF(ISNA(VLOOKUP(A225,'75m'!F$5:G$302,2,FALSE)),"",VLOOKUP(A225,'75m'!F$5:G$302,2,FALSE)))</f>
        <v/>
      </c>
      <c r="G225" s="51">
        <f>IF(B225="",0,IF(ISNA(VLOOKUP(A225,'75m'!F$5:J$302,5,FALSE)),0,VLOOKUP(A225,'75m'!F$5:J$302,5,FALSE)))</f>
        <v>0</v>
      </c>
      <c r="H225" s="51" t="str">
        <f>IF(B225="","",IF(ISNA(VLOOKUP(A225,'75m'!F$5:K$302,6,FALSE)),"",VLOOKUP(A225,'75m'!F$5:K$302,6,FALSE)))</f>
        <v/>
      </c>
      <c r="I225" s="53">
        <f>IF(B225="",0,IF(ISNA(VLOOKUP(A225,'600m'!F$5:J$302,2,FALSE)),0,VLOOKUP(A225,'600m'!F$5:J$302,2,FALSE)))</f>
        <v>0</v>
      </c>
      <c r="J225" s="51">
        <f>IF(B225="",0,IF(ISNA(VLOOKUP(A225,'600m'!F$5:J$302,5,FALSE)),0,VLOOKUP(A225,'600m'!F$5:J$302,5,FALSE)))</f>
        <v>0</v>
      </c>
      <c r="K225" s="51" t="str">
        <f>IF(B225="","",IF(ISNA(VLOOKUP(A225,'600m'!F$5:K$302,6,FALSE)),"",VLOOKUP(A225,'600m'!F$5:K$302,6,FALSE)))</f>
        <v/>
      </c>
      <c r="L225" s="51" t="str">
        <f>IF(B225="","",IF(ISNA(VLOOKUP(A225,LongJump!F$5:G$302,2,FALSE)),"",VLOOKUP(A225,LongJump!F$5:G$302,2,FALSE)))</f>
        <v/>
      </c>
      <c r="M225" s="51">
        <f>IF(B225="",0,IF(ISNA(VLOOKUP(A225,LongJump!F$5:J$302,5,FALSE)),0,VLOOKUP(A225,LongJump!F$5:J$302,5,FALSE)))</f>
        <v>0</v>
      </c>
      <c r="N225" s="51">
        <f>IF(B225="",0,IF(ISNA(VLOOKUP(A225,LongJump!F$5:K$302,6,FALSE)),0,VLOOKUP(A225,LongJump!F$5:K$302,6,FALSE)))</f>
        <v>0</v>
      </c>
      <c r="O225" s="51" t="str">
        <f>IF(B225="","",IF(ISNA(VLOOKUP(A225,Vortex!F$5:J$302,2,FALSE)),"",VLOOKUP(A225,Vortex!F$5:J$302,2,FALSE)))</f>
        <v/>
      </c>
      <c r="P225" s="51">
        <f>IF(B225="",0,IF(ISNA(VLOOKUP(A225,Vortex!F$5:J$302,5,FALSE)),0,VLOOKUP(A225,Vortex!F$5:J$302,5,FALSE)))</f>
        <v>0</v>
      </c>
      <c r="Q225" s="51">
        <f t="shared" si="24"/>
        <v>0</v>
      </c>
      <c r="R225" s="51" t="str">
        <f t="shared" si="20"/>
        <v/>
      </c>
      <c r="S225" s="51" t="str">
        <f t="shared" si="21"/>
        <v/>
      </c>
      <c r="T225" s="51" t="str">
        <f t="shared" si="22"/>
        <v/>
      </c>
      <c r="U225" s="51" t="str">
        <f t="shared" si="23"/>
        <v/>
      </c>
      <c r="V225" s="39"/>
    </row>
    <row r="226" spans="1:22" ht="20" customHeight="1">
      <c r="A226" s="51" t="str">
        <f>IF(Declarations!B178=0,"",Declarations!B178)</f>
        <v/>
      </c>
      <c r="B226" s="161" t="str">
        <f>IF(ISNA(VLOOKUP(A226,Declarations!B$6:C$293,2,FALSE)),"",IF(VLOOKUP(A226,Declarations!B$6:C$293,2,FALSE)="","",VLOOKUP(A226,Declarations!B$6:C$293,2,FALSE)))</f>
        <v/>
      </c>
      <c r="C226" s="161" t="str">
        <f>IF(ISNA(VLOOKUP(A226,Declarations!B$6:F$293,5,FALSE)),"",IF(VLOOKUP(A226,Declarations!B$6:F$293,5,FALSE)="","",VLOOKUP(A226,Declarations!B$6:F$293,5,FALSE)))</f>
        <v/>
      </c>
      <c r="D226" s="161" t="str">
        <f>IF(ISNA(VLOOKUP(A226,Declarations!B$6:F$293,4,FALSE)),"",IF(VLOOKUP(A226,Declarations!B$6:F$293,4,FALSE)="","",VLOOKUP(A226,Declarations!B$6:F$293,4,FALSE)))</f>
        <v/>
      </c>
      <c r="E226" s="161" t="str">
        <f>IF(ISNA(VLOOKUP(A226,Declarations!B$6:D$293,3,FALSE)),"",IF(VLOOKUP(A226,Declarations!B$6:D$293,3,FALSE)="","",VLOOKUP(A226,Declarations!B$6:D$293,3,FALSE)))</f>
        <v/>
      </c>
      <c r="F226" s="51" t="str">
        <f>IF(B226="","",IF(ISNA(VLOOKUP(A226,'75m'!F$5:G$302,2,FALSE)),"",VLOOKUP(A226,'75m'!F$5:G$302,2,FALSE)))</f>
        <v/>
      </c>
      <c r="G226" s="51">
        <f>IF(B226="",0,IF(ISNA(VLOOKUP(A226,'75m'!F$5:J$302,5,FALSE)),0,VLOOKUP(A226,'75m'!F$5:J$302,5,FALSE)))</f>
        <v>0</v>
      </c>
      <c r="H226" s="51" t="str">
        <f>IF(B226="","",IF(ISNA(VLOOKUP(A226,'75m'!F$5:K$302,6,FALSE)),"",VLOOKUP(A226,'75m'!F$5:K$302,6,FALSE)))</f>
        <v/>
      </c>
      <c r="I226" s="53">
        <f>IF(B226="",0,IF(ISNA(VLOOKUP(A226,'600m'!F$5:J$302,2,FALSE)),0,VLOOKUP(A226,'600m'!F$5:J$302,2,FALSE)))</f>
        <v>0</v>
      </c>
      <c r="J226" s="51">
        <f>IF(B226="",0,IF(ISNA(VLOOKUP(A226,'600m'!F$5:J$302,5,FALSE)),0,VLOOKUP(A226,'600m'!F$5:J$302,5,FALSE)))</f>
        <v>0</v>
      </c>
      <c r="K226" s="51" t="str">
        <f>IF(B226="","",IF(ISNA(VLOOKUP(A226,'600m'!F$5:K$302,6,FALSE)),"",VLOOKUP(A226,'600m'!F$5:K$302,6,FALSE)))</f>
        <v/>
      </c>
      <c r="L226" s="51" t="str">
        <f>IF(B226="","",IF(ISNA(VLOOKUP(A226,LongJump!F$5:G$302,2,FALSE)),"",VLOOKUP(A226,LongJump!F$5:G$302,2,FALSE)))</f>
        <v/>
      </c>
      <c r="M226" s="51">
        <f>IF(B226="",0,IF(ISNA(VLOOKUP(A226,LongJump!F$5:J$302,5,FALSE)),0,VLOOKUP(A226,LongJump!F$5:J$302,5,FALSE)))</f>
        <v>0</v>
      </c>
      <c r="N226" s="51">
        <f>IF(B226="",0,IF(ISNA(VLOOKUP(A226,LongJump!F$5:K$302,6,FALSE)),0,VLOOKUP(A226,LongJump!F$5:K$302,6,FALSE)))</f>
        <v>0</v>
      </c>
      <c r="O226" s="51" t="str">
        <f>IF(B226="","",IF(ISNA(VLOOKUP(A226,Vortex!F$5:J$302,2,FALSE)),"",VLOOKUP(A226,Vortex!F$5:J$302,2,FALSE)))</f>
        <v/>
      </c>
      <c r="P226" s="51">
        <f>IF(B226="",0,IF(ISNA(VLOOKUP(A226,Vortex!F$5:J$302,5,FALSE)),0,VLOOKUP(A226,Vortex!F$5:J$302,5,FALSE)))</f>
        <v>0</v>
      </c>
      <c r="Q226" s="51">
        <f t="shared" si="24"/>
        <v>0</v>
      </c>
      <c r="R226" s="51" t="str">
        <f t="shared" si="20"/>
        <v/>
      </c>
      <c r="S226" s="51" t="str">
        <f t="shared" si="21"/>
        <v/>
      </c>
      <c r="T226" s="51" t="str">
        <f t="shared" si="22"/>
        <v/>
      </c>
      <c r="U226" s="51" t="str">
        <f t="shared" si="23"/>
        <v/>
      </c>
      <c r="V226" s="39"/>
    </row>
    <row r="227" spans="1:22" ht="20" customHeight="1">
      <c r="A227" s="51" t="str">
        <f>IF(Declarations!B179=0,"",Declarations!B179)</f>
        <v/>
      </c>
      <c r="B227" s="161" t="str">
        <f>IF(ISNA(VLOOKUP(A227,Declarations!B$6:C$293,2,FALSE)),"",IF(VLOOKUP(A227,Declarations!B$6:C$293,2,FALSE)="","",VLOOKUP(A227,Declarations!B$6:C$293,2,FALSE)))</f>
        <v/>
      </c>
      <c r="C227" s="161" t="str">
        <f>IF(ISNA(VLOOKUP(A227,Declarations!B$6:F$293,5,FALSE)),"",IF(VLOOKUP(A227,Declarations!B$6:F$293,5,FALSE)="","",VLOOKUP(A227,Declarations!B$6:F$293,5,FALSE)))</f>
        <v/>
      </c>
      <c r="D227" s="161" t="str">
        <f>IF(ISNA(VLOOKUP(A227,Declarations!B$6:F$293,4,FALSE)),"",IF(VLOOKUP(A227,Declarations!B$6:F$293,4,FALSE)="","",VLOOKUP(A227,Declarations!B$6:F$293,4,FALSE)))</f>
        <v/>
      </c>
      <c r="E227" s="161" t="str">
        <f>IF(ISNA(VLOOKUP(A227,Declarations!B$6:D$293,3,FALSE)),"",IF(VLOOKUP(A227,Declarations!B$6:D$293,3,FALSE)="","",VLOOKUP(A227,Declarations!B$6:D$293,3,FALSE)))</f>
        <v/>
      </c>
      <c r="F227" s="51" t="str">
        <f>IF(B227="","",IF(ISNA(VLOOKUP(A227,'75m'!F$5:G$302,2,FALSE)),"",VLOOKUP(A227,'75m'!F$5:G$302,2,FALSE)))</f>
        <v/>
      </c>
      <c r="G227" s="51">
        <f>IF(B227="",0,IF(ISNA(VLOOKUP(A227,'75m'!F$5:J$302,5,FALSE)),0,VLOOKUP(A227,'75m'!F$5:J$302,5,FALSE)))</f>
        <v>0</v>
      </c>
      <c r="H227" s="51" t="str">
        <f>IF(B227="","",IF(ISNA(VLOOKUP(A227,'75m'!F$5:K$302,6,FALSE)),"",VLOOKUP(A227,'75m'!F$5:K$302,6,FALSE)))</f>
        <v/>
      </c>
      <c r="I227" s="53">
        <f>IF(B227="",0,IF(ISNA(VLOOKUP(A227,'600m'!F$5:J$302,2,FALSE)),0,VLOOKUP(A227,'600m'!F$5:J$302,2,FALSE)))</f>
        <v>0</v>
      </c>
      <c r="J227" s="51">
        <f>IF(B227="",0,IF(ISNA(VLOOKUP(A227,'600m'!F$5:J$302,5,FALSE)),0,VLOOKUP(A227,'600m'!F$5:J$302,5,FALSE)))</f>
        <v>0</v>
      </c>
      <c r="K227" s="51" t="str">
        <f>IF(B227="","",IF(ISNA(VLOOKUP(A227,'600m'!F$5:K$302,6,FALSE)),"",VLOOKUP(A227,'600m'!F$5:K$302,6,FALSE)))</f>
        <v/>
      </c>
      <c r="L227" s="51" t="str">
        <f>IF(B227="","",IF(ISNA(VLOOKUP(A227,LongJump!F$5:G$302,2,FALSE)),"",VLOOKUP(A227,LongJump!F$5:G$302,2,FALSE)))</f>
        <v/>
      </c>
      <c r="M227" s="51">
        <f>IF(B227="",0,IF(ISNA(VLOOKUP(A227,LongJump!F$5:J$302,5,FALSE)),0,VLOOKUP(A227,LongJump!F$5:J$302,5,FALSE)))</f>
        <v>0</v>
      </c>
      <c r="N227" s="51">
        <f>IF(B227="",0,IF(ISNA(VLOOKUP(A227,LongJump!F$5:K$302,6,FALSE)),0,VLOOKUP(A227,LongJump!F$5:K$302,6,FALSE)))</f>
        <v>0</v>
      </c>
      <c r="O227" s="51" t="str">
        <f>IF(B227="","",IF(ISNA(VLOOKUP(A227,Vortex!F$5:J$302,2,FALSE)),"",VLOOKUP(A227,Vortex!F$5:J$302,2,FALSE)))</f>
        <v/>
      </c>
      <c r="P227" s="51">
        <f>IF(B227="",0,IF(ISNA(VLOOKUP(A227,Vortex!F$5:J$302,5,FALSE)),0,VLOOKUP(A227,Vortex!F$5:J$302,5,FALSE)))</f>
        <v>0</v>
      </c>
      <c r="Q227" s="51">
        <f t="shared" si="24"/>
        <v>0</v>
      </c>
      <c r="R227" s="51" t="str">
        <f t="shared" si="20"/>
        <v/>
      </c>
      <c r="S227" s="51" t="str">
        <f t="shared" si="21"/>
        <v/>
      </c>
      <c r="T227" s="51" t="str">
        <f t="shared" si="22"/>
        <v/>
      </c>
      <c r="U227" s="51" t="str">
        <f t="shared" si="23"/>
        <v/>
      </c>
      <c r="V227" s="39"/>
    </row>
    <row r="228" spans="1:22" ht="20" customHeight="1">
      <c r="A228" s="51" t="str">
        <f>IF(Declarations!B180=0,"",Declarations!B180)</f>
        <v/>
      </c>
      <c r="B228" s="161" t="str">
        <f>IF(ISNA(VLOOKUP(A228,Declarations!B$6:C$293,2,FALSE)),"",IF(VLOOKUP(A228,Declarations!B$6:C$293,2,FALSE)="","",VLOOKUP(A228,Declarations!B$6:C$293,2,FALSE)))</f>
        <v/>
      </c>
      <c r="C228" s="161" t="str">
        <f>IF(ISNA(VLOOKUP(A228,Declarations!B$6:F$293,5,FALSE)),"",IF(VLOOKUP(A228,Declarations!B$6:F$293,5,FALSE)="","",VLOOKUP(A228,Declarations!B$6:F$293,5,FALSE)))</f>
        <v/>
      </c>
      <c r="D228" s="161" t="str">
        <f>IF(ISNA(VLOOKUP(A228,Declarations!B$6:F$293,4,FALSE)),"",IF(VLOOKUP(A228,Declarations!B$6:F$293,4,FALSE)="","",VLOOKUP(A228,Declarations!B$6:F$293,4,FALSE)))</f>
        <v/>
      </c>
      <c r="E228" s="161" t="str">
        <f>IF(ISNA(VLOOKUP(A228,Declarations!B$6:D$293,3,FALSE)),"",IF(VLOOKUP(A228,Declarations!B$6:D$293,3,FALSE)="","",VLOOKUP(A228,Declarations!B$6:D$293,3,FALSE)))</f>
        <v/>
      </c>
      <c r="F228" s="51" t="str">
        <f>IF(B228="","",IF(ISNA(VLOOKUP(A228,'75m'!F$5:G$302,2,FALSE)),"",VLOOKUP(A228,'75m'!F$5:G$302,2,FALSE)))</f>
        <v/>
      </c>
      <c r="G228" s="51">
        <f>IF(B228="",0,IF(ISNA(VLOOKUP(A228,'75m'!F$5:J$302,5,FALSE)),0,VLOOKUP(A228,'75m'!F$5:J$302,5,FALSE)))</f>
        <v>0</v>
      </c>
      <c r="H228" s="51" t="str">
        <f>IF(B228="","",IF(ISNA(VLOOKUP(A228,'75m'!F$5:K$302,6,FALSE)),"",VLOOKUP(A228,'75m'!F$5:K$302,6,FALSE)))</f>
        <v/>
      </c>
      <c r="I228" s="53">
        <f>IF(B228="",0,IF(ISNA(VLOOKUP(A228,'600m'!F$5:J$302,2,FALSE)),0,VLOOKUP(A228,'600m'!F$5:J$302,2,FALSE)))</f>
        <v>0</v>
      </c>
      <c r="J228" s="51">
        <f>IF(B228="",0,IF(ISNA(VLOOKUP(A228,'600m'!F$5:J$302,5,FALSE)),0,VLOOKUP(A228,'600m'!F$5:J$302,5,FALSE)))</f>
        <v>0</v>
      </c>
      <c r="K228" s="51" t="str">
        <f>IF(B228="","",IF(ISNA(VLOOKUP(A228,'600m'!F$5:K$302,6,FALSE)),"",VLOOKUP(A228,'600m'!F$5:K$302,6,FALSE)))</f>
        <v/>
      </c>
      <c r="L228" s="51" t="str">
        <f>IF(B228="","",IF(ISNA(VLOOKUP(A228,LongJump!F$5:G$302,2,FALSE)),"",VLOOKUP(A228,LongJump!F$5:G$302,2,FALSE)))</f>
        <v/>
      </c>
      <c r="M228" s="51">
        <f>IF(B228="",0,IF(ISNA(VLOOKUP(A228,LongJump!F$5:J$302,5,FALSE)),0,VLOOKUP(A228,LongJump!F$5:J$302,5,FALSE)))</f>
        <v>0</v>
      </c>
      <c r="N228" s="51">
        <f>IF(B228="",0,IF(ISNA(VLOOKUP(A228,LongJump!F$5:K$302,6,FALSE)),0,VLOOKUP(A228,LongJump!F$5:K$302,6,FALSE)))</f>
        <v>0</v>
      </c>
      <c r="O228" s="51" t="str">
        <f>IF(B228="","",IF(ISNA(VLOOKUP(A228,Vortex!F$5:J$302,2,FALSE)),"",VLOOKUP(A228,Vortex!F$5:J$302,2,FALSE)))</f>
        <v/>
      </c>
      <c r="P228" s="51">
        <f>IF(B228="",0,IF(ISNA(VLOOKUP(A228,Vortex!F$5:J$302,5,FALSE)),0,VLOOKUP(A228,Vortex!F$5:J$302,5,FALSE)))</f>
        <v>0</v>
      </c>
      <c r="Q228" s="51">
        <f t="shared" si="24"/>
        <v>0</v>
      </c>
      <c r="R228" s="51" t="str">
        <f t="shared" si="20"/>
        <v/>
      </c>
      <c r="S228" s="51" t="str">
        <f t="shared" si="21"/>
        <v/>
      </c>
      <c r="T228" s="51" t="str">
        <f t="shared" si="22"/>
        <v/>
      </c>
      <c r="U228" s="51" t="str">
        <f t="shared" si="23"/>
        <v/>
      </c>
      <c r="V228" s="39"/>
    </row>
    <row r="229" spans="1:22" ht="20" customHeight="1">
      <c r="A229" s="51" t="str">
        <f>IF(Declarations!B181=0,"",Declarations!B181)</f>
        <v/>
      </c>
      <c r="B229" s="161" t="str">
        <f>IF(ISNA(VLOOKUP(A229,Declarations!B$6:C$293,2,FALSE)),"",IF(VLOOKUP(A229,Declarations!B$6:C$293,2,FALSE)="","",VLOOKUP(A229,Declarations!B$6:C$293,2,FALSE)))</f>
        <v/>
      </c>
      <c r="C229" s="161" t="str">
        <f>IF(ISNA(VLOOKUP(A229,Declarations!B$6:F$293,5,FALSE)),"",IF(VLOOKUP(A229,Declarations!B$6:F$293,5,FALSE)="","",VLOOKUP(A229,Declarations!B$6:F$293,5,FALSE)))</f>
        <v/>
      </c>
      <c r="D229" s="161" t="str">
        <f>IF(ISNA(VLOOKUP(A229,Declarations!B$6:F$293,4,FALSE)),"",IF(VLOOKUP(A229,Declarations!B$6:F$293,4,FALSE)="","",VLOOKUP(A229,Declarations!B$6:F$293,4,FALSE)))</f>
        <v/>
      </c>
      <c r="E229" s="161" t="str">
        <f>IF(ISNA(VLOOKUP(A229,Declarations!B$6:D$293,3,FALSE)),"",IF(VLOOKUP(A229,Declarations!B$6:D$293,3,FALSE)="","",VLOOKUP(A229,Declarations!B$6:D$293,3,FALSE)))</f>
        <v/>
      </c>
      <c r="F229" s="51" t="str">
        <f>IF(B229="","",IF(ISNA(VLOOKUP(A229,'75m'!F$5:G$302,2,FALSE)),"",VLOOKUP(A229,'75m'!F$5:G$302,2,FALSE)))</f>
        <v/>
      </c>
      <c r="G229" s="51">
        <f>IF(B229="",0,IF(ISNA(VLOOKUP(A229,'75m'!F$5:J$302,5,FALSE)),0,VLOOKUP(A229,'75m'!F$5:J$302,5,FALSE)))</f>
        <v>0</v>
      </c>
      <c r="H229" s="51" t="str">
        <f>IF(B229="","",IF(ISNA(VLOOKUP(A229,'75m'!F$5:K$302,6,FALSE)),"",VLOOKUP(A229,'75m'!F$5:K$302,6,FALSE)))</f>
        <v/>
      </c>
      <c r="I229" s="53">
        <f>IF(B229="",0,IF(ISNA(VLOOKUP(A229,'600m'!F$5:J$302,2,FALSE)),0,VLOOKUP(A229,'600m'!F$5:J$302,2,FALSE)))</f>
        <v>0</v>
      </c>
      <c r="J229" s="51">
        <f>IF(B229="",0,IF(ISNA(VLOOKUP(A229,'600m'!F$5:J$302,5,FALSE)),0,VLOOKUP(A229,'600m'!F$5:J$302,5,FALSE)))</f>
        <v>0</v>
      </c>
      <c r="K229" s="51" t="str">
        <f>IF(B229="","",IF(ISNA(VLOOKUP(A229,'600m'!F$5:K$302,6,FALSE)),"",VLOOKUP(A229,'600m'!F$5:K$302,6,FALSE)))</f>
        <v/>
      </c>
      <c r="L229" s="51" t="str">
        <f>IF(B229="","",IF(ISNA(VLOOKUP(A229,LongJump!F$5:G$302,2,FALSE)),"",VLOOKUP(A229,LongJump!F$5:G$302,2,FALSE)))</f>
        <v/>
      </c>
      <c r="M229" s="51">
        <f>IF(B229="",0,IF(ISNA(VLOOKUP(A229,LongJump!F$5:J$302,5,FALSE)),0,VLOOKUP(A229,LongJump!F$5:J$302,5,FALSE)))</f>
        <v>0</v>
      </c>
      <c r="N229" s="51">
        <f>IF(B229="",0,IF(ISNA(VLOOKUP(A229,LongJump!F$5:K$302,6,FALSE)),0,VLOOKUP(A229,LongJump!F$5:K$302,6,FALSE)))</f>
        <v>0</v>
      </c>
      <c r="O229" s="51" t="str">
        <f>IF(B229="","",IF(ISNA(VLOOKUP(A229,Vortex!F$5:J$302,2,FALSE)),"",VLOOKUP(A229,Vortex!F$5:J$302,2,FALSE)))</f>
        <v/>
      </c>
      <c r="P229" s="51">
        <f>IF(B229="",0,IF(ISNA(VLOOKUP(A229,Vortex!F$5:J$302,5,FALSE)),0,VLOOKUP(A229,Vortex!F$5:J$302,5,FALSE)))</f>
        <v>0</v>
      </c>
      <c r="Q229" s="51">
        <f t="shared" si="24"/>
        <v>0</v>
      </c>
      <c r="R229" s="51" t="str">
        <f t="shared" si="20"/>
        <v/>
      </c>
      <c r="S229" s="51" t="str">
        <f t="shared" si="21"/>
        <v/>
      </c>
      <c r="T229" s="51" t="str">
        <f t="shared" si="22"/>
        <v/>
      </c>
      <c r="U229" s="51" t="str">
        <f t="shared" si="23"/>
        <v/>
      </c>
      <c r="V229" s="39"/>
    </row>
    <row r="230" spans="1:22" ht="20" customHeight="1">
      <c r="A230" s="51" t="str">
        <f>IF(Declarations!B182=0,"",Declarations!B182)</f>
        <v/>
      </c>
      <c r="B230" s="161" t="str">
        <f>IF(ISNA(VLOOKUP(A230,Declarations!B$6:C$293,2,FALSE)),"",IF(VLOOKUP(A230,Declarations!B$6:C$293,2,FALSE)="","",VLOOKUP(A230,Declarations!B$6:C$293,2,FALSE)))</f>
        <v/>
      </c>
      <c r="C230" s="161" t="str">
        <f>IF(ISNA(VLOOKUP(A230,Declarations!B$6:F$293,5,FALSE)),"",IF(VLOOKUP(A230,Declarations!B$6:F$293,5,FALSE)="","",VLOOKUP(A230,Declarations!B$6:F$293,5,FALSE)))</f>
        <v/>
      </c>
      <c r="D230" s="161" t="str">
        <f>IF(ISNA(VLOOKUP(A230,Declarations!B$6:F$293,4,FALSE)),"",IF(VLOOKUP(A230,Declarations!B$6:F$293,4,FALSE)="","",VLOOKUP(A230,Declarations!B$6:F$293,4,FALSE)))</f>
        <v/>
      </c>
      <c r="E230" s="161" t="str">
        <f>IF(ISNA(VLOOKUP(A230,Declarations!B$6:D$293,3,FALSE)),"",IF(VLOOKUP(A230,Declarations!B$6:D$293,3,FALSE)="","",VLOOKUP(A230,Declarations!B$6:D$293,3,FALSE)))</f>
        <v/>
      </c>
      <c r="F230" s="51" t="str">
        <f>IF(B230="","",IF(ISNA(VLOOKUP(A230,'75m'!F$5:G$302,2,FALSE)),"",VLOOKUP(A230,'75m'!F$5:G$302,2,FALSE)))</f>
        <v/>
      </c>
      <c r="G230" s="51">
        <f>IF(B230="",0,IF(ISNA(VLOOKUP(A230,'75m'!F$5:J$302,5,FALSE)),0,VLOOKUP(A230,'75m'!F$5:J$302,5,FALSE)))</f>
        <v>0</v>
      </c>
      <c r="H230" s="51" t="str">
        <f>IF(B230="","",IF(ISNA(VLOOKUP(A230,'75m'!F$5:K$302,6,FALSE)),"",VLOOKUP(A230,'75m'!F$5:K$302,6,FALSE)))</f>
        <v/>
      </c>
      <c r="I230" s="53">
        <f>IF(B230="",0,IF(ISNA(VLOOKUP(A230,'600m'!F$5:J$302,2,FALSE)),0,VLOOKUP(A230,'600m'!F$5:J$302,2,FALSE)))</f>
        <v>0</v>
      </c>
      <c r="J230" s="51">
        <f>IF(B230="",0,IF(ISNA(VLOOKUP(A230,'600m'!F$5:J$302,5,FALSE)),0,VLOOKUP(A230,'600m'!F$5:J$302,5,FALSE)))</f>
        <v>0</v>
      </c>
      <c r="K230" s="51" t="str">
        <f>IF(B230="","",IF(ISNA(VLOOKUP(A230,'600m'!F$5:K$302,6,FALSE)),"",VLOOKUP(A230,'600m'!F$5:K$302,6,FALSE)))</f>
        <v/>
      </c>
      <c r="L230" s="51" t="str">
        <f>IF(B230="","",IF(ISNA(VLOOKUP(A230,LongJump!F$5:G$302,2,FALSE)),"",VLOOKUP(A230,LongJump!F$5:G$302,2,FALSE)))</f>
        <v/>
      </c>
      <c r="M230" s="51">
        <f>IF(B230="",0,IF(ISNA(VLOOKUP(A230,LongJump!F$5:J$302,5,FALSE)),0,VLOOKUP(A230,LongJump!F$5:J$302,5,FALSE)))</f>
        <v>0</v>
      </c>
      <c r="N230" s="51">
        <f>IF(B230="",0,IF(ISNA(VLOOKUP(A230,LongJump!F$5:K$302,6,FALSE)),0,VLOOKUP(A230,LongJump!F$5:K$302,6,FALSE)))</f>
        <v>0</v>
      </c>
      <c r="O230" s="51" t="str">
        <f>IF(B230="","",IF(ISNA(VLOOKUP(A230,Vortex!F$5:J$302,2,FALSE)),"",VLOOKUP(A230,Vortex!F$5:J$302,2,FALSE)))</f>
        <v/>
      </c>
      <c r="P230" s="51">
        <f>IF(B230="",0,IF(ISNA(VLOOKUP(A230,Vortex!F$5:J$302,5,FALSE)),0,VLOOKUP(A230,Vortex!F$5:J$302,5,FALSE)))</f>
        <v>0</v>
      </c>
      <c r="Q230" s="51">
        <f t="shared" si="24"/>
        <v>0</v>
      </c>
      <c r="R230" s="51" t="str">
        <f t="shared" si="20"/>
        <v/>
      </c>
      <c r="S230" s="51" t="str">
        <f t="shared" si="21"/>
        <v/>
      </c>
      <c r="T230" s="51" t="str">
        <f t="shared" si="22"/>
        <v/>
      </c>
      <c r="U230" s="51" t="str">
        <f t="shared" si="23"/>
        <v/>
      </c>
      <c r="V230" s="39"/>
    </row>
    <row r="231" spans="1:22" ht="20" customHeight="1">
      <c r="A231" s="51" t="str">
        <f>IF(Declarations!B183=0,"",Declarations!B183)</f>
        <v/>
      </c>
      <c r="B231" s="161" t="str">
        <f>IF(ISNA(VLOOKUP(A231,Declarations!B$6:C$293,2,FALSE)),"",IF(VLOOKUP(A231,Declarations!B$6:C$293,2,FALSE)="","",VLOOKUP(A231,Declarations!B$6:C$293,2,FALSE)))</f>
        <v/>
      </c>
      <c r="C231" s="161" t="str">
        <f>IF(ISNA(VLOOKUP(A231,Declarations!B$6:F$293,5,FALSE)),"",IF(VLOOKUP(A231,Declarations!B$6:F$293,5,FALSE)="","",VLOOKUP(A231,Declarations!B$6:F$293,5,FALSE)))</f>
        <v/>
      </c>
      <c r="D231" s="161" t="str">
        <f>IF(ISNA(VLOOKUP(A231,Declarations!B$6:F$293,4,FALSE)),"",IF(VLOOKUP(A231,Declarations!B$6:F$293,4,FALSE)="","",VLOOKUP(A231,Declarations!B$6:F$293,4,FALSE)))</f>
        <v/>
      </c>
      <c r="E231" s="161" t="str">
        <f>IF(ISNA(VLOOKUP(A231,Declarations!B$6:D$293,3,FALSE)),"",IF(VLOOKUP(A231,Declarations!B$6:D$293,3,FALSE)="","",VLOOKUP(A231,Declarations!B$6:D$293,3,FALSE)))</f>
        <v/>
      </c>
      <c r="F231" s="51" t="str">
        <f>IF(B231="","",IF(ISNA(VLOOKUP(A231,'75m'!F$5:G$302,2,FALSE)),"",VLOOKUP(A231,'75m'!F$5:G$302,2,FALSE)))</f>
        <v/>
      </c>
      <c r="G231" s="51">
        <f>IF(B231="",0,IF(ISNA(VLOOKUP(A231,'75m'!F$5:J$302,5,FALSE)),0,VLOOKUP(A231,'75m'!F$5:J$302,5,FALSE)))</f>
        <v>0</v>
      </c>
      <c r="H231" s="51" t="str">
        <f>IF(B231="","",IF(ISNA(VLOOKUP(A231,'75m'!F$5:K$302,6,FALSE)),"",VLOOKUP(A231,'75m'!F$5:K$302,6,FALSE)))</f>
        <v/>
      </c>
      <c r="I231" s="53">
        <f>IF(B231="",0,IF(ISNA(VLOOKUP(A231,'600m'!F$5:J$302,2,FALSE)),0,VLOOKUP(A231,'600m'!F$5:J$302,2,FALSE)))</f>
        <v>0</v>
      </c>
      <c r="J231" s="51">
        <f>IF(B231="",0,IF(ISNA(VLOOKUP(A231,'600m'!F$5:J$302,5,FALSE)),0,VLOOKUP(A231,'600m'!F$5:J$302,5,FALSE)))</f>
        <v>0</v>
      </c>
      <c r="K231" s="51" t="str">
        <f>IF(B231="","",IF(ISNA(VLOOKUP(A231,'600m'!F$5:K$302,6,FALSE)),"",VLOOKUP(A231,'600m'!F$5:K$302,6,FALSE)))</f>
        <v/>
      </c>
      <c r="L231" s="51" t="str">
        <f>IF(B231="","",IF(ISNA(VLOOKUP(A231,LongJump!F$5:G$302,2,FALSE)),"",VLOOKUP(A231,LongJump!F$5:G$302,2,FALSE)))</f>
        <v/>
      </c>
      <c r="M231" s="51">
        <f>IF(B231="",0,IF(ISNA(VLOOKUP(A231,LongJump!F$5:J$302,5,FALSE)),0,VLOOKUP(A231,LongJump!F$5:J$302,5,FALSE)))</f>
        <v>0</v>
      </c>
      <c r="N231" s="51">
        <f>IF(B231="",0,IF(ISNA(VLOOKUP(A231,LongJump!F$5:K$302,6,FALSE)),0,VLOOKUP(A231,LongJump!F$5:K$302,6,FALSE)))</f>
        <v>0</v>
      </c>
      <c r="O231" s="51" t="str">
        <f>IF(B231="","",IF(ISNA(VLOOKUP(A231,Vortex!F$5:J$302,2,FALSE)),"",VLOOKUP(A231,Vortex!F$5:J$302,2,FALSE)))</f>
        <v/>
      </c>
      <c r="P231" s="51">
        <f>IF(B231="",0,IF(ISNA(VLOOKUP(A231,Vortex!F$5:J$302,5,FALSE)),0,VLOOKUP(A231,Vortex!F$5:J$302,5,FALSE)))</f>
        <v>0</v>
      </c>
      <c r="Q231" s="51">
        <f t="shared" si="24"/>
        <v>0</v>
      </c>
      <c r="R231" s="51" t="str">
        <f t="shared" si="20"/>
        <v/>
      </c>
      <c r="S231" s="51" t="str">
        <f t="shared" si="21"/>
        <v/>
      </c>
      <c r="T231" s="51" t="str">
        <f t="shared" si="22"/>
        <v/>
      </c>
      <c r="U231" s="51" t="str">
        <f t="shared" si="23"/>
        <v/>
      </c>
      <c r="V231" s="39"/>
    </row>
    <row r="232" spans="1:22" ht="20" customHeight="1">
      <c r="A232" s="51" t="str">
        <f>IF(Declarations!B184=0,"",Declarations!B184)</f>
        <v/>
      </c>
      <c r="B232" s="161" t="str">
        <f>IF(ISNA(VLOOKUP(A232,Declarations!B$6:C$293,2,FALSE)),"",IF(VLOOKUP(A232,Declarations!B$6:C$293,2,FALSE)="","",VLOOKUP(A232,Declarations!B$6:C$293,2,FALSE)))</f>
        <v/>
      </c>
      <c r="C232" s="161" t="str">
        <f>IF(ISNA(VLOOKUP(A232,Declarations!B$6:F$293,5,FALSE)),"",IF(VLOOKUP(A232,Declarations!B$6:F$293,5,FALSE)="","",VLOOKUP(A232,Declarations!B$6:F$293,5,FALSE)))</f>
        <v/>
      </c>
      <c r="D232" s="161" t="str">
        <f>IF(ISNA(VLOOKUP(A232,Declarations!B$6:F$293,4,FALSE)),"",IF(VLOOKUP(A232,Declarations!B$6:F$293,4,FALSE)="","",VLOOKUP(A232,Declarations!B$6:F$293,4,FALSE)))</f>
        <v/>
      </c>
      <c r="E232" s="161" t="str">
        <f>IF(ISNA(VLOOKUP(A232,Declarations!B$6:D$293,3,FALSE)),"",IF(VLOOKUP(A232,Declarations!B$6:D$293,3,FALSE)="","",VLOOKUP(A232,Declarations!B$6:D$293,3,FALSE)))</f>
        <v/>
      </c>
      <c r="F232" s="51" t="str">
        <f>IF(B232="","",IF(ISNA(VLOOKUP(A232,'75m'!F$5:G$302,2,FALSE)),"",VLOOKUP(A232,'75m'!F$5:G$302,2,FALSE)))</f>
        <v/>
      </c>
      <c r="G232" s="51">
        <f>IF(B232="",0,IF(ISNA(VLOOKUP(A232,'75m'!F$5:J$302,5,FALSE)),0,VLOOKUP(A232,'75m'!F$5:J$302,5,FALSE)))</f>
        <v>0</v>
      </c>
      <c r="H232" s="51" t="str">
        <f>IF(B232="","",IF(ISNA(VLOOKUP(A232,'75m'!F$5:K$302,6,FALSE)),"",VLOOKUP(A232,'75m'!F$5:K$302,6,FALSE)))</f>
        <v/>
      </c>
      <c r="I232" s="53">
        <f>IF(B232="",0,IF(ISNA(VLOOKUP(A232,'600m'!F$5:J$302,2,FALSE)),0,VLOOKUP(A232,'600m'!F$5:J$302,2,FALSE)))</f>
        <v>0</v>
      </c>
      <c r="J232" s="51">
        <f>IF(B232="",0,IF(ISNA(VLOOKUP(A232,'600m'!F$5:J$302,5,FALSE)),0,VLOOKUP(A232,'600m'!F$5:J$302,5,FALSE)))</f>
        <v>0</v>
      </c>
      <c r="K232" s="51" t="str">
        <f>IF(B232="","",IF(ISNA(VLOOKUP(A232,'600m'!F$5:K$302,6,FALSE)),"",VLOOKUP(A232,'600m'!F$5:K$302,6,FALSE)))</f>
        <v/>
      </c>
      <c r="L232" s="51" t="str">
        <f>IF(B232="","",IF(ISNA(VLOOKUP(A232,LongJump!F$5:G$302,2,FALSE)),"",VLOOKUP(A232,LongJump!F$5:G$302,2,FALSE)))</f>
        <v/>
      </c>
      <c r="M232" s="51">
        <f>IF(B232="",0,IF(ISNA(VLOOKUP(A232,LongJump!F$5:J$302,5,FALSE)),0,VLOOKUP(A232,LongJump!F$5:J$302,5,FALSE)))</f>
        <v>0</v>
      </c>
      <c r="N232" s="51">
        <f>IF(B232="",0,IF(ISNA(VLOOKUP(A232,LongJump!F$5:K$302,6,FALSE)),0,VLOOKUP(A232,LongJump!F$5:K$302,6,FALSE)))</f>
        <v>0</v>
      </c>
      <c r="O232" s="51" t="str">
        <f>IF(B232="","",IF(ISNA(VLOOKUP(A232,Vortex!F$5:J$302,2,FALSE)),"",VLOOKUP(A232,Vortex!F$5:J$302,2,FALSE)))</f>
        <v/>
      </c>
      <c r="P232" s="51">
        <f>IF(B232="",0,IF(ISNA(VLOOKUP(A232,Vortex!F$5:J$302,5,FALSE)),0,VLOOKUP(A232,Vortex!F$5:J$302,5,FALSE)))</f>
        <v>0</v>
      </c>
      <c r="Q232" s="51">
        <f t="shared" si="24"/>
        <v>0</v>
      </c>
      <c r="R232" s="51" t="str">
        <f t="shared" si="20"/>
        <v/>
      </c>
      <c r="S232" s="51" t="str">
        <f t="shared" si="21"/>
        <v/>
      </c>
      <c r="T232" s="51" t="str">
        <f t="shared" si="22"/>
        <v/>
      </c>
      <c r="U232" s="51" t="str">
        <f t="shared" si="23"/>
        <v/>
      </c>
      <c r="V232" s="39"/>
    </row>
    <row r="233" spans="1:22" ht="20" customHeight="1">
      <c r="A233" s="51" t="str">
        <f>IF(Declarations!B185=0,"",Declarations!B185)</f>
        <v/>
      </c>
      <c r="B233" s="161" t="str">
        <f>IF(ISNA(VLOOKUP(A233,Declarations!B$6:C$293,2,FALSE)),"",IF(VLOOKUP(A233,Declarations!B$6:C$293,2,FALSE)="","",VLOOKUP(A233,Declarations!B$6:C$293,2,FALSE)))</f>
        <v/>
      </c>
      <c r="C233" s="161" t="str">
        <f>IF(ISNA(VLOOKUP(A233,Declarations!B$6:F$293,5,FALSE)),"",IF(VLOOKUP(A233,Declarations!B$6:F$293,5,FALSE)="","",VLOOKUP(A233,Declarations!B$6:F$293,5,FALSE)))</f>
        <v/>
      </c>
      <c r="D233" s="161" t="str">
        <f>IF(ISNA(VLOOKUP(A233,Declarations!B$6:F$293,4,FALSE)),"",IF(VLOOKUP(A233,Declarations!B$6:F$293,4,FALSE)="","",VLOOKUP(A233,Declarations!B$6:F$293,4,FALSE)))</f>
        <v/>
      </c>
      <c r="E233" s="161" t="str">
        <f>IF(ISNA(VLOOKUP(A233,Declarations!B$6:D$293,3,FALSE)),"",IF(VLOOKUP(A233,Declarations!B$6:D$293,3,FALSE)="","",VLOOKUP(A233,Declarations!B$6:D$293,3,FALSE)))</f>
        <v/>
      </c>
      <c r="F233" s="51" t="str">
        <f>IF(B233="","",IF(ISNA(VLOOKUP(A233,'75m'!F$5:G$302,2,FALSE)),"",VLOOKUP(A233,'75m'!F$5:G$302,2,FALSE)))</f>
        <v/>
      </c>
      <c r="G233" s="51">
        <f>IF(B233="",0,IF(ISNA(VLOOKUP(A233,'75m'!F$5:J$302,5,FALSE)),0,VLOOKUP(A233,'75m'!F$5:J$302,5,FALSE)))</f>
        <v>0</v>
      </c>
      <c r="H233" s="51" t="str">
        <f>IF(B233="","",IF(ISNA(VLOOKUP(A233,'75m'!F$5:K$302,6,FALSE)),"",VLOOKUP(A233,'75m'!F$5:K$302,6,FALSE)))</f>
        <v/>
      </c>
      <c r="I233" s="53">
        <f>IF(B233="",0,IF(ISNA(VLOOKUP(A233,'600m'!F$5:J$302,2,FALSE)),0,VLOOKUP(A233,'600m'!F$5:J$302,2,FALSE)))</f>
        <v>0</v>
      </c>
      <c r="J233" s="51">
        <f>IF(B233="",0,IF(ISNA(VLOOKUP(A233,'600m'!F$5:J$302,5,FALSE)),0,VLOOKUP(A233,'600m'!F$5:J$302,5,FALSE)))</f>
        <v>0</v>
      </c>
      <c r="K233" s="51" t="str">
        <f>IF(B233="","",IF(ISNA(VLOOKUP(A233,'600m'!F$5:K$302,6,FALSE)),"",VLOOKUP(A233,'600m'!F$5:K$302,6,FALSE)))</f>
        <v/>
      </c>
      <c r="L233" s="51" t="str">
        <f>IF(B233="","",IF(ISNA(VLOOKUP(A233,LongJump!F$5:G$302,2,FALSE)),"",VLOOKUP(A233,LongJump!F$5:G$302,2,FALSE)))</f>
        <v/>
      </c>
      <c r="M233" s="51">
        <f>IF(B233="",0,IF(ISNA(VLOOKUP(A233,LongJump!F$5:J$302,5,FALSE)),0,VLOOKUP(A233,LongJump!F$5:J$302,5,FALSE)))</f>
        <v>0</v>
      </c>
      <c r="N233" s="51">
        <f>IF(B233="",0,IF(ISNA(VLOOKUP(A233,LongJump!F$5:K$302,6,FALSE)),0,VLOOKUP(A233,LongJump!F$5:K$302,6,FALSE)))</f>
        <v>0</v>
      </c>
      <c r="O233" s="51" t="str">
        <f>IF(B233="","",IF(ISNA(VLOOKUP(A233,Vortex!F$5:J$302,2,FALSE)),"",VLOOKUP(A233,Vortex!F$5:J$302,2,FALSE)))</f>
        <v/>
      </c>
      <c r="P233" s="51">
        <f>IF(B233="",0,IF(ISNA(VLOOKUP(A233,Vortex!F$5:J$302,5,FALSE)),0,VLOOKUP(A233,Vortex!F$5:J$302,5,FALSE)))</f>
        <v>0</v>
      </c>
      <c r="Q233" s="51">
        <f t="shared" si="24"/>
        <v>0</v>
      </c>
      <c r="R233" s="51" t="str">
        <f t="shared" si="20"/>
        <v/>
      </c>
      <c r="S233" s="51" t="str">
        <f t="shared" si="21"/>
        <v/>
      </c>
      <c r="T233" s="51" t="str">
        <f t="shared" si="22"/>
        <v/>
      </c>
      <c r="U233" s="51" t="str">
        <f t="shared" si="23"/>
        <v/>
      </c>
      <c r="V233" s="39"/>
    </row>
    <row r="234" spans="1:22" ht="20" customHeight="1">
      <c r="A234" s="51" t="str">
        <f>IF(Declarations!B186=0,"",Declarations!B186)</f>
        <v/>
      </c>
      <c r="B234" s="161" t="str">
        <f>IF(ISNA(VLOOKUP(A234,Declarations!B$6:C$293,2,FALSE)),"",IF(VLOOKUP(A234,Declarations!B$6:C$293,2,FALSE)="","",VLOOKUP(A234,Declarations!B$6:C$293,2,FALSE)))</f>
        <v/>
      </c>
      <c r="C234" s="161" t="str">
        <f>IF(ISNA(VLOOKUP(A234,Declarations!B$6:F$293,5,FALSE)),"",IF(VLOOKUP(A234,Declarations!B$6:F$293,5,FALSE)="","",VLOOKUP(A234,Declarations!B$6:F$293,5,FALSE)))</f>
        <v/>
      </c>
      <c r="D234" s="161" t="str">
        <f>IF(ISNA(VLOOKUP(A234,Declarations!B$6:F$293,4,FALSE)),"",IF(VLOOKUP(A234,Declarations!B$6:F$293,4,FALSE)="","",VLOOKUP(A234,Declarations!B$6:F$293,4,FALSE)))</f>
        <v/>
      </c>
      <c r="E234" s="161" t="str">
        <f>IF(ISNA(VLOOKUP(A234,Declarations!B$6:D$293,3,FALSE)),"",IF(VLOOKUP(A234,Declarations!B$6:D$293,3,FALSE)="","",VLOOKUP(A234,Declarations!B$6:D$293,3,FALSE)))</f>
        <v/>
      </c>
      <c r="F234" s="51" t="str">
        <f>IF(B234="","",IF(ISNA(VLOOKUP(A234,'75m'!F$5:G$302,2,FALSE)),"",VLOOKUP(A234,'75m'!F$5:G$302,2,FALSE)))</f>
        <v/>
      </c>
      <c r="G234" s="51">
        <f>IF(B234="",0,IF(ISNA(VLOOKUP(A234,'75m'!F$5:J$302,5,FALSE)),0,VLOOKUP(A234,'75m'!F$5:J$302,5,FALSE)))</f>
        <v>0</v>
      </c>
      <c r="H234" s="51" t="str">
        <f>IF(B234="","",IF(ISNA(VLOOKUP(A234,'75m'!F$5:K$302,6,FALSE)),"",VLOOKUP(A234,'75m'!F$5:K$302,6,FALSE)))</f>
        <v/>
      </c>
      <c r="I234" s="53">
        <f>IF(B234="",0,IF(ISNA(VLOOKUP(A234,'600m'!F$5:J$302,2,FALSE)),0,VLOOKUP(A234,'600m'!F$5:J$302,2,FALSE)))</f>
        <v>0</v>
      </c>
      <c r="J234" s="51">
        <f>IF(B234="",0,IF(ISNA(VLOOKUP(A234,'600m'!F$5:J$302,5,FALSE)),0,VLOOKUP(A234,'600m'!F$5:J$302,5,FALSE)))</f>
        <v>0</v>
      </c>
      <c r="K234" s="51" t="str">
        <f>IF(B234="","",IF(ISNA(VLOOKUP(A234,'600m'!F$5:K$302,6,FALSE)),"",VLOOKUP(A234,'600m'!F$5:K$302,6,FALSE)))</f>
        <v/>
      </c>
      <c r="L234" s="51" t="str">
        <f>IF(B234="","",IF(ISNA(VLOOKUP(A234,LongJump!F$5:G$302,2,FALSE)),"",VLOOKUP(A234,LongJump!F$5:G$302,2,FALSE)))</f>
        <v/>
      </c>
      <c r="M234" s="51">
        <f>IF(B234="",0,IF(ISNA(VLOOKUP(A234,LongJump!F$5:J$302,5,FALSE)),0,VLOOKUP(A234,LongJump!F$5:J$302,5,FALSE)))</f>
        <v>0</v>
      </c>
      <c r="N234" s="51">
        <f>IF(B234="",0,IF(ISNA(VLOOKUP(A234,LongJump!F$5:K$302,6,FALSE)),0,VLOOKUP(A234,LongJump!F$5:K$302,6,FALSE)))</f>
        <v>0</v>
      </c>
      <c r="O234" s="51" t="str">
        <f>IF(B234="","",IF(ISNA(VLOOKUP(A234,Vortex!F$5:J$302,2,FALSE)),"",VLOOKUP(A234,Vortex!F$5:J$302,2,FALSE)))</f>
        <v/>
      </c>
      <c r="P234" s="51">
        <f>IF(B234="",0,IF(ISNA(VLOOKUP(A234,Vortex!F$5:J$302,5,FALSE)),0,VLOOKUP(A234,Vortex!F$5:J$302,5,FALSE)))</f>
        <v>0</v>
      </c>
      <c r="Q234" s="51">
        <f t="shared" si="24"/>
        <v>0</v>
      </c>
      <c r="R234" s="51" t="str">
        <f t="shared" si="20"/>
        <v/>
      </c>
      <c r="S234" s="51" t="str">
        <f t="shared" si="21"/>
        <v/>
      </c>
      <c r="T234" s="51" t="str">
        <f t="shared" si="22"/>
        <v/>
      </c>
      <c r="U234" s="51" t="str">
        <f t="shared" si="23"/>
        <v/>
      </c>
      <c r="V234" s="39"/>
    </row>
    <row r="235" spans="1:22" ht="20" customHeight="1">
      <c r="A235" s="51" t="str">
        <f>IF(Declarations!B187=0,"",Declarations!B187)</f>
        <v/>
      </c>
      <c r="B235" s="161" t="str">
        <f>IF(ISNA(VLOOKUP(A235,Declarations!B$6:C$293,2,FALSE)),"",IF(VLOOKUP(A235,Declarations!B$6:C$293,2,FALSE)="","",VLOOKUP(A235,Declarations!B$6:C$293,2,FALSE)))</f>
        <v/>
      </c>
      <c r="C235" s="161" t="str">
        <f>IF(ISNA(VLOOKUP(A235,Declarations!B$6:F$293,5,FALSE)),"",IF(VLOOKUP(A235,Declarations!B$6:F$293,5,FALSE)="","",VLOOKUP(A235,Declarations!B$6:F$293,5,FALSE)))</f>
        <v/>
      </c>
      <c r="D235" s="161" t="str">
        <f>IF(ISNA(VLOOKUP(A235,Declarations!B$6:F$293,4,FALSE)),"",IF(VLOOKUP(A235,Declarations!B$6:F$293,4,FALSE)="","",VLOOKUP(A235,Declarations!B$6:F$293,4,FALSE)))</f>
        <v/>
      </c>
      <c r="E235" s="161" t="str">
        <f>IF(ISNA(VLOOKUP(A235,Declarations!B$6:D$293,3,FALSE)),"",IF(VLOOKUP(A235,Declarations!B$6:D$293,3,FALSE)="","",VLOOKUP(A235,Declarations!B$6:D$293,3,FALSE)))</f>
        <v/>
      </c>
      <c r="F235" s="51" t="str">
        <f>IF(B235="","",IF(ISNA(VLOOKUP(A235,'75m'!F$5:G$302,2,FALSE)),"",VLOOKUP(A235,'75m'!F$5:G$302,2,FALSE)))</f>
        <v/>
      </c>
      <c r="G235" s="51">
        <f>IF(B235="",0,IF(ISNA(VLOOKUP(A235,'75m'!F$5:J$302,5,FALSE)),0,VLOOKUP(A235,'75m'!F$5:J$302,5,FALSE)))</f>
        <v>0</v>
      </c>
      <c r="H235" s="51" t="str">
        <f>IF(B235="","",IF(ISNA(VLOOKUP(A235,'75m'!F$5:K$302,6,FALSE)),"",VLOOKUP(A235,'75m'!F$5:K$302,6,FALSE)))</f>
        <v/>
      </c>
      <c r="I235" s="53">
        <f>IF(B235="",0,IF(ISNA(VLOOKUP(A235,'600m'!F$5:J$302,2,FALSE)),0,VLOOKUP(A235,'600m'!F$5:J$302,2,FALSE)))</f>
        <v>0</v>
      </c>
      <c r="J235" s="51">
        <f>IF(B235="",0,IF(ISNA(VLOOKUP(A235,'600m'!F$5:J$302,5,FALSE)),0,VLOOKUP(A235,'600m'!F$5:J$302,5,FALSE)))</f>
        <v>0</v>
      </c>
      <c r="K235" s="51" t="str">
        <f>IF(B235="","",IF(ISNA(VLOOKUP(A235,'600m'!F$5:K$302,6,FALSE)),"",VLOOKUP(A235,'600m'!F$5:K$302,6,FALSE)))</f>
        <v/>
      </c>
      <c r="L235" s="51" t="str">
        <f>IF(B235="","",IF(ISNA(VLOOKUP(A235,LongJump!F$5:G$302,2,FALSE)),"",VLOOKUP(A235,LongJump!F$5:G$302,2,FALSE)))</f>
        <v/>
      </c>
      <c r="M235" s="51">
        <f>IF(B235="",0,IF(ISNA(VLOOKUP(A235,LongJump!F$5:J$302,5,FALSE)),0,VLOOKUP(A235,LongJump!F$5:J$302,5,FALSE)))</f>
        <v>0</v>
      </c>
      <c r="N235" s="51">
        <f>IF(B235="",0,IF(ISNA(VLOOKUP(A235,LongJump!F$5:K$302,6,FALSE)),0,VLOOKUP(A235,LongJump!F$5:K$302,6,FALSE)))</f>
        <v>0</v>
      </c>
      <c r="O235" s="51" t="str">
        <f>IF(B235="","",IF(ISNA(VLOOKUP(A235,Vortex!F$5:J$302,2,FALSE)),"",VLOOKUP(A235,Vortex!F$5:J$302,2,FALSE)))</f>
        <v/>
      </c>
      <c r="P235" s="51">
        <f>IF(B235="",0,IF(ISNA(VLOOKUP(A235,Vortex!F$5:J$302,5,FALSE)),0,VLOOKUP(A235,Vortex!F$5:J$302,5,FALSE)))</f>
        <v>0</v>
      </c>
      <c r="Q235" s="51">
        <f t="shared" si="24"/>
        <v>0</v>
      </c>
      <c r="R235" s="51" t="str">
        <f t="shared" si="20"/>
        <v/>
      </c>
      <c r="S235" s="51" t="str">
        <f t="shared" si="21"/>
        <v/>
      </c>
      <c r="T235" s="51" t="str">
        <f t="shared" si="22"/>
        <v/>
      </c>
      <c r="U235" s="51" t="str">
        <f t="shared" si="23"/>
        <v/>
      </c>
      <c r="V235" s="39"/>
    </row>
    <row r="236" spans="1:22" ht="20" customHeight="1">
      <c r="A236" s="51" t="str">
        <f>IF(Declarations!B188=0,"",Declarations!B188)</f>
        <v/>
      </c>
      <c r="B236" s="161" t="str">
        <f>IF(ISNA(VLOOKUP(A236,Declarations!B$6:C$293,2,FALSE)),"",IF(VLOOKUP(A236,Declarations!B$6:C$293,2,FALSE)="","",VLOOKUP(A236,Declarations!B$6:C$293,2,FALSE)))</f>
        <v/>
      </c>
      <c r="C236" s="161" t="str">
        <f>IF(ISNA(VLOOKUP(A236,Declarations!B$6:F$293,5,FALSE)),"",IF(VLOOKUP(A236,Declarations!B$6:F$293,5,FALSE)="","",VLOOKUP(A236,Declarations!B$6:F$293,5,FALSE)))</f>
        <v/>
      </c>
      <c r="D236" s="161" t="str">
        <f>IF(ISNA(VLOOKUP(A236,Declarations!B$6:F$293,4,FALSE)),"",IF(VLOOKUP(A236,Declarations!B$6:F$293,4,FALSE)="","",VLOOKUP(A236,Declarations!B$6:F$293,4,FALSE)))</f>
        <v/>
      </c>
      <c r="E236" s="161" t="str">
        <f>IF(ISNA(VLOOKUP(A236,Declarations!B$6:D$293,3,FALSE)),"",IF(VLOOKUP(A236,Declarations!B$6:D$293,3,FALSE)="","",VLOOKUP(A236,Declarations!B$6:D$293,3,FALSE)))</f>
        <v/>
      </c>
      <c r="F236" s="51" t="str">
        <f>IF(B236="","",IF(ISNA(VLOOKUP(A236,'75m'!F$5:G$302,2,FALSE)),"",VLOOKUP(A236,'75m'!F$5:G$302,2,FALSE)))</f>
        <v/>
      </c>
      <c r="G236" s="51">
        <f>IF(B236="",0,IF(ISNA(VLOOKUP(A236,'75m'!F$5:J$302,5,FALSE)),0,VLOOKUP(A236,'75m'!F$5:J$302,5,FALSE)))</f>
        <v>0</v>
      </c>
      <c r="H236" s="51" t="str">
        <f>IF(B236="","",IF(ISNA(VLOOKUP(A236,'75m'!F$5:K$302,6,FALSE)),"",VLOOKUP(A236,'75m'!F$5:K$302,6,FALSE)))</f>
        <v/>
      </c>
      <c r="I236" s="53">
        <f>IF(B236="",0,IF(ISNA(VLOOKUP(A236,'600m'!F$5:J$302,2,FALSE)),0,VLOOKUP(A236,'600m'!F$5:J$302,2,FALSE)))</f>
        <v>0</v>
      </c>
      <c r="J236" s="51">
        <f>IF(B236="",0,IF(ISNA(VLOOKUP(A236,'600m'!F$5:J$302,5,FALSE)),0,VLOOKUP(A236,'600m'!F$5:J$302,5,FALSE)))</f>
        <v>0</v>
      </c>
      <c r="K236" s="51" t="str">
        <f>IF(B236="","",IF(ISNA(VLOOKUP(A236,'600m'!F$5:K$302,6,FALSE)),"",VLOOKUP(A236,'600m'!F$5:K$302,6,FALSE)))</f>
        <v/>
      </c>
      <c r="L236" s="51" t="str">
        <f>IF(B236="","",IF(ISNA(VLOOKUP(A236,LongJump!F$5:G$302,2,FALSE)),"",VLOOKUP(A236,LongJump!F$5:G$302,2,FALSE)))</f>
        <v/>
      </c>
      <c r="M236" s="51">
        <f>IF(B236="",0,IF(ISNA(VLOOKUP(A236,LongJump!F$5:J$302,5,FALSE)),0,VLOOKUP(A236,LongJump!F$5:J$302,5,FALSE)))</f>
        <v>0</v>
      </c>
      <c r="N236" s="51">
        <f>IF(B236="",0,IF(ISNA(VLOOKUP(A236,LongJump!F$5:K$302,6,FALSE)),0,VLOOKUP(A236,LongJump!F$5:K$302,6,FALSE)))</f>
        <v>0</v>
      </c>
      <c r="O236" s="51" t="str">
        <f>IF(B236="","",IF(ISNA(VLOOKUP(A236,Vortex!F$5:J$302,2,FALSE)),"",VLOOKUP(A236,Vortex!F$5:J$302,2,FALSE)))</f>
        <v/>
      </c>
      <c r="P236" s="51">
        <f>IF(B236="",0,IF(ISNA(VLOOKUP(A236,Vortex!F$5:J$302,5,FALSE)),0,VLOOKUP(A236,Vortex!F$5:J$302,5,FALSE)))</f>
        <v>0</v>
      </c>
      <c r="Q236" s="51">
        <f t="shared" si="24"/>
        <v>0</v>
      </c>
      <c r="R236" s="51" t="str">
        <f t="shared" si="20"/>
        <v/>
      </c>
      <c r="S236" s="51" t="str">
        <f t="shared" si="21"/>
        <v/>
      </c>
      <c r="T236" s="51" t="str">
        <f t="shared" si="22"/>
        <v/>
      </c>
      <c r="U236" s="51" t="str">
        <f t="shared" si="23"/>
        <v/>
      </c>
      <c r="V236" s="39"/>
    </row>
    <row r="237" spans="1:22" ht="20" customHeight="1">
      <c r="A237" s="51" t="str">
        <f>IF(Declarations!B189=0,"",Declarations!B189)</f>
        <v/>
      </c>
      <c r="B237" s="161" t="str">
        <f>IF(ISNA(VLOOKUP(A237,Declarations!B$6:C$293,2,FALSE)),"",IF(VLOOKUP(A237,Declarations!B$6:C$293,2,FALSE)="","",VLOOKUP(A237,Declarations!B$6:C$293,2,FALSE)))</f>
        <v/>
      </c>
      <c r="C237" s="161" t="str">
        <f>IF(ISNA(VLOOKUP(A237,Declarations!B$6:F$293,5,FALSE)),"",IF(VLOOKUP(A237,Declarations!B$6:F$293,5,FALSE)="","",VLOOKUP(A237,Declarations!B$6:F$293,5,FALSE)))</f>
        <v/>
      </c>
      <c r="D237" s="161" t="str">
        <f>IF(ISNA(VLOOKUP(A237,Declarations!B$6:F$293,4,FALSE)),"",IF(VLOOKUP(A237,Declarations!B$6:F$293,4,FALSE)="","",VLOOKUP(A237,Declarations!B$6:F$293,4,FALSE)))</f>
        <v/>
      </c>
      <c r="E237" s="161" t="str">
        <f>IF(ISNA(VLOOKUP(A237,Declarations!B$6:D$293,3,FALSE)),"",IF(VLOOKUP(A237,Declarations!B$6:D$293,3,FALSE)="","",VLOOKUP(A237,Declarations!B$6:D$293,3,FALSE)))</f>
        <v/>
      </c>
      <c r="F237" s="51" t="str">
        <f>IF(B237="","",IF(ISNA(VLOOKUP(A237,'75m'!F$5:G$302,2,FALSE)),"",VLOOKUP(A237,'75m'!F$5:G$302,2,FALSE)))</f>
        <v/>
      </c>
      <c r="G237" s="51">
        <f>IF(B237="",0,IF(ISNA(VLOOKUP(A237,'75m'!F$5:J$302,5,FALSE)),0,VLOOKUP(A237,'75m'!F$5:J$302,5,FALSE)))</f>
        <v>0</v>
      </c>
      <c r="H237" s="51" t="str">
        <f>IF(B237="","",IF(ISNA(VLOOKUP(A237,'75m'!F$5:K$302,6,FALSE)),"",VLOOKUP(A237,'75m'!F$5:K$302,6,FALSE)))</f>
        <v/>
      </c>
      <c r="I237" s="53">
        <f>IF(B237="",0,IF(ISNA(VLOOKUP(A237,'600m'!F$5:J$302,2,FALSE)),0,VLOOKUP(A237,'600m'!F$5:J$302,2,FALSE)))</f>
        <v>0</v>
      </c>
      <c r="J237" s="51">
        <f>IF(B237="",0,IF(ISNA(VLOOKUP(A237,'600m'!F$5:J$302,5,FALSE)),0,VLOOKUP(A237,'600m'!F$5:J$302,5,FALSE)))</f>
        <v>0</v>
      </c>
      <c r="K237" s="51" t="str">
        <f>IF(B237="","",IF(ISNA(VLOOKUP(A237,'600m'!F$5:K$302,6,FALSE)),"",VLOOKUP(A237,'600m'!F$5:K$302,6,FALSE)))</f>
        <v/>
      </c>
      <c r="L237" s="51" t="str">
        <f>IF(B237="","",IF(ISNA(VLOOKUP(A237,LongJump!F$5:G$302,2,FALSE)),"",VLOOKUP(A237,LongJump!F$5:G$302,2,FALSE)))</f>
        <v/>
      </c>
      <c r="M237" s="51">
        <f>IF(B237="",0,IF(ISNA(VLOOKUP(A237,LongJump!F$5:J$302,5,FALSE)),0,VLOOKUP(A237,LongJump!F$5:J$302,5,FALSE)))</f>
        <v>0</v>
      </c>
      <c r="N237" s="51">
        <f>IF(B237="",0,IF(ISNA(VLOOKUP(A237,LongJump!F$5:K$302,6,FALSE)),0,VLOOKUP(A237,LongJump!F$5:K$302,6,FALSE)))</f>
        <v>0</v>
      </c>
      <c r="O237" s="51" t="str">
        <f>IF(B237="","",IF(ISNA(VLOOKUP(A237,Vortex!F$5:J$302,2,FALSE)),"",VLOOKUP(A237,Vortex!F$5:J$302,2,FALSE)))</f>
        <v/>
      </c>
      <c r="P237" s="51">
        <f>IF(B237="",0,IF(ISNA(VLOOKUP(A237,Vortex!F$5:J$302,5,FALSE)),0,VLOOKUP(A237,Vortex!F$5:J$302,5,FALSE)))</f>
        <v>0</v>
      </c>
      <c r="Q237" s="51">
        <f t="shared" si="24"/>
        <v>0</v>
      </c>
      <c r="R237" s="51" t="str">
        <f t="shared" si="20"/>
        <v/>
      </c>
      <c r="S237" s="51" t="str">
        <f t="shared" si="21"/>
        <v/>
      </c>
      <c r="T237" s="51" t="str">
        <f t="shared" si="22"/>
        <v/>
      </c>
      <c r="U237" s="51" t="str">
        <f t="shared" si="23"/>
        <v/>
      </c>
      <c r="V237" s="39"/>
    </row>
    <row r="238" spans="1:22" ht="20" customHeight="1">
      <c r="A238" s="51" t="str">
        <f>IF(Declarations!B190=0,"",Declarations!B190)</f>
        <v/>
      </c>
      <c r="B238" s="161" t="str">
        <f>IF(ISNA(VLOOKUP(A238,Declarations!B$6:C$293,2,FALSE)),"",IF(VLOOKUP(A238,Declarations!B$6:C$293,2,FALSE)="","",VLOOKUP(A238,Declarations!B$6:C$293,2,FALSE)))</f>
        <v/>
      </c>
      <c r="C238" s="161" t="str">
        <f>IF(ISNA(VLOOKUP(A238,Declarations!B$6:F$293,5,FALSE)),"",IF(VLOOKUP(A238,Declarations!B$6:F$293,5,FALSE)="","",VLOOKUP(A238,Declarations!B$6:F$293,5,FALSE)))</f>
        <v/>
      </c>
      <c r="D238" s="161" t="str">
        <f>IF(ISNA(VLOOKUP(A238,Declarations!B$6:F$293,4,FALSE)),"",IF(VLOOKUP(A238,Declarations!B$6:F$293,4,FALSE)="","",VLOOKUP(A238,Declarations!B$6:F$293,4,FALSE)))</f>
        <v/>
      </c>
      <c r="E238" s="161" t="str">
        <f>IF(ISNA(VLOOKUP(A238,Declarations!B$6:D$293,3,FALSE)),"",IF(VLOOKUP(A238,Declarations!B$6:D$293,3,FALSE)="","",VLOOKUP(A238,Declarations!B$6:D$293,3,FALSE)))</f>
        <v/>
      </c>
      <c r="F238" s="51" t="str">
        <f>IF(B238="","",IF(ISNA(VLOOKUP(A238,'75m'!F$5:G$302,2,FALSE)),"",VLOOKUP(A238,'75m'!F$5:G$302,2,FALSE)))</f>
        <v/>
      </c>
      <c r="G238" s="51">
        <f>IF(B238="",0,IF(ISNA(VLOOKUP(A238,'75m'!F$5:J$302,5,FALSE)),0,VLOOKUP(A238,'75m'!F$5:J$302,5,FALSE)))</f>
        <v>0</v>
      </c>
      <c r="H238" s="51" t="str">
        <f>IF(B238="","",IF(ISNA(VLOOKUP(A238,'75m'!F$5:K$302,6,FALSE)),"",VLOOKUP(A238,'75m'!F$5:K$302,6,FALSE)))</f>
        <v/>
      </c>
      <c r="I238" s="53">
        <f>IF(B238="",0,IF(ISNA(VLOOKUP(A238,'600m'!F$5:J$302,2,FALSE)),0,VLOOKUP(A238,'600m'!F$5:J$302,2,FALSE)))</f>
        <v>0</v>
      </c>
      <c r="J238" s="51">
        <f>IF(B238="",0,IF(ISNA(VLOOKUP(A238,'600m'!F$5:J$302,5,FALSE)),0,VLOOKUP(A238,'600m'!F$5:J$302,5,FALSE)))</f>
        <v>0</v>
      </c>
      <c r="K238" s="51" t="str">
        <f>IF(B238="","",IF(ISNA(VLOOKUP(A238,'600m'!F$5:K$302,6,FALSE)),"",VLOOKUP(A238,'600m'!F$5:K$302,6,FALSE)))</f>
        <v/>
      </c>
      <c r="L238" s="51" t="str">
        <f>IF(B238="","",IF(ISNA(VLOOKUP(A238,LongJump!F$5:G$302,2,FALSE)),"",VLOOKUP(A238,LongJump!F$5:G$302,2,FALSE)))</f>
        <v/>
      </c>
      <c r="M238" s="51">
        <f>IF(B238="",0,IF(ISNA(VLOOKUP(A238,LongJump!F$5:J$302,5,FALSE)),0,VLOOKUP(A238,LongJump!F$5:J$302,5,FALSE)))</f>
        <v>0</v>
      </c>
      <c r="N238" s="51">
        <f>IF(B238="",0,IF(ISNA(VLOOKUP(A238,LongJump!F$5:K$302,6,FALSE)),0,VLOOKUP(A238,LongJump!F$5:K$302,6,FALSE)))</f>
        <v>0</v>
      </c>
      <c r="O238" s="51" t="str">
        <f>IF(B238="","",IF(ISNA(VLOOKUP(A238,Vortex!F$5:J$302,2,FALSE)),"",VLOOKUP(A238,Vortex!F$5:J$302,2,FALSE)))</f>
        <v/>
      </c>
      <c r="P238" s="51">
        <f>IF(B238="",0,IF(ISNA(VLOOKUP(A238,Vortex!F$5:J$302,5,FALSE)),0,VLOOKUP(A238,Vortex!F$5:J$302,5,FALSE)))</f>
        <v>0</v>
      </c>
      <c r="Q238" s="51">
        <f t="shared" si="24"/>
        <v>0</v>
      </c>
      <c r="R238" s="51" t="str">
        <f t="shared" si="20"/>
        <v/>
      </c>
      <c r="S238" s="51" t="str">
        <f t="shared" si="21"/>
        <v/>
      </c>
      <c r="T238" s="51" t="str">
        <f t="shared" si="22"/>
        <v/>
      </c>
      <c r="U238" s="51" t="str">
        <f t="shared" si="23"/>
        <v/>
      </c>
      <c r="V238" s="39"/>
    </row>
    <row r="239" spans="1:22" ht="20" customHeight="1">
      <c r="A239" s="51" t="str">
        <f>IF(Declarations!B191=0,"",Declarations!B191)</f>
        <v/>
      </c>
      <c r="B239" s="161" t="str">
        <f>IF(ISNA(VLOOKUP(A239,Declarations!B$6:C$293,2,FALSE)),"",IF(VLOOKUP(A239,Declarations!B$6:C$293,2,FALSE)="","",VLOOKUP(A239,Declarations!B$6:C$293,2,FALSE)))</f>
        <v/>
      </c>
      <c r="C239" s="161" t="str">
        <f>IF(ISNA(VLOOKUP(A239,Declarations!B$6:F$293,5,FALSE)),"",IF(VLOOKUP(A239,Declarations!B$6:F$293,5,FALSE)="","",VLOOKUP(A239,Declarations!B$6:F$293,5,FALSE)))</f>
        <v/>
      </c>
      <c r="D239" s="161" t="str">
        <f>IF(ISNA(VLOOKUP(A239,Declarations!B$6:F$293,4,FALSE)),"",IF(VLOOKUP(A239,Declarations!B$6:F$293,4,FALSE)="","",VLOOKUP(A239,Declarations!B$6:F$293,4,FALSE)))</f>
        <v/>
      </c>
      <c r="E239" s="161" t="str">
        <f>IF(ISNA(VLOOKUP(A239,Declarations!B$6:D$293,3,FALSE)),"",IF(VLOOKUP(A239,Declarations!B$6:D$293,3,FALSE)="","",VLOOKUP(A239,Declarations!B$6:D$293,3,FALSE)))</f>
        <v/>
      </c>
      <c r="F239" s="51" t="str">
        <f>IF(B239="","",IF(ISNA(VLOOKUP(A239,'75m'!F$5:G$302,2,FALSE)),"",VLOOKUP(A239,'75m'!F$5:G$302,2,FALSE)))</f>
        <v/>
      </c>
      <c r="G239" s="51">
        <f>IF(B239="",0,IF(ISNA(VLOOKUP(A239,'75m'!F$5:J$302,5,FALSE)),0,VLOOKUP(A239,'75m'!F$5:J$302,5,FALSE)))</f>
        <v>0</v>
      </c>
      <c r="H239" s="51" t="str">
        <f>IF(B239="","",IF(ISNA(VLOOKUP(A239,'75m'!F$5:K$302,6,FALSE)),"",VLOOKUP(A239,'75m'!F$5:K$302,6,FALSE)))</f>
        <v/>
      </c>
      <c r="I239" s="53">
        <f>IF(B239="",0,IF(ISNA(VLOOKUP(A239,'600m'!F$5:J$302,2,FALSE)),0,VLOOKUP(A239,'600m'!F$5:J$302,2,FALSE)))</f>
        <v>0</v>
      </c>
      <c r="J239" s="51">
        <f>IF(B239="",0,IF(ISNA(VLOOKUP(A239,'600m'!F$5:J$302,5,FALSE)),0,VLOOKUP(A239,'600m'!F$5:J$302,5,FALSE)))</f>
        <v>0</v>
      </c>
      <c r="K239" s="51" t="str">
        <f>IF(B239="","",IF(ISNA(VLOOKUP(A239,'600m'!F$5:K$302,6,FALSE)),"",VLOOKUP(A239,'600m'!F$5:K$302,6,FALSE)))</f>
        <v/>
      </c>
      <c r="L239" s="51" t="str">
        <f>IF(B239="","",IF(ISNA(VLOOKUP(A239,LongJump!F$5:G$302,2,FALSE)),"",VLOOKUP(A239,LongJump!F$5:G$302,2,FALSE)))</f>
        <v/>
      </c>
      <c r="M239" s="51">
        <f>IF(B239="",0,IF(ISNA(VLOOKUP(A239,LongJump!F$5:J$302,5,FALSE)),0,VLOOKUP(A239,LongJump!F$5:J$302,5,FALSE)))</f>
        <v>0</v>
      </c>
      <c r="N239" s="51">
        <f>IF(B239="",0,IF(ISNA(VLOOKUP(A239,LongJump!F$5:K$302,6,FALSE)),0,VLOOKUP(A239,LongJump!F$5:K$302,6,FALSE)))</f>
        <v>0</v>
      </c>
      <c r="O239" s="51" t="str">
        <f>IF(B239="","",IF(ISNA(VLOOKUP(A239,Vortex!F$5:J$302,2,FALSE)),"",VLOOKUP(A239,Vortex!F$5:J$302,2,FALSE)))</f>
        <v/>
      </c>
      <c r="P239" s="51">
        <f>IF(B239="",0,IF(ISNA(VLOOKUP(A239,Vortex!F$5:J$302,5,FALSE)),0,VLOOKUP(A239,Vortex!F$5:J$302,5,FALSE)))</f>
        <v>0</v>
      </c>
      <c r="Q239" s="51">
        <f t="shared" si="24"/>
        <v>0</v>
      </c>
      <c r="R239" s="51" t="str">
        <f t="shared" si="20"/>
        <v/>
      </c>
      <c r="S239" s="51" t="str">
        <f t="shared" si="21"/>
        <v/>
      </c>
      <c r="T239" s="51" t="str">
        <f t="shared" si="22"/>
        <v/>
      </c>
      <c r="U239" s="51" t="str">
        <f t="shared" si="23"/>
        <v/>
      </c>
      <c r="V239" s="39"/>
    </row>
    <row r="240" spans="1:22" ht="20" customHeight="1">
      <c r="A240" s="51" t="str">
        <f>IF(Declarations!B192=0,"",Declarations!B192)</f>
        <v/>
      </c>
      <c r="B240" s="161" t="str">
        <f>IF(ISNA(VLOOKUP(A240,Declarations!B$6:C$293,2,FALSE)),"",IF(VLOOKUP(A240,Declarations!B$6:C$293,2,FALSE)="","",VLOOKUP(A240,Declarations!B$6:C$293,2,FALSE)))</f>
        <v/>
      </c>
      <c r="C240" s="161" t="str">
        <f>IF(ISNA(VLOOKUP(A240,Declarations!B$6:F$293,5,FALSE)),"",IF(VLOOKUP(A240,Declarations!B$6:F$293,5,FALSE)="","",VLOOKUP(A240,Declarations!B$6:F$293,5,FALSE)))</f>
        <v/>
      </c>
      <c r="D240" s="161" t="str">
        <f>IF(ISNA(VLOOKUP(A240,Declarations!B$6:F$293,4,FALSE)),"",IF(VLOOKUP(A240,Declarations!B$6:F$293,4,FALSE)="","",VLOOKUP(A240,Declarations!B$6:F$293,4,FALSE)))</f>
        <v/>
      </c>
      <c r="E240" s="161" t="str">
        <f>IF(ISNA(VLOOKUP(A240,Declarations!B$6:D$293,3,FALSE)),"",IF(VLOOKUP(A240,Declarations!B$6:D$293,3,FALSE)="","",VLOOKUP(A240,Declarations!B$6:D$293,3,FALSE)))</f>
        <v/>
      </c>
      <c r="F240" s="51" t="str">
        <f>IF(B240="","",IF(ISNA(VLOOKUP(A240,'75m'!F$5:G$302,2,FALSE)),"",VLOOKUP(A240,'75m'!F$5:G$302,2,FALSE)))</f>
        <v/>
      </c>
      <c r="G240" s="51">
        <f>IF(B240="",0,IF(ISNA(VLOOKUP(A240,'75m'!F$5:J$302,5,FALSE)),0,VLOOKUP(A240,'75m'!F$5:J$302,5,FALSE)))</f>
        <v>0</v>
      </c>
      <c r="H240" s="51" t="str">
        <f>IF(B240="","",IF(ISNA(VLOOKUP(A240,'75m'!F$5:K$302,6,FALSE)),"",VLOOKUP(A240,'75m'!F$5:K$302,6,FALSE)))</f>
        <v/>
      </c>
      <c r="I240" s="53">
        <f>IF(B240="",0,IF(ISNA(VLOOKUP(A240,'600m'!F$5:J$302,2,FALSE)),0,VLOOKUP(A240,'600m'!F$5:J$302,2,FALSE)))</f>
        <v>0</v>
      </c>
      <c r="J240" s="51">
        <f>IF(B240="",0,IF(ISNA(VLOOKUP(A240,'600m'!F$5:J$302,5,FALSE)),0,VLOOKUP(A240,'600m'!F$5:J$302,5,FALSE)))</f>
        <v>0</v>
      </c>
      <c r="K240" s="51" t="str">
        <f>IF(B240="","",IF(ISNA(VLOOKUP(A240,'600m'!F$5:K$302,6,FALSE)),"",VLOOKUP(A240,'600m'!F$5:K$302,6,FALSE)))</f>
        <v/>
      </c>
      <c r="L240" s="51" t="str">
        <f>IF(B240="","",IF(ISNA(VLOOKUP(A240,LongJump!F$5:G$302,2,FALSE)),"",VLOOKUP(A240,LongJump!F$5:G$302,2,FALSE)))</f>
        <v/>
      </c>
      <c r="M240" s="51">
        <f>IF(B240="",0,IF(ISNA(VLOOKUP(A240,LongJump!F$5:J$302,5,FALSE)),0,VLOOKUP(A240,LongJump!F$5:J$302,5,FALSE)))</f>
        <v>0</v>
      </c>
      <c r="N240" s="51">
        <f>IF(B240="",0,IF(ISNA(VLOOKUP(A240,LongJump!F$5:K$302,6,FALSE)),0,VLOOKUP(A240,LongJump!F$5:K$302,6,FALSE)))</f>
        <v>0</v>
      </c>
      <c r="O240" s="51" t="str">
        <f>IF(B240="","",IF(ISNA(VLOOKUP(A240,Vortex!F$5:J$302,2,FALSE)),"",VLOOKUP(A240,Vortex!F$5:J$302,2,FALSE)))</f>
        <v/>
      </c>
      <c r="P240" s="51">
        <f>IF(B240="",0,IF(ISNA(VLOOKUP(A240,Vortex!F$5:J$302,5,FALSE)),0,VLOOKUP(A240,Vortex!F$5:J$302,5,FALSE)))</f>
        <v>0</v>
      </c>
      <c r="Q240" s="51">
        <f t="shared" si="24"/>
        <v>0</v>
      </c>
      <c r="R240" s="51" t="str">
        <f t="shared" si="20"/>
        <v/>
      </c>
      <c r="S240" s="51" t="str">
        <f t="shared" si="21"/>
        <v/>
      </c>
      <c r="T240" s="51" t="str">
        <f t="shared" si="22"/>
        <v/>
      </c>
      <c r="U240" s="51" t="str">
        <f t="shared" si="23"/>
        <v/>
      </c>
      <c r="V240" s="39"/>
    </row>
    <row r="241" spans="1:22" ht="20" customHeight="1">
      <c r="A241" s="51" t="str">
        <f>IF(Declarations!B193=0,"",Declarations!B193)</f>
        <v/>
      </c>
      <c r="B241" s="161" t="str">
        <f>IF(ISNA(VLOOKUP(A241,Declarations!B$6:C$293,2,FALSE)),"",IF(VLOOKUP(A241,Declarations!B$6:C$293,2,FALSE)="","",VLOOKUP(A241,Declarations!B$6:C$293,2,FALSE)))</f>
        <v/>
      </c>
      <c r="C241" s="161" t="str">
        <f>IF(ISNA(VLOOKUP(A241,Declarations!B$6:F$293,5,FALSE)),"",IF(VLOOKUP(A241,Declarations!B$6:F$293,5,FALSE)="","",VLOOKUP(A241,Declarations!B$6:F$293,5,FALSE)))</f>
        <v/>
      </c>
      <c r="D241" s="161" t="str">
        <f>IF(ISNA(VLOOKUP(A241,Declarations!B$6:F$293,4,FALSE)),"",IF(VLOOKUP(A241,Declarations!B$6:F$293,4,FALSE)="","",VLOOKUP(A241,Declarations!B$6:F$293,4,FALSE)))</f>
        <v/>
      </c>
      <c r="E241" s="161" t="str">
        <f>IF(ISNA(VLOOKUP(A241,Declarations!B$6:D$293,3,FALSE)),"",IF(VLOOKUP(A241,Declarations!B$6:D$293,3,FALSE)="","",VLOOKUP(A241,Declarations!B$6:D$293,3,FALSE)))</f>
        <v/>
      </c>
      <c r="F241" s="51" t="str">
        <f>IF(B241="","",IF(ISNA(VLOOKUP(A241,'75m'!F$5:G$302,2,FALSE)),"",VLOOKUP(A241,'75m'!F$5:G$302,2,FALSE)))</f>
        <v/>
      </c>
      <c r="G241" s="51">
        <f>IF(B241="",0,IF(ISNA(VLOOKUP(A241,'75m'!F$5:J$302,5,FALSE)),0,VLOOKUP(A241,'75m'!F$5:J$302,5,FALSE)))</f>
        <v>0</v>
      </c>
      <c r="H241" s="51" t="str">
        <f>IF(B241="","",IF(ISNA(VLOOKUP(A241,'75m'!F$5:K$302,6,FALSE)),"",VLOOKUP(A241,'75m'!F$5:K$302,6,FALSE)))</f>
        <v/>
      </c>
      <c r="I241" s="53">
        <f>IF(B241="",0,IF(ISNA(VLOOKUP(A241,'600m'!F$5:J$302,2,FALSE)),0,VLOOKUP(A241,'600m'!F$5:J$302,2,FALSE)))</f>
        <v>0</v>
      </c>
      <c r="J241" s="51">
        <f>IF(B241="",0,IF(ISNA(VLOOKUP(A241,'600m'!F$5:J$302,5,FALSE)),0,VLOOKUP(A241,'600m'!F$5:J$302,5,FALSE)))</f>
        <v>0</v>
      </c>
      <c r="K241" s="51" t="str">
        <f>IF(B241="","",IF(ISNA(VLOOKUP(A241,'600m'!F$5:K$302,6,FALSE)),"",VLOOKUP(A241,'600m'!F$5:K$302,6,FALSE)))</f>
        <v/>
      </c>
      <c r="L241" s="51" t="str">
        <f>IF(B241="","",IF(ISNA(VLOOKUP(A241,LongJump!F$5:G$302,2,FALSE)),"",VLOOKUP(A241,LongJump!F$5:G$302,2,FALSE)))</f>
        <v/>
      </c>
      <c r="M241" s="51">
        <f>IF(B241="",0,IF(ISNA(VLOOKUP(A241,LongJump!F$5:J$302,5,FALSE)),0,VLOOKUP(A241,LongJump!F$5:J$302,5,FALSE)))</f>
        <v>0</v>
      </c>
      <c r="N241" s="51">
        <f>IF(B241="",0,IF(ISNA(VLOOKUP(A241,LongJump!F$5:K$302,6,FALSE)),0,VLOOKUP(A241,LongJump!F$5:K$302,6,FALSE)))</f>
        <v>0</v>
      </c>
      <c r="O241" s="51" t="str">
        <f>IF(B241="","",IF(ISNA(VLOOKUP(A241,Vortex!F$5:J$302,2,FALSE)),"",VLOOKUP(A241,Vortex!F$5:J$302,2,FALSE)))</f>
        <v/>
      </c>
      <c r="P241" s="51">
        <f>IF(B241="",0,IF(ISNA(VLOOKUP(A241,Vortex!F$5:J$302,5,FALSE)),0,VLOOKUP(A241,Vortex!F$5:J$302,5,FALSE)))</f>
        <v>0</v>
      </c>
      <c r="Q241" s="51">
        <f t="shared" si="24"/>
        <v>0</v>
      </c>
      <c r="R241" s="51" t="str">
        <f t="shared" si="20"/>
        <v/>
      </c>
      <c r="S241" s="51" t="str">
        <f t="shared" si="21"/>
        <v/>
      </c>
      <c r="T241" s="51" t="str">
        <f t="shared" si="22"/>
        <v/>
      </c>
      <c r="U241" s="51" t="str">
        <f t="shared" si="23"/>
        <v/>
      </c>
      <c r="V241" s="39"/>
    </row>
    <row r="242" spans="1:22" ht="20" customHeight="1">
      <c r="A242" s="51" t="str">
        <f>IF(Declarations!B194=0,"",Declarations!B194)</f>
        <v/>
      </c>
      <c r="B242" s="161" t="str">
        <f>IF(ISNA(VLOOKUP(A242,Declarations!B$6:C$293,2,FALSE)),"",IF(VLOOKUP(A242,Declarations!B$6:C$293,2,FALSE)="","",VLOOKUP(A242,Declarations!B$6:C$293,2,FALSE)))</f>
        <v/>
      </c>
      <c r="C242" s="161" t="str">
        <f>IF(ISNA(VLOOKUP(A242,Declarations!B$6:F$293,5,FALSE)),"",IF(VLOOKUP(A242,Declarations!B$6:F$293,5,FALSE)="","",VLOOKUP(A242,Declarations!B$6:F$293,5,FALSE)))</f>
        <v/>
      </c>
      <c r="D242" s="161" t="str">
        <f>IF(ISNA(VLOOKUP(A242,Declarations!B$6:F$293,4,FALSE)),"",IF(VLOOKUP(A242,Declarations!B$6:F$293,4,FALSE)="","",VLOOKUP(A242,Declarations!B$6:F$293,4,FALSE)))</f>
        <v/>
      </c>
      <c r="E242" s="161" t="str">
        <f>IF(ISNA(VLOOKUP(A242,Declarations!B$6:D$293,3,FALSE)),"",IF(VLOOKUP(A242,Declarations!B$6:D$293,3,FALSE)="","",VLOOKUP(A242,Declarations!B$6:D$293,3,FALSE)))</f>
        <v/>
      </c>
      <c r="F242" s="51" t="str">
        <f>IF(B242="","",IF(ISNA(VLOOKUP(A242,'75m'!F$5:G$302,2,FALSE)),"",VLOOKUP(A242,'75m'!F$5:G$302,2,FALSE)))</f>
        <v/>
      </c>
      <c r="G242" s="51">
        <f>IF(B242="",0,IF(ISNA(VLOOKUP(A242,'75m'!F$5:J$302,5,FALSE)),0,VLOOKUP(A242,'75m'!F$5:J$302,5,FALSE)))</f>
        <v>0</v>
      </c>
      <c r="H242" s="51" t="str">
        <f>IF(B242="","",IF(ISNA(VLOOKUP(A242,'75m'!F$5:K$302,6,FALSE)),"",VLOOKUP(A242,'75m'!F$5:K$302,6,FALSE)))</f>
        <v/>
      </c>
      <c r="I242" s="53">
        <f>IF(B242="",0,IF(ISNA(VLOOKUP(A242,'600m'!F$5:J$302,2,FALSE)),0,VLOOKUP(A242,'600m'!F$5:J$302,2,FALSE)))</f>
        <v>0</v>
      </c>
      <c r="J242" s="51">
        <f>IF(B242="",0,IF(ISNA(VLOOKUP(A242,'600m'!F$5:J$302,5,FALSE)),0,VLOOKUP(A242,'600m'!F$5:J$302,5,FALSE)))</f>
        <v>0</v>
      </c>
      <c r="K242" s="51" t="str">
        <f>IF(B242="","",IF(ISNA(VLOOKUP(A242,'600m'!F$5:K$302,6,FALSE)),"",VLOOKUP(A242,'600m'!F$5:K$302,6,FALSE)))</f>
        <v/>
      </c>
      <c r="L242" s="51" t="str">
        <f>IF(B242="","",IF(ISNA(VLOOKUP(A242,LongJump!F$5:G$302,2,FALSE)),"",VLOOKUP(A242,LongJump!F$5:G$302,2,FALSE)))</f>
        <v/>
      </c>
      <c r="M242" s="51">
        <f>IF(B242="",0,IF(ISNA(VLOOKUP(A242,LongJump!F$5:J$302,5,FALSE)),0,VLOOKUP(A242,LongJump!F$5:J$302,5,FALSE)))</f>
        <v>0</v>
      </c>
      <c r="N242" s="51">
        <f>IF(B242="",0,IF(ISNA(VLOOKUP(A242,LongJump!F$5:K$302,6,FALSE)),0,VLOOKUP(A242,LongJump!F$5:K$302,6,FALSE)))</f>
        <v>0</v>
      </c>
      <c r="O242" s="51" t="str">
        <f>IF(B242="","",IF(ISNA(VLOOKUP(A242,Vortex!F$5:J$302,2,FALSE)),"",VLOOKUP(A242,Vortex!F$5:J$302,2,FALSE)))</f>
        <v/>
      </c>
      <c r="P242" s="51">
        <f>IF(B242="",0,IF(ISNA(VLOOKUP(A242,Vortex!F$5:J$302,5,FALSE)),0,VLOOKUP(A242,Vortex!F$5:J$302,5,FALSE)))</f>
        <v>0</v>
      </c>
      <c r="Q242" s="51">
        <f t="shared" si="24"/>
        <v>0</v>
      </c>
      <c r="R242" s="51" t="str">
        <f t="shared" si="20"/>
        <v/>
      </c>
      <c r="S242" s="51" t="str">
        <f t="shared" si="21"/>
        <v/>
      </c>
      <c r="T242" s="51" t="str">
        <f t="shared" si="22"/>
        <v/>
      </c>
      <c r="U242" s="51" t="str">
        <f t="shared" si="23"/>
        <v/>
      </c>
      <c r="V242" s="39"/>
    </row>
    <row r="243" spans="1:22" ht="20" customHeight="1">
      <c r="A243" s="51" t="str">
        <f>IF(Declarations!B195=0,"",Declarations!B195)</f>
        <v/>
      </c>
      <c r="B243" s="161" t="str">
        <f>IF(ISNA(VLOOKUP(A243,Declarations!B$6:C$293,2,FALSE)),"",IF(VLOOKUP(A243,Declarations!B$6:C$293,2,FALSE)="","",VLOOKUP(A243,Declarations!B$6:C$293,2,FALSE)))</f>
        <v/>
      </c>
      <c r="C243" s="161" t="str">
        <f>IF(ISNA(VLOOKUP(A243,Declarations!B$6:F$293,5,FALSE)),"",IF(VLOOKUP(A243,Declarations!B$6:F$293,5,FALSE)="","",VLOOKUP(A243,Declarations!B$6:F$293,5,FALSE)))</f>
        <v/>
      </c>
      <c r="D243" s="161" t="str">
        <f>IF(ISNA(VLOOKUP(A243,Declarations!B$6:F$293,4,FALSE)),"",IF(VLOOKUP(A243,Declarations!B$6:F$293,4,FALSE)="","",VLOOKUP(A243,Declarations!B$6:F$293,4,FALSE)))</f>
        <v/>
      </c>
      <c r="E243" s="161" t="str">
        <f>IF(ISNA(VLOOKUP(A243,Declarations!B$6:D$293,3,FALSE)),"",IF(VLOOKUP(A243,Declarations!B$6:D$293,3,FALSE)="","",VLOOKUP(A243,Declarations!B$6:D$293,3,FALSE)))</f>
        <v/>
      </c>
      <c r="F243" s="51" t="str">
        <f>IF(B243="","",IF(ISNA(VLOOKUP(A243,'75m'!F$5:G$302,2,FALSE)),"",VLOOKUP(A243,'75m'!F$5:G$302,2,FALSE)))</f>
        <v/>
      </c>
      <c r="G243" s="51">
        <f>IF(B243="",0,IF(ISNA(VLOOKUP(A243,'75m'!F$5:J$302,5,FALSE)),0,VLOOKUP(A243,'75m'!F$5:J$302,5,FALSE)))</f>
        <v>0</v>
      </c>
      <c r="H243" s="51" t="str">
        <f>IF(B243="","",IF(ISNA(VLOOKUP(A243,'75m'!F$5:K$302,6,FALSE)),"",VLOOKUP(A243,'75m'!F$5:K$302,6,FALSE)))</f>
        <v/>
      </c>
      <c r="I243" s="53">
        <f>IF(B243="",0,IF(ISNA(VLOOKUP(A243,'600m'!F$5:J$302,2,FALSE)),0,VLOOKUP(A243,'600m'!F$5:J$302,2,FALSE)))</f>
        <v>0</v>
      </c>
      <c r="J243" s="51">
        <f>IF(B243="",0,IF(ISNA(VLOOKUP(A243,'600m'!F$5:J$302,5,FALSE)),0,VLOOKUP(A243,'600m'!F$5:J$302,5,FALSE)))</f>
        <v>0</v>
      </c>
      <c r="K243" s="51" t="str">
        <f>IF(B243="","",IF(ISNA(VLOOKUP(A243,'600m'!F$5:K$302,6,FALSE)),"",VLOOKUP(A243,'600m'!F$5:K$302,6,FALSE)))</f>
        <v/>
      </c>
      <c r="L243" s="51" t="str">
        <f>IF(B243="","",IF(ISNA(VLOOKUP(A243,LongJump!F$5:G$302,2,FALSE)),"",VLOOKUP(A243,LongJump!F$5:G$302,2,FALSE)))</f>
        <v/>
      </c>
      <c r="M243" s="51">
        <f>IF(B243="",0,IF(ISNA(VLOOKUP(A243,LongJump!F$5:J$302,5,FALSE)),0,VLOOKUP(A243,LongJump!F$5:J$302,5,FALSE)))</f>
        <v>0</v>
      </c>
      <c r="N243" s="51">
        <f>IF(B243="",0,IF(ISNA(VLOOKUP(A243,LongJump!F$5:K$302,6,FALSE)),0,VLOOKUP(A243,LongJump!F$5:K$302,6,FALSE)))</f>
        <v>0</v>
      </c>
      <c r="O243" s="51" t="str">
        <f>IF(B243="","",IF(ISNA(VLOOKUP(A243,Vortex!F$5:J$302,2,FALSE)),"",VLOOKUP(A243,Vortex!F$5:J$302,2,FALSE)))</f>
        <v/>
      </c>
      <c r="P243" s="51">
        <f>IF(B243="",0,IF(ISNA(VLOOKUP(A243,Vortex!F$5:J$302,5,FALSE)),0,VLOOKUP(A243,Vortex!F$5:J$302,5,FALSE)))</f>
        <v>0</v>
      </c>
      <c r="Q243" s="51">
        <f t="shared" si="24"/>
        <v>0</v>
      </c>
      <c r="R243" s="51" t="str">
        <f t="shared" si="20"/>
        <v/>
      </c>
      <c r="S243" s="51" t="str">
        <f t="shared" si="21"/>
        <v/>
      </c>
      <c r="T243" s="51" t="str">
        <f t="shared" si="22"/>
        <v/>
      </c>
      <c r="U243" s="51" t="str">
        <f t="shared" si="23"/>
        <v/>
      </c>
      <c r="V243" s="39"/>
    </row>
    <row r="244" spans="1:22" ht="20" customHeight="1">
      <c r="A244" s="51" t="str">
        <f>IF(Declarations!B196=0,"",Declarations!B196)</f>
        <v/>
      </c>
      <c r="B244" s="161" t="str">
        <f>IF(ISNA(VLOOKUP(A244,Declarations!B$6:C$293,2,FALSE)),"",IF(VLOOKUP(A244,Declarations!B$6:C$293,2,FALSE)="","",VLOOKUP(A244,Declarations!B$6:C$293,2,FALSE)))</f>
        <v/>
      </c>
      <c r="C244" s="161" t="str">
        <f>IF(ISNA(VLOOKUP(A244,Declarations!B$6:F$293,5,FALSE)),"",IF(VLOOKUP(A244,Declarations!B$6:F$293,5,FALSE)="","",VLOOKUP(A244,Declarations!B$6:F$293,5,FALSE)))</f>
        <v/>
      </c>
      <c r="D244" s="161" t="str">
        <f>IF(ISNA(VLOOKUP(A244,Declarations!B$6:F$293,4,FALSE)),"",IF(VLOOKUP(A244,Declarations!B$6:F$293,4,FALSE)="","",VLOOKUP(A244,Declarations!B$6:F$293,4,FALSE)))</f>
        <v/>
      </c>
      <c r="E244" s="161" t="str">
        <f>IF(ISNA(VLOOKUP(A244,Declarations!B$6:D$293,3,FALSE)),"",IF(VLOOKUP(A244,Declarations!B$6:D$293,3,FALSE)="","",VLOOKUP(A244,Declarations!B$6:D$293,3,FALSE)))</f>
        <v/>
      </c>
      <c r="F244" s="51" t="str">
        <f>IF(B244="","",IF(ISNA(VLOOKUP(A244,'75m'!F$5:G$302,2,FALSE)),"",VLOOKUP(A244,'75m'!F$5:G$302,2,FALSE)))</f>
        <v/>
      </c>
      <c r="G244" s="51">
        <f>IF(B244="",0,IF(ISNA(VLOOKUP(A244,'75m'!F$5:J$302,5,FALSE)),0,VLOOKUP(A244,'75m'!F$5:J$302,5,FALSE)))</f>
        <v>0</v>
      </c>
      <c r="H244" s="51" t="str">
        <f>IF(B244="","",IF(ISNA(VLOOKUP(A244,'75m'!F$5:K$302,6,FALSE)),"",VLOOKUP(A244,'75m'!F$5:K$302,6,FALSE)))</f>
        <v/>
      </c>
      <c r="I244" s="53">
        <f>IF(B244="",0,IF(ISNA(VLOOKUP(A244,'600m'!F$5:J$302,2,FALSE)),0,VLOOKUP(A244,'600m'!F$5:J$302,2,FALSE)))</f>
        <v>0</v>
      </c>
      <c r="J244" s="51">
        <f>IF(B244="",0,IF(ISNA(VLOOKUP(A244,'600m'!F$5:J$302,5,FALSE)),0,VLOOKUP(A244,'600m'!F$5:J$302,5,FALSE)))</f>
        <v>0</v>
      </c>
      <c r="K244" s="51" t="str">
        <f>IF(B244="","",IF(ISNA(VLOOKUP(A244,'600m'!F$5:K$302,6,FALSE)),"",VLOOKUP(A244,'600m'!F$5:K$302,6,FALSE)))</f>
        <v/>
      </c>
      <c r="L244" s="51" t="str">
        <f>IF(B244="","",IF(ISNA(VLOOKUP(A244,LongJump!F$5:G$302,2,FALSE)),"",VLOOKUP(A244,LongJump!F$5:G$302,2,FALSE)))</f>
        <v/>
      </c>
      <c r="M244" s="51">
        <f>IF(B244="",0,IF(ISNA(VLOOKUP(A244,LongJump!F$5:J$302,5,FALSE)),0,VLOOKUP(A244,LongJump!F$5:J$302,5,FALSE)))</f>
        <v>0</v>
      </c>
      <c r="N244" s="51">
        <f>IF(B244="",0,IF(ISNA(VLOOKUP(A244,LongJump!F$5:K$302,6,FALSE)),0,VLOOKUP(A244,LongJump!F$5:K$302,6,FALSE)))</f>
        <v>0</v>
      </c>
      <c r="O244" s="51" t="str">
        <f>IF(B244="","",IF(ISNA(VLOOKUP(A244,Vortex!F$5:J$302,2,FALSE)),"",VLOOKUP(A244,Vortex!F$5:J$302,2,FALSE)))</f>
        <v/>
      </c>
      <c r="P244" s="51">
        <f>IF(B244="",0,IF(ISNA(VLOOKUP(A244,Vortex!F$5:J$302,5,FALSE)),0,VLOOKUP(A244,Vortex!F$5:J$302,5,FALSE)))</f>
        <v>0</v>
      </c>
      <c r="Q244" s="51">
        <f t="shared" si="24"/>
        <v>0</v>
      </c>
      <c r="R244" s="51" t="str">
        <f t="shared" si="20"/>
        <v/>
      </c>
      <c r="S244" s="51" t="str">
        <f t="shared" si="21"/>
        <v/>
      </c>
      <c r="T244" s="51" t="str">
        <f t="shared" si="22"/>
        <v/>
      </c>
      <c r="U244" s="51" t="str">
        <f t="shared" si="23"/>
        <v/>
      </c>
      <c r="V244" s="39"/>
    </row>
    <row r="245" spans="1:22" ht="20" customHeight="1">
      <c r="A245" s="51" t="str">
        <f>IF(Declarations!B197=0,"",Declarations!B197)</f>
        <v/>
      </c>
      <c r="B245" s="161" t="str">
        <f>IF(ISNA(VLOOKUP(A245,Declarations!B$6:C$293,2,FALSE)),"",IF(VLOOKUP(A245,Declarations!B$6:C$293,2,FALSE)="","",VLOOKUP(A245,Declarations!B$6:C$293,2,FALSE)))</f>
        <v/>
      </c>
      <c r="C245" s="161" t="str">
        <f>IF(ISNA(VLOOKUP(A245,Declarations!B$6:F$293,5,FALSE)),"",IF(VLOOKUP(A245,Declarations!B$6:F$293,5,FALSE)="","",VLOOKUP(A245,Declarations!B$6:F$293,5,FALSE)))</f>
        <v/>
      </c>
      <c r="D245" s="161" t="str">
        <f>IF(ISNA(VLOOKUP(A245,Declarations!B$6:F$293,4,FALSE)),"",IF(VLOOKUP(A245,Declarations!B$6:F$293,4,FALSE)="","",VLOOKUP(A245,Declarations!B$6:F$293,4,FALSE)))</f>
        <v/>
      </c>
      <c r="E245" s="161" t="str">
        <f>IF(ISNA(VLOOKUP(A245,Declarations!B$6:D$293,3,FALSE)),"",IF(VLOOKUP(A245,Declarations!B$6:D$293,3,FALSE)="","",VLOOKUP(A245,Declarations!B$6:D$293,3,FALSE)))</f>
        <v/>
      </c>
      <c r="F245" s="51" t="str">
        <f>IF(B245="","",IF(ISNA(VLOOKUP(A245,'75m'!F$5:G$302,2,FALSE)),"",VLOOKUP(A245,'75m'!F$5:G$302,2,FALSE)))</f>
        <v/>
      </c>
      <c r="G245" s="51">
        <f>IF(B245="",0,IF(ISNA(VLOOKUP(A245,'75m'!F$5:J$302,5,FALSE)),0,VLOOKUP(A245,'75m'!F$5:J$302,5,FALSE)))</f>
        <v>0</v>
      </c>
      <c r="H245" s="51" t="str">
        <f>IF(B245="","",IF(ISNA(VLOOKUP(A245,'75m'!F$5:K$302,6,FALSE)),"",VLOOKUP(A245,'75m'!F$5:K$302,6,FALSE)))</f>
        <v/>
      </c>
      <c r="I245" s="53">
        <f>IF(B245="",0,IF(ISNA(VLOOKUP(A245,'600m'!F$5:J$302,2,FALSE)),0,VLOOKUP(A245,'600m'!F$5:J$302,2,FALSE)))</f>
        <v>0</v>
      </c>
      <c r="J245" s="51">
        <f>IF(B245="",0,IF(ISNA(VLOOKUP(A245,'600m'!F$5:J$302,5,FALSE)),0,VLOOKUP(A245,'600m'!F$5:J$302,5,FALSE)))</f>
        <v>0</v>
      </c>
      <c r="K245" s="51" t="str">
        <f>IF(B245="","",IF(ISNA(VLOOKUP(A245,'600m'!F$5:K$302,6,FALSE)),"",VLOOKUP(A245,'600m'!F$5:K$302,6,FALSE)))</f>
        <v/>
      </c>
      <c r="L245" s="51" t="str">
        <f>IF(B245="","",IF(ISNA(VLOOKUP(A245,LongJump!F$5:G$302,2,FALSE)),"",VLOOKUP(A245,LongJump!F$5:G$302,2,FALSE)))</f>
        <v/>
      </c>
      <c r="M245" s="51">
        <f>IF(B245="",0,IF(ISNA(VLOOKUP(A245,LongJump!F$5:J$302,5,FALSE)),0,VLOOKUP(A245,LongJump!F$5:J$302,5,FALSE)))</f>
        <v>0</v>
      </c>
      <c r="N245" s="51">
        <f>IF(B245="",0,IF(ISNA(VLOOKUP(A245,LongJump!F$5:K$302,6,FALSE)),0,VLOOKUP(A245,LongJump!F$5:K$302,6,FALSE)))</f>
        <v>0</v>
      </c>
      <c r="O245" s="51" t="str">
        <f>IF(B245="","",IF(ISNA(VLOOKUP(A245,Vortex!F$5:J$302,2,FALSE)),"",VLOOKUP(A245,Vortex!F$5:J$302,2,FALSE)))</f>
        <v/>
      </c>
      <c r="P245" s="51">
        <f>IF(B245="",0,IF(ISNA(VLOOKUP(A245,Vortex!F$5:J$302,5,FALSE)),0,VLOOKUP(A245,Vortex!F$5:J$302,5,FALSE)))</f>
        <v>0</v>
      </c>
      <c r="Q245" s="51">
        <f t="shared" si="24"/>
        <v>0</v>
      </c>
      <c r="R245" s="51" t="str">
        <f t="shared" si="20"/>
        <v/>
      </c>
      <c r="S245" s="51" t="str">
        <f t="shared" si="21"/>
        <v/>
      </c>
      <c r="T245" s="51" t="str">
        <f t="shared" si="22"/>
        <v/>
      </c>
      <c r="U245" s="51" t="str">
        <f t="shared" si="23"/>
        <v/>
      </c>
      <c r="V245" s="39"/>
    </row>
    <row r="246" spans="1:22" ht="20" customHeight="1">
      <c r="A246" s="51" t="str">
        <f>IF(Declarations!B198=0,"",Declarations!B198)</f>
        <v/>
      </c>
      <c r="B246" s="161" t="str">
        <f>IF(ISNA(VLOOKUP(A246,Declarations!B$6:C$293,2,FALSE)),"",IF(VLOOKUP(A246,Declarations!B$6:C$293,2,FALSE)="","",VLOOKUP(A246,Declarations!B$6:C$293,2,FALSE)))</f>
        <v/>
      </c>
      <c r="C246" s="161" t="str">
        <f>IF(ISNA(VLOOKUP(A246,Declarations!B$6:F$293,5,FALSE)),"",IF(VLOOKUP(A246,Declarations!B$6:F$293,5,FALSE)="","",VLOOKUP(A246,Declarations!B$6:F$293,5,FALSE)))</f>
        <v/>
      </c>
      <c r="D246" s="161" t="str">
        <f>IF(ISNA(VLOOKUP(A246,Declarations!B$6:F$293,4,FALSE)),"",IF(VLOOKUP(A246,Declarations!B$6:F$293,4,FALSE)="","",VLOOKUP(A246,Declarations!B$6:F$293,4,FALSE)))</f>
        <v/>
      </c>
      <c r="E246" s="161" t="str">
        <f>IF(ISNA(VLOOKUP(A246,Declarations!B$6:D$293,3,FALSE)),"",IF(VLOOKUP(A246,Declarations!B$6:D$293,3,FALSE)="","",VLOOKUP(A246,Declarations!B$6:D$293,3,FALSE)))</f>
        <v/>
      </c>
      <c r="F246" s="51" t="str">
        <f>IF(B246="","",IF(ISNA(VLOOKUP(A246,'75m'!F$5:G$302,2,FALSE)),"",VLOOKUP(A246,'75m'!F$5:G$302,2,FALSE)))</f>
        <v/>
      </c>
      <c r="G246" s="51">
        <f>IF(B246="",0,IF(ISNA(VLOOKUP(A246,'75m'!F$5:J$302,5,FALSE)),0,VLOOKUP(A246,'75m'!F$5:J$302,5,FALSE)))</f>
        <v>0</v>
      </c>
      <c r="H246" s="51" t="str">
        <f>IF(B246="","",IF(ISNA(VLOOKUP(A246,'75m'!F$5:K$302,6,FALSE)),"",VLOOKUP(A246,'75m'!F$5:K$302,6,FALSE)))</f>
        <v/>
      </c>
      <c r="I246" s="53">
        <f>IF(B246="",0,IF(ISNA(VLOOKUP(A246,'600m'!F$5:J$302,2,FALSE)),0,VLOOKUP(A246,'600m'!F$5:J$302,2,FALSE)))</f>
        <v>0</v>
      </c>
      <c r="J246" s="51">
        <f>IF(B246="",0,IF(ISNA(VLOOKUP(A246,'600m'!F$5:J$302,5,FALSE)),0,VLOOKUP(A246,'600m'!F$5:J$302,5,FALSE)))</f>
        <v>0</v>
      </c>
      <c r="K246" s="51" t="str">
        <f>IF(B246="","",IF(ISNA(VLOOKUP(A246,'600m'!F$5:K$302,6,FALSE)),"",VLOOKUP(A246,'600m'!F$5:K$302,6,FALSE)))</f>
        <v/>
      </c>
      <c r="L246" s="51" t="str">
        <f>IF(B246="","",IF(ISNA(VLOOKUP(A246,LongJump!F$5:G$302,2,FALSE)),"",VLOOKUP(A246,LongJump!F$5:G$302,2,FALSE)))</f>
        <v/>
      </c>
      <c r="M246" s="51">
        <f>IF(B246="",0,IF(ISNA(VLOOKUP(A246,LongJump!F$5:J$302,5,FALSE)),0,VLOOKUP(A246,LongJump!F$5:J$302,5,FALSE)))</f>
        <v>0</v>
      </c>
      <c r="N246" s="51">
        <f>IF(B246="",0,IF(ISNA(VLOOKUP(A246,LongJump!F$5:K$302,6,FALSE)),0,VLOOKUP(A246,LongJump!F$5:K$302,6,FALSE)))</f>
        <v>0</v>
      </c>
      <c r="O246" s="51" t="str">
        <f>IF(B246="","",IF(ISNA(VLOOKUP(A246,Vortex!F$5:J$302,2,FALSE)),"",VLOOKUP(A246,Vortex!F$5:J$302,2,FALSE)))</f>
        <v/>
      </c>
      <c r="P246" s="51">
        <f>IF(B246="",0,IF(ISNA(VLOOKUP(A246,Vortex!F$5:J$302,5,FALSE)),0,VLOOKUP(A246,Vortex!F$5:J$302,5,FALSE)))</f>
        <v>0</v>
      </c>
      <c r="Q246" s="51">
        <f t="shared" si="24"/>
        <v>0</v>
      </c>
      <c r="R246" s="51" t="str">
        <f t="shared" ref="R246:R309" si="25">IF(OR($Q246=0,$E246&lt;&gt;"U10"),"",COUNTIFS($C$54:$C$341, $C246, $D$54:$D$341, $D246, $E$54:$E$341, $E246, $Q$54:$Q$341,"&gt;"&amp;$Q246)+1)</f>
        <v/>
      </c>
      <c r="S246" s="51" t="str">
        <f t="shared" ref="S246:S309" si="26">IF(OR($Q246=0,$E246&lt;&gt;"U12"),"",COUNTIFS($C$54:$C$341, $C246, $D$54:$D$341, $D246, $E$54:$E$341, $E246, $Q$54:$Q$341,"&gt;"&amp;$Q246)+1)</f>
        <v/>
      </c>
      <c r="T246" s="51" t="str">
        <f t="shared" ref="T246:T309" si="27">IF(OR($Q246=0,$E246&lt;&gt;"U10"),"",COUNTIFS($D$54:$D$341, $D246,$E$54:$E$341,$E246,$Q$54:$Q$341,"&gt;"&amp;$Q246)+1)</f>
        <v/>
      </c>
      <c r="U246" s="51" t="str">
        <f t="shared" ref="U246:U309" si="28">IF(OR($Q246=0,$E246&lt;&gt;"U12"),"",COUNTIFS($D$54:$D$341, $D246,$E$54:$E$341,$E246,$Q$54:$Q$341,"&gt;"&amp;$Q246)+1)</f>
        <v/>
      </c>
      <c r="V246" s="39"/>
    </row>
    <row r="247" spans="1:22" ht="20" customHeight="1">
      <c r="A247" s="51" t="str">
        <f>IF(Declarations!B199=0,"",Declarations!B199)</f>
        <v/>
      </c>
      <c r="B247" s="161" t="str">
        <f>IF(ISNA(VLOOKUP(A247,Declarations!B$6:C$293,2,FALSE)),"",IF(VLOOKUP(A247,Declarations!B$6:C$293,2,FALSE)="","",VLOOKUP(A247,Declarations!B$6:C$293,2,FALSE)))</f>
        <v/>
      </c>
      <c r="C247" s="161" t="str">
        <f>IF(ISNA(VLOOKUP(A247,Declarations!B$6:F$293,5,FALSE)),"",IF(VLOOKUP(A247,Declarations!B$6:F$293,5,FALSE)="","",VLOOKUP(A247,Declarations!B$6:F$293,5,FALSE)))</f>
        <v/>
      </c>
      <c r="D247" s="161" t="str">
        <f>IF(ISNA(VLOOKUP(A247,Declarations!B$6:F$293,4,FALSE)),"",IF(VLOOKUP(A247,Declarations!B$6:F$293,4,FALSE)="","",VLOOKUP(A247,Declarations!B$6:F$293,4,FALSE)))</f>
        <v/>
      </c>
      <c r="E247" s="161" t="str">
        <f>IF(ISNA(VLOOKUP(A247,Declarations!B$6:D$293,3,FALSE)),"",IF(VLOOKUP(A247,Declarations!B$6:D$293,3,FALSE)="","",VLOOKUP(A247,Declarations!B$6:D$293,3,FALSE)))</f>
        <v/>
      </c>
      <c r="F247" s="51" t="str">
        <f>IF(B247="","",IF(ISNA(VLOOKUP(A247,'75m'!F$5:G$302,2,FALSE)),"",VLOOKUP(A247,'75m'!F$5:G$302,2,FALSE)))</f>
        <v/>
      </c>
      <c r="G247" s="51">
        <f>IF(B247="",0,IF(ISNA(VLOOKUP(A247,'75m'!F$5:J$302,5,FALSE)),0,VLOOKUP(A247,'75m'!F$5:J$302,5,FALSE)))</f>
        <v>0</v>
      </c>
      <c r="H247" s="51" t="str">
        <f>IF(B247="","",IF(ISNA(VLOOKUP(A247,'75m'!F$5:K$302,6,FALSE)),"",VLOOKUP(A247,'75m'!F$5:K$302,6,FALSE)))</f>
        <v/>
      </c>
      <c r="I247" s="53">
        <f>IF(B247="",0,IF(ISNA(VLOOKUP(A247,'600m'!F$5:J$302,2,FALSE)),0,VLOOKUP(A247,'600m'!F$5:J$302,2,FALSE)))</f>
        <v>0</v>
      </c>
      <c r="J247" s="51">
        <f>IF(B247="",0,IF(ISNA(VLOOKUP(A247,'600m'!F$5:J$302,5,FALSE)),0,VLOOKUP(A247,'600m'!F$5:J$302,5,FALSE)))</f>
        <v>0</v>
      </c>
      <c r="K247" s="51" t="str">
        <f>IF(B247="","",IF(ISNA(VLOOKUP(A247,'600m'!F$5:K$302,6,FALSE)),"",VLOOKUP(A247,'600m'!F$5:K$302,6,FALSE)))</f>
        <v/>
      </c>
      <c r="L247" s="51" t="str">
        <f>IF(B247="","",IF(ISNA(VLOOKUP(A247,LongJump!F$5:G$302,2,FALSE)),"",VLOOKUP(A247,LongJump!F$5:G$302,2,FALSE)))</f>
        <v/>
      </c>
      <c r="M247" s="51">
        <f>IF(B247="",0,IF(ISNA(VLOOKUP(A247,LongJump!F$5:J$302,5,FALSE)),0,VLOOKUP(A247,LongJump!F$5:J$302,5,FALSE)))</f>
        <v>0</v>
      </c>
      <c r="N247" s="51">
        <f>IF(B247="",0,IF(ISNA(VLOOKUP(A247,LongJump!F$5:K$302,6,FALSE)),0,VLOOKUP(A247,LongJump!F$5:K$302,6,FALSE)))</f>
        <v>0</v>
      </c>
      <c r="O247" s="51" t="str">
        <f>IF(B247="","",IF(ISNA(VLOOKUP(A247,Vortex!F$5:J$302,2,FALSE)),"",VLOOKUP(A247,Vortex!F$5:J$302,2,FALSE)))</f>
        <v/>
      </c>
      <c r="P247" s="51">
        <f>IF(B247="",0,IF(ISNA(VLOOKUP(A247,Vortex!F$5:J$302,5,FALSE)),0,VLOOKUP(A247,Vortex!F$5:J$302,5,FALSE)))</f>
        <v>0</v>
      </c>
      <c r="Q247" s="51">
        <f t="shared" ref="Q247:Q310" si="29">G247+J247+M247+P247</f>
        <v>0</v>
      </c>
      <c r="R247" s="51" t="str">
        <f t="shared" si="25"/>
        <v/>
      </c>
      <c r="S247" s="51" t="str">
        <f t="shared" si="26"/>
        <v/>
      </c>
      <c r="T247" s="51" t="str">
        <f t="shared" si="27"/>
        <v/>
      </c>
      <c r="U247" s="51" t="str">
        <f t="shared" si="28"/>
        <v/>
      </c>
      <c r="V247" s="39"/>
    </row>
    <row r="248" spans="1:22" ht="20" customHeight="1">
      <c r="A248" s="51" t="str">
        <f>IF(Declarations!B200=0,"",Declarations!B200)</f>
        <v/>
      </c>
      <c r="B248" s="161" t="str">
        <f>IF(ISNA(VLOOKUP(A248,Declarations!B$6:C$293,2,FALSE)),"",IF(VLOOKUP(A248,Declarations!B$6:C$293,2,FALSE)="","",VLOOKUP(A248,Declarations!B$6:C$293,2,FALSE)))</f>
        <v/>
      </c>
      <c r="C248" s="161" t="str">
        <f>IF(ISNA(VLOOKUP(A248,Declarations!B$6:F$293,5,FALSE)),"",IF(VLOOKUP(A248,Declarations!B$6:F$293,5,FALSE)="","",VLOOKUP(A248,Declarations!B$6:F$293,5,FALSE)))</f>
        <v/>
      </c>
      <c r="D248" s="161" t="str">
        <f>IF(ISNA(VLOOKUP(A248,Declarations!B$6:F$293,4,FALSE)),"",IF(VLOOKUP(A248,Declarations!B$6:F$293,4,FALSE)="","",VLOOKUP(A248,Declarations!B$6:F$293,4,FALSE)))</f>
        <v/>
      </c>
      <c r="E248" s="161" t="str">
        <f>IF(ISNA(VLOOKUP(A248,Declarations!B$6:D$293,3,FALSE)),"",IF(VLOOKUP(A248,Declarations!B$6:D$293,3,FALSE)="","",VLOOKUP(A248,Declarations!B$6:D$293,3,FALSE)))</f>
        <v/>
      </c>
      <c r="F248" s="51" t="str">
        <f>IF(B248="","",IF(ISNA(VLOOKUP(A248,'75m'!F$5:G$302,2,FALSE)),"",VLOOKUP(A248,'75m'!F$5:G$302,2,FALSE)))</f>
        <v/>
      </c>
      <c r="G248" s="51">
        <f>IF(B248="",0,IF(ISNA(VLOOKUP(A248,'75m'!F$5:J$302,5,FALSE)),0,VLOOKUP(A248,'75m'!F$5:J$302,5,FALSE)))</f>
        <v>0</v>
      </c>
      <c r="H248" s="51" t="str">
        <f>IF(B248="","",IF(ISNA(VLOOKUP(A248,'75m'!F$5:K$302,6,FALSE)),"",VLOOKUP(A248,'75m'!F$5:K$302,6,FALSE)))</f>
        <v/>
      </c>
      <c r="I248" s="53">
        <f>IF(B248="",0,IF(ISNA(VLOOKUP(A248,'600m'!F$5:J$302,2,FALSE)),0,VLOOKUP(A248,'600m'!F$5:J$302,2,FALSE)))</f>
        <v>0</v>
      </c>
      <c r="J248" s="51">
        <f>IF(B248="",0,IF(ISNA(VLOOKUP(A248,'600m'!F$5:J$302,5,FALSE)),0,VLOOKUP(A248,'600m'!F$5:J$302,5,FALSE)))</f>
        <v>0</v>
      </c>
      <c r="K248" s="51" t="str">
        <f>IF(B248="","",IF(ISNA(VLOOKUP(A248,'600m'!F$5:K$302,6,FALSE)),"",VLOOKUP(A248,'600m'!F$5:K$302,6,FALSE)))</f>
        <v/>
      </c>
      <c r="L248" s="51" t="str">
        <f>IF(B248="","",IF(ISNA(VLOOKUP(A248,LongJump!F$5:G$302,2,FALSE)),"",VLOOKUP(A248,LongJump!F$5:G$302,2,FALSE)))</f>
        <v/>
      </c>
      <c r="M248" s="51">
        <f>IF(B248="",0,IF(ISNA(VLOOKUP(A248,LongJump!F$5:J$302,5,FALSE)),0,VLOOKUP(A248,LongJump!F$5:J$302,5,FALSE)))</f>
        <v>0</v>
      </c>
      <c r="N248" s="51">
        <f>IF(B248="",0,IF(ISNA(VLOOKUP(A248,LongJump!F$5:K$302,6,FALSE)),0,VLOOKUP(A248,LongJump!F$5:K$302,6,FALSE)))</f>
        <v>0</v>
      </c>
      <c r="O248" s="51" t="str">
        <f>IF(B248="","",IF(ISNA(VLOOKUP(A248,Vortex!F$5:J$302,2,FALSE)),"",VLOOKUP(A248,Vortex!F$5:J$302,2,FALSE)))</f>
        <v/>
      </c>
      <c r="P248" s="51">
        <f>IF(B248="",0,IF(ISNA(VLOOKUP(A248,Vortex!F$5:J$302,5,FALSE)),0,VLOOKUP(A248,Vortex!F$5:J$302,5,FALSE)))</f>
        <v>0</v>
      </c>
      <c r="Q248" s="51">
        <f t="shared" si="29"/>
        <v>0</v>
      </c>
      <c r="R248" s="51" t="str">
        <f t="shared" si="25"/>
        <v/>
      </c>
      <c r="S248" s="51" t="str">
        <f t="shared" si="26"/>
        <v/>
      </c>
      <c r="T248" s="51" t="str">
        <f t="shared" si="27"/>
        <v/>
      </c>
      <c r="U248" s="51" t="str">
        <f t="shared" si="28"/>
        <v/>
      </c>
      <c r="V248" s="39"/>
    </row>
    <row r="249" spans="1:22" ht="20" customHeight="1">
      <c r="A249" s="51" t="str">
        <f>IF(Declarations!B201=0,"",Declarations!B201)</f>
        <v/>
      </c>
      <c r="B249" s="161" t="str">
        <f>IF(ISNA(VLOOKUP(A249,Declarations!B$6:C$293,2,FALSE)),"",IF(VLOOKUP(A249,Declarations!B$6:C$293,2,FALSE)="","",VLOOKUP(A249,Declarations!B$6:C$293,2,FALSE)))</f>
        <v/>
      </c>
      <c r="C249" s="161" t="str">
        <f>IF(ISNA(VLOOKUP(A249,Declarations!B$6:F$293,5,FALSE)),"",IF(VLOOKUP(A249,Declarations!B$6:F$293,5,FALSE)="","",VLOOKUP(A249,Declarations!B$6:F$293,5,FALSE)))</f>
        <v/>
      </c>
      <c r="D249" s="161" t="str">
        <f>IF(ISNA(VLOOKUP(A249,Declarations!B$6:F$293,4,FALSE)),"",IF(VLOOKUP(A249,Declarations!B$6:F$293,4,FALSE)="","",VLOOKUP(A249,Declarations!B$6:F$293,4,FALSE)))</f>
        <v/>
      </c>
      <c r="E249" s="161" t="str">
        <f>IF(ISNA(VLOOKUP(A249,Declarations!B$6:D$293,3,FALSE)),"",IF(VLOOKUP(A249,Declarations!B$6:D$293,3,FALSE)="","",VLOOKUP(A249,Declarations!B$6:D$293,3,FALSE)))</f>
        <v/>
      </c>
      <c r="F249" s="51" t="str">
        <f>IF(B249="","",IF(ISNA(VLOOKUP(A249,'75m'!F$5:G$302,2,FALSE)),"",VLOOKUP(A249,'75m'!F$5:G$302,2,FALSE)))</f>
        <v/>
      </c>
      <c r="G249" s="51">
        <f>IF(B249="",0,IF(ISNA(VLOOKUP(A249,'75m'!F$5:J$302,5,FALSE)),0,VLOOKUP(A249,'75m'!F$5:J$302,5,FALSE)))</f>
        <v>0</v>
      </c>
      <c r="H249" s="51" t="str">
        <f>IF(B249="","",IF(ISNA(VLOOKUP(A249,'75m'!F$5:K$302,6,FALSE)),"",VLOOKUP(A249,'75m'!F$5:K$302,6,FALSE)))</f>
        <v/>
      </c>
      <c r="I249" s="53">
        <f>IF(B249="",0,IF(ISNA(VLOOKUP(A249,'600m'!F$5:J$302,2,FALSE)),0,VLOOKUP(A249,'600m'!F$5:J$302,2,FALSE)))</f>
        <v>0</v>
      </c>
      <c r="J249" s="51">
        <f>IF(B249="",0,IF(ISNA(VLOOKUP(A249,'600m'!F$5:J$302,5,FALSE)),0,VLOOKUP(A249,'600m'!F$5:J$302,5,FALSE)))</f>
        <v>0</v>
      </c>
      <c r="K249" s="51" t="str">
        <f>IF(B249="","",IF(ISNA(VLOOKUP(A249,'600m'!F$5:K$302,6,FALSE)),"",VLOOKUP(A249,'600m'!F$5:K$302,6,FALSE)))</f>
        <v/>
      </c>
      <c r="L249" s="51" t="str">
        <f>IF(B249="","",IF(ISNA(VLOOKUP(A249,LongJump!F$5:G$302,2,FALSE)),"",VLOOKUP(A249,LongJump!F$5:G$302,2,FALSE)))</f>
        <v/>
      </c>
      <c r="M249" s="51">
        <f>IF(B249="",0,IF(ISNA(VLOOKUP(A249,LongJump!F$5:J$302,5,FALSE)),0,VLOOKUP(A249,LongJump!F$5:J$302,5,FALSE)))</f>
        <v>0</v>
      </c>
      <c r="N249" s="51">
        <f>IF(B249="",0,IF(ISNA(VLOOKUP(A249,LongJump!F$5:K$302,6,FALSE)),0,VLOOKUP(A249,LongJump!F$5:K$302,6,FALSE)))</f>
        <v>0</v>
      </c>
      <c r="O249" s="51" t="str">
        <f>IF(B249="","",IF(ISNA(VLOOKUP(A249,Vortex!F$5:J$302,2,FALSE)),"",VLOOKUP(A249,Vortex!F$5:J$302,2,FALSE)))</f>
        <v/>
      </c>
      <c r="P249" s="51">
        <f>IF(B249="",0,IF(ISNA(VLOOKUP(A249,Vortex!F$5:J$302,5,FALSE)),0,VLOOKUP(A249,Vortex!F$5:J$302,5,FALSE)))</f>
        <v>0</v>
      </c>
      <c r="Q249" s="51">
        <f t="shared" si="29"/>
        <v>0</v>
      </c>
      <c r="R249" s="51" t="str">
        <f t="shared" si="25"/>
        <v/>
      </c>
      <c r="S249" s="51" t="str">
        <f t="shared" si="26"/>
        <v/>
      </c>
      <c r="T249" s="51" t="str">
        <f t="shared" si="27"/>
        <v/>
      </c>
      <c r="U249" s="51" t="str">
        <f t="shared" si="28"/>
        <v/>
      </c>
      <c r="V249" s="39"/>
    </row>
    <row r="250" spans="1:22" ht="20" customHeight="1">
      <c r="A250" s="51" t="str">
        <f>IF(Declarations!B202=0,"",Declarations!B202)</f>
        <v/>
      </c>
      <c r="B250" s="161" t="str">
        <f>IF(ISNA(VLOOKUP(A250,Declarations!B$6:C$293,2,FALSE)),"",IF(VLOOKUP(A250,Declarations!B$6:C$293,2,FALSE)="","",VLOOKUP(A250,Declarations!B$6:C$293,2,FALSE)))</f>
        <v/>
      </c>
      <c r="C250" s="161" t="str">
        <f>IF(ISNA(VLOOKUP(A250,Declarations!B$6:F$293,5,FALSE)),"",IF(VLOOKUP(A250,Declarations!B$6:F$293,5,FALSE)="","",VLOOKUP(A250,Declarations!B$6:F$293,5,FALSE)))</f>
        <v/>
      </c>
      <c r="D250" s="161" t="str">
        <f>IF(ISNA(VLOOKUP(A250,Declarations!B$6:F$293,4,FALSE)),"",IF(VLOOKUP(A250,Declarations!B$6:F$293,4,FALSE)="","",VLOOKUP(A250,Declarations!B$6:F$293,4,FALSE)))</f>
        <v/>
      </c>
      <c r="E250" s="161" t="str">
        <f>IF(ISNA(VLOOKUP(A250,Declarations!B$6:D$293,3,FALSE)),"",IF(VLOOKUP(A250,Declarations!B$6:D$293,3,FALSE)="","",VLOOKUP(A250,Declarations!B$6:D$293,3,FALSE)))</f>
        <v/>
      </c>
      <c r="F250" s="51" t="str">
        <f>IF(B250="","",IF(ISNA(VLOOKUP(A250,'75m'!F$5:G$302,2,FALSE)),"",VLOOKUP(A250,'75m'!F$5:G$302,2,FALSE)))</f>
        <v/>
      </c>
      <c r="G250" s="51">
        <f>IF(B250="",0,IF(ISNA(VLOOKUP(A250,'75m'!F$5:J$302,5,FALSE)),0,VLOOKUP(A250,'75m'!F$5:J$302,5,FALSE)))</f>
        <v>0</v>
      </c>
      <c r="H250" s="51" t="str">
        <f>IF(B250="","",IF(ISNA(VLOOKUP(A250,'75m'!F$5:K$302,6,FALSE)),"",VLOOKUP(A250,'75m'!F$5:K$302,6,FALSE)))</f>
        <v/>
      </c>
      <c r="I250" s="53">
        <f>IF(B250="",0,IF(ISNA(VLOOKUP(A250,'600m'!F$5:J$302,2,FALSE)),0,VLOOKUP(A250,'600m'!F$5:J$302,2,FALSE)))</f>
        <v>0</v>
      </c>
      <c r="J250" s="51">
        <f>IF(B250="",0,IF(ISNA(VLOOKUP(A250,'600m'!F$5:J$302,5,FALSE)),0,VLOOKUP(A250,'600m'!F$5:J$302,5,FALSE)))</f>
        <v>0</v>
      </c>
      <c r="K250" s="51" t="str">
        <f>IF(B250="","",IF(ISNA(VLOOKUP(A250,'600m'!F$5:K$302,6,FALSE)),"",VLOOKUP(A250,'600m'!F$5:K$302,6,FALSE)))</f>
        <v/>
      </c>
      <c r="L250" s="51" t="str">
        <f>IF(B250="","",IF(ISNA(VLOOKUP(A250,LongJump!F$5:G$302,2,FALSE)),"",VLOOKUP(A250,LongJump!F$5:G$302,2,FALSE)))</f>
        <v/>
      </c>
      <c r="M250" s="51">
        <f>IF(B250="",0,IF(ISNA(VLOOKUP(A250,LongJump!F$5:J$302,5,FALSE)),0,VLOOKUP(A250,LongJump!F$5:J$302,5,FALSE)))</f>
        <v>0</v>
      </c>
      <c r="N250" s="51">
        <f>IF(B250="",0,IF(ISNA(VLOOKUP(A250,LongJump!F$5:K$302,6,FALSE)),0,VLOOKUP(A250,LongJump!F$5:K$302,6,FALSE)))</f>
        <v>0</v>
      </c>
      <c r="O250" s="51" t="str">
        <f>IF(B250="","",IF(ISNA(VLOOKUP(A250,Vortex!F$5:J$302,2,FALSE)),"",VLOOKUP(A250,Vortex!F$5:J$302,2,FALSE)))</f>
        <v/>
      </c>
      <c r="P250" s="51">
        <f>IF(B250="",0,IF(ISNA(VLOOKUP(A250,Vortex!F$5:J$302,5,FALSE)),0,VLOOKUP(A250,Vortex!F$5:J$302,5,FALSE)))</f>
        <v>0</v>
      </c>
      <c r="Q250" s="51">
        <f t="shared" si="29"/>
        <v>0</v>
      </c>
      <c r="R250" s="51" t="str">
        <f t="shared" si="25"/>
        <v/>
      </c>
      <c r="S250" s="51" t="str">
        <f t="shared" si="26"/>
        <v/>
      </c>
      <c r="T250" s="51" t="str">
        <f t="shared" si="27"/>
        <v/>
      </c>
      <c r="U250" s="51" t="str">
        <f t="shared" si="28"/>
        <v/>
      </c>
      <c r="V250" s="39"/>
    </row>
    <row r="251" spans="1:22" ht="20" customHeight="1">
      <c r="A251" s="51" t="str">
        <f>IF(Declarations!B203=0,"",Declarations!B203)</f>
        <v/>
      </c>
      <c r="B251" s="161" t="str">
        <f>IF(ISNA(VLOOKUP(A251,Declarations!B$6:C$293,2,FALSE)),"",IF(VLOOKUP(A251,Declarations!B$6:C$293,2,FALSE)="","",VLOOKUP(A251,Declarations!B$6:C$293,2,FALSE)))</f>
        <v/>
      </c>
      <c r="C251" s="161" t="str">
        <f>IF(ISNA(VLOOKUP(A251,Declarations!B$6:F$293,5,FALSE)),"",IF(VLOOKUP(A251,Declarations!B$6:F$293,5,FALSE)="","",VLOOKUP(A251,Declarations!B$6:F$293,5,FALSE)))</f>
        <v/>
      </c>
      <c r="D251" s="161" t="str">
        <f>IF(ISNA(VLOOKUP(A251,Declarations!B$6:F$293,4,FALSE)),"",IF(VLOOKUP(A251,Declarations!B$6:F$293,4,FALSE)="","",VLOOKUP(A251,Declarations!B$6:F$293,4,FALSE)))</f>
        <v/>
      </c>
      <c r="E251" s="161" t="str">
        <f>IF(ISNA(VLOOKUP(A251,Declarations!B$6:D$293,3,FALSE)),"",IF(VLOOKUP(A251,Declarations!B$6:D$293,3,FALSE)="","",VLOOKUP(A251,Declarations!B$6:D$293,3,FALSE)))</f>
        <v/>
      </c>
      <c r="F251" s="51" t="str">
        <f>IF(B251="","",IF(ISNA(VLOOKUP(A251,'75m'!F$5:G$302,2,FALSE)),"",VLOOKUP(A251,'75m'!F$5:G$302,2,FALSE)))</f>
        <v/>
      </c>
      <c r="G251" s="51">
        <f>IF(B251="",0,IF(ISNA(VLOOKUP(A251,'75m'!F$5:J$302,5,FALSE)),0,VLOOKUP(A251,'75m'!F$5:J$302,5,FALSE)))</f>
        <v>0</v>
      </c>
      <c r="H251" s="51" t="str">
        <f>IF(B251="","",IF(ISNA(VLOOKUP(A251,'75m'!F$5:K$302,6,FALSE)),"",VLOOKUP(A251,'75m'!F$5:K$302,6,FALSE)))</f>
        <v/>
      </c>
      <c r="I251" s="53">
        <f>IF(B251="",0,IF(ISNA(VLOOKUP(A251,'600m'!F$5:J$302,2,FALSE)),0,VLOOKUP(A251,'600m'!F$5:J$302,2,FALSE)))</f>
        <v>0</v>
      </c>
      <c r="J251" s="51">
        <f>IF(B251="",0,IF(ISNA(VLOOKUP(A251,'600m'!F$5:J$302,5,FALSE)),0,VLOOKUP(A251,'600m'!F$5:J$302,5,FALSE)))</f>
        <v>0</v>
      </c>
      <c r="K251" s="51" t="str">
        <f>IF(B251="","",IF(ISNA(VLOOKUP(A251,'600m'!F$5:K$302,6,FALSE)),"",VLOOKUP(A251,'600m'!F$5:K$302,6,FALSE)))</f>
        <v/>
      </c>
      <c r="L251" s="51" t="str">
        <f>IF(B251="","",IF(ISNA(VLOOKUP(A251,LongJump!F$5:G$302,2,FALSE)),"",VLOOKUP(A251,LongJump!F$5:G$302,2,FALSE)))</f>
        <v/>
      </c>
      <c r="M251" s="51">
        <f>IF(B251="",0,IF(ISNA(VLOOKUP(A251,LongJump!F$5:J$302,5,FALSE)),0,VLOOKUP(A251,LongJump!F$5:J$302,5,FALSE)))</f>
        <v>0</v>
      </c>
      <c r="N251" s="51">
        <f>IF(B251="",0,IF(ISNA(VLOOKUP(A251,LongJump!F$5:K$302,6,FALSE)),0,VLOOKUP(A251,LongJump!F$5:K$302,6,FALSE)))</f>
        <v>0</v>
      </c>
      <c r="O251" s="51" t="str">
        <f>IF(B251="","",IF(ISNA(VLOOKUP(A251,Vortex!F$5:J$302,2,FALSE)),"",VLOOKUP(A251,Vortex!F$5:J$302,2,FALSE)))</f>
        <v/>
      </c>
      <c r="P251" s="51">
        <f>IF(B251="",0,IF(ISNA(VLOOKUP(A251,Vortex!F$5:J$302,5,FALSE)),0,VLOOKUP(A251,Vortex!F$5:J$302,5,FALSE)))</f>
        <v>0</v>
      </c>
      <c r="Q251" s="51">
        <f t="shared" si="29"/>
        <v>0</v>
      </c>
      <c r="R251" s="51" t="str">
        <f t="shared" si="25"/>
        <v/>
      </c>
      <c r="S251" s="51" t="str">
        <f t="shared" si="26"/>
        <v/>
      </c>
      <c r="T251" s="51" t="str">
        <f t="shared" si="27"/>
        <v/>
      </c>
      <c r="U251" s="51" t="str">
        <f t="shared" si="28"/>
        <v/>
      </c>
      <c r="V251" s="39"/>
    </row>
    <row r="252" spans="1:22" ht="20" customHeight="1">
      <c r="A252" s="51" t="str">
        <f>IF(Declarations!B204=0,"",Declarations!B204)</f>
        <v/>
      </c>
      <c r="B252" s="161" t="str">
        <f>IF(ISNA(VLOOKUP(A252,Declarations!B$6:C$293,2,FALSE)),"",IF(VLOOKUP(A252,Declarations!B$6:C$293,2,FALSE)="","",VLOOKUP(A252,Declarations!B$6:C$293,2,FALSE)))</f>
        <v/>
      </c>
      <c r="C252" s="161" t="str">
        <f>IF(ISNA(VLOOKUP(A252,Declarations!B$6:F$293,5,FALSE)),"",IF(VLOOKUP(A252,Declarations!B$6:F$293,5,FALSE)="","",VLOOKUP(A252,Declarations!B$6:F$293,5,FALSE)))</f>
        <v/>
      </c>
      <c r="D252" s="161" t="str">
        <f>IF(ISNA(VLOOKUP(A252,Declarations!B$6:F$293,4,FALSE)),"",IF(VLOOKUP(A252,Declarations!B$6:F$293,4,FALSE)="","",VLOOKUP(A252,Declarations!B$6:F$293,4,FALSE)))</f>
        <v/>
      </c>
      <c r="E252" s="161" t="str">
        <f>IF(ISNA(VLOOKUP(A252,Declarations!B$6:D$293,3,FALSE)),"",IF(VLOOKUP(A252,Declarations!B$6:D$293,3,FALSE)="","",VLOOKUP(A252,Declarations!B$6:D$293,3,FALSE)))</f>
        <v/>
      </c>
      <c r="F252" s="51" t="str">
        <f>IF(B252="","",IF(ISNA(VLOOKUP(A252,'75m'!F$5:G$302,2,FALSE)),"",VLOOKUP(A252,'75m'!F$5:G$302,2,FALSE)))</f>
        <v/>
      </c>
      <c r="G252" s="51">
        <f>IF(B252="",0,IF(ISNA(VLOOKUP(A252,'75m'!F$5:J$302,5,FALSE)),0,VLOOKUP(A252,'75m'!F$5:J$302,5,FALSE)))</f>
        <v>0</v>
      </c>
      <c r="H252" s="51" t="str">
        <f>IF(B252="","",IF(ISNA(VLOOKUP(A252,'75m'!F$5:K$302,6,FALSE)),"",VLOOKUP(A252,'75m'!F$5:K$302,6,FALSE)))</f>
        <v/>
      </c>
      <c r="I252" s="53">
        <f>IF(B252="",0,IF(ISNA(VLOOKUP(A252,'600m'!F$5:J$302,2,FALSE)),0,VLOOKUP(A252,'600m'!F$5:J$302,2,FALSE)))</f>
        <v>0</v>
      </c>
      <c r="J252" s="51">
        <f>IF(B252="",0,IF(ISNA(VLOOKUP(A252,'600m'!F$5:J$302,5,FALSE)),0,VLOOKUP(A252,'600m'!F$5:J$302,5,FALSE)))</f>
        <v>0</v>
      </c>
      <c r="K252" s="51" t="str">
        <f>IF(B252="","",IF(ISNA(VLOOKUP(A252,'600m'!F$5:K$302,6,FALSE)),"",VLOOKUP(A252,'600m'!F$5:K$302,6,FALSE)))</f>
        <v/>
      </c>
      <c r="L252" s="51" t="str">
        <f>IF(B252="","",IF(ISNA(VLOOKUP(A252,LongJump!F$5:G$302,2,FALSE)),"",VLOOKUP(A252,LongJump!F$5:G$302,2,FALSE)))</f>
        <v/>
      </c>
      <c r="M252" s="51">
        <f>IF(B252="",0,IF(ISNA(VLOOKUP(A252,LongJump!F$5:J$302,5,FALSE)),0,VLOOKUP(A252,LongJump!F$5:J$302,5,FALSE)))</f>
        <v>0</v>
      </c>
      <c r="N252" s="51">
        <f>IF(B252="",0,IF(ISNA(VLOOKUP(A252,LongJump!F$5:K$302,6,FALSE)),0,VLOOKUP(A252,LongJump!F$5:K$302,6,FALSE)))</f>
        <v>0</v>
      </c>
      <c r="O252" s="51" t="str">
        <f>IF(B252="","",IF(ISNA(VLOOKUP(A252,Vortex!F$5:J$302,2,FALSE)),"",VLOOKUP(A252,Vortex!F$5:J$302,2,FALSE)))</f>
        <v/>
      </c>
      <c r="P252" s="51">
        <f>IF(B252="",0,IF(ISNA(VLOOKUP(A252,Vortex!F$5:J$302,5,FALSE)),0,VLOOKUP(A252,Vortex!F$5:J$302,5,FALSE)))</f>
        <v>0</v>
      </c>
      <c r="Q252" s="51">
        <f t="shared" si="29"/>
        <v>0</v>
      </c>
      <c r="R252" s="51" t="str">
        <f t="shared" si="25"/>
        <v/>
      </c>
      <c r="S252" s="51" t="str">
        <f t="shared" si="26"/>
        <v/>
      </c>
      <c r="T252" s="51" t="str">
        <f t="shared" si="27"/>
        <v/>
      </c>
      <c r="U252" s="51" t="str">
        <f t="shared" si="28"/>
        <v/>
      </c>
      <c r="V252" s="39"/>
    </row>
    <row r="253" spans="1:22" ht="20" customHeight="1">
      <c r="A253" s="51" t="str">
        <f>IF(Declarations!B205=0,"",Declarations!B205)</f>
        <v/>
      </c>
      <c r="B253" s="161" t="str">
        <f>IF(ISNA(VLOOKUP(A253,Declarations!B$6:C$293,2,FALSE)),"",IF(VLOOKUP(A253,Declarations!B$6:C$293,2,FALSE)="","",VLOOKUP(A253,Declarations!B$6:C$293,2,FALSE)))</f>
        <v/>
      </c>
      <c r="C253" s="161" t="str">
        <f>IF(ISNA(VLOOKUP(A253,Declarations!B$6:F$293,5,FALSE)),"",IF(VLOOKUP(A253,Declarations!B$6:F$293,5,FALSE)="","",VLOOKUP(A253,Declarations!B$6:F$293,5,FALSE)))</f>
        <v/>
      </c>
      <c r="D253" s="161" t="str">
        <f>IF(ISNA(VLOOKUP(A253,Declarations!B$6:F$293,4,FALSE)),"",IF(VLOOKUP(A253,Declarations!B$6:F$293,4,FALSE)="","",VLOOKUP(A253,Declarations!B$6:F$293,4,FALSE)))</f>
        <v/>
      </c>
      <c r="E253" s="161" t="str">
        <f>IF(ISNA(VLOOKUP(A253,Declarations!B$6:D$293,3,FALSE)),"",IF(VLOOKUP(A253,Declarations!B$6:D$293,3,FALSE)="","",VLOOKUP(A253,Declarations!B$6:D$293,3,FALSE)))</f>
        <v/>
      </c>
      <c r="F253" s="51" t="str">
        <f>IF(B253="","",IF(ISNA(VLOOKUP(A253,'75m'!F$5:G$302,2,FALSE)),"",VLOOKUP(A253,'75m'!F$5:G$302,2,FALSE)))</f>
        <v/>
      </c>
      <c r="G253" s="51">
        <f>IF(B253="",0,IF(ISNA(VLOOKUP(A253,'75m'!F$5:J$302,5,FALSE)),0,VLOOKUP(A253,'75m'!F$5:J$302,5,FALSE)))</f>
        <v>0</v>
      </c>
      <c r="H253" s="51" t="str">
        <f>IF(B253="","",IF(ISNA(VLOOKUP(A253,'75m'!F$5:K$302,6,FALSE)),"",VLOOKUP(A253,'75m'!F$5:K$302,6,FALSE)))</f>
        <v/>
      </c>
      <c r="I253" s="53">
        <f>IF(B253="",0,IF(ISNA(VLOOKUP(A253,'600m'!F$5:J$302,2,FALSE)),0,VLOOKUP(A253,'600m'!F$5:J$302,2,FALSE)))</f>
        <v>0</v>
      </c>
      <c r="J253" s="51">
        <f>IF(B253="",0,IF(ISNA(VLOOKUP(A253,'600m'!F$5:J$302,5,FALSE)),0,VLOOKUP(A253,'600m'!F$5:J$302,5,FALSE)))</f>
        <v>0</v>
      </c>
      <c r="K253" s="51" t="str">
        <f>IF(B253="","",IF(ISNA(VLOOKUP(A253,'600m'!F$5:K$302,6,FALSE)),"",VLOOKUP(A253,'600m'!F$5:K$302,6,FALSE)))</f>
        <v/>
      </c>
      <c r="L253" s="51" t="str">
        <f>IF(B253="","",IF(ISNA(VLOOKUP(A253,LongJump!F$5:G$302,2,FALSE)),"",VLOOKUP(A253,LongJump!F$5:G$302,2,FALSE)))</f>
        <v/>
      </c>
      <c r="M253" s="51">
        <f>IF(B253="",0,IF(ISNA(VLOOKUP(A253,LongJump!F$5:J$302,5,FALSE)),0,VLOOKUP(A253,LongJump!F$5:J$302,5,FALSE)))</f>
        <v>0</v>
      </c>
      <c r="N253" s="51">
        <f>IF(B253="",0,IF(ISNA(VLOOKUP(A253,LongJump!F$5:K$302,6,FALSE)),0,VLOOKUP(A253,LongJump!F$5:K$302,6,FALSE)))</f>
        <v>0</v>
      </c>
      <c r="O253" s="51" t="str">
        <f>IF(B253="","",IF(ISNA(VLOOKUP(A253,Vortex!F$5:J$302,2,FALSE)),"",VLOOKUP(A253,Vortex!F$5:J$302,2,FALSE)))</f>
        <v/>
      </c>
      <c r="P253" s="51">
        <f>IF(B253="",0,IF(ISNA(VLOOKUP(A253,Vortex!F$5:J$302,5,FALSE)),0,VLOOKUP(A253,Vortex!F$5:J$302,5,FALSE)))</f>
        <v>0</v>
      </c>
      <c r="Q253" s="51">
        <f t="shared" si="29"/>
        <v>0</v>
      </c>
      <c r="R253" s="51" t="str">
        <f t="shared" si="25"/>
        <v/>
      </c>
      <c r="S253" s="51" t="str">
        <f t="shared" si="26"/>
        <v/>
      </c>
      <c r="T253" s="51" t="str">
        <f t="shared" si="27"/>
        <v/>
      </c>
      <c r="U253" s="51" t="str">
        <f t="shared" si="28"/>
        <v/>
      </c>
      <c r="V253" s="39"/>
    </row>
    <row r="254" spans="1:22" ht="20" customHeight="1">
      <c r="A254" s="51" t="str">
        <f>IF(Declarations!B206=0,"",Declarations!B206)</f>
        <v/>
      </c>
      <c r="B254" s="161" t="str">
        <f>IF(ISNA(VLOOKUP(A254,Declarations!B$6:C$293,2,FALSE)),"",IF(VLOOKUP(A254,Declarations!B$6:C$293,2,FALSE)="","",VLOOKUP(A254,Declarations!B$6:C$293,2,FALSE)))</f>
        <v/>
      </c>
      <c r="C254" s="161" t="str">
        <f>IF(ISNA(VLOOKUP(A254,Declarations!B$6:F$293,5,FALSE)),"",IF(VLOOKUP(A254,Declarations!B$6:F$293,5,FALSE)="","",VLOOKUP(A254,Declarations!B$6:F$293,5,FALSE)))</f>
        <v/>
      </c>
      <c r="D254" s="161" t="str">
        <f>IF(ISNA(VLOOKUP(A254,Declarations!B$6:F$293,4,FALSE)),"",IF(VLOOKUP(A254,Declarations!B$6:F$293,4,FALSE)="","",VLOOKUP(A254,Declarations!B$6:F$293,4,FALSE)))</f>
        <v/>
      </c>
      <c r="E254" s="161" t="str">
        <f>IF(ISNA(VLOOKUP(A254,Declarations!B$6:D$293,3,FALSE)),"",IF(VLOOKUP(A254,Declarations!B$6:D$293,3,FALSE)="","",VLOOKUP(A254,Declarations!B$6:D$293,3,FALSE)))</f>
        <v/>
      </c>
      <c r="F254" s="51" t="str">
        <f>IF(B254="","",IF(ISNA(VLOOKUP(A254,'75m'!F$5:G$302,2,FALSE)),"",VLOOKUP(A254,'75m'!F$5:G$302,2,FALSE)))</f>
        <v/>
      </c>
      <c r="G254" s="51">
        <f>IF(B254="",0,IF(ISNA(VLOOKUP(A254,'75m'!F$5:J$302,5,FALSE)),0,VLOOKUP(A254,'75m'!F$5:J$302,5,FALSE)))</f>
        <v>0</v>
      </c>
      <c r="H254" s="51" t="str">
        <f>IF(B254="","",IF(ISNA(VLOOKUP(A254,'75m'!F$5:K$302,6,FALSE)),"",VLOOKUP(A254,'75m'!F$5:K$302,6,FALSE)))</f>
        <v/>
      </c>
      <c r="I254" s="53">
        <f>IF(B254="",0,IF(ISNA(VLOOKUP(A254,'600m'!F$5:J$302,2,FALSE)),0,VLOOKUP(A254,'600m'!F$5:J$302,2,FALSE)))</f>
        <v>0</v>
      </c>
      <c r="J254" s="51">
        <f>IF(B254="",0,IF(ISNA(VLOOKUP(A254,'600m'!F$5:J$302,5,FALSE)),0,VLOOKUP(A254,'600m'!F$5:J$302,5,FALSE)))</f>
        <v>0</v>
      </c>
      <c r="K254" s="51" t="str">
        <f>IF(B254="","",IF(ISNA(VLOOKUP(A254,'600m'!F$5:K$302,6,FALSE)),"",VLOOKUP(A254,'600m'!F$5:K$302,6,FALSE)))</f>
        <v/>
      </c>
      <c r="L254" s="51" t="str">
        <f>IF(B254="","",IF(ISNA(VLOOKUP(A254,LongJump!F$5:G$302,2,FALSE)),"",VLOOKUP(A254,LongJump!F$5:G$302,2,FALSE)))</f>
        <v/>
      </c>
      <c r="M254" s="51">
        <f>IF(B254="",0,IF(ISNA(VLOOKUP(A254,LongJump!F$5:J$302,5,FALSE)),0,VLOOKUP(A254,LongJump!F$5:J$302,5,FALSE)))</f>
        <v>0</v>
      </c>
      <c r="N254" s="51">
        <f>IF(B254="",0,IF(ISNA(VLOOKUP(A254,LongJump!F$5:K$302,6,FALSE)),0,VLOOKUP(A254,LongJump!F$5:K$302,6,FALSE)))</f>
        <v>0</v>
      </c>
      <c r="O254" s="51" t="str">
        <f>IF(B254="","",IF(ISNA(VLOOKUP(A254,Vortex!F$5:J$302,2,FALSE)),"",VLOOKUP(A254,Vortex!F$5:J$302,2,FALSE)))</f>
        <v/>
      </c>
      <c r="P254" s="51">
        <f>IF(B254="",0,IF(ISNA(VLOOKUP(A254,Vortex!F$5:J$302,5,FALSE)),0,VLOOKUP(A254,Vortex!F$5:J$302,5,FALSE)))</f>
        <v>0</v>
      </c>
      <c r="Q254" s="51">
        <f t="shared" si="29"/>
        <v>0</v>
      </c>
      <c r="R254" s="51" t="str">
        <f t="shared" si="25"/>
        <v/>
      </c>
      <c r="S254" s="51" t="str">
        <f t="shared" si="26"/>
        <v/>
      </c>
      <c r="T254" s="51" t="str">
        <f t="shared" si="27"/>
        <v/>
      </c>
      <c r="U254" s="51" t="str">
        <f t="shared" si="28"/>
        <v/>
      </c>
      <c r="V254" s="39"/>
    </row>
    <row r="255" spans="1:22" ht="20" customHeight="1">
      <c r="A255" s="51" t="str">
        <f>IF(Declarations!B207=0,"",Declarations!B207)</f>
        <v/>
      </c>
      <c r="B255" s="161" t="str">
        <f>IF(ISNA(VLOOKUP(A255,Declarations!B$6:C$293,2,FALSE)),"",IF(VLOOKUP(A255,Declarations!B$6:C$293,2,FALSE)="","",VLOOKUP(A255,Declarations!B$6:C$293,2,FALSE)))</f>
        <v/>
      </c>
      <c r="C255" s="161" t="str">
        <f>IF(ISNA(VLOOKUP(A255,Declarations!B$6:F$293,5,FALSE)),"",IF(VLOOKUP(A255,Declarations!B$6:F$293,5,FALSE)="","",VLOOKUP(A255,Declarations!B$6:F$293,5,FALSE)))</f>
        <v/>
      </c>
      <c r="D255" s="161" t="str">
        <f>IF(ISNA(VLOOKUP(A255,Declarations!B$6:F$293,4,FALSE)),"",IF(VLOOKUP(A255,Declarations!B$6:F$293,4,FALSE)="","",VLOOKUP(A255,Declarations!B$6:F$293,4,FALSE)))</f>
        <v/>
      </c>
      <c r="E255" s="161" t="str">
        <f>IF(ISNA(VLOOKUP(A255,Declarations!B$6:D$293,3,FALSE)),"",IF(VLOOKUP(A255,Declarations!B$6:D$293,3,FALSE)="","",VLOOKUP(A255,Declarations!B$6:D$293,3,FALSE)))</f>
        <v/>
      </c>
      <c r="F255" s="51" t="str">
        <f>IF(B255="","",IF(ISNA(VLOOKUP(A255,'75m'!F$5:G$302,2,FALSE)),"",VLOOKUP(A255,'75m'!F$5:G$302,2,FALSE)))</f>
        <v/>
      </c>
      <c r="G255" s="51">
        <f>IF(B255="",0,IF(ISNA(VLOOKUP(A255,'75m'!F$5:J$302,5,FALSE)),0,VLOOKUP(A255,'75m'!F$5:J$302,5,FALSE)))</f>
        <v>0</v>
      </c>
      <c r="H255" s="51" t="str">
        <f>IF(B255="","",IF(ISNA(VLOOKUP(A255,'75m'!F$5:K$302,6,FALSE)),"",VLOOKUP(A255,'75m'!F$5:K$302,6,FALSE)))</f>
        <v/>
      </c>
      <c r="I255" s="53">
        <f>IF(B255="",0,IF(ISNA(VLOOKUP(A255,'600m'!F$5:J$302,2,FALSE)),0,VLOOKUP(A255,'600m'!F$5:J$302,2,FALSE)))</f>
        <v>0</v>
      </c>
      <c r="J255" s="51">
        <f>IF(B255="",0,IF(ISNA(VLOOKUP(A255,'600m'!F$5:J$302,5,FALSE)),0,VLOOKUP(A255,'600m'!F$5:J$302,5,FALSE)))</f>
        <v>0</v>
      </c>
      <c r="K255" s="51" t="str">
        <f>IF(B255="","",IF(ISNA(VLOOKUP(A255,'600m'!F$5:K$302,6,FALSE)),"",VLOOKUP(A255,'600m'!F$5:K$302,6,FALSE)))</f>
        <v/>
      </c>
      <c r="L255" s="51" t="str">
        <f>IF(B255="","",IF(ISNA(VLOOKUP(A255,LongJump!F$5:G$302,2,FALSE)),"",VLOOKUP(A255,LongJump!F$5:G$302,2,FALSE)))</f>
        <v/>
      </c>
      <c r="M255" s="51">
        <f>IF(B255="",0,IF(ISNA(VLOOKUP(A255,LongJump!F$5:J$302,5,FALSE)),0,VLOOKUP(A255,LongJump!F$5:J$302,5,FALSE)))</f>
        <v>0</v>
      </c>
      <c r="N255" s="51">
        <f>IF(B255="",0,IF(ISNA(VLOOKUP(A255,LongJump!F$5:K$302,6,FALSE)),0,VLOOKUP(A255,LongJump!F$5:K$302,6,FALSE)))</f>
        <v>0</v>
      </c>
      <c r="O255" s="51" t="str">
        <f>IF(B255="","",IF(ISNA(VLOOKUP(A255,Vortex!F$5:J$302,2,FALSE)),"",VLOOKUP(A255,Vortex!F$5:J$302,2,FALSE)))</f>
        <v/>
      </c>
      <c r="P255" s="51">
        <f>IF(B255="",0,IF(ISNA(VLOOKUP(A255,Vortex!F$5:J$302,5,FALSE)),0,VLOOKUP(A255,Vortex!F$5:J$302,5,FALSE)))</f>
        <v>0</v>
      </c>
      <c r="Q255" s="51">
        <f t="shared" si="29"/>
        <v>0</v>
      </c>
      <c r="R255" s="51" t="str">
        <f t="shared" si="25"/>
        <v/>
      </c>
      <c r="S255" s="51" t="str">
        <f t="shared" si="26"/>
        <v/>
      </c>
      <c r="T255" s="51" t="str">
        <f t="shared" si="27"/>
        <v/>
      </c>
      <c r="U255" s="51" t="str">
        <f t="shared" si="28"/>
        <v/>
      </c>
      <c r="V255" s="39"/>
    </row>
    <row r="256" spans="1:22" ht="20" customHeight="1">
      <c r="A256" s="51" t="str">
        <f>IF(Declarations!B208=0,"",Declarations!B208)</f>
        <v/>
      </c>
      <c r="B256" s="161" t="str">
        <f>IF(ISNA(VLOOKUP(A256,Declarations!B$6:C$293,2,FALSE)),"",IF(VLOOKUP(A256,Declarations!B$6:C$293,2,FALSE)="","",VLOOKUP(A256,Declarations!B$6:C$293,2,FALSE)))</f>
        <v/>
      </c>
      <c r="C256" s="161" t="str">
        <f>IF(ISNA(VLOOKUP(A256,Declarations!B$6:F$293,5,FALSE)),"",IF(VLOOKUP(A256,Declarations!B$6:F$293,5,FALSE)="","",VLOOKUP(A256,Declarations!B$6:F$293,5,FALSE)))</f>
        <v/>
      </c>
      <c r="D256" s="161" t="str">
        <f>IF(ISNA(VLOOKUP(A256,Declarations!B$6:F$293,4,FALSE)),"",IF(VLOOKUP(A256,Declarations!B$6:F$293,4,FALSE)="","",VLOOKUP(A256,Declarations!B$6:F$293,4,FALSE)))</f>
        <v/>
      </c>
      <c r="E256" s="161" t="str">
        <f>IF(ISNA(VLOOKUP(A256,Declarations!B$6:D$293,3,FALSE)),"",IF(VLOOKUP(A256,Declarations!B$6:D$293,3,FALSE)="","",VLOOKUP(A256,Declarations!B$6:D$293,3,FALSE)))</f>
        <v/>
      </c>
      <c r="F256" s="51" t="str">
        <f>IF(B256="","",IF(ISNA(VLOOKUP(A256,'75m'!F$5:G$302,2,FALSE)),"",VLOOKUP(A256,'75m'!F$5:G$302,2,FALSE)))</f>
        <v/>
      </c>
      <c r="G256" s="51">
        <f>IF(B256="",0,IF(ISNA(VLOOKUP(A256,'75m'!F$5:J$302,5,FALSE)),0,VLOOKUP(A256,'75m'!F$5:J$302,5,FALSE)))</f>
        <v>0</v>
      </c>
      <c r="H256" s="51" t="str">
        <f>IF(B256="","",IF(ISNA(VLOOKUP(A256,'75m'!F$5:K$302,6,FALSE)),"",VLOOKUP(A256,'75m'!F$5:K$302,6,FALSE)))</f>
        <v/>
      </c>
      <c r="I256" s="53">
        <f>IF(B256="",0,IF(ISNA(VLOOKUP(A256,'600m'!F$5:J$302,2,FALSE)),0,VLOOKUP(A256,'600m'!F$5:J$302,2,FALSE)))</f>
        <v>0</v>
      </c>
      <c r="J256" s="51">
        <f>IF(B256="",0,IF(ISNA(VLOOKUP(A256,'600m'!F$5:J$302,5,FALSE)),0,VLOOKUP(A256,'600m'!F$5:J$302,5,FALSE)))</f>
        <v>0</v>
      </c>
      <c r="K256" s="51" t="str">
        <f>IF(B256="","",IF(ISNA(VLOOKUP(A256,'600m'!F$5:K$302,6,FALSE)),"",VLOOKUP(A256,'600m'!F$5:K$302,6,FALSE)))</f>
        <v/>
      </c>
      <c r="L256" s="51" t="str">
        <f>IF(B256="","",IF(ISNA(VLOOKUP(A256,LongJump!F$5:G$302,2,FALSE)),"",VLOOKUP(A256,LongJump!F$5:G$302,2,FALSE)))</f>
        <v/>
      </c>
      <c r="M256" s="51">
        <f>IF(B256="",0,IF(ISNA(VLOOKUP(A256,LongJump!F$5:J$302,5,FALSE)),0,VLOOKUP(A256,LongJump!F$5:J$302,5,FALSE)))</f>
        <v>0</v>
      </c>
      <c r="N256" s="51">
        <f>IF(B256="",0,IF(ISNA(VLOOKUP(A256,LongJump!F$5:K$302,6,FALSE)),0,VLOOKUP(A256,LongJump!F$5:K$302,6,FALSE)))</f>
        <v>0</v>
      </c>
      <c r="O256" s="51" t="str">
        <f>IF(B256="","",IF(ISNA(VLOOKUP(A256,Vortex!F$5:J$302,2,FALSE)),"",VLOOKUP(A256,Vortex!F$5:J$302,2,FALSE)))</f>
        <v/>
      </c>
      <c r="P256" s="51">
        <f>IF(B256="",0,IF(ISNA(VLOOKUP(A256,Vortex!F$5:J$302,5,FALSE)),0,VLOOKUP(A256,Vortex!F$5:J$302,5,FALSE)))</f>
        <v>0</v>
      </c>
      <c r="Q256" s="51">
        <f t="shared" si="29"/>
        <v>0</v>
      </c>
      <c r="R256" s="51" t="str">
        <f t="shared" si="25"/>
        <v/>
      </c>
      <c r="S256" s="51" t="str">
        <f t="shared" si="26"/>
        <v/>
      </c>
      <c r="T256" s="51" t="str">
        <f t="shared" si="27"/>
        <v/>
      </c>
      <c r="U256" s="51" t="str">
        <f t="shared" si="28"/>
        <v/>
      </c>
      <c r="V256" s="39"/>
    </row>
    <row r="257" spans="1:25" ht="20" customHeight="1">
      <c r="A257" s="51" t="str">
        <f>IF(Declarations!B209=0,"",Declarations!B209)</f>
        <v/>
      </c>
      <c r="B257" s="161" t="str">
        <f>IF(ISNA(VLOOKUP(A257,Declarations!B$6:C$293,2,FALSE)),"",IF(VLOOKUP(A257,Declarations!B$6:C$293,2,FALSE)="","",VLOOKUP(A257,Declarations!B$6:C$293,2,FALSE)))</f>
        <v/>
      </c>
      <c r="C257" s="161" t="str">
        <f>IF(ISNA(VLOOKUP(A257,Declarations!B$6:F$293,5,FALSE)),"",IF(VLOOKUP(A257,Declarations!B$6:F$293,5,FALSE)="","",VLOOKUP(A257,Declarations!B$6:F$293,5,FALSE)))</f>
        <v/>
      </c>
      <c r="D257" s="161" t="str">
        <f>IF(ISNA(VLOOKUP(A257,Declarations!B$6:F$293,4,FALSE)),"",IF(VLOOKUP(A257,Declarations!B$6:F$293,4,FALSE)="","",VLOOKUP(A257,Declarations!B$6:F$293,4,FALSE)))</f>
        <v/>
      </c>
      <c r="E257" s="161" t="str">
        <f>IF(ISNA(VLOOKUP(A257,Declarations!B$6:D$293,3,FALSE)),"",IF(VLOOKUP(A257,Declarations!B$6:D$293,3,FALSE)="","",VLOOKUP(A257,Declarations!B$6:D$293,3,FALSE)))</f>
        <v/>
      </c>
      <c r="F257" s="51" t="str">
        <f>IF(B257="","",IF(ISNA(VLOOKUP(A257,'75m'!F$5:G$302,2,FALSE)),"",VLOOKUP(A257,'75m'!F$5:G$302,2,FALSE)))</f>
        <v/>
      </c>
      <c r="G257" s="51">
        <f>IF(B257="",0,IF(ISNA(VLOOKUP(A257,'75m'!F$5:J$302,5,FALSE)),0,VLOOKUP(A257,'75m'!F$5:J$302,5,FALSE)))</f>
        <v>0</v>
      </c>
      <c r="H257" s="51" t="str">
        <f>IF(B257="","",IF(ISNA(VLOOKUP(A257,'75m'!F$5:K$302,6,FALSE)),"",VLOOKUP(A257,'75m'!F$5:K$302,6,FALSE)))</f>
        <v/>
      </c>
      <c r="I257" s="53">
        <f>IF(B257="",0,IF(ISNA(VLOOKUP(A257,'600m'!F$5:J$302,2,FALSE)),0,VLOOKUP(A257,'600m'!F$5:J$302,2,FALSE)))</f>
        <v>0</v>
      </c>
      <c r="J257" s="51">
        <f>IF(B257="",0,IF(ISNA(VLOOKUP(A257,'600m'!F$5:J$302,5,FALSE)),0,VLOOKUP(A257,'600m'!F$5:J$302,5,FALSE)))</f>
        <v>0</v>
      </c>
      <c r="K257" s="51" t="str">
        <f>IF(B257="","",IF(ISNA(VLOOKUP(A257,'600m'!F$5:K$302,6,FALSE)),"",VLOOKUP(A257,'600m'!F$5:K$302,6,FALSE)))</f>
        <v/>
      </c>
      <c r="L257" s="51" t="str">
        <f>IF(B257="","",IF(ISNA(VLOOKUP(A257,LongJump!F$5:G$302,2,FALSE)),"",VLOOKUP(A257,LongJump!F$5:G$302,2,FALSE)))</f>
        <v/>
      </c>
      <c r="M257" s="51">
        <f>IF(B257="",0,IF(ISNA(VLOOKUP(A257,LongJump!F$5:J$302,5,FALSE)),0,VLOOKUP(A257,LongJump!F$5:J$302,5,FALSE)))</f>
        <v>0</v>
      </c>
      <c r="N257" s="51">
        <f>IF(B257="",0,IF(ISNA(VLOOKUP(A257,LongJump!F$5:K$302,6,FALSE)),0,VLOOKUP(A257,LongJump!F$5:K$302,6,FALSE)))</f>
        <v>0</v>
      </c>
      <c r="O257" s="51" t="str">
        <f>IF(B257="","",IF(ISNA(VLOOKUP(A257,Vortex!F$5:J$302,2,FALSE)),"",VLOOKUP(A257,Vortex!F$5:J$302,2,FALSE)))</f>
        <v/>
      </c>
      <c r="P257" s="51">
        <f>IF(B257="",0,IF(ISNA(VLOOKUP(A257,Vortex!F$5:J$302,5,FALSE)),0,VLOOKUP(A257,Vortex!F$5:J$302,5,FALSE)))</f>
        <v>0</v>
      </c>
      <c r="Q257" s="51">
        <f t="shared" si="29"/>
        <v>0</v>
      </c>
      <c r="R257" s="51" t="str">
        <f t="shared" si="25"/>
        <v/>
      </c>
      <c r="S257" s="51" t="str">
        <f t="shared" si="26"/>
        <v/>
      </c>
      <c r="T257" s="51" t="str">
        <f t="shared" si="27"/>
        <v/>
      </c>
      <c r="U257" s="51" t="str">
        <f t="shared" si="28"/>
        <v/>
      </c>
      <c r="V257" s="39"/>
    </row>
    <row r="258" spans="1:25" ht="20" customHeight="1">
      <c r="A258" s="51" t="str">
        <f>IF(Declarations!B210=0,"",Declarations!B210)</f>
        <v/>
      </c>
      <c r="B258" s="161" t="str">
        <f>IF(ISNA(VLOOKUP(A258,Declarations!B$6:C$293,2,FALSE)),"",IF(VLOOKUP(A258,Declarations!B$6:C$293,2,FALSE)="","",VLOOKUP(A258,Declarations!B$6:C$293,2,FALSE)))</f>
        <v/>
      </c>
      <c r="C258" s="161" t="str">
        <f>IF(ISNA(VLOOKUP(A258,Declarations!B$6:F$293,5,FALSE)),"",IF(VLOOKUP(A258,Declarations!B$6:F$293,5,FALSE)="","",VLOOKUP(A258,Declarations!B$6:F$293,5,FALSE)))</f>
        <v/>
      </c>
      <c r="D258" s="161" t="str">
        <f>IF(ISNA(VLOOKUP(A258,Declarations!B$6:F$293,4,FALSE)),"",IF(VLOOKUP(A258,Declarations!B$6:F$293,4,FALSE)="","",VLOOKUP(A258,Declarations!B$6:F$293,4,FALSE)))</f>
        <v/>
      </c>
      <c r="E258" s="161" t="str">
        <f>IF(ISNA(VLOOKUP(A258,Declarations!B$6:D$293,3,FALSE)),"",IF(VLOOKUP(A258,Declarations!B$6:D$293,3,FALSE)="","",VLOOKUP(A258,Declarations!B$6:D$293,3,FALSE)))</f>
        <v/>
      </c>
      <c r="F258" s="51" t="str">
        <f>IF(B258="","",IF(ISNA(VLOOKUP(A258,'75m'!F$5:G$302,2,FALSE)),"",VLOOKUP(A258,'75m'!F$5:G$302,2,FALSE)))</f>
        <v/>
      </c>
      <c r="G258" s="51">
        <f>IF(B258="",0,IF(ISNA(VLOOKUP(A258,'75m'!F$5:J$302,5,FALSE)),0,VLOOKUP(A258,'75m'!F$5:J$302,5,FALSE)))</f>
        <v>0</v>
      </c>
      <c r="H258" s="51" t="str">
        <f>IF(B258="","",IF(ISNA(VLOOKUP(A258,'75m'!F$5:K$302,6,FALSE)),"",VLOOKUP(A258,'75m'!F$5:K$302,6,FALSE)))</f>
        <v/>
      </c>
      <c r="I258" s="53">
        <f>IF(B258="",0,IF(ISNA(VLOOKUP(A258,'600m'!F$5:J$302,2,FALSE)),0,VLOOKUP(A258,'600m'!F$5:J$302,2,FALSE)))</f>
        <v>0</v>
      </c>
      <c r="J258" s="51">
        <f>IF(B258="",0,IF(ISNA(VLOOKUP(A258,'600m'!F$5:J$302,5,FALSE)),0,VLOOKUP(A258,'600m'!F$5:J$302,5,FALSE)))</f>
        <v>0</v>
      </c>
      <c r="K258" s="51" t="str">
        <f>IF(B258="","",IF(ISNA(VLOOKUP(A258,'600m'!F$5:K$302,6,FALSE)),"",VLOOKUP(A258,'600m'!F$5:K$302,6,FALSE)))</f>
        <v/>
      </c>
      <c r="L258" s="51" t="str">
        <f>IF(B258="","",IF(ISNA(VLOOKUP(A258,LongJump!F$5:G$302,2,FALSE)),"",VLOOKUP(A258,LongJump!F$5:G$302,2,FALSE)))</f>
        <v/>
      </c>
      <c r="M258" s="51">
        <f>IF(B258="",0,IF(ISNA(VLOOKUP(A258,LongJump!F$5:J$302,5,FALSE)),0,VLOOKUP(A258,LongJump!F$5:J$302,5,FALSE)))</f>
        <v>0</v>
      </c>
      <c r="N258" s="51">
        <f>IF(B258="",0,IF(ISNA(VLOOKUP(A258,LongJump!F$5:K$302,6,FALSE)),0,VLOOKUP(A258,LongJump!F$5:K$302,6,FALSE)))</f>
        <v>0</v>
      </c>
      <c r="O258" s="51" t="str">
        <f>IF(B258="","",IF(ISNA(VLOOKUP(A258,Vortex!F$5:J$302,2,FALSE)),"",VLOOKUP(A258,Vortex!F$5:J$302,2,FALSE)))</f>
        <v/>
      </c>
      <c r="P258" s="51">
        <f>IF(B258="",0,IF(ISNA(VLOOKUP(A258,Vortex!F$5:J$302,5,FALSE)),0,VLOOKUP(A258,Vortex!F$5:J$302,5,FALSE)))</f>
        <v>0</v>
      </c>
      <c r="Q258" s="51">
        <f t="shared" si="29"/>
        <v>0</v>
      </c>
      <c r="R258" s="51" t="str">
        <f t="shared" si="25"/>
        <v/>
      </c>
      <c r="S258" s="51" t="str">
        <f t="shared" si="26"/>
        <v/>
      </c>
      <c r="T258" s="51" t="str">
        <f t="shared" si="27"/>
        <v/>
      </c>
      <c r="U258" s="51" t="str">
        <f t="shared" si="28"/>
        <v/>
      </c>
      <c r="V258" s="39"/>
    </row>
    <row r="259" spans="1:25" ht="20" customHeight="1">
      <c r="A259" s="51" t="str">
        <f>IF(Declarations!B211=0,"",Declarations!B211)</f>
        <v/>
      </c>
      <c r="B259" s="161" t="str">
        <f>IF(ISNA(VLOOKUP(A259,Declarations!B$6:C$293,2,FALSE)),"",IF(VLOOKUP(A259,Declarations!B$6:C$293,2,FALSE)="","",VLOOKUP(A259,Declarations!B$6:C$293,2,FALSE)))</f>
        <v/>
      </c>
      <c r="C259" s="161" t="str">
        <f>IF(ISNA(VLOOKUP(A259,Declarations!B$6:F$293,5,FALSE)),"",IF(VLOOKUP(A259,Declarations!B$6:F$293,5,FALSE)="","",VLOOKUP(A259,Declarations!B$6:F$293,5,FALSE)))</f>
        <v/>
      </c>
      <c r="D259" s="161" t="str">
        <f>IF(ISNA(VLOOKUP(A259,Declarations!B$6:F$293,4,FALSE)),"",IF(VLOOKUP(A259,Declarations!B$6:F$293,4,FALSE)="","",VLOOKUP(A259,Declarations!B$6:F$293,4,FALSE)))</f>
        <v/>
      </c>
      <c r="E259" s="161" t="str">
        <f>IF(ISNA(VLOOKUP(A259,Declarations!B$6:D$293,3,FALSE)),"",IF(VLOOKUP(A259,Declarations!B$6:D$293,3,FALSE)="","",VLOOKUP(A259,Declarations!B$6:D$293,3,FALSE)))</f>
        <v/>
      </c>
      <c r="F259" s="51" t="str">
        <f>IF(B259="","",IF(ISNA(VLOOKUP(A259,'75m'!F$5:G$302,2,FALSE)),"",VLOOKUP(A259,'75m'!F$5:G$302,2,FALSE)))</f>
        <v/>
      </c>
      <c r="G259" s="51">
        <f>IF(B259="",0,IF(ISNA(VLOOKUP(A259,'75m'!F$5:J$302,5,FALSE)),0,VLOOKUP(A259,'75m'!F$5:J$302,5,FALSE)))</f>
        <v>0</v>
      </c>
      <c r="H259" s="51" t="str">
        <f>IF(B259="","",IF(ISNA(VLOOKUP(A259,'75m'!F$5:K$302,6,FALSE)),"",VLOOKUP(A259,'75m'!F$5:K$302,6,FALSE)))</f>
        <v/>
      </c>
      <c r="I259" s="53">
        <f>IF(B259="",0,IF(ISNA(VLOOKUP(A259,'600m'!F$5:J$302,2,FALSE)),0,VLOOKUP(A259,'600m'!F$5:J$302,2,FALSE)))</f>
        <v>0</v>
      </c>
      <c r="J259" s="51">
        <f>IF(B259="",0,IF(ISNA(VLOOKUP(A259,'600m'!F$5:J$302,5,FALSE)),0,VLOOKUP(A259,'600m'!F$5:J$302,5,FALSE)))</f>
        <v>0</v>
      </c>
      <c r="K259" s="51" t="str">
        <f>IF(B259="","",IF(ISNA(VLOOKUP(A259,'600m'!F$5:K$302,6,FALSE)),"",VLOOKUP(A259,'600m'!F$5:K$302,6,FALSE)))</f>
        <v/>
      </c>
      <c r="L259" s="51" t="str">
        <f>IF(B259="","",IF(ISNA(VLOOKUP(A259,LongJump!F$5:G$302,2,FALSE)),"",VLOOKUP(A259,LongJump!F$5:G$302,2,FALSE)))</f>
        <v/>
      </c>
      <c r="M259" s="51">
        <f>IF(B259="",0,IF(ISNA(VLOOKUP(A259,LongJump!F$5:J$302,5,FALSE)),0,VLOOKUP(A259,LongJump!F$5:J$302,5,FALSE)))</f>
        <v>0</v>
      </c>
      <c r="N259" s="51">
        <f>IF(B259="",0,IF(ISNA(VLOOKUP(A259,LongJump!F$5:K$302,6,FALSE)),0,VLOOKUP(A259,LongJump!F$5:K$302,6,FALSE)))</f>
        <v>0</v>
      </c>
      <c r="O259" s="51" t="str">
        <f>IF(B259="","",IF(ISNA(VLOOKUP(A259,Vortex!F$5:J$302,2,FALSE)),"",VLOOKUP(A259,Vortex!F$5:J$302,2,FALSE)))</f>
        <v/>
      </c>
      <c r="P259" s="51">
        <f>IF(B259="",0,IF(ISNA(VLOOKUP(A259,Vortex!F$5:J$302,5,FALSE)),0,VLOOKUP(A259,Vortex!F$5:J$302,5,FALSE)))</f>
        <v>0</v>
      </c>
      <c r="Q259" s="51">
        <f t="shared" si="29"/>
        <v>0</v>
      </c>
      <c r="R259" s="51" t="str">
        <f t="shared" si="25"/>
        <v/>
      </c>
      <c r="S259" s="51" t="str">
        <f t="shared" si="26"/>
        <v/>
      </c>
      <c r="T259" s="51" t="str">
        <f t="shared" si="27"/>
        <v/>
      </c>
      <c r="U259" s="51" t="str">
        <f t="shared" si="28"/>
        <v/>
      </c>
      <c r="V259" s="39"/>
    </row>
    <row r="260" spans="1:25" ht="20" customHeight="1">
      <c r="A260" s="51" t="str">
        <f>IF(Declarations!B212=0,"",Declarations!B212)</f>
        <v/>
      </c>
      <c r="B260" s="161" t="str">
        <f>IF(ISNA(VLOOKUP(A260,Declarations!B$6:C$293,2,FALSE)),"",IF(VLOOKUP(A260,Declarations!B$6:C$293,2,FALSE)="","",VLOOKUP(A260,Declarations!B$6:C$293,2,FALSE)))</f>
        <v/>
      </c>
      <c r="C260" s="161" t="str">
        <f>IF(ISNA(VLOOKUP(A260,Declarations!B$6:F$293,5,FALSE)),"",IF(VLOOKUP(A260,Declarations!B$6:F$293,5,FALSE)="","",VLOOKUP(A260,Declarations!B$6:F$293,5,FALSE)))</f>
        <v/>
      </c>
      <c r="D260" s="161" t="str">
        <f>IF(ISNA(VLOOKUP(A260,Declarations!B$6:F$293,4,FALSE)),"",IF(VLOOKUP(A260,Declarations!B$6:F$293,4,FALSE)="","",VLOOKUP(A260,Declarations!B$6:F$293,4,FALSE)))</f>
        <v/>
      </c>
      <c r="E260" s="161" t="str">
        <f>IF(ISNA(VLOOKUP(A260,Declarations!B$6:D$293,3,FALSE)),"",IF(VLOOKUP(A260,Declarations!B$6:D$293,3,FALSE)="","",VLOOKUP(A260,Declarations!B$6:D$293,3,FALSE)))</f>
        <v/>
      </c>
      <c r="F260" s="51" t="str">
        <f>IF(B260="","",IF(ISNA(VLOOKUP(A260,'75m'!F$5:G$302,2,FALSE)),"",VLOOKUP(A260,'75m'!F$5:G$302,2,FALSE)))</f>
        <v/>
      </c>
      <c r="G260" s="51">
        <f>IF(B260="",0,IF(ISNA(VLOOKUP(A260,'75m'!F$5:J$302,5,FALSE)),0,VLOOKUP(A260,'75m'!F$5:J$302,5,FALSE)))</f>
        <v>0</v>
      </c>
      <c r="H260" s="51" t="str">
        <f>IF(B260="","",IF(ISNA(VLOOKUP(A260,'75m'!F$5:K$302,6,FALSE)),"",VLOOKUP(A260,'75m'!F$5:K$302,6,FALSE)))</f>
        <v/>
      </c>
      <c r="I260" s="53">
        <f>IF(B260="",0,IF(ISNA(VLOOKUP(A260,'600m'!F$5:J$302,2,FALSE)),0,VLOOKUP(A260,'600m'!F$5:J$302,2,FALSE)))</f>
        <v>0</v>
      </c>
      <c r="J260" s="51">
        <f>IF(B260="",0,IF(ISNA(VLOOKUP(A260,'600m'!F$5:J$302,5,FALSE)),0,VLOOKUP(A260,'600m'!F$5:J$302,5,FALSE)))</f>
        <v>0</v>
      </c>
      <c r="K260" s="51" t="str">
        <f>IF(B260="","",IF(ISNA(VLOOKUP(A260,'600m'!F$5:K$302,6,FALSE)),"",VLOOKUP(A260,'600m'!F$5:K$302,6,FALSE)))</f>
        <v/>
      </c>
      <c r="L260" s="51" t="str">
        <f>IF(B260="","",IF(ISNA(VLOOKUP(A260,LongJump!F$5:G$302,2,FALSE)),"",VLOOKUP(A260,LongJump!F$5:G$302,2,FALSE)))</f>
        <v/>
      </c>
      <c r="M260" s="51">
        <f>IF(B260="",0,IF(ISNA(VLOOKUP(A260,LongJump!F$5:J$302,5,FALSE)),0,VLOOKUP(A260,LongJump!F$5:J$302,5,FALSE)))</f>
        <v>0</v>
      </c>
      <c r="N260" s="51">
        <f>IF(B260="",0,IF(ISNA(VLOOKUP(A260,LongJump!F$5:K$302,6,FALSE)),0,VLOOKUP(A260,LongJump!F$5:K$302,6,FALSE)))</f>
        <v>0</v>
      </c>
      <c r="O260" s="51" t="str">
        <f>IF(B260="","",IF(ISNA(VLOOKUP(A260,Vortex!F$5:J$302,2,FALSE)),"",VLOOKUP(A260,Vortex!F$5:J$302,2,FALSE)))</f>
        <v/>
      </c>
      <c r="P260" s="51">
        <f>IF(B260="",0,IF(ISNA(VLOOKUP(A260,Vortex!F$5:J$302,5,FALSE)),0,VLOOKUP(A260,Vortex!F$5:J$302,5,FALSE)))</f>
        <v>0</v>
      </c>
      <c r="Q260" s="51">
        <f t="shared" si="29"/>
        <v>0</v>
      </c>
      <c r="R260" s="51" t="str">
        <f t="shared" si="25"/>
        <v/>
      </c>
      <c r="S260" s="51" t="str">
        <f t="shared" si="26"/>
        <v/>
      </c>
      <c r="T260" s="51" t="str">
        <f t="shared" si="27"/>
        <v/>
      </c>
      <c r="U260" s="51" t="str">
        <f t="shared" si="28"/>
        <v/>
      </c>
      <c r="V260" s="39"/>
    </row>
    <row r="261" spans="1:25" ht="20" customHeight="1">
      <c r="A261" s="51" t="str">
        <f>IF(Declarations!B213=0,"",Declarations!B213)</f>
        <v/>
      </c>
      <c r="B261" s="161" t="str">
        <f>IF(ISNA(VLOOKUP(A261,Declarations!B$6:C$293,2,FALSE)),"",IF(VLOOKUP(A261,Declarations!B$6:C$293,2,FALSE)="","",VLOOKUP(A261,Declarations!B$6:C$293,2,FALSE)))</f>
        <v/>
      </c>
      <c r="C261" s="161" t="str">
        <f>IF(ISNA(VLOOKUP(A261,Declarations!B$6:F$293,5,FALSE)),"",IF(VLOOKUP(A261,Declarations!B$6:F$293,5,FALSE)="","",VLOOKUP(A261,Declarations!B$6:F$293,5,FALSE)))</f>
        <v/>
      </c>
      <c r="D261" s="161" t="str">
        <f>IF(ISNA(VLOOKUP(A261,Declarations!B$6:F$293,4,FALSE)),"",IF(VLOOKUP(A261,Declarations!B$6:F$293,4,FALSE)="","",VLOOKUP(A261,Declarations!B$6:F$293,4,FALSE)))</f>
        <v/>
      </c>
      <c r="E261" s="161" t="str">
        <f>IF(ISNA(VLOOKUP(A261,Declarations!B$6:D$293,3,FALSE)),"",IF(VLOOKUP(A261,Declarations!B$6:D$293,3,FALSE)="","",VLOOKUP(A261,Declarations!B$6:D$293,3,FALSE)))</f>
        <v/>
      </c>
      <c r="F261" s="51" t="str">
        <f>IF(B261="","",IF(ISNA(VLOOKUP(A261,'75m'!F$5:G$302,2,FALSE)),"",VLOOKUP(A261,'75m'!F$5:G$302,2,FALSE)))</f>
        <v/>
      </c>
      <c r="G261" s="51">
        <f>IF(B261="",0,IF(ISNA(VLOOKUP(A261,'75m'!F$5:J$302,5,FALSE)),0,VLOOKUP(A261,'75m'!F$5:J$302,5,FALSE)))</f>
        <v>0</v>
      </c>
      <c r="H261" s="51" t="str">
        <f>IF(B261="","",IF(ISNA(VLOOKUP(A261,'75m'!F$5:K$302,6,FALSE)),"",VLOOKUP(A261,'75m'!F$5:K$302,6,FALSE)))</f>
        <v/>
      </c>
      <c r="I261" s="53">
        <f>IF(B261="",0,IF(ISNA(VLOOKUP(A261,'600m'!F$5:J$302,2,FALSE)),0,VLOOKUP(A261,'600m'!F$5:J$302,2,FALSE)))</f>
        <v>0</v>
      </c>
      <c r="J261" s="51">
        <f>IF(B261="",0,IF(ISNA(VLOOKUP(A261,'600m'!F$5:J$302,5,FALSE)),0,VLOOKUP(A261,'600m'!F$5:J$302,5,FALSE)))</f>
        <v>0</v>
      </c>
      <c r="K261" s="51" t="str">
        <f>IF(B261="","",IF(ISNA(VLOOKUP(A261,'600m'!F$5:K$302,6,FALSE)),"",VLOOKUP(A261,'600m'!F$5:K$302,6,FALSE)))</f>
        <v/>
      </c>
      <c r="L261" s="51" t="str">
        <f>IF(B261="","",IF(ISNA(VLOOKUP(A261,LongJump!F$5:G$302,2,FALSE)),"",VLOOKUP(A261,LongJump!F$5:G$302,2,FALSE)))</f>
        <v/>
      </c>
      <c r="M261" s="51">
        <f>IF(B261="",0,IF(ISNA(VLOOKUP(A261,LongJump!F$5:J$302,5,FALSE)),0,VLOOKUP(A261,LongJump!F$5:J$302,5,FALSE)))</f>
        <v>0</v>
      </c>
      <c r="N261" s="51">
        <f>IF(B261="",0,IF(ISNA(VLOOKUP(A261,LongJump!F$5:K$302,6,FALSE)),0,VLOOKUP(A261,LongJump!F$5:K$302,6,FALSE)))</f>
        <v>0</v>
      </c>
      <c r="O261" s="51" t="str">
        <f>IF(B261="","",IF(ISNA(VLOOKUP(A261,Vortex!F$5:J$302,2,FALSE)),"",VLOOKUP(A261,Vortex!F$5:J$302,2,FALSE)))</f>
        <v/>
      </c>
      <c r="P261" s="51">
        <f>IF(B261="",0,IF(ISNA(VLOOKUP(A261,Vortex!F$5:J$302,5,FALSE)),0,VLOOKUP(A261,Vortex!F$5:J$302,5,FALSE)))</f>
        <v>0</v>
      </c>
      <c r="Q261" s="51">
        <f t="shared" si="29"/>
        <v>0</v>
      </c>
      <c r="R261" s="51" t="str">
        <f t="shared" si="25"/>
        <v/>
      </c>
      <c r="S261" s="51" t="str">
        <f t="shared" si="26"/>
        <v/>
      </c>
      <c r="T261" s="51" t="str">
        <f t="shared" si="27"/>
        <v/>
      </c>
      <c r="U261" s="51" t="str">
        <f t="shared" si="28"/>
        <v/>
      </c>
      <c r="V261" s="39"/>
    </row>
    <row r="262" spans="1:25" ht="20" customHeight="1">
      <c r="A262" s="51" t="str">
        <f>IF(Declarations!B214=0,"",Declarations!B214)</f>
        <v/>
      </c>
      <c r="B262" s="161" t="str">
        <f>IF(ISNA(VLOOKUP(A262,Declarations!B$6:C$293,2,FALSE)),"",IF(VLOOKUP(A262,Declarations!B$6:C$293,2,FALSE)="","",VLOOKUP(A262,Declarations!B$6:C$293,2,FALSE)))</f>
        <v/>
      </c>
      <c r="C262" s="161" t="str">
        <f>IF(ISNA(VLOOKUP(A262,Declarations!B$6:F$293,5,FALSE)),"",IF(VLOOKUP(A262,Declarations!B$6:F$293,5,FALSE)="","",VLOOKUP(A262,Declarations!B$6:F$293,5,FALSE)))</f>
        <v/>
      </c>
      <c r="D262" s="161" t="str">
        <f>IF(ISNA(VLOOKUP(A262,Declarations!B$6:F$293,4,FALSE)),"",IF(VLOOKUP(A262,Declarations!B$6:F$293,4,FALSE)="","",VLOOKUP(A262,Declarations!B$6:F$293,4,FALSE)))</f>
        <v/>
      </c>
      <c r="E262" s="161" t="str">
        <f>IF(ISNA(VLOOKUP(A262,Declarations!B$6:D$293,3,FALSE)),"",IF(VLOOKUP(A262,Declarations!B$6:D$293,3,FALSE)="","",VLOOKUP(A262,Declarations!B$6:D$293,3,FALSE)))</f>
        <v/>
      </c>
      <c r="F262" s="51" t="str">
        <f>IF(B262="","",IF(ISNA(VLOOKUP(A262,'75m'!F$5:G$302,2,FALSE)),"",VLOOKUP(A262,'75m'!F$5:G$302,2,FALSE)))</f>
        <v/>
      </c>
      <c r="G262" s="51">
        <f>IF(B262="",0,IF(ISNA(VLOOKUP(A262,'75m'!F$5:J$302,5,FALSE)),0,VLOOKUP(A262,'75m'!F$5:J$302,5,FALSE)))</f>
        <v>0</v>
      </c>
      <c r="H262" s="51" t="str">
        <f>IF(B262="","",IF(ISNA(VLOOKUP(A262,'75m'!F$5:K$302,6,FALSE)),"",VLOOKUP(A262,'75m'!F$5:K$302,6,FALSE)))</f>
        <v/>
      </c>
      <c r="I262" s="53">
        <f>IF(B262="",0,IF(ISNA(VLOOKUP(A262,'600m'!F$5:J$302,2,FALSE)),0,VLOOKUP(A262,'600m'!F$5:J$302,2,FALSE)))</f>
        <v>0</v>
      </c>
      <c r="J262" s="51">
        <f>IF(B262="",0,IF(ISNA(VLOOKUP(A262,'600m'!F$5:J$302,5,FALSE)),0,VLOOKUP(A262,'600m'!F$5:J$302,5,FALSE)))</f>
        <v>0</v>
      </c>
      <c r="K262" s="51" t="str">
        <f>IF(B262="","",IF(ISNA(VLOOKUP(A262,'600m'!F$5:K$302,6,FALSE)),"",VLOOKUP(A262,'600m'!F$5:K$302,6,FALSE)))</f>
        <v/>
      </c>
      <c r="L262" s="51" t="str">
        <f>IF(B262="","",IF(ISNA(VLOOKUP(A262,LongJump!F$5:G$302,2,FALSE)),"",VLOOKUP(A262,LongJump!F$5:G$302,2,FALSE)))</f>
        <v/>
      </c>
      <c r="M262" s="51">
        <f>IF(B262="",0,IF(ISNA(VLOOKUP(A262,LongJump!F$5:J$302,5,FALSE)),0,VLOOKUP(A262,LongJump!F$5:J$302,5,FALSE)))</f>
        <v>0</v>
      </c>
      <c r="N262" s="51">
        <f>IF(B262="",0,IF(ISNA(VLOOKUP(A262,LongJump!F$5:K$302,6,FALSE)),0,VLOOKUP(A262,LongJump!F$5:K$302,6,FALSE)))</f>
        <v>0</v>
      </c>
      <c r="O262" s="51" t="str">
        <f>IF(B262="","",IF(ISNA(VLOOKUP(A262,Vortex!F$5:J$302,2,FALSE)),"",VLOOKUP(A262,Vortex!F$5:J$302,2,FALSE)))</f>
        <v/>
      </c>
      <c r="P262" s="51">
        <f>IF(B262="",0,IF(ISNA(VLOOKUP(A262,Vortex!F$5:J$302,5,FALSE)),0,VLOOKUP(A262,Vortex!F$5:J$302,5,FALSE)))</f>
        <v>0</v>
      </c>
      <c r="Q262" s="51">
        <f t="shared" si="29"/>
        <v>0</v>
      </c>
      <c r="R262" s="51" t="str">
        <f t="shared" si="25"/>
        <v/>
      </c>
      <c r="S262" s="51" t="str">
        <f t="shared" si="26"/>
        <v/>
      </c>
      <c r="T262" s="51" t="str">
        <f t="shared" si="27"/>
        <v/>
      </c>
      <c r="U262" s="51" t="str">
        <f t="shared" si="28"/>
        <v/>
      </c>
      <c r="V262" s="39"/>
    </row>
    <row r="263" spans="1:25" ht="20" customHeight="1">
      <c r="A263" s="51" t="str">
        <f>IF(Declarations!B215=0,"",Declarations!B215)</f>
        <v/>
      </c>
      <c r="B263" s="161" t="str">
        <f>IF(ISNA(VLOOKUP(A263,Declarations!B$6:C$293,2,FALSE)),"",IF(VLOOKUP(A263,Declarations!B$6:C$293,2,FALSE)="","",VLOOKUP(A263,Declarations!B$6:C$293,2,FALSE)))</f>
        <v/>
      </c>
      <c r="C263" s="161" t="str">
        <f>IF(ISNA(VLOOKUP(A263,Declarations!B$6:F$293,5,FALSE)),"",IF(VLOOKUP(A263,Declarations!B$6:F$293,5,FALSE)="","",VLOOKUP(A263,Declarations!B$6:F$293,5,FALSE)))</f>
        <v/>
      </c>
      <c r="D263" s="161" t="str">
        <f>IF(ISNA(VLOOKUP(A263,Declarations!B$6:F$293,4,FALSE)),"",IF(VLOOKUP(A263,Declarations!B$6:F$293,4,FALSE)="","",VLOOKUP(A263,Declarations!B$6:F$293,4,FALSE)))</f>
        <v/>
      </c>
      <c r="E263" s="161" t="str">
        <f>IF(ISNA(VLOOKUP(A263,Declarations!B$6:D$293,3,FALSE)),"",IF(VLOOKUP(A263,Declarations!B$6:D$293,3,FALSE)="","",VLOOKUP(A263,Declarations!B$6:D$293,3,FALSE)))</f>
        <v/>
      </c>
      <c r="F263" s="51" t="str">
        <f>IF(B263="","",IF(ISNA(VLOOKUP(A263,'75m'!F$5:G$302,2,FALSE)),"",VLOOKUP(A263,'75m'!F$5:G$302,2,FALSE)))</f>
        <v/>
      </c>
      <c r="G263" s="51">
        <f>IF(B263="",0,IF(ISNA(VLOOKUP(A263,'75m'!F$5:J$302,5,FALSE)),0,VLOOKUP(A263,'75m'!F$5:J$302,5,FALSE)))</f>
        <v>0</v>
      </c>
      <c r="H263" s="51" t="str">
        <f>IF(B263="","",IF(ISNA(VLOOKUP(A263,'75m'!F$5:K$302,6,FALSE)),"",VLOOKUP(A263,'75m'!F$5:K$302,6,FALSE)))</f>
        <v/>
      </c>
      <c r="I263" s="53">
        <f>IF(B263="",0,IF(ISNA(VLOOKUP(A263,'600m'!F$5:J$302,2,FALSE)),0,VLOOKUP(A263,'600m'!F$5:J$302,2,FALSE)))</f>
        <v>0</v>
      </c>
      <c r="J263" s="51">
        <f>IF(B263="",0,IF(ISNA(VLOOKUP(A263,'600m'!F$5:J$302,5,FALSE)),0,VLOOKUP(A263,'600m'!F$5:J$302,5,FALSE)))</f>
        <v>0</v>
      </c>
      <c r="K263" s="51" t="str">
        <f>IF(B263="","",IF(ISNA(VLOOKUP(A263,'600m'!F$5:K$302,6,FALSE)),"",VLOOKUP(A263,'600m'!F$5:K$302,6,FALSE)))</f>
        <v/>
      </c>
      <c r="L263" s="51" t="str">
        <f>IF(B263="","",IF(ISNA(VLOOKUP(A263,LongJump!F$5:G$302,2,FALSE)),"",VLOOKUP(A263,LongJump!F$5:G$302,2,FALSE)))</f>
        <v/>
      </c>
      <c r="M263" s="51">
        <f>IF(B263="",0,IF(ISNA(VLOOKUP(A263,LongJump!F$5:J$302,5,FALSE)),0,VLOOKUP(A263,LongJump!F$5:J$302,5,FALSE)))</f>
        <v>0</v>
      </c>
      <c r="N263" s="51">
        <f>IF(B263="",0,IF(ISNA(VLOOKUP(A263,LongJump!F$5:K$302,6,FALSE)),0,VLOOKUP(A263,LongJump!F$5:K$302,6,FALSE)))</f>
        <v>0</v>
      </c>
      <c r="O263" s="51" t="str">
        <f>IF(B263="","",IF(ISNA(VLOOKUP(A263,Vortex!F$5:J$302,2,FALSE)),"",VLOOKUP(A263,Vortex!F$5:J$302,2,FALSE)))</f>
        <v/>
      </c>
      <c r="P263" s="51">
        <f>IF(B263="",0,IF(ISNA(VLOOKUP(A263,Vortex!F$5:J$302,5,FALSE)),0,VLOOKUP(A263,Vortex!F$5:J$302,5,FALSE)))</f>
        <v>0</v>
      </c>
      <c r="Q263" s="51">
        <f t="shared" si="29"/>
        <v>0</v>
      </c>
      <c r="R263" s="51" t="str">
        <f t="shared" si="25"/>
        <v/>
      </c>
      <c r="S263" s="51" t="str">
        <f t="shared" si="26"/>
        <v/>
      </c>
      <c r="T263" s="51" t="str">
        <f t="shared" si="27"/>
        <v/>
      </c>
      <c r="U263" s="51" t="str">
        <f t="shared" si="28"/>
        <v/>
      </c>
      <c r="V263" s="39"/>
    </row>
    <row r="264" spans="1:25" ht="20" customHeight="1">
      <c r="A264" s="51" t="str">
        <f>IF(Declarations!B216=0,"",Declarations!B216)</f>
        <v/>
      </c>
      <c r="B264" s="161" t="str">
        <f>IF(ISNA(VLOOKUP(A264,Declarations!B$6:C$293,2,FALSE)),"",IF(VLOOKUP(A264,Declarations!B$6:C$293,2,FALSE)="","",VLOOKUP(A264,Declarations!B$6:C$293,2,FALSE)))</f>
        <v/>
      </c>
      <c r="C264" s="161" t="str">
        <f>IF(ISNA(VLOOKUP(A264,Declarations!B$6:F$293,5,FALSE)),"",IF(VLOOKUP(A264,Declarations!B$6:F$293,5,FALSE)="","",VLOOKUP(A264,Declarations!B$6:F$293,5,FALSE)))</f>
        <v/>
      </c>
      <c r="D264" s="161" t="str">
        <f>IF(ISNA(VLOOKUP(A264,Declarations!B$6:F$293,4,FALSE)),"",IF(VLOOKUP(A264,Declarations!B$6:F$293,4,FALSE)="","",VLOOKUP(A264,Declarations!B$6:F$293,4,FALSE)))</f>
        <v/>
      </c>
      <c r="E264" s="161" t="str">
        <f>IF(ISNA(VLOOKUP(A264,Declarations!B$6:D$293,3,FALSE)),"",IF(VLOOKUP(A264,Declarations!B$6:D$293,3,FALSE)="","",VLOOKUP(A264,Declarations!B$6:D$293,3,FALSE)))</f>
        <v/>
      </c>
      <c r="F264" s="51" t="str">
        <f>IF(B264="","",IF(ISNA(VLOOKUP(A264,'75m'!F$5:G$302,2,FALSE)),"",VLOOKUP(A264,'75m'!F$5:G$302,2,FALSE)))</f>
        <v/>
      </c>
      <c r="G264" s="51">
        <f>IF(B264="",0,IF(ISNA(VLOOKUP(A264,'75m'!F$5:J$302,5,FALSE)),0,VLOOKUP(A264,'75m'!F$5:J$302,5,FALSE)))</f>
        <v>0</v>
      </c>
      <c r="H264" s="51" t="str">
        <f>IF(B264="","",IF(ISNA(VLOOKUP(A264,'75m'!F$5:K$302,6,FALSE)),"",VLOOKUP(A264,'75m'!F$5:K$302,6,FALSE)))</f>
        <v/>
      </c>
      <c r="I264" s="53">
        <f>IF(B264="",0,IF(ISNA(VLOOKUP(A264,'600m'!F$5:J$302,2,FALSE)),0,VLOOKUP(A264,'600m'!F$5:J$302,2,FALSE)))</f>
        <v>0</v>
      </c>
      <c r="J264" s="51">
        <f>IF(B264="",0,IF(ISNA(VLOOKUP(A264,'600m'!F$5:J$302,5,FALSE)),0,VLOOKUP(A264,'600m'!F$5:J$302,5,FALSE)))</f>
        <v>0</v>
      </c>
      <c r="K264" s="51" t="str">
        <f>IF(B264="","",IF(ISNA(VLOOKUP(A264,'600m'!F$5:K$302,6,FALSE)),"",VLOOKUP(A264,'600m'!F$5:K$302,6,FALSE)))</f>
        <v/>
      </c>
      <c r="L264" s="51" t="str">
        <f>IF(B264="","",IF(ISNA(VLOOKUP(A264,LongJump!F$5:G$302,2,FALSE)),"",VLOOKUP(A264,LongJump!F$5:G$302,2,FALSE)))</f>
        <v/>
      </c>
      <c r="M264" s="51">
        <f>IF(B264="",0,IF(ISNA(VLOOKUP(A264,LongJump!F$5:J$302,5,FALSE)),0,VLOOKUP(A264,LongJump!F$5:J$302,5,FALSE)))</f>
        <v>0</v>
      </c>
      <c r="N264" s="51">
        <f>IF(B264="",0,IF(ISNA(VLOOKUP(A264,LongJump!F$5:K$302,6,FALSE)),0,VLOOKUP(A264,LongJump!F$5:K$302,6,FALSE)))</f>
        <v>0</v>
      </c>
      <c r="O264" s="51" t="str">
        <f>IF(B264="","",IF(ISNA(VLOOKUP(A264,Vortex!F$5:J$302,2,FALSE)),"",VLOOKUP(A264,Vortex!F$5:J$302,2,FALSE)))</f>
        <v/>
      </c>
      <c r="P264" s="51">
        <f>IF(B264="",0,IF(ISNA(VLOOKUP(A264,Vortex!F$5:J$302,5,FALSE)),0,VLOOKUP(A264,Vortex!F$5:J$302,5,FALSE)))</f>
        <v>0</v>
      </c>
      <c r="Q264" s="51">
        <f t="shared" si="29"/>
        <v>0</v>
      </c>
      <c r="R264" s="51" t="str">
        <f t="shared" si="25"/>
        <v/>
      </c>
      <c r="S264" s="51" t="str">
        <f t="shared" si="26"/>
        <v/>
      </c>
      <c r="T264" s="51" t="str">
        <f t="shared" si="27"/>
        <v/>
      </c>
      <c r="U264" s="51" t="str">
        <f t="shared" si="28"/>
        <v/>
      </c>
      <c r="V264" s="39"/>
    </row>
    <row r="265" spans="1:25" ht="20" customHeight="1">
      <c r="A265" s="51" t="str">
        <f>IF(Declarations!B217=0,"",Declarations!B217)</f>
        <v/>
      </c>
      <c r="B265" s="161" t="str">
        <f>IF(ISNA(VLOOKUP(A265,Declarations!B$6:C$293,2,FALSE)),"",IF(VLOOKUP(A265,Declarations!B$6:C$293,2,FALSE)="","",VLOOKUP(A265,Declarations!B$6:C$293,2,FALSE)))</f>
        <v/>
      </c>
      <c r="C265" s="161" t="str">
        <f>IF(ISNA(VLOOKUP(A265,Declarations!B$6:F$293,5,FALSE)),"",IF(VLOOKUP(A265,Declarations!B$6:F$293,5,FALSE)="","",VLOOKUP(A265,Declarations!B$6:F$293,5,FALSE)))</f>
        <v/>
      </c>
      <c r="D265" s="161" t="str">
        <f>IF(ISNA(VLOOKUP(A265,Declarations!B$6:F$293,4,FALSE)),"",IF(VLOOKUP(A265,Declarations!B$6:F$293,4,FALSE)="","",VLOOKUP(A265,Declarations!B$6:F$293,4,FALSE)))</f>
        <v/>
      </c>
      <c r="E265" s="161" t="str">
        <f>IF(ISNA(VLOOKUP(A265,Declarations!B$6:D$293,3,FALSE)),"",IF(VLOOKUP(A265,Declarations!B$6:D$293,3,FALSE)="","",VLOOKUP(A265,Declarations!B$6:D$293,3,FALSE)))</f>
        <v/>
      </c>
      <c r="F265" s="51" t="str">
        <f>IF(B265="","",IF(ISNA(VLOOKUP(A265,'75m'!F$5:G$302,2,FALSE)),"",VLOOKUP(A265,'75m'!F$5:G$302,2,FALSE)))</f>
        <v/>
      </c>
      <c r="G265" s="51">
        <f>IF(B265="",0,IF(ISNA(VLOOKUP(A265,'75m'!F$5:J$302,5,FALSE)),0,VLOOKUP(A265,'75m'!F$5:J$302,5,FALSE)))</f>
        <v>0</v>
      </c>
      <c r="H265" s="51" t="str">
        <f>IF(B265="","",IF(ISNA(VLOOKUP(A265,'75m'!F$5:K$302,6,FALSE)),"",VLOOKUP(A265,'75m'!F$5:K$302,6,FALSE)))</f>
        <v/>
      </c>
      <c r="I265" s="53">
        <f>IF(B265="",0,IF(ISNA(VLOOKUP(A265,'600m'!F$5:J$302,2,FALSE)),0,VLOOKUP(A265,'600m'!F$5:J$302,2,FALSE)))</f>
        <v>0</v>
      </c>
      <c r="J265" s="51">
        <f>IF(B265="",0,IF(ISNA(VLOOKUP(A265,'600m'!F$5:J$302,5,FALSE)),0,VLOOKUP(A265,'600m'!F$5:J$302,5,FALSE)))</f>
        <v>0</v>
      </c>
      <c r="K265" s="51" t="str">
        <f>IF(B265="","",IF(ISNA(VLOOKUP(A265,'600m'!F$5:K$302,6,FALSE)),"",VLOOKUP(A265,'600m'!F$5:K$302,6,FALSE)))</f>
        <v/>
      </c>
      <c r="L265" s="51" t="str">
        <f>IF(B265="","",IF(ISNA(VLOOKUP(A265,LongJump!F$5:G$302,2,FALSE)),"",VLOOKUP(A265,LongJump!F$5:G$302,2,FALSE)))</f>
        <v/>
      </c>
      <c r="M265" s="51">
        <f>IF(B265="",0,IF(ISNA(VLOOKUP(A265,LongJump!F$5:J$302,5,FALSE)),0,VLOOKUP(A265,LongJump!F$5:J$302,5,FALSE)))</f>
        <v>0</v>
      </c>
      <c r="N265" s="51">
        <f>IF(B265="",0,IF(ISNA(VLOOKUP(A265,LongJump!F$5:K$302,6,FALSE)),0,VLOOKUP(A265,LongJump!F$5:K$302,6,FALSE)))</f>
        <v>0</v>
      </c>
      <c r="O265" s="51" t="str">
        <f>IF(B265="","",IF(ISNA(VLOOKUP(A265,Vortex!F$5:J$302,2,FALSE)),"",VLOOKUP(A265,Vortex!F$5:J$302,2,FALSE)))</f>
        <v/>
      </c>
      <c r="P265" s="51">
        <f>IF(B265="",0,IF(ISNA(VLOOKUP(A265,Vortex!F$5:J$302,5,FALSE)),0,VLOOKUP(A265,Vortex!F$5:J$302,5,FALSE)))</f>
        <v>0</v>
      </c>
      <c r="Q265" s="51">
        <f t="shared" si="29"/>
        <v>0</v>
      </c>
      <c r="R265" s="51" t="str">
        <f t="shared" si="25"/>
        <v/>
      </c>
      <c r="S265" s="51" t="str">
        <f t="shared" si="26"/>
        <v/>
      </c>
      <c r="T265" s="51" t="str">
        <f t="shared" si="27"/>
        <v/>
      </c>
      <c r="U265" s="51" t="str">
        <f t="shared" si="28"/>
        <v/>
      </c>
      <c r="V265" s="39"/>
    </row>
    <row r="266" spans="1:25" ht="20" customHeight="1">
      <c r="A266" s="51" t="str">
        <f>IF(Declarations!B218=0,"",Declarations!B218)</f>
        <v/>
      </c>
      <c r="B266" s="161" t="str">
        <f>IF(ISNA(VLOOKUP(A266,Declarations!B$6:C$293,2,FALSE)),"",IF(VLOOKUP(A266,Declarations!B$6:C$293,2,FALSE)="","",VLOOKUP(A266,Declarations!B$6:C$293,2,FALSE)))</f>
        <v/>
      </c>
      <c r="C266" s="161" t="str">
        <f>IF(ISNA(VLOOKUP(A266,Declarations!B$6:F$293,5,FALSE)),"",IF(VLOOKUP(A266,Declarations!B$6:F$293,5,FALSE)="","",VLOOKUP(A266,Declarations!B$6:F$293,5,FALSE)))</f>
        <v/>
      </c>
      <c r="D266" s="161" t="str">
        <f>IF(ISNA(VLOOKUP(A266,Declarations!B$6:F$293,4,FALSE)),"",IF(VLOOKUP(A266,Declarations!B$6:F$293,4,FALSE)="","",VLOOKUP(A266,Declarations!B$6:F$293,4,FALSE)))</f>
        <v/>
      </c>
      <c r="E266" s="161" t="str">
        <f>IF(ISNA(VLOOKUP(A266,Declarations!B$6:D$293,3,FALSE)),"",IF(VLOOKUP(A266,Declarations!B$6:D$293,3,FALSE)="","",VLOOKUP(A266,Declarations!B$6:D$293,3,FALSE)))</f>
        <v/>
      </c>
      <c r="F266" s="51" t="str">
        <f>IF(B266="","",IF(ISNA(VLOOKUP(A266,'75m'!F$5:G$302,2,FALSE)),"",VLOOKUP(A266,'75m'!F$5:G$302,2,FALSE)))</f>
        <v/>
      </c>
      <c r="G266" s="51">
        <f>IF(B266="",0,IF(ISNA(VLOOKUP(A266,'75m'!F$5:J$302,5,FALSE)),0,VLOOKUP(A266,'75m'!F$5:J$302,5,FALSE)))</f>
        <v>0</v>
      </c>
      <c r="H266" s="51" t="str">
        <f>IF(B266="","",IF(ISNA(VLOOKUP(A266,'75m'!F$5:K$302,6,FALSE)),"",VLOOKUP(A266,'75m'!F$5:K$302,6,FALSE)))</f>
        <v/>
      </c>
      <c r="I266" s="53">
        <f>IF(B266="",0,IF(ISNA(VLOOKUP(A266,'600m'!F$5:J$302,2,FALSE)),0,VLOOKUP(A266,'600m'!F$5:J$302,2,FALSE)))</f>
        <v>0</v>
      </c>
      <c r="J266" s="51">
        <f>IF(B266="",0,IF(ISNA(VLOOKUP(A266,'600m'!F$5:J$302,5,FALSE)),0,VLOOKUP(A266,'600m'!F$5:J$302,5,FALSE)))</f>
        <v>0</v>
      </c>
      <c r="K266" s="51" t="str">
        <f>IF(B266="","",IF(ISNA(VLOOKUP(A266,'600m'!F$5:K$302,6,FALSE)),"",VLOOKUP(A266,'600m'!F$5:K$302,6,FALSE)))</f>
        <v/>
      </c>
      <c r="L266" s="51" t="str">
        <f>IF(B266="","",IF(ISNA(VLOOKUP(A266,LongJump!F$5:G$302,2,FALSE)),"",VLOOKUP(A266,LongJump!F$5:G$302,2,FALSE)))</f>
        <v/>
      </c>
      <c r="M266" s="51">
        <f>IF(B266="",0,IF(ISNA(VLOOKUP(A266,LongJump!F$5:J$302,5,FALSE)),0,VLOOKUP(A266,LongJump!F$5:J$302,5,FALSE)))</f>
        <v>0</v>
      </c>
      <c r="N266" s="51">
        <f>IF(B266="",0,IF(ISNA(VLOOKUP(A266,LongJump!F$5:K$302,6,FALSE)),0,VLOOKUP(A266,LongJump!F$5:K$302,6,FALSE)))</f>
        <v>0</v>
      </c>
      <c r="O266" s="51" t="str">
        <f>IF(B266="","",IF(ISNA(VLOOKUP(A266,Vortex!F$5:J$302,2,FALSE)),"",VLOOKUP(A266,Vortex!F$5:J$302,2,FALSE)))</f>
        <v/>
      </c>
      <c r="P266" s="51">
        <f>IF(B266="",0,IF(ISNA(VLOOKUP(A266,Vortex!F$5:J$302,5,FALSE)),0,VLOOKUP(A266,Vortex!F$5:J$302,5,FALSE)))</f>
        <v>0</v>
      </c>
      <c r="Q266" s="51">
        <f t="shared" si="29"/>
        <v>0</v>
      </c>
      <c r="R266" s="51" t="str">
        <f t="shared" si="25"/>
        <v/>
      </c>
      <c r="S266" s="51" t="str">
        <f t="shared" si="26"/>
        <v/>
      </c>
      <c r="T266" s="51" t="str">
        <f t="shared" si="27"/>
        <v/>
      </c>
      <c r="U266" s="51" t="str">
        <f t="shared" si="28"/>
        <v/>
      </c>
      <c r="V266" s="39"/>
    </row>
    <row r="267" spans="1:25" ht="20" customHeight="1">
      <c r="A267" s="51" t="str">
        <f>IF(Declarations!B219=0,"",Declarations!B219)</f>
        <v/>
      </c>
      <c r="B267" s="161" t="str">
        <f>IF(ISNA(VLOOKUP(A267,Declarations!B$6:C$293,2,FALSE)),"",IF(VLOOKUP(A267,Declarations!B$6:C$293,2,FALSE)="","",VLOOKUP(A267,Declarations!B$6:C$293,2,FALSE)))</f>
        <v/>
      </c>
      <c r="C267" s="161" t="str">
        <f>IF(ISNA(VLOOKUP(A267,Declarations!B$6:F$293,5,FALSE)),"",IF(VLOOKUP(A267,Declarations!B$6:F$293,5,FALSE)="","",VLOOKUP(A267,Declarations!B$6:F$293,5,FALSE)))</f>
        <v/>
      </c>
      <c r="D267" s="161" t="str">
        <f>IF(ISNA(VLOOKUP(A267,Declarations!B$6:F$293,4,FALSE)),"",IF(VLOOKUP(A267,Declarations!B$6:F$293,4,FALSE)="","",VLOOKUP(A267,Declarations!B$6:F$293,4,FALSE)))</f>
        <v/>
      </c>
      <c r="E267" s="161" t="str">
        <f>IF(ISNA(VLOOKUP(A267,Declarations!B$6:D$293,3,FALSE)),"",IF(VLOOKUP(A267,Declarations!B$6:D$293,3,FALSE)="","",VLOOKUP(A267,Declarations!B$6:D$293,3,FALSE)))</f>
        <v/>
      </c>
      <c r="F267" s="51" t="str">
        <f>IF(B267="","",IF(ISNA(VLOOKUP(A267,'75m'!F$5:G$302,2,FALSE)),"",VLOOKUP(A267,'75m'!F$5:G$302,2,FALSE)))</f>
        <v/>
      </c>
      <c r="G267" s="51">
        <f>IF(B267="",0,IF(ISNA(VLOOKUP(A267,'75m'!F$5:J$302,5,FALSE)),0,VLOOKUP(A267,'75m'!F$5:J$302,5,FALSE)))</f>
        <v>0</v>
      </c>
      <c r="H267" s="51" t="str">
        <f>IF(B267="","",IF(ISNA(VLOOKUP(A267,'75m'!F$5:K$302,6,FALSE)),"",VLOOKUP(A267,'75m'!F$5:K$302,6,FALSE)))</f>
        <v/>
      </c>
      <c r="I267" s="53">
        <f>IF(B267="",0,IF(ISNA(VLOOKUP(A267,'600m'!F$5:J$302,2,FALSE)),0,VLOOKUP(A267,'600m'!F$5:J$302,2,FALSE)))</f>
        <v>0</v>
      </c>
      <c r="J267" s="51">
        <f>IF(B267="",0,IF(ISNA(VLOOKUP(A267,'600m'!F$5:J$302,5,FALSE)),0,VLOOKUP(A267,'600m'!F$5:J$302,5,FALSE)))</f>
        <v>0</v>
      </c>
      <c r="K267" s="51" t="str">
        <f>IF(B267="","",IF(ISNA(VLOOKUP(A267,'600m'!F$5:K$302,6,FALSE)),"",VLOOKUP(A267,'600m'!F$5:K$302,6,FALSE)))</f>
        <v/>
      </c>
      <c r="L267" s="51" t="str">
        <f>IF(B267="","",IF(ISNA(VLOOKUP(A267,LongJump!F$5:G$302,2,FALSE)),"",VLOOKUP(A267,LongJump!F$5:G$302,2,FALSE)))</f>
        <v/>
      </c>
      <c r="M267" s="51">
        <f>IF(B267="",0,IF(ISNA(VLOOKUP(A267,LongJump!F$5:J$302,5,FALSE)),0,VLOOKUP(A267,LongJump!F$5:J$302,5,FALSE)))</f>
        <v>0</v>
      </c>
      <c r="N267" s="51">
        <f>IF(B267="",0,IF(ISNA(VLOOKUP(A267,LongJump!F$5:K$302,6,FALSE)),0,VLOOKUP(A267,LongJump!F$5:K$302,6,FALSE)))</f>
        <v>0</v>
      </c>
      <c r="O267" s="51" t="str">
        <f>IF(B267="","",IF(ISNA(VLOOKUP(A267,Vortex!F$5:J$302,2,FALSE)),"",VLOOKUP(A267,Vortex!F$5:J$302,2,FALSE)))</f>
        <v/>
      </c>
      <c r="P267" s="51">
        <f>IF(B267="",0,IF(ISNA(VLOOKUP(A267,Vortex!F$5:J$302,5,FALSE)),0,VLOOKUP(A267,Vortex!F$5:J$302,5,FALSE)))</f>
        <v>0</v>
      </c>
      <c r="Q267" s="51">
        <f t="shared" si="29"/>
        <v>0</v>
      </c>
      <c r="R267" s="51" t="str">
        <f t="shared" si="25"/>
        <v/>
      </c>
      <c r="S267" s="51" t="str">
        <f t="shared" si="26"/>
        <v/>
      </c>
      <c r="T267" s="51" t="str">
        <f t="shared" si="27"/>
        <v/>
      </c>
      <c r="U267" s="51" t="str">
        <f t="shared" si="28"/>
        <v/>
      </c>
      <c r="V267" s="39"/>
      <c r="X267" s="1" t="s">
        <v>23</v>
      </c>
    </row>
    <row r="268" spans="1:25" ht="20" customHeight="1">
      <c r="A268" s="51" t="str">
        <f>IF(Declarations!B220=0,"",Declarations!B220)</f>
        <v/>
      </c>
      <c r="B268" s="161" t="str">
        <f>IF(ISNA(VLOOKUP(A268,Declarations!B$6:C$293,2,FALSE)),"",IF(VLOOKUP(A268,Declarations!B$6:C$293,2,FALSE)="","",VLOOKUP(A268,Declarations!B$6:C$293,2,FALSE)))</f>
        <v/>
      </c>
      <c r="C268" s="161" t="str">
        <f>IF(ISNA(VLOOKUP(A268,Declarations!B$6:F$293,5,FALSE)),"",IF(VLOOKUP(A268,Declarations!B$6:F$293,5,FALSE)="","",VLOOKUP(A268,Declarations!B$6:F$293,5,FALSE)))</f>
        <v/>
      </c>
      <c r="D268" s="161" t="str">
        <f>IF(ISNA(VLOOKUP(A268,Declarations!B$6:F$293,4,FALSE)),"",IF(VLOOKUP(A268,Declarations!B$6:F$293,4,FALSE)="","",VLOOKUP(A268,Declarations!B$6:F$293,4,FALSE)))</f>
        <v/>
      </c>
      <c r="E268" s="161" t="str">
        <f>IF(ISNA(VLOOKUP(A268,Declarations!B$6:D$293,3,FALSE)),"",IF(VLOOKUP(A268,Declarations!B$6:D$293,3,FALSE)="","",VLOOKUP(A268,Declarations!B$6:D$293,3,FALSE)))</f>
        <v/>
      </c>
      <c r="F268" s="51" t="str">
        <f>IF(B268="","",IF(ISNA(VLOOKUP(A268,'75m'!F$5:G$302,2,FALSE)),"",VLOOKUP(A268,'75m'!F$5:G$302,2,FALSE)))</f>
        <v/>
      </c>
      <c r="G268" s="51">
        <f>IF(B268="",0,IF(ISNA(VLOOKUP(A268,'75m'!F$5:J$302,5,FALSE)),0,VLOOKUP(A268,'75m'!F$5:J$302,5,FALSE)))</f>
        <v>0</v>
      </c>
      <c r="H268" s="51" t="str">
        <f>IF(B268="","",IF(ISNA(VLOOKUP(A268,'75m'!F$5:K$302,6,FALSE)),"",VLOOKUP(A268,'75m'!F$5:K$302,6,FALSE)))</f>
        <v/>
      </c>
      <c r="I268" s="53">
        <f>IF(B268="",0,IF(ISNA(VLOOKUP(A268,'600m'!F$5:J$302,2,FALSE)),0,VLOOKUP(A268,'600m'!F$5:J$302,2,FALSE)))</f>
        <v>0</v>
      </c>
      <c r="J268" s="51">
        <f>IF(B268="",0,IF(ISNA(VLOOKUP(A268,'600m'!F$5:J$302,5,FALSE)),0,VLOOKUP(A268,'600m'!F$5:J$302,5,FALSE)))</f>
        <v>0</v>
      </c>
      <c r="K268" s="51" t="str">
        <f>IF(B268="","",IF(ISNA(VLOOKUP(A268,'600m'!F$5:K$302,6,FALSE)),"",VLOOKUP(A268,'600m'!F$5:K$302,6,FALSE)))</f>
        <v/>
      </c>
      <c r="L268" s="51" t="str">
        <f>IF(B268="","",IF(ISNA(VLOOKUP(A268,LongJump!F$5:G$302,2,FALSE)),"",VLOOKUP(A268,LongJump!F$5:G$302,2,FALSE)))</f>
        <v/>
      </c>
      <c r="M268" s="51">
        <f>IF(B268="",0,IF(ISNA(VLOOKUP(A268,LongJump!F$5:J$302,5,FALSE)),0,VLOOKUP(A268,LongJump!F$5:J$302,5,FALSE)))</f>
        <v>0</v>
      </c>
      <c r="N268" s="51">
        <f>IF(B268="",0,IF(ISNA(VLOOKUP(A268,LongJump!F$5:K$302,6,FALSE)),0,VLOOKUP(A268,LongJump!F$5:K$302,6,FALSE)))</f>
        <v>0</v>
      </c>
      <c r="O268" s="51" t="str">
        <f>IF(B268="","",IF(ISNA(VLOOKUP(A268,Vortex!F$5:J$302,2,FALSE)),"",VLOOKUP(A268,Vortex!F$5:J$302,2,FALSE)))</f>
        <v/>
      </c>
      <c r="P268" s="51">
        <f>IF(B268="",0,IF(ISNA(VLOOKUP(A268,Vortex!F$5:J$302,5,FALSE)),0,VLOOKUP(A268,Vortex!F$5:J$302,5,FALSE)))</f>
        <v>0</v>
      </c>
      <c r="Q268" s="51">
        <f t="shared" si="29"/>
        <v>0</v>
      </c>
      <c r="R268" s="51" t="str">
        <f t="shared" si="25"/>
        <v/>
      </c>
      <c r="S268" s="51" t="str">
        <f t="shared" si="26"/>
        <v/>
      </c>
      <c r="T268" s="51" t="str">
        <f t="shared" si="27"/>
        <v/>
      </c>
      <c r="U268" s="51" t="str">
        <f t="shared" si="28"/>
        <v/>
      </c>
      <c r="V268" s="39"/>
      <c r="W268" s="11"/>
      <c r="X268" s="11"/>
      <c r="Y268" s="11"/>
    </row>
    <row r="269" spans="1:25" ht="20" customHeight="1">
      <c r="A269" s="51" t="str">
        <f>IF(Declarations!B221=0,"",Declarations!B221)</f>
        <v/>
      </c>
      <c r="B269" s="161" t="str">
        <f>IF(ISNA(VLOOKUP(A269,Declarations!B$6:C$293,2,FALSE)),"",IF(VLOOKUP(A269,Declarations!B$6:C$293,2,FALSE)="","",VLOOKUP(A269,Declarations!B$6:C$293,2,FALSE)))</f>
        <v/>
      </c>
      <c r="C269" s="161" t="str">
        <f>IF(ISNA(VLOOKUP(A269,Declarations!B$6:F$293,5,FALSE)),"",IF(VLOOKUP(A269,Declarations!B$6:F$293,5,FALSE)="","",VLOOKUP(A269,Declarations!B$6:F$293,5,FALSE)))</f>
        <v/>
      </c>
      <c r="D269" s="161" t="str">
        <f>IF(ISNA(VLOOKUP(A269,Declarations!B$6:F$293,4,FALSE)),"",IF(VLOOKUP(A269,Declarations!B$6:F$293,4,FALSE)="","",VLOOKUP(A269,Declarations!B$6:F$293,4,FALSE)))</f>
        <v/>
      </c>
      <c r="E269" s="161" t="str">
        <f>IF(ISNA(VLOOKUP(A269,Declarations!B$6:D$293,3,FALSE)),"",IF(VLOOKUP(A269,Declarations!B$6:D$293,3,FALSE)="","",VLOOKUP(A269,Declarations!B$6:D$293,3,FALSE)))</f>
        <v/>
      </c>
      <c r="F269" s="51" t="str">
        <f>IF(B269="","",IF(ISNA(VLOOKUP(A269,'75m'!F$5:G$302,2,FALSE)),"",VLOOKUP(A269,'75m'!F$5:G$302,2,FALSE)))</f>
        <v/>
      </c>
      <c r="G269" s="51">
        <f>IF(B269="",0,IF(ISNA(VLOOKUP(A269,'75m'!F$5:J$302,5,FALSE)),0,VLOOKUP(A269,'75m'!F$5:J$302,5,FALSE)))</f>
        <v>0</v>
      </c>
      <c r="H269" s="51" t="str">
        <f>IF(B269="","",IF(ISNA(VLOOKUP(A269,'75m'!F$5:K$302,6,FALSE)),"",VLOOKUP(A269,'75m'!F$5:K$302,6,FALSE)))</f>
        <v/>
      </c>
      <c r="I269" s="53">
        <f>IF(B269="",0,IF(ISNA(VLOOKUP(A269,'600m'!F$5:J$302,2,FALSE)),0,VLOOKUP(A269,'600m'!F$5:J$302,2,FALSE)))</f>
        <v>0</v>
      </c>
      <c r="J269" s="51">
        <f>IF(B269="",0,IF(ISNA(VLOOKUP(A269,'600m'!F$5:J$302,5,FALSE)),0,VLOOKUP(A269,'600m'!F$5:J$302,5,FALSE)))</f>
        <v>0</v>
      </c>
      <c r="K269" s="51" t="str">
        <f>IF(B269="","",IF(ISNA(VLOOKUP(A269,'600m'!F$5:K$302,6,FALSE)),"",VLOOKUP(A269,'600m'!F$5:K$302,6,FALSE)))</f>
        <v/>
      </c>
      <c r="L269" s="51" t="str">
        <f>IF(B269="","",IF(ISNA(VLOOKUP(A269,LongJump!F$5:G$302,2,FALSE)),"",VLOOKUP(A269,LongJump!F$5:G$302,2,FALSE)))</f>
        <v/>
      </c>
      <c r="M269" s="51">
        <f>IF(B269="",0,IF(ISNA(VLOOKUP(A269,LongJump!F$5:J$302,5,FALSE)),0,VLOOKUP(A269,LongJump!F$5:J$302,5,FALSE)))</f>
        <v>0</v>
      </c>
      <c r="N269" s="51">
        <f>IF(B269="",0,IF(ISNA(VLOOKUP(A269,LongJump!F$5:K$302,6,FALSE)),0,VLOOKUP(A269,LongJump!F$5:K$302,6,FALSE)))</f>
        <v>0</v>
      </c>
      <c r="O269" s="51" t="str">
        <f>IF(B269="","",IF(ISNA(VLOOKUP(A269,Vortex!F$5:J$302,2,FALSE)),"",VLOOKUP(A269,Vortex!F$5:J$302,2,FALSE)))</f>
        <v/>
      </c>
      <c r="P269" s="51">
        <f>IF(B269="",0,IF(ISNA(VLOOKUP(A269,Vortex!F$5:J$302,5,FALSE)),0,VLOOKUP(A269,Vortex!F$5:J$302,5,FALSE)))</f>
        <v>0</v>
      </c>
      <c r="Q269" s="51">
        <f t="shared" si="29"/>
        <v>0</v>
      </c>
      <c r="R269" s="51" t="str">
        <f t="shared" si="25"/>
        <v/>
      </c>
      <c r="S269" s="51" t="str">
        <f t="shared" si="26"/>
        <v/>
      </c>
      <c r="T269" s="51" t="str">
        <f t="shared" si="27"/>
        <v/>
      </c>
      <c r="U269" s="51" t="str">
        <f t="shared" si="28"/>
        <v/>
      </c>
      <c r="V269" s="39"/>
    </row>
    <row r="270" spans="1:25" ht="20" customHeight="1">
      <c r="A270" s="51" t="str">
        <f>IF(Declarations!B222=0,"",Declarations!B222)</f>
        <v/>
      </c>
      <c r="B270" s="161" t="str">
        <f>IF(ISNA(VLOOKUP(A270,Declarations!B$6:C$293,2,FALSE)),"",IF(VLOOKUP(A270,Declarations!B$6:C$293,2,FALSE)="","",VLOOKUP(A270,Declarations!B$6:C$293,2,FALSE)))</f>
        <v/>
      </c>
      <c r="C270" s="161" t="str">
        <f>IF(ISNA(VLOOKUP(A270,Declarations!B$6:F$293,5,FALSE)),"",IF(VLOOKUP(A270,Declarations!B$6:F$293,5,FALSE)="","",VLOOKUP(A270,Declarations!B$6:F$293,5,FALSE)))</f>
        <v/>
      </c>
      <c r="D270" s="161" t="str">
        <f>IF(ISNA(VLOOKUP(A270,Declarations!B$6:F$293,4,FALSE)),"",IF(VLOOKUP(A270,Declarations!B$6:F$293,4,FALSE)="","",VLOOKUP(A270,Declarations!B$6:F$293,4,FALSE)))</f>
        <v/>
      </c>
      <c r="E270" s="161" t="str">
        <f>IF(ISNA(VLOOKUP(A270,Declarations!B$6:D$293,3,FALSE)),"",IF(VLOOKUP(A270,Declarations!B$6:D$293,3,FALSE)="","",VLOOKUP(A270,Declarations!B$6:D$293,3,FALSE)))</f>
        <v/>
      </c>
      <c r="F270" s="51" t="str">
        <f>IF(B270="","",IF(ISNA(VLOOKUP(A270,'75m'!F$5:G$302,2,FALSE)),"",VLOOKUP(A270,'75m'!F$5:G$302,2,FALSE)))</f>
        <v/>
      </c>
      <c r="G270" s="51">
        <f>IF(B270="",0,IF(ISNA(VLOOKUP(A270,'75m'!F$5:J$302,5,FALSE)),0,VLOOKUP(A270,'75m'!F$5:J$302,5,FALSE)))</f>
        <v>0</v>
      </c>
      <c r="H270" s="51" t="str">
        <f>IF(B270="","",IF(ISNA(VLOOKUP(A270,'75m'!F$5:K$302,6,FALSE)),"",VLOOKUP(A270,'75m'!F$5:K$302,6,FALSE)))</f>
        <v/>
      </c>
      <c r="I270" s="53">
        <f>IF(B270="",0,IF(ISNA(VLOOKUP(A270,'600m'!F$5:J$302,2,FALSE)),0,VLOOKUP(A270,'600m'!F$5:J$302,2,FALSE)))</f>
        <v>0</v>
      </c>
      <c r="J270" s="51">
        <f>IF(B270="",0,IF(ISNA(VLOOKUP(A270,'600m'!F$5:J$302,5,FALSE)),0,VLOOKUP(A270,'600m'!F$5:J$302,5,FALSE)))</f>
        <v>0</v>
      </c>
      <c r="K270" s="51" t="str">
        <f>IF(B270="","",IF(ISNA(VLOOKUP(A270,'600m'!F$5:K$302,6,FALSE)),"",VLOOKUP(A270,'600m'!F$5:K$302,6,FALSE)))</f>
        <v/>
      </c>
      <c r="L270" s="51" t="str">
        <f>IF(B270="","",IF(ISNA(VLOOKUP(A270,LongJump!F$5:G$302,2,FALSE)),"",VLOOKUP(A270,LongJump!F$5:G$302,2,FALSE)))</f>
        <v/>
      </c>
      <c r="M270" s="51">
        <f>IF(B270="",0,IF(ISNA(VLOOKUP(A270,LongJump!F$5:J$302,5,FALSE)),0,VLOOKUP(A270,LongJump!F$5:J$302,5,FALSE)))</f>
        <v>0</v>
      </c>
      <c r="N270" s="51">
        <f>IF(B270="",0,IF(ISNA(VLOOKUP(A270,LongJump!F$5:K$302,6,FALSE)),0,VLOOKUP(A270,LongJump!F$5:K$302,6,FALSE)))</f>
        <v>0</v>
      </c>
      <c r="O270" s="51" t="str">
        <f>IF(B270="","",IF(ISNA(VLOOKUP(A270,Vortex!F$5:J$302,2,FALSE)),"",VLOOKUP(A270,Vortex!F$5:J$302,2,FALSE)))</f>
        <v/>
      </c>
      <c r="P270" s="51">
        <f>IF(B270="",0,IF(ISNA(VLOOKUP(A270,Vortex!F$5:J$302,5,FALSE)),0,VLOOKUP(A270,Vortex!F$5:J$302,5,FALSE)))</f>
        <v>0</v>
      </c>
      <c r="Q270" s="51">
        <f t="shared" si="29"/>
        <v>0</v>
      </c>
      <c r="R270" s="51" t="str">
        <f t="shared" si="25"/>
        <v/>
      </c>
      <c r="S270" s="51" t="str">
        <f t="shared" si="26"/>
        <v/>
      </c>
      <c r="T270" s="51" t="str">
        <f t="shared" si="27"/>
        <v/>
      </c>
      <c r="U270" s="51" t="str">
        <f t="shared" si="28"/>
        <v/>
      </c>
      <c r="V270" s="39"/>
    </row>
    <row r="271" spans="1:25" ht="20" customHeight="1">
      <c r="A271" s="51" t="str">
        <f>IF(Declarations!B223=0,"",Declarations!B223)</f>
        <v/>
      </c>
      <c r="B271" s="161" t="str">
        <f>IF(ISNA(VLOOKUP(A271,Declarations!B$6:C$293,2,FALSE)),"",IF(VLOOKUP(A271,Declarations!B$6:C$293,2,FALSE)="","",VLOOKUP(A271,Declarations!B$6:C$293,2,FALSE)))</f>
        <v/>
      </c>
      <c r="C271" s="161" t="str">
        <f>IF(ISNA(VLOOKUP(A271,Declarations!B$6:F$293,5,FALSE)),"",IF(VLOOKUP(A271,Declarations!B$6:F$293,5,FALSE)="","",VLOOKUP(A271,Declarations!B$6:F$293,5,FALSE)))</f>
        <v/>
      </c>
      <c r="D271" s="161" t="str">
        <f>IF(ISNA(VLOOKUP(A271,Declarations!B$6:F$293,4,FALSE)),"",IF(VLOOKUP(A271,Declarations!B$6:F$293,4,FALSE)="","",VLOOKUP(A271,Declarations!B$6:F$293,4,FALSE)))</f>
        <v/>
      </c>
      <c r="E271" s="161" t="str">
        <f>IF(ISNA(VLOOKUP(A271,Declarations!B$6:D$293,3,FALSE)),"",IF(VLOOKUP(A271,Declarations!B$6:D$293,3,FALSE)="","",VLOOKUP(A271,Declarations!B$6:D$293,3,FALSE)))</f>
        <v/>
      </c>
      <c r="F271" s="51" t="str">
        <f>IF(B271="","",IF(ISNA(VLOOKUP(A271,'75m'!F$5:G$302,2,FALSE)),"",VLOOKUP(A271,'75m'!F$5:G$302,2,FALSE)))</f>
        <v/>
      </c>
      <c r="G271" s="51">
        <f>IF(B271="",0,IF(ISNA(VLOOKUP(A271,'75m'!F$5:J$302,5,FALSE)),0,VLOOKUP(A271,'75m'!F$5:J$302,5,FALSE)))</f>
        <v>0</v>
      </c>
      <c r="H271" s="51" t="str">
        <f>IF(B271="","",IF(ISNA(VLOOKUP(A271,'75m'!F$5:K$302,6,FALSE)),"",VLOOKUP(A271,'75m'!F$5:K$302,6,FALSE)))</f>
        <v/>
      </c>
      <c r="I271" s="53">
        <f>IF(B271="",0,IF(ISNA(VLOOKUP(A271,'600m'!F$5:J$302,2,FALSE)),0,VLOOKUP(A271,'600m'!F$5:J$302,2,FALSE)))</f>
        <v>0</v>
      </c>
      <c r="J271" s="51">
        <f>IF(B271="",0,IF(ISNA(VLOOKUP(A271,'600m'!F$5:J$302,5,FALSE)),0,VLOOKUP(A271,'600m'!F$5:J$302,5,FALSE)))</f>
        <v>0</v>
      </c>
      <c r="K271" s="51" t="str">
        <f>IF(B271="","",IF(ISNA(VLOOKUP(A271,'600m'!F$5:K$302,6,FALSE)),"",VLOOKUP(A271,'600m'!F$5:K$302,6,FALSE)))</f>
        <v/>
      </c>
      <c r="L271" s="51" t="str">
        <f>IF(B271="","",IF(ISNA(VLOOKUP(A271,LongJump!F$5:G$302,2,FALSE)),"",VLOOKUP(A271,LongJump!F$5:G$302,2,FALSE)))</f>
        <v/>
      </c>
      <c r="M271" s="51">
        <f>IF(B271="",0,IF(ISNA(VLOOKUP(A271,LongJump!F$5:J$302,5,FALSE)),0,VLOOKUP(A271,LongJump!F$5:J$302,5,FALSE)))</f>
        <v>0</v>
      </c>
      <c r="N271" s="51">
        <f>IF(B271="",0,IF(ISNA(VLOOKUP(A271,LongJump!F$5:K$302,6,FALSE)),0,VLOOKUP(A271,LongJump!F$5:K$302,6,FALSE)))</f>
        <v>0</v>
      </c>
      <c r="O271" s="51" t="str">
        <f>IF(B271="","",IF(ISNA(VLOOKUP(A271,Vortex!F$5:J$302,2,FALSE)),"",VLOOKUP(A271,Vortex!F$5:J$302,2,FALSE)))</f>
        <v/>
      </c>
      <c r="P271" s="51">
        <f>IF(B271="",0,IF(ISNA(VLOOKUP(A271,Vortex!F$5:J$302,5,FALSE)),0,VLOOKUP(A271,Vortex!F$5:J$302,5,FALSE)))</f>
        <v>0</v>
      </c>
      <c r="Q271" s="51">
        <f t="shared" si="29"/>
        <v>0</v>
      </c>
      <c r="R271" s="51" t="str">
        <f t="shared" si="25"/>
        <v/>
      </c>
      <c r="S271" s="51" t="str">
        <f t="shared" si="26"/>
        <v/>
      </c>
      <c r="T271" s="51" t="str">
        <f t="shared" si="27"/>
        <v/>
      </c>
      <c r="U271" s="51" t="str">
        <f t="shared" si="28"/>
        <v/>
      </c>
      <c r="V271" s="39"/>
    </row>
    <row r="272" spans="1:25" ht="20" customHeight="1">
      <c r="A272" s="51" t="str">
        <f>IF(Declarations!B224=0,"",Declarations!B224)</f>
        <v/>
      </c>
      <c r="B272" s="161" t="str">
        <f>IF(ISNA(VLOOKUP(A272,Declarations!B$6:C$293,2,FALSE)),"",IF(VLOOKUP(A272,Declarations!B$6:C$293,2,FALSE)="","",VLOOKUP(A272,Declarations!B$6:C$293,2,FALSE)))</f>
        <v/>
      </c>
      <c r="C272" s="161" t="str">
        <f>IF(ISNA(VLOOKUP(A272,Declarations!B$6:F$293,5,FALSE)),"",IF(VLOOKUP(A272,Declarations!B$6:F$293,5,FALSE)="","",VLOOKUP(A272,Declarations!B$6:F$293,5,FALSE)))</f>
        <v/>
      </c>
      <c r="D272" s="161" t="str">
        <f>IF(ISNA(VLOOKUP(A272,Declarations!B$6:F$293,4,FALSE)),"",IF(VLOOKUP(A272,Declarations!B$6:F$293,4,FALSE)="","",VLOOKUP(A272,Declarations!B$6:F$293,4,FALSE)))</f>
        <v/>
      </c>
      <c r="E272" s="161" t="str">
        <f>IF(ISNA(VLOOKUP(A272,Declarations!B$6:D$293,3,FALSE)),"",IF(VLOOKUP(A272,Declarations!B$6:D$293,3,FALSE)="","",VLOOKUP(A272,Declarations!B$6:D$293,3,FALSE)))</f>
        <v/>
      </c>
      <c r="F272" s="51" t="str">
        <f>IF(B272="","",IF(ISNA(VLOOKUP(A272,'75m'!F$5:G$302,2,FALSE)),"",VLOOKUP(A272,'75m'!F$5:G$302,2,FALSE)))</f>
        <v/>
      </c>
      <c r="G272" s="51">
        <f>IF(B272="",0,IF(ISNA(VLOOKUP(A272,'75m'!F$5:J$302,5,FALSE)),0,VLOOKUP(A272,'75m'!F$5:J$302,5,FALSE)))</f>
        <v>0</v>
      </c>
      <c r="H272" s="51" t="str">
        <f>IF(B272="","",IF(ISNA(VLOOKUP(A272,'75m'!F$5:K$302,6,FALSE)),"",VLOOKUP(A272,'75m'!F$5:K$302,6,FALSE)))</f>
        <v/>
      </c>
      <c r="I272" s="53">
        <f>IF(B272="",0,IF(ISNA(VLOOKUP(A272,'600m'!F$5:J$302,2,FALSE)),0,VLOOKUP(A272,'600m'!F$5:J$302,2,FALSE)))</f>
        <v>0</v>
      </c>
      <c r="J272" s="51">
        <f>IF(B272="",0,IF(ISNA(VLOOKUP(A272,'600m'!F$5:J$302,5,FALSE)),0,VLOOKUP(A272,'600m'!F$5:J$302,5,FALSE)))</f>
        <v>0</v>
      </c>
      <c r="K272" s="51" t="str">
        <f>IF(B272="","",IF(ISNA(VLOOKUP(A272,'600m'!F$5:K$302,6,FALSE)),"",VLOOKUP(A272,'600m'!F$5:K$302,6,FALSE)))</f>
        <v/>
      </c>
      <c r="L272" s="51" t="str">
        <f>IF(B272="","",IF(ISNA(VLOOKUP(A272,LongJump!F$5:G$302,2,FALSE)),"",VLOOKUP(A272,LongJump!F$5:G$302,2,FALSE)))</f>
        <v/>
      </c>
      <c r="M272" s="51">
        <f>IF(B272="",0,IF(ISNA(VLOOKUP(A272,LongJump!F$5:J$302,5,FALSE)),0,VLOOKUP(A272,LongJump!F$5:J$302,5,FALSE)))</f>
        <v>0</v>
      </c>
      <c r="N272" s="51">
        <f>IF(B272="",0,IF(ISNA(VLOOKUP(A272,LongJump!F$5:K$302,6,FALSE)),0,VLOOKUP(A272,LongJump!F$5:K$302,6,FALSE)))</f>
        <v>0</v>
      </c>
      <c r="O272" s="51" t="str">
        <f>IF(B272="","",IF(ISNA(VLOOKUP(A272,Vortex!F$5:J$302,2,FALSE)),"",VLOOKUP(A272,Vortex!F$5:J$302,2,FALSE)))</f>
        <v/>
      </c>
      <c r="P272" s="51">
        <f>IF(B272="",0,IF(ISNA(VLOOKUP(A272,Vortex!F$5:J$302,5,FALSE)),0,VLOOKUP(A272,Vortex!F$5:J$302,5,FALSE)))</f>
        <v>0</v>
      </c>
      <c r="Q272" s="51">
        <f t="shared" si="29"/>
        <v>0</v>
      </c>
      <c r="R272" s="51" t="str">
        <f t="shared" si="25"/>
        <v/>
      </c>
      <c r="S272" s="51" t="str">
        <f t="shared" si="26"/>
        <v/>
      </c>
      <c r="T272" s="51" t="str">
        <f t="shared" si="27"/>
        <v/>
      </c>
      <c r="U272" s="51" t="str">
        <f t="shared" si="28"/>
        <v/>
      </c>
      <c r="V272" s="39"/>
    </row>
    <row r="273" spans="1:22" ht="20" customHeight="1">
      <c r="A273" s="51" t="str">
        <f>IF(Declarations!B225=0,"",Declarations!B225)</f>
        <v/>
      </c>
      <c r="B273" s="161" t="str">
        <f>IF(ISNA(VLOOKUP(A273,Declarations!B$6:C$293,2,FALSE)),"",IF(VLOOKUP(A273,Declarations!B$6:C$293,2,FALSE)="","",VLOOKUP(A273,Declarations!B$6:C$293,2,FALSE)))</f>
        <v/>
      </c>
      <c r="C273" s="161" t="str">
        <f>IF(ISNA(VLOOKUP(A273,Declarations!B$6:F$293,5,FALSE)),"",IF(VLOOKUP(A273,Declarations!B$6:F$293,5,FALSE)="","",VLOOKUP(A273,Declarations!B$6:F$293,5,FALSE)))</f>
        <v/>
      </c>
      <c r="D273" s="161" t="str">
        <f>IF(ISNA(VLOOKUP(A273,Declarations!B$6:F$293,4,FALSE)),"",IF(VLOOKUP(A273,Declarations!B$6:F$293,4,FALSE)="","",VLOOKUP(A273,Declarations!B$6:F$293,4,FALSE)))</f>
        <v/>
      </c>
      <c r="E273" s="161" t="str">
        <f>IF(ISNA(VLOOKUP(A273,Declarations!B$6:D$293,3,FALSE)),"",IF(VLOOKUP(A273,Declarations!B$6:D$293,3,FALSE)="","",VLOOKUP(A273,Declarations!B$6:D$293,3,FALSE)))</f>
        <v/>
      </c>
      <c r="F273" s="51" t="str">
        <f>IF(B273="","",IF(ISNA(VLOOKUP(A273,'75m'!F$5:G$302,2,FALSE)),"",VLOOKUP(A273,'75m'!F$5:G$302,2,FALSE)))</f>
        <v/>
      </c>
      <c r="G273" s="51">
        <f>IF(B273="",0,IF(ISNA(VLOOKUP(A273,'75m'!F$5:J$302,5,FALSE)),0,VLOOKUP(A273,'75m'!F$5:J$302,5,FALSE)))</f>
        <v>0</v>
      </c>
      <c r="H273" s="51" t="str">
        <f>IF(B273="","",IF(ISNA(VLOOKUP(A273,'75m'!F$5:K$302,6,FALSE)),"",VLOOKUP(A273,'75m'!F$5:K$302,6,FALSE)))</f>
        <v/>
      </c>
      <c r="I273" s="53">
        <f>IF(B273="",0,IF(ISNA(VLOOKUP(A273,'600m'!F$5:J$302,2,FALSE)),0,VLOOKUP(A273,'600m'!F$5:J$302,2,FALSE)))</f>
        <v>0</v>
      </c>
      <c r="J273" s="51">
        <f>IF(B273="",0,IF(ISNA(VLOOKUP(A273,'600m'!F$5:J$302,5,FALSE)),0,VLOOKUP(A273,'600m'!F$5:J$302,5,FALSE)))</f>
        <v>0</v>
      </c>
      <c r="K273" s="51" t="str">
        <f>IF(B273="","",IF(ISNA(VLOOKUP(A273,'600m'!F$5:K$302,6,FALSE)),"",VLOOKUP(A273,'600m'!F$5:K$302,6,FALSE)))</f>
        <v/>
      </c>
      <c r="L273" s="51" t="str">
        <f>IF(B273="","",IF(ISNA(VLOOKUP(A273,LongJump!F$5:G$302,2,FALSE)),"",VLOOKUP(A273,LongJump!F$5:G$302,2,FALSE)))</f>
        <v/>
      </c>
      <c r="M273" s="51">
        <f>IF(B273="",0,IF(ISNA(VLOOKUP(A273,LongJump!F$5:J$302,5,FALSE)),0,VLOOKUP(A273,LongJump!F$5:J$302,5,FALSE)))</f>
        <v>0</v>
      </c>
      <c r="N273" s="51">
        <f>IF(B273="",0,IF(ISNA(VLOOKUP(A273,LongJump!F$5:K$302,6,FALSE)),0,VLOOKUP(A273,LongJump!F$5:K$302,6,FALSE)))</f>
        <v>0</v>
      </c>
      <c r="O273" s="51" t="str">
        <f>IF(B273="","",IF(ISNA(VLOOKUP(A273,Vortex!F$5:J$302,2,FALSE)),"",VLOOKUP(A273,Vortex!F$5:J$302,2,FALSE)))</f>
        <v/>
      </c>
      <c r="P273" s="51">
        <f>IF(B273="",0,IF(ISNA(VLOOKUP(A273,Vortex!F$5:J$302,5,FALSE)),0,VLOOKUP(A273,Vortex!F$5:J$302,5,FALSE)))</f>
        <v>0</v>
      </c>
      <c r="Q273" s="51">
        <f t="shared" si="29"/>
        <v>0</v>
      </c>
      <c r="R273" s="51" t="str">
        <f t="shared" si="25"/>
        <v/>
      </c>
      <c r="S273" s="51" t="str">
        <f t="shared" si="26"/>
        <v/>
      </c>
      <c r="T273" s="51" t="str">
        <f t="shared" si="27"/>
        <v/>
      </c>
      <c r="U273" s="51" t="str">
        <f t="shared" si="28"/>
        <v/>
      </c>
      <c r="V273" s="39"/>
    </row>
    <row r="274" spans="1:22" ht="20" customHeight="1">
      <c r="A274" s="51" t="str">
        <f>IF(Declarations!B226=0,"",Declarations!B226)</f>
        <v/>
      </c>
      <c r="B274" s="161" t="str">
        <f>IF(ISNA(VLOOKUP(A274,Declarations!B$6:C$293,2,FALSE)),"",IF(VLOOKUP(A274,Declarations!B$6:C$293,2,FALSE)="","",VLOOKUP(A274,Declarations!B$6:C$293,2,FALSE)))</f>
        <v/>
      </c>
      <c r="C274" s="161" t="str">
        <f>IF(ISNA(VLOOKUP(A274,Declarations!B$6:F$293,5,FALSE)),"",IF(VLOOKUP(A274,Declarations!B$6:F$293,5,FALSE)="","",VLOOKUP(A274,Declarations!B$6:F$293,5,FALSE)))</f>
        <v/>
      </c>
      <c r="D274" s="161" t="str">
        <f>IF(ISNA(VLOOKUP(A274,Declarations!B$6:F$293,4,FALSE)),"",IF(VLOOKUP(A274,Declarations!B$6:F$293,4,FALSE)="","",VLOOKUP(A274,Declarations!B$6:F$293,4,FALSE)))</f>
        <v/>
      </c>
      <c r="E274" s="161" t="str">
        <f>IF(ISNA(VLOOKUP(A274,Declarations!B$6:D$293,3,FALSE)),"",IF(VLOOKUP(A274,Declarations!B$6:D$293,3,FALSE)="","",VLOOKUP(A274,Declarations!B$6:D$293,3,FALSE)))</f>
        <v/>
      </c>
      <c r="F274" s="51" t="str">
        <f>IF(B274="","",IF(ISNA(VLOOKUP(A274,'75m'!F$5:G$302,2,FALSE)),"",VLOOKUP(A274,'75m'!F$5:G$302,2,FALSE)))</f>
        <v/>
      </c>
      <c r="G274" s="51">
        <f>IF(B274="",0,IF(ISNA(VLOOKUP(A274,'75m'!F$5:J$302,5,FALSE)),0,VLOOKUP(A274,'75m'!F$5:J$302,5,FALSE)))</f>
        <v>0</v>
      </c>
      <c r="H274" s="51" t="str">
        <f>IF(B274="","",IF(ISNA(VLOOKUP(A274,'75m'!F$5:K$302,6,FALSE)),"",VLOOKUP(A274,'75m'!F$5:K$302,6,FALSE)))</f>
        <v/>
      </c>
      <c r="I274" s="53">
        <f>IF(B274="",0,IF(ISNA(VLOOKUP(A274,'600m'!F$5:J$302,2,FALSE)),0,VLOOKUP(A274,'600m'!F$5:J$302,2,FALSE)))</f>
        <v>0</v>
      </c>
      <c r="J274" s="51">
        <f>IF(B274="",0,IF(ISNA(VLOOKUP(A274,'600m'!F$5:J$302,5,FALSE)),0,VLOOKUP(A274,'600m'!F$5:J$302,5,FALSE)))</f>
        <v>0</v>
      </c>
      <c r="K274" s="51" t="str">
        <f>IF(B274="","",IF(ISNA(VLOOKUP(A274,'600m'!F$5:K$302,6,FALSE)),"",VLOOKUP(A274,'600m'!F$5:K$302,6,FALSE)))</f>
        <v/>
      </c>
      <c r="L274" s="51" t="str">
        <f>IF(B274="","",IF(ISNA(VLOOKUP(A274,LongJump!F$5:G$302,2,FALSE)),"",VLOOKUP(A274,LongJump!F$5:G$302,2,FALSE)))</f>
        <v/>
      </c>
      <c r="M274" s="51">
        <f>IF(B274="",0,IF(ISNA(VLOOKUP(A274,LongJump!F$5:J$302,5,FALSE)),0,VLOOKUP(A274,LongJump!F$5:J$302,5,FALSE)))</f>
        <v>0</v>
      </c>
      <c r="N274" s="51">
        <f>IF(B274="",0,IF(ISNA(VLOOKUP(A274,LongJump!F$5:K$302,6,FALSE)),0,VLOOKUP(A274,LongJump!F$5:K$302,6,FALSE)))</f>
        <v>0</v>
      </c>
      <c r="O274" s="51" t="str">
        <f>IF(B274="","",IF(ISNA(VLOOKUP(A274,Vortex!F$5:J$302,2,FALSE)),"",VLOOKUP(A274,Vortex!F$5:J$302,2,FALSE)))</f>
        <v/>
      </c>
      <c r="P274" s="51">
        <f>IF(B274="",0,IF(ISNA(VLOOKUP(A274,Vortex!F$5:J$302,5,FALSE)),0,VLOOKUP(A274,Vortex!F$5:J$302,5,FALSE)))</f>
        <v>0</v>
      </c>
      <c r="Q274" s="51">
        <f t="shared" si="29"/>
        <v>0</v>
      </c>
      <c r="R274" s="51" t="str">
        <f t="shared" si="25"/>
        <v/>
      </c>
      <c r="S274" s="51" t="str">
        <f t="shared" si="26"/>
        <v/>
      </c>
      <c r="T274" s="51" t="str">
        <f t="shared" si="27"/>
        <v/>
      </c>
      <c r="U274" s="51" t="str">
        <f t="shared" si="28"/>
        <v/>
      </c>
      <c r="V274" s="39"/>
    </row>
    <row r="275" spans="1:22" ht="20" customHeight="1">
      <c r="A275" s="51" t="str">
        <f>IF(Declarations!B227=0,"",Declarations!B227)</f>
        <v/>
      </c>
      <c r="B275" s="161" t="str">
        <f>IF(ISNA(VLOOKUP(A275,Declarations!B$6:C$293,2,FALSE)),"",IF(VLOOKUP(A275,Declarations!B$6:C$293,2,FALSE)="","",VLOOKUP(A275,Declarations!B$6:C$293,2,FALSE)))</f>
        <v/>
      </c>
      <c r="C275" s="161" t="str">
        <f>IF(ISNA(VLOOKUP(A275,Declarations!B$6:F$293,5,FALSE)),"",IF(VLOOKUP(A275,Declarations!B$6:F$293,5,FALSE)="","",VLOOKUP(A275,Declarations!B$6:F$293,5,FALSE)))</f>
        <v/>
      </c>
      <c r="D275" s="161" t="str">
        <f>IF(ISNA(VLOOKUP(A275,Declarations!B$6:F$293,4,FALSE)),"",IF(VLOOKUP(A275,Declarations!B$6:F$293,4,FALSE)="","",VLOOKUP(A275,Declarations!B$6:F$293,4,FALSE)))</f>
        <v/>
      </c>
      <c r="E275" s="161" t="str">
        <f>IF(ISNA(VLOOKUP(A275,Declarations!B$6:D$293,3,FALSE)),"",IF(VLOOKUP(A275,Declarations!B$6:D$293,3,FALSE)="","",VLOOKUP(A275,Declarations!B$6:D$293,3,FALSE)))</f>
        <v/>
      </c>
      <c r="F275" s="51" t="str">
        <f>IF(B275="","",IF(ISNA(VLOOKUP(A275,'75m'!F$5:G$302,2,FALSE)),"",VLOOKUP(A275,'75m'!F$5:G$302,2,FALSE)))</f>
        <v/>
      </c>
      <c r="G275" s="51">
        <f>IF(B275="",0,IF(ISNA(VLOOKUP(A275,'75m'!F$5:J$302,5,FALSE)),0,VLOOKUP(A275,'75m'!F$5:J$302,5,FALSE)))</f>
        <v>0</v>
      </c>
      <c r="H275" s="51" t="str">
        <f>IF(B275="","",IF(ISNA(VLOOKUP(A275,'75m'!F$5:K$302,6,FALSE)),"",VLOOKUP(A275,'75m'!F$5:K$302,6,FALSE)))</f>
        <v/>
      </c>
      <c r="I275" s="53">
        <f>IF(B275="",0,IF(ISNA(VLOOKUP(A275,'600m'!F$5:J$302,2,FALSE)),0,VLOOKUP(A275,'600m'!F$5:J$302,2,FALSE)))</f>
        <v>0</v>
      </c>
      <c r="J275" s="51">
        <f>IF(B275="",0,IF(ISNA(VLOOKUP(A275,'600m'!F$5:J$302,5,FALSE)),0,VLOOKUP(A275,'600m'!F$5:J$302,5,FALSE)))</f>
        <v>0</v>
      </c>
      <c r="K275" s="51" t="str">
        <f>IF(B275="","",IF(ISNA(VLOOKUP(A275,'600m'!F$5:K$302,6,FALSE)),"",VLOOKUP(A275,'600m'!F$5:K$302,6,FALSE)))</f>
        <v/>
      </c>
      <c r="L275" s="51" t="str">
        <f>IF(B275="","",IF(ISNA(VLOOKUP(A275,LongJump!F$5:G$302,2,FALSE)),"",VLOOKUP(A275,LongJump!F$5:G$302,2,FALSE)))</f>
        <v/>
      </c>
      <c r="M275" s="51">
        <f>IF(B275="",0,IF(ISNA(VLOOKUP(A275,LongJump!F$5:J$302,5,FALSE)),0,VLOOKUP(A275,LongJump!F$5:J$302,5,FALSE)))</f>
        <v>0</v>
      </c>
      <c r="N275" s="51">
        <f>IF(B275="",0,IF(ISNA(VLOOKUP(A275,LongJump!F$5:K$302,6,FALSE)),0,VLOOKUP(A275,LongJump!F$5:K$302,6,FALSE)))</f>
        <v>0</v>
      </c>
      <c r="O275" s="51" t="str">
        <f>IF(B275="","",IF(ISNA(VLOOKUP(A275,Vortex!F$5:J$302,2,FALSE)),"",VLOOKUP(A275,Vortex!F$5:J$302,2,FALSE)))</f>
        <v/>
      </c>
      <c r="P275" s="51">
        <f>IF(B275="",0,IF(ISNA(VLOOKUP(A275,Vortex!F$5:J$302,5,FALSE)),0,VLOOKUP(A275,Vortex!F$5:J$302,5,FALSE)))</f>
        <v>0</v>
      </c>
      <c r="Q275" s="51">
        <f t="shared" si="29"/>
        <v>0</v>
      </c>
      <c r="R275" s="51" t="str">
        <f t="shared" si="25"/>
        <v/>
      </c>
      <c r="S275" s="51" t="str">
        <f t="shared" si="26"/>
        <v/>
      </c>
      <c r="T275" s="51" t="str">
        <f t="shared" si="27"/>
        <v/>
      </c>
      <c r="U275" s="51" t="str">
        <f t="shared" si="28"/>
        <v/>
      </c>
      <c r="V275" s="39"/>
    </row>
    <row r="276" spans="1:22" ht="20" customHeight="1">
      <c r="A276" s="51" t="str">
        <f>IF(Declarations!B228=0,"",Declarations!B228)</f>
        <v/>
      </c>
      <c r="B276" s="161" t="str">
        <f>IF(ISNA(VLOOKUP(A276,Declarations!B$6:C$293,2,FALSE)),"",IF(VLOOKUP(A276,Declarations!B$6:C$293,2,FALSE)="","",VLOOKUP(A276,Declarations!B$6:C$293,2,FALSE)))</f>
        <v/>
      </c>
      <c r="C276" s="161" t="str">
        <f>IF(ISNA(VLOOKUP(A276,Declarations!B$6:F$293,5,FALSE)),"",IF(VLOOKUP(A276,Declarations!B$6:F$293,5,FALSE)="","",VLOOKUP(A276,Declarations!B$6:F$293,5,FALSE)))</f>
        <v/>
      </c>
      <c r="D276" s="161" t="str">
        <f>IF(ISNA(VLOOKUP(A276,Declarations!B$6:F$293,4,FALSE)),"",IF(VLOOKUP(A276,Declarations!B$6:F$293,4,FALSE)="","",VLOOKUP(A276,Declarations!B$6:F$293,4,FALSE)))</f>
        <v/>
      </c>
      <c r="E276" s="161" t="str">
        <f>IF(ISNA(VLOOKUP(A276,Declarations!B$6:D$293,3,FALSE)),"",IF(VLOOKUP(A276,Declarations!B$6:D$293,3,FALSE)="","",VLOOKUP(A276,Declarations!B$6:D$293,3,FALSE)))</f>
        <v/>
      </c>
      <c r="F276" s="51" t="str">
        <f>IF(B276="","",IF(ISNA(VLOOKUP(A276,'75m'!F$5:G$302,2,FALSE)),"",VLOOKUP(A276,'75m'!F$5:G$302,2,FALSE)))</f>
        <v/>
      </c>
      <c r="G276" s="51">
        <f>IF(B276="",0,IF(ISNA(VLOOKUP(A276,'75m'!F$5:J$302,5,FALSE)),0,VLOOKUP(A276,'75m'!F$5:J$302,5,FALSE)))</f>
        <v>0</v>
      </c>
      <c r="H276" s="51" t="str">
        <f>IF(B276="","",IF(ISNA(VLOOKUP(A276,'75m'!F$5:K$302,6,FALSE)),"",VLOOKUP(A276,'75m'!F$5:K$302,6,FALSE)))</f>
        <v/>
      </c>
      <c r="I276" s="53">
        <f>IF(B276="",0,IF(ISNA(VLOOKUP(A276,'600m'!F$5:J$302,2,FALSE)),0,VLOOKUP(A276,'600m'!F$5:J$302,2,FALSE)))</f>
        <v>0</v>
      </c>
      <c r="J276" s="51">
        <f>IF(B276="",0,IF(ISNA(VLOOKUP(A276,'600m'!F$5:J$302,5,FALSE)),0,VLOOKUP(A276,'600m'!F$5:J$302,5,FALSE)))</f>
        <v>0</v>
      </c>
      <c r="K276" s="51" t="str">
        <f>IF(B276="","",IF(ISNA(VLOOKUP(A276,'600m'!F$5:K$302,6,FALSE)),"",VLOOKUP(A276,'600m'!F$5:K$302,6,FALSE)))</f>
        <v/>
      </c>
      <c r="L276" s="51" t="str">
        <f>IF(B276="","",IF(ISNA(VLOOKUP(A276,LongJump!F$5:G$302,2,FALSE)),"",VLOOKUP(A276,LongJump!F$5:G$302,2,FALSE)))</f>
        <v/>
      </c>
      <c r="M276" s="51">
        <f>IF(B276="",0,IF(ISNA(VLOOKUP(A276,LongJump!F$5:J$302,5,FALSE)),0,VLOOKUP(A276,LongJump!F$5:J$302,5,FALSE)))</f>
        <v>0</v>
      </c>
      <c r="N276" s="51">
        <f>IF(B276="",0,IF(ISNA(VLOOKUP(A276,LongJump!F$5:K$302,6,FALSE)),0,VLOOKUP(A276,LongJump!F$5:K$302,6,FALSE)))</f>
        <v>0</v>
      </c>
      <c r="O276" s="51" t="str">
        <f>IF(B276="","",IF(ISNA(VLOOKUP(A276,Vortex!F$5:J$302,2,FALSE)),"",VLOOKUP(A276,Vortex!F$5:J$302,2,FALSE)))</f>
        <v/>
      </c>
      <c r="P276" s="51">
        <f>IF(B276="",0,IF(ISNA(VLOOKUP(A276,Vortex!F$5:J$302,5,FALSE)),0,VLOOKUP(A276,Vortex!F$5:J$302,5,FALSE)))</f>
        <v>0</v>
      </c>
      <c r="Q276" s="51">
        <f t="shared" si="29"/>
        <v>0</v>
      </c>
      <c r="R276" s="51" t="str">
        <f t="shared" si="25"/>
        <v/>
      </c>
      <c r="S276" s="51" t="str">
        <f t="shared" si="26"/>
        <v/>
      </c>
      <c r="T276" s="51" t="str">
        <f t="shared" si="27"/>
        <v/>
      </c>
      <c r="U276" s="51" t="str">
        <f t="shared" si="28"/>
        <v/>
      </c>
      <c r="V276" s="39"/>
    </row>
    <row r="277" spans="1:22" ht="20" customHeight="1">
      <c r="A277" s="51" t="str">
        <f>IF(Declarations!B229=0,"",Declarations!B229)</f>
        <v/>
      </c>
      <c r="B277" s="161" t="str">
        <f>IF(ISNA(VLOOKUP(A277,Declarations!B$6:C$293,2,FALSE)),"",IF(VLOOKUP(A277,Declarations!B$6:C$293,2,FALSE)="","",VLOOKUP(A277,Declarations!B$6:C$293,2,FALSE)))</f>
        <v/>
      </c>
      <c r="C277" s="161" t="str">
        <f>IF(ISNA(VLOOKUP(A277,Declarations!B$6:F$293,5,FALSE)),"",IF(VLOOKUP(A277,Declarations!B$6:F$293,5,FALSE)="","",VLOOKUP(A277,Declarations!B$6:F$293,5,FALSE)))</f>
        <v/>
      </c>
      <c r="D277" s="161" t="str">
        <f>IF(ISNA(VLOOKUP(A277,Declarations!B$6:F$293,4,FALSE)),"",IF(VLOOKUP(A277,Declarations!B$6:F$293,4,FALSE)="","",VLOOKUP(A277,Declarations!B$6:F$293,4,FALSE)))</f>
        <v/>
      </c>
      <c r="E277" s="161" t="str">
        <f>IF(ISNA(VLOOKUP(A277,Declarations!B$6:D$293,3,FALSE)),"",IF(VLOOKUP(A277,Declarations!B$6:D$293,3,FALSE)="","",VLOOKUP(A277,Declarations!B$6:D$293,3,FALSE)))</f>
        <v/>
      </c>
      <c r="F277" s="51" t="str">
        <f>IF(B277="","",IF(ISNA(VLOOKUP(A277,'75m'!F$5:G$302,2,FALSE)),"",VLOOKUP(A277,'75m'!F$5:G$302,2,FALSE)))</f>
        <v/>
      </c>
      <c r="G277" s="51">
        <f>IF(B277="",0,IF(ISNA(VLOOKUP(A277,'75m'!F$5:J$302,5,FALSE)),0,VLOOKUP(A277,'75m'!F$5:J$302,5,FALSE)))</f>
        <v>0</v>
      </c>
      <c r="H277" s="51" t="str">
        <f>IF(B277="","",IF(ISNA(VLOOKUP(A277,'75m'!F$5:K$302,6,FALSE)),"",VLOOKUP(A277,'75m'!F$5:K$302,6,FALSE)))</f>
        <v/>
      </c>
      <c r="I277" s="53">
        <f>IF(B277="",0,IF(ISNA(VLOOKUP(A277,'600m'!F$5:J$302,2,FALSE)),0,VLOOKUP(A277,'600m'!F$5:J$302,2,FALSE)))</f>
        <v>0</v>
      </c>
      <c r="J277" s="51">
        <f>IF(B277="",0,IF(ISNA(VLOOKUP(A277,'600m'!F$5:J$302,5,FALSE)),0,VLOOKUP(A277,'600m'!F$5:J$302,5,FALSE)))</f>
        <v>0</v>
      </c>
      <c r="K277" s="51" t="str">
        <f>IF(B277="","",IF(ISNA(VLOOKUP(A277,'600m'!F$5:K$302,6,FALSE)),"",VLOOKUP(A277,'600m'!F$5:K$302,6,FALSE)))</f>
        <v/>
      </c>
      <c r="L277" s="51" t="str">
        <f>IF(B277="","",IF(ISNA(VLOOKUP(A277,LongJump!F$5:G$302,2,FALSE)),"",VLOOKUP(A277,LongJump!F$5:G$302,2,FALSE)))</f>
        <v/>
      </c>
      <c r="M277" s="51">
        <f>IF(B277="",0,IF(ISNA(VLOOKUP(A277,LongJump!F$5:J$302,5,FALSE)),0,VLOOKUP(A277,LongJump!F$5:J$302,5,FALSE)))</f>
        <v>0</v>
      </c>
      <c r="N277" s="51">
        <f>IF(B277="",0,IF(ISNA(VLOOKUP(A277,LongJump!F$5:K$302,6,FALSE)),0,VLOOKUP(A277,LongJump!F$5:K$302,6,FALSE)))</f>
        <v>0</v>
      </c>
      <c r="O277" s="51" t="str">
        <f>IF(B277="","",IF(ISNA(VLOOKUP(A277,Vortex!F$5:J$302,2,FALSE)),"",VLOOKUP(A277,Vortex!F$5:J$302,2,FALSE)))</f>
        <v/>
      </c>
      <c r="P277" s="51">
        <f>IF(B277="",0,IF(ISNA(VLOOKUP(A277,Vortex!F$5:J$302,5,FALSE)),0,VLOOKUP(A277,Vortex!F$5:J$302,5,FALSE)))</f>
        <v>0</v>
      </c>
      <c r="Q277" s="51">
        <f t="shared" si="29"/>
        <v>0</v>
      </c>
      <c r="R277" s="51" t="str">
        <f t="shared" si="25"/>
        <v/>
      </c>
      <c r="S277" s="51" t="str">
        <f t="shared" si="26"/>
        <v/>
      </c>
      <c r="T277" s="51" t="str">
        <f t="shared" si="27"/>
        <v/>
      </c>
      <c r="U277" s="51" t="str">
        <f t="shared" si="28"/>
        <v/>
      </c>
      <c r="V277" s="39"/>
    </row>
    <row r="278" spans="1:22" ht="20" customHeight="1">
      <c r="A278" s="51" t="str">
        <f>IF(Declarations!B230=0,"",Declarations!B230)</f>
        <v/>
      </c>
      <c r="B278" s="161" t="str">
        <f>IF(ISNA(VLOOKUP(A278,Declarations!B$6:C$293,2,FALSE)),"",IF(VLOOKUP(A278,Declarations!B$6:C$293,2,FALSE)="","",VLOOKUP(A278,Declarations!B$6:C$293,2,FALSE)))</f>
        <v/>
      </c>
      <c r="C278" s="161" t="str">
        <f>IF(ISNA(VLOOKUP(A278,Declarations!B$6:F$293,5,FALSE)),"",IF(VLOOKUP(A278,Declarations!B$6:F$293,5,FALSE)="","",VLOOKUP(A278,Declarations!B$6:F$293,5,FALSE)))</f>
        <v/>
      </c>
      <c r="D278" s="161" t="str">
        <f>IF(ISNA(VLOOKUP(A278,Declarations!B$6:F$293,4,FALSE)),"",IF(VLOOKUP(A278,Declarations!B$6:F$293,4,FALSE)="","",VLOOKUP(A278,Declarations!B$6:F$293,4,FALSE)))</f>
        <v/>
      </c>
      <c r="E278" s="161" t="str">
        <f>IF(ISNA(VLOOKUP(A278,Declarations!B$6:D$293,3,FALSE)),"",IF(VLOOKUP(A278,Declarations!B$6:D$293,3,FALSE)="","",VLOOKUP(A278,Declarations!B$6:D$293,3,FALSE)))</f>
        <v/>
      </c>
      <c r="F278" s="51" t="str">
        <f>IF(B278="","",IF(ISNA(VLOOKUP(A278,'75m'!F$5:G$302,2,FALSE)),"",VLOOKUP(A278,'75m'!F$5:G$302,2,FALSE)))</f>
        <v/>
      </c>
      <c r="G278" s="51">
        <f>IF(B278="",0,IF(ISNA(VLOOKUP(A278,'75m'!F$5:J$302,5,FALSE)),0,VLOOKUP(A278,'75m'!F$5:J$302,5,FALSE)))</f>
        <v>0</v>
      </c>
      <c r="H278" s="51" t="str">
        <f>IF(B278="","",IF(ISNA(VLOOKUP(A278,'75m'!F$5:K$302,6,FALSE)),"",VLOOKUP(A278,'75m'!F$5:K$302,6,FALSE)))</f>
        <v/>
      </c>
      <c r="I278" s="53">
        <f>IF(B278="",0,IF(ISNA(VLOOKUP(A278,'600m'!F$5:J$302,2,FALSE)),0,VLOOKUP(A278,'600m'!F$5:J$302,2,FALSE)))</f>
        <v>0</v>
      </c>
      <c r="J278" s="51">
        <f>IF(B278="",0,IF(ISNA(VLOOKUP(A278,'600m'!F$5:J$302,5,FALSE)),0,VLOOKUP(A278,'600m'!F$5:J$302,5,FALSE)))</f>
        <v>0</v>
      </c>
      <c r="K278" s="51" t="str">
        <f>IF(B278="","",IF(ISNA(VLOOKUP(A278,'600m'!F$5:K$302,6,FALSE)),"",VLOOKUP(A278,'600m'!F$5:K$302,6,FALSE)))</f>
        <v/>
      </c>
      <c r="L278" s="51" t="str">
        <f>IF(B278="","",IF(ISNA(VLOOKUP(A278,LongJump!F$5:G$302,2,FALSE)),"",VLOOKUP(A278,LongJump!F$5:G$302,2,FALSE)))</f>
        <v/>
      </c>
      <c r="M278" s="51">
        <f>IF(B278="",0,IF(ISNA(VLOOKUP(A278,LongJump!F$5:J$302,5,FALSE)),0,VLOOKUP(A278,LongJump!F$5:J$302,5,FALSE)))</f>
        <v>0</v>
      </c>
      <c r="N278" s="51">
        <f>IF(B278="",0,IF(ISNA(VLOOKUP(A278,LongJump!F$5:K$302,6,FALSE)),0,VLOOKUP(A278,LongJump!F$5:K$302,6,FALSE)))</f>
        <v>0</v>
      </c>
      <c r="O278" s="51" t="str">
        <f>IF(B278="","",IF(ISNA(VLOOKUP(A278,Vortex!F$5:J$302,2,FALSE)),"",VLOOKUP(A278,Vortex!F$5:J$302,2,FALSE)))</f>
        <v/>
      </c>
      <c r="P278" s="51">
        <f>IF(B278="",0,IF(ISNA(VLOOKUP(A278,Vortex!F$5:J$302,5,FALSE)),0,VLOOKUP(A278,Vortex!F$5:J$302,5,FALSE)))</f>
        <v>0</v>
      </c>
      <c r="Q278" s="51">
        <f t="shared" si="29"/>
        <v>0</v>
      </c>
      <c r="R278" s="51" t="str">
        <f t="shared" si="25"/>
        <v/>
      </c>
      <c r="S278" s="51" t="str">
        <f t="shared" si="26"/>
        <v/>
      </c>
      <c r="T278" s="51" t="str">
        <f t="shared" si="27"/>
        <v/>
      </c>
      <c r="U278" s="51" t="str">
        <f t="shared" si="28"/>
        <v/>
      </c>
      <c r="V278" s="39"/>
    </row>
    <row r="279" spans="1:22" ht="20" customHeight="1">
      <c r="A279" s="51" t="str">
        <f>IF(Declarations!B231=0,"",Declarations!B231)</f>
        <v/>
      </c>
      <c r="B279" s="161" t="str">
        <f>IF(ISNA(VLOOKUP(A279,Declarations!B$6:C$293,2,FALSE)),"",IF(VLOOKUP(A279,Declarations!B$6:C$293,2,FALSE)="","",VLOOKUP(A279,Declarations!B$6:C$293,2,FALSE)))</f>
        <v/>
      </c>
      <c r="C279" s="161" t="str">
        <f>IF(ISNA(VLOOKUP(A279,Declarations!B$6:F$293,5,FALSE)),"",IF(VLOOKUP(A279,Declarations!B$6:F$293,5,FALSE)="","",VLOOKUP(A279,Declarations!B$6:F$293,5,FALSE)))</f>
        <v/>
      </c>
      <c r="D279" s="161" t="str">
        <f>IF(ISNA(VLOOKUP(A279,Declarations!B$6:F$293,4,FALSE)),"",IF(VLOOKUP(A279,Declarations!B$6:F$293,4,FALSE)="","",VLOOKUP(A279,Declarations!B$6:F$293,4,FALSE)))</f>
        <v/>
      </c>
      <c r="E279" s="161" t="str">
        <f>IF(ISNA(VLOOKUP(A279,Declarations!B$6:D$293,3,FALSE)),"",IF(VLOOKUP(A279,Declarations!B$6:D$293,3,FALSE)="","",VLOOKUP(A279,Declarations!B$6:D$293,3,FALSE)))</f>
        <v/>
      </c>
      <c r="F279" s="51" t="str">
        <f>IF(B279="","",IF(ISNA(VLOOKUP(A279,'75m'!F$5:G$302,2,FALSE)),"",VLOOKUP(A279,'75m'!F$5:G$302,2,FALSE)))</f>
        <v/>
      </c>
      <c r="G279" s="51">
        <f>IF(B279="",0,IF(ISNA(VLOOKUP(A279,'75m'!F$5:J$302,5,FALSE)),0,VLOOKUP(A279,'75m'!F$5:J$302,5,FALSE)))</f>
        <v>0</v>
      </c>
      <c r="H279" s="51" t="str">
        <f>IF(B279="","",IF(ISNA(VLOOKUP(A279,'75m'!F$5:K$302,6,FALSE)),"",VLOOKUP(A279,'75m'!F$5:K$302,6,FALSE)))</f>
        <v/>
      </c>
      <c r="I279" s="53">
        <f>IF(B279="",0,IF(ISNA(VLOOKUP(A279,'600m'!F$5:J$302,2,FALSE)),0,VLOOKUP(A279,'600m'!F$5:J$302,2,FALSE)))</f>
        <v>0</v>
      </c>
      <c r="J279" s="51">
        <f>IF(B279="",0,IF(ISNA(VLOOKUP(A279,'600m'!F$5:J$302,5,FALSE)),0,VLOOKUP(A279,'600m'!F$5:J$302,5,FALSE)))</f>
        <v>0</v>
      </c>
      <c r="K279" s="51" t="str">
        <f>IF(B279="","",IF(ISNA(VLOOKUP(A279,'600m'!F$5:K$302,6,FALSE)),"",VLOOKUP(A279,'600m'!F$5:K$302,6,FALSE)))</f>
        <v/>
      </c>
      <c r="L279" s="51" t="str">
        <f>IF(B279="","",IF(ISNA(VLOOKUP(A279,LongJump!F$5:G$302,2,FALSE)),"",VLOOKUP(A279,LongJump!F$5:G$302,2,FALSE)))</f>
        <v/>
      </c>
      <c r="M279" s="51">
        <f>IF(B279="",0,IF(ISNA(VLOOKUP(A279,LongJump!F$5:J$302,5,FALSE)),0,VLOOKUP(A279,LongJump!F$5:J$302,5,FALSE)))</f>
        <v>0</v>
      </c>
      <c r="N279" s="51">
        <f>IF(B279="",0,IF(ISNA(VLOOKUP(A279,LongJump!F$5:K$302,6,FALSE)),0,VLOOKUP(A279,LongJump!F$5:K$302,6,FALSE)))</f>
        <v>0</v>
      </c>
      <c r="O279" s="51" t="str">
        <f>IF(B279="","",IF(ISNA(VLOOKUP(A279,Vortex!F$5:J$302,2,FALSE)),"",VLOOKUP(A279,Vortex!F$5:J$302,2,FALSE)))</f>
        <v/>
      </c>
      <c r="P279" s="51">
        <f>IF(B279="",0,IF(ISNA(VLOOKUP(A279,Vortex!F$5:J$302,5,FALSE)),0,VLOOKUP(A279,Vortex!F$5:J$302,5,FALSE)))</f>
        <v>0</v>
      </c>
      <c r="Q279" s="51">
        <f t="shared" si="29"/>
        <v>0</v>
      </c>
      <c r="R279" s="51" t="str">
        <f t="shared" si="25"/>
        <v/>
      </c>
      <c r="S279" s="51" t="str">
        <f t="shared" si="26"/>
        <v/>
      </c>
      <c r="T279" s="51" t="str">
        <f t="shared" si="27"/>
        <v/>
      </c>
      <c r="U279" s="51" t="str">
        <f t="shared" si="28"/>
        <v/>
      </c>
      <c r="V279" s="39"/>
    </row>
    <row r="280" spans="1:22" ht="20" customHeight="1">
      <c r="A280" s="51" t="str">
        <f>IF(Declarations!B232=0,"",Declarations!B232)</f>
        <v/>
      </c>
      <c r="B280" s="161" t="str">
        <f>IF(ISNA(VLOOKUP(A280,Declarations!B$6:C$293,2,FALSE)),"",IF(VLOOKUP(A280,Declarations!B$6:C$293,2,FALSE)="","",VLOOKUP(A280,Declarations!B$6:C$293,2,FALSE)))</f>
        <v/>
      </c>
      <c r="C280" s="161" t="str">
        <f>IF(ISNA(VLOOKUP(A280,Declarations!B$6:F$293,5,FALSE)),"",IF(VLOOKUP(A280,Declarations!B$6:F$293,5,FALSE)="","",VLOOKUP(A280,Declarations!B$6:F$293,5,FALSE)))</f>
        <v/>
      </c>
      <c r="D280" s="161" t="str">
        <f>IF(ISNA(VLOOKUP(A280,Declarations!B$6:F$293,4,FALSE)),"",IF(VLOOKUP(A280,Declarations!B$6:F$293,4,FALSE)="","",VLOOKUP(A280,Declarations!B$6:F$293,4,FALSE)))</f>
        <v/>
      </c>
      <c r="E280" s="161" t="str">
        <f>IF(ISNA(VLOOKUP(A280,Declarations!B$6:D$293,3,FALSE)),"",IF(VLOOKUP(A280,Declarations!B$6:D$293,3,FALSE)="","",VLOOKUP(A280,Declarations!B$6:D$293,3,FALSE)))</f>
        <v/>
      </c>
      <c r="F280" s="51" t="str">
        <f>IF(B280="","",IF(ISNA(VLOOKUP(A280,'75m'!F$5:G$302,2,FALSE)),"",VLOOKUP(A280,'75m'!F$5:G$302,2,FALSE)))</f>
        <v/>
      </c>
      <c r="G280" s="51">
        <f>IF(B280="",0,IF(ISNA(VLOOKUP(A280,'75m'!F$5:J$302,5,FALSE)),0,VLOOKUP(A280,'75m'!F$5:J$302,5,FALSE)))</f>
        <v>0</v>
      </c>
      <c r="H280" s="51" t="str">
        <f>IF(B280="","",IF(ISNA(VLOOKUP(A280,'75m'!F$5:K$302,6,FALSE)),"",VLOOKUP(A280,'75m'!F$5:K$302,6,FALSE)))</f>
        <v/>
      </c>
      <c r="I280" s="53">
        <f>IF(B280="",0,IF(ISNA(VLOOKUP(A280,'600m'!F$5:J$302,2,FALSE)),0,VLOOKUP(A280,'600m'!F$5:J$302,2,FALSE)))</f>
        <v>0</v>
      </c>
      <c r="J280" s="51">
        <f>IF(B280="",0,IF(ISNA(VLOOKUP(A280,'600m'!F$5:J$302,5,FALSE)),0,VLOOKUP(A280,'600m'!F$5:J$302,5,FALSE)))</f>
        <v>0</v>
      </c>
      <c r="K280" s="51" t="str">
        <f>IF(B280="","",IF(ISNA(VLOOKUP(A280,'600m'!F$5:K$302,6,FALSE)),"",VLOOKUP(A280,'600m'!F$5:K$302,6,FALSE)))</f>
        <v/>
      </c>
      <c r="L280" s="51" t="str">
        <f>IF(B280="","",IF(ISNA(VLOOKUP(A280,LongJump!F$5:G$302,2,FALSE)),"",VLOOKUP(A280,LongJump!F$5:G$302,2,FALSE)))</f>
        <v/>
      </c>
      <c r="M280" s="51">
        <f>IF(B280="",0,IF(ISNA(VLOOKUP(A280,LongJump!F$5:J$302,5,FALSE)),0,VLOOKUP(A280,LongJump!F$5:J$302,5,FALSE)))</f>
        <v>0</v>
      </c>
      <c r="N280" s="51">
        <f>IF(B280="",0,IF(ISNA(VLOOKUP(A280,LongJump!F$5:K$302,6,FALSE)),0,VLOOKUP(A280,LongJump!F$5:K$302,6,FALSE)))</f>
        <v>0</v>
      </c>
      <c r="O280" s="51" t="str">
        <f>IF(B280="","",IF(ISNA(VLOOKUP(A280,Vortex!F$5:J$302,2,FALSE)),"",VLOOKUP(A280,Vortex!F$5:J$302,2,FALSE)))</f>
        <v/>
      </c>
      <c r="P280" s="51">
        <f>IF(B280="",0,IF(ISNA(VLOOKUP(A280,Vortex!F$5:J$302,5,FALSE)),0,VLOOKUP(A280,Vortex!F$5:J$302,5,FALSE)))</f>
        <v>0</v>
      </c>
      <c r="Q280" s="51">
        <f t="shared" si="29"/>
        <v>0</v>
      </c>
      <c r="R280" s="51" t="str">
        <f t="shared" si="25"/>
        <v/>
      </c>
      <c r="S280" s="51" t="str">
        <f t="shared" si="26"/>
        <v/>
      </c>
      <c r="T280" s="51" t="str">
        <f t="shared" si="27"/>
        <v/>
      </c>
      <c r="U280" s="51" t="str">
        <f t="shared" si="28"/>
        <v/>
      </c>
      <c r="V280" s="39"/>
    </row>
    <row r="281" spans="1:22" ht="20" customHeight="1">
      <c r="A281" s="51" t="str">
        <f>IF(Declarations!B233=0,"",Declarations!B233)</f>
        <v/>
      </c>
      <c r="B281" s="161" t="str">
        <f>IF(ISNA(VLOOKUP(A281,Declarations!B$6:C$293,2,FALSE)),"",IF(VLOOKUP(A281,Declarations!B$6:C$293,2,FALSE)="","",VLOOKUP(A281,Declarations!B$6:C$293,2,FALSE)))</f>
        <v/>
      </c>
      <c r="C281" s="161" t="str">
        <f>IF(ISNA(VLOOKUP(A281,Declarations!B$6:F$293,5,FALSE)),"",IF(VLOOKUP(A281,Declarations!B$6:F$293,5,FALSE)="","",VLOOKUP(A281,Declarations!B$6:F$293,5,FALSE)))</f>
        <v/>
      </c>
      <c r="D281" s="161" t="str">
        <f>IF(ISNA(VLOOKUP(A281,Declarations!B$6:F$293,4,FALSE)),"",IF(VLOOKUP(A281,Declarations!B$6:F$293,4,FALSE)="","",VLOOKUP(A281,Declarations!B$6:F$293,4,FALSE)))</f>
        <v/>
      </c>
      <c r="E281" s="161" t="str">
        <f>IF(ISNA(VLOOKUP(A281,Declarations!B$6:D$293,3,FALSE)),"",IF(VLOOKUP(A281,Declarations!B$6:D$293,3,FALSE)="","",VLOOKUP(A281,Declarations!B$6:D$293,3,FALSE)))</f>
        <v/>
      </c>
      <c r="F281" s="51" t="str">
        <f>IF(B281="","",IF(ISNA(VLOOKUP(A281,'75m'!F$5:G$302,2,FALSE)),"",VLOOKUP(A281,'75m'!F$5:G$302,2,FALSE)))</f>
        <v/>
      </c>
      <c r="G281" s="51">
        <f>IF(B281="",0,IF(ISNA(VLOOKUP(A281,'75m'!F$5:J$302,5,FALSE)),0,VLOOKUP(A281,'75m'!F$5:J$302,5,FALSE)))</f>
        <v>0</v>
      </c>
      <c r="H281" s="51" t="str">
        <f>IF(B281="","",IF(ISNA(VLOOKUP(A281,'75m'!F$5:K$302,6,FALSE)),"",VLOOKUP(A281,'75m'!F$5:K$302,6,FALSE)))</f>
        <v/>
      </c>
      <c r="I281" s="53">
        <f>IF(B281="",0,IF(ISNA(VLOOKUP(A281,'600m'!F$5:J$302,2,FALSE)),0,VLOOKUP(A281,'600m'!F$5:J$302,2,FALSE)))</f>
        <v>0</v>
      </c>
      <c r="J281" s="51">
        <f>IF(B281="",0,IF(ISNA(VLOOKUP(A281,'600m'!F$5:J$302,5,FALSE)),0,VLOOKUP(A281,'600m'!F$5:J$302,5,FALSE)))</f>
        <v>0</v>
      </c>
      <c r="K281" s="51" t="str">
        <f>IF(B281="","",IF(ISNA(VLOOKUP(A281,'600m'!F$5:K$302,6,FALSE)),"",VLOOKUP(A281,'600m'!F$5:K$302,6,FALSE)))</f>
        <v/>
      </c>
      <c r="L281" s="51" t="str">
        <f>IF(B281="","",IF(ISNA(VLOOKUP(A281,LongJump!F$5:G$302,2,FALSE)),"",VLOOKUP(A281,LongJump!F$5:G$302,2,FALSE)))</f>
        <v/>
      </c>
      <c r="M281" s="51">
        <f>IF(B281="",0,IF(ISNA(VLOOKUP(A281,LongJump!F$5:J$302,5,FALSE)),0,VLOOKUP(A281,LongJump!F$5:J$302,5,FALSE)))</f>
        <v>0</v>
      </c>
      <c r="N281" s="51">
        <f>IF(B281="",0,IF(ISNA(VLOOKUP(A281,LongJump!F$5:K$302,6,FALSE)),0,VLOOKUP(A281,LongJump!F$5:K$302,6,FALSE)))</f>
        <v>0</v>
      </c>
      <c r="O281" s="51" t="str">
        <f>IF(B281="","",IF(ISNA(VLOOKUP(A281,Vortex!F$5:J$302,2,FALSE)),"",VLOOKUP(A281,Vortex!F$5:J$302,2,FALSE)))</f>
        <v/>
      </c>
      <c r="P281" s="51">
        <f>IF(B281="",0,IF(ISNA(VLOOKUP(A281,Vortex!F$5:J$302,5,FALSE)),0,VLOOKUP(A281,Vortex!F$5:J$302,5,FALSE)))</f>
        <v>0</v>
      </c>
      <c r="Q281" s="51">
        <f t="shared" si="29"/>
        <v>0</v>
      </c>
      <c r="R281" s="51" t="str">
        <f t="shared" si="25"/>
        <v/>
      </c>
      <c r="S281" s="51" t="str">
        <f t="shared" si="26"/>
        <v/>
      </c>
      <c r="T281" s="51" t="str">
        <f t="shared" si="27"/>
        <v/>
      </c>
      <c r="U281" s="51" t="str">
        <f t="shared" si="28"/>
        <v/>
      </c>
      <c r="V281" s="39"/>
    </row>
    <row r="282" spans="1:22" ht="20" customHeight="1">
      <c r="A282" s="51" t="str">
        <f>IF(Declarations!B234=0,"",Declarations!B234)</f>
        <v/>
      </c>
      <c r="B282" s="161" t="str">
        <f>IF(ISNA(VLOOKUP(A282,Declarations!B$6:C$293,2,FALSE)),"",IF(VLOOKUP(A282,Declarations!B$6:C$293,2,FALSE)="","",VLOOKUP(A282,Declarations!B$6:C$293,2,FALSE)))</f>
        <v/>
      </c>
      <c r="C282" s="161" t="str">
        <f>IF(ISNA(VLOOKUP(A282,Declarations!B$6:F$293,5,FALSE)),"",IF(VLOOKUP(A282,Declarations!B$6:F$293,5,FALSE)="","",VLOOKUP(A282,Declarations!B$6:F$293,5,FALSE)))</f>
        <v/>
      </c>
      <c r="D282" s="161" t="str">
        <f>IF(ISNA(VLOOKUP(A282,Declarations!B$6:F$293,4,FALSE)),"",IF(VLOOKUP(A282,Declarations!B$6:F$293,4,FALSE)="","",VLOOKUP(A282,Declarations!B$6:F$293,4,FALSE)))</f>
        <v/>
      </c>
      <c r="E282" s="161" t="str">
        <f>IF(ISNA(VLOOKUP(A282,Declarations!B$6:D$293,3,FALSE)),"",IF(VLOOKUP(A282,Declarations!B$6:D$293,3,FALSE)="","",VLOOKUP(A282,Declarations!B$6:D$293,3,FALSE)))</f>
        <v/>
      </c>
      <c r="F282" s="51" t="str">
        <f>IF(B282="","",IF(ISNA(VLOOKUP(A282,'75m'!F$5:G$302,2,FALSE)),"",VLOOKUP(A282,'75m'!F$5:G$302,2,FALSE)))</f>
        <v/>
      </c>
      <c r="G282" s="51">
        <f>IF(B282="",0,IF(ISNA(VLOOKUP(A282,'75m'!F$5:J$302,5,FALSE)),0,VLOOKUP(A282,'75m'!F$5:J$302,5,FALSE)))</f>
        <v>0</v>
      </c>
      <c r="H282" s="51" t="str">
        <f>IF(B282="","",IF(ISNA(VLOOKUP(A282,'75m'!F$5:K$302,6,FALSE)),"",VLOOKUP(A282,'75m'!F$5:K$302,6,FALSE)))</f>
        <v/>
      </c>
      <c r="I282" s="53">
        <f>IF(B282="",0,IF(ISNA(VLOOKUP(A282,'600m'!F$5:J$302,2,FALSE)),0,VLOOKUP(A282,'600m'!F$5:J$302,2,FALSE)))</f>
        <v>0</v>
      </c>
      <c r="J282" s="51">
        <f>IF(B282="",0,IF(ISNA(VLOOKUP(A282,'600m'!F$5:J$302,5,FALSE)),0,VLOOKUP(A282,'600m'!F$5:J$302,5,FALSE)))</f>
        <v>0</v>
      </c>
      <c r="K282" s="51" t="str">
        <f>IF(B282="","",IF(ISNA(VLOOKUP(A282,'600m'!F$5:K$302,6,FALSE)),"",VLOOKUP(A282,'600m'!F$5:K$302,6,FALSE)))</f>
        <v/>
      </c>
      <c r="L282" s="51" t="str">
        <f>IF(B282="","",IF(ISNA(VLOOKUP(A282,LongJump!F$5:G$302,2,FALSE)),"",VLOOKUP(A282,LongJump!F$5:G$302,2,FALSE)))</f>
        <v/>
      </c>
      <c r="M282" s="51">
        <f>IF(B282="",0,IF(ISNA(VLOOKUP(A282,LongJump!F$5:J$302,5,FALSE)),0,VLOOKUP(A282,LongJump!F$5:J$302,5,FALSE)))</f>
        <v>0</v>
      </c>
      <c r="N282" s="51">
        <f>IF(B282="",0,IF(ISNA(VLOOKUP(A282,LongJump!F$5:K$302,6,FALSE)),0,VLOOKUP(A282,LongJump!F$5:K$302,6,FALSE)))</f>
        <v>0</v>
      </c>
      <c r="O282" s="51" t="str">
        <f>IF(B282="","",IF(ISNA(VLOOKUP(A282,Vortex!F$5:J$302,2,FALSE)),"",VLOOKUP(A282,Vortex!F$5:J$302,2,FALSE)))</f>
        <v/>
      </c>
      <c r="P282" s="51">
        <f>IF(B282="",0,IF(ISNA(VLOOKUP(A282,Vortex!F$5:J$302,5,FALSE)),0,VLOOKUP(A282,Vortex!F$5:J$302,5,FALSE)))</f>
        <v>0</v>
      </c>
      <c r="Q282" s="51">
        <f t="shared" si="29"/>
        <v>0</v>
      </c>
      <c r="R282" s="51" t="str">
        <f t="shared" si="25"/>
        <v/>
      </c>
      <c r="S282" s="51" t="str">
        <f t="shared" si="26"/>
        <v/>
      </c>
      <c r="T282" s="51" t="str">
        <f t="shared" si="27"/>
        <v/>
      </c>
      <c r="U282" s="51" t="str">
        <f t="shared" si="28"/>
        <v/>
      </c>
      <c r="V282" s="39"/>
    </row>
    <row r="283" spans="1:22" ht="20" customHeight="1">
      <c r="A283" s="51" t="str">
        <f>IF(Declarations!B235=0,"",Declarations!B235)</f>
        <v/>
      </c>
      <c r="B283" s="161" t="str">
        <f>IF(ISNA(VLOOKUP(A283,Declarations!B$6:C$293,2,FALSE)),"",IF(VLOOKUP(A283,Declarations!B$6:C$293,2,FALSE)="","",VLOOKUP(A283,Declarations!B$6:C$293,2,FALSE)))</f>
        <v/>
      </c>
      <c r="C283" s="161" t="str">
        <f>IF(ISNA(VLOOKUP(A283,Declarations!B$6:F$293,5,FALSE)),"",IF(VLOOKUP(A283,Declarations!B$6:F$293,5,FALSE)="","",VLOOKUP(A283,Declarations!B$6:F$293,5,FALSE)))</f>
        <v/>
      </c>
      <c r="D283" s="161" t="str">
        <f>IF(ISNA(VLOOKUP(A283,Declarations!B$6:F$293,4,FALSE)),"",IF(VLOOKUP(A283,Declarations!B$6:F$293,4,FALSE)="","",VLOOKUP(A283,Declarations!B$6:F$293,4,FALSE)))</f>
        <v/>
      </c>
      <c r="E283" s="161" t="str">
        <f>IF(ISNA(VLOOKUP(A283,Declarations!B$6:D$293,3,FALSE)),"",IF(VLOOKUP(A283,Declarations!B$6:D$293,3,FALSE)="","",VLOOKUP(A283,Declarations!B$6:D$293,3,FALSE)))</f>
        <v/>
      </c>
      <c r="F283" s="51" t="str">
        <f>IF(B283="","",IF(ISNA(VLOOKUP(A283,'75m'!F$5:G$302,2,FALSE)),"",VLOOKUP(A283,'75m'!F$5:G$302,2,FALSE)))</f>
        <v/>
      </c>
      <c r="G283" s="51">
        <f>IF(B283="",0,IF(ISNA(VLOOKUP(A283,'75m'!F$5:J$302,5,FALSE)),0,VLOOKUP(A283,'75m'!F$5:J$302,5,FALSE)))</f>
        <v>0</v>
      </c>
      <c r="H283" s="51" t="str">
        <f>IF(B283="","",IF(ISNA(VLOOKUP(A283,'75m'!F$5:K$302,6,FALSE)),"",VLOOKUP(A283,'75m'!F$5:K$302,6,FALSE)))</f>
        <v/>
      </c>
      <c r="I283" s="53">
        <f>IF(B283="",0,IF(ISNA(VLOOKUP(A283,'600m'!F$5:J$302,2,FALSE)),0,VLOOKUP(A283,'600m'!F$5:J$302,2,FALSE)))</f>
        <v>0</v>
      </c>
      <c r="J283" s="51">
        <f>IF(B283="",0,IF(ISNA(VLOOKUP(A283,'600m'!F$5:J$302,5,FALSE)),0,VLOOKUP(A283,'600m'!F$5:J$302,5,FALSE)))</f>
        <v>0</v>
      </c>
      <c r="K283" s="51" t="str">
        <f>IF(B283="","",IF(ISNA(VLOOKUP(A283,'600m'!F$5:K$302,6,FALSE)),"",VLOOKUP(A283,'600m'!F$5:K$302,6,FALSE)))</f>
        <v/>
      </c>
      <c r="L283" s="51" t="str">
        <f>IF(B283="","",IF(ISNA(VLOOKUP(A283,LongJump!F$5:G$302,2,FALSE)),"",VLOOKUP(A283,LongJump!F$5:G$302,2,FALSE)))</f>
        <v/>
      </c>
      <c r="M283" s="51">
        <f>IF(B283="",0,IF(ISNA(VLOOKUP(A283,LongJump!F$5:J$302,5,FALSE)),0,VLOOKUP(A283,LongJump!F$5:J$302,5,FALSE)))</f>
        <v>0</v>
      </c>
      <c r="N283" s="51">
        <f>IF(B283="",0,IF(ISNA(VLOOKUP(A283,LongJump!F$5:K$302,6,FALSE)),0,VLOOKUP(A283,LongJump!F$5:K$302,6,FALSE)))</f>
        <v>0</v>
      </c>
      <c r="O283" s="51" t="str">
        <f>IF(B283="","",IF(ISNA(VLOOKUP(A283,Vortex!F$5:J$302,2,FALSE)),"",VLOOKUP(A283,Vortex!F$5:J$302,2,FALSE)))</f>
        <v/>
      </c>
      <c r="P283" s="51">
        <f>IF(B283="",0,IF(ISNA(VLOOKUP(A283,Vortex!F$5:J$302,5,FALSE)),0,VLOOKUP(A283,Vortex!F$5:J$302,5,FALSE)))</f>
        <v>0</v>
      </c>
      <c r="Q283" s="51">
        <f t="shared" si="29"/>
        <v>0</v>
      </c>
      <c r="R283" s="51" t="str">
        <f t="shared" si="25"/>
        <v/>
      </c>
      <c r="S283" s="51" t="str">
        <f t="shared" si="26"/>
        <v/>
      </c>
      <c r="T283" s="51" t="str">
        <f t="shared" si="27"/>
        <v/>
      </c>
      <c r="U283" s="51" t="str">
        <f t="shared" si="28"/>
        <v/>
      </c>
      <c r="V283" s="39"/>
    </row>
    <row r="284" spans="1:22" ht="20" customHeight="1">
      <c r="A284" s="51" t="str">
        <f>IF(Declarations!B236=0,"",Declarations!B236)</f>
        <v/>
      </c>
      <c r="B284" s="161" t="str">
        <f>IF(ISNA(VLOOKUP(A284,Declarations!B$6:C$293,2,FALSE)),"",IF(VLOOKUP(A284,Declarations!B$6:C$293,2,FALSE)="","",VLOOKUP(A284,Declarations!B$6:C$293,2,FALSE)))</f>
        <v/>
      </c>
      <c r="C284" s="161" t="str">
        <f>IF(ISNA(VLOOKUP(A284,Declarations!B$6:F$293,5,FALSE)),"",IF(VLOOKUP(A284,Declarations!B$6:F$293,5,FALSE)="","",VLOOKUP(A284,Declarations!B$6:F$293,5,FALSE)))</f>
        <v/>
      </c>
      <c r="D284" s="161" t="str">
        <f>IF(ISNA(VLOOKUP(A284,Declarations!B$6:F$293,4,FALSE)),"",IF(VLOOKUP(A284,Declarations!B$6:F$293,4,FALSE)="","",VLOOKUP(A284,Declarations!B$6:F$293,4,FALSE)))</f>
        <v/>
      </c>
      <c r="E284" s="161" t="str">
        <f>IF(ISNA(VLOOKUP(A284,Declarations!B$6:D$293,3,FALSE)),"",IF(VLOOKUP(A284,Declarations!B$6:D$293,3,FALSE)="","",VLOOKUP(A284,Declarations!B$6:D$293,3,FALSE)))</f>
        <v/>
      </c>
      <c r="F284" s="51" t="str">
        <f>IF(B284="","",IF(ISNA(VLOOKUP(A284,'75m'!F$5:G$302,2,FALSE)),"",VLOOKUP(A284,'75m'!F$5:G$302,2,FALSE)))</f>
        <v/>
      </c>
      <c r="G284" s="51">
        <f>IF(B284="",0,IF(ISNA(VLOOKUP(A284,'75m'!F$5:J$302,5,FALSE)),0,VLOOKUP(A284,'75m'!F$5:J$302,5,FALSE)))</f>
        <v>0</v>
      </c>
      <c r="H284" s="51" t="str">
        <f>IF(B284="","",IF(ISNA(VLOOKUP(A284,'75m'!F$5:K$302,6,FALSE)),"",VLOOKUP(A284,'75m'!F$5:K$302,6,FALSE)))</f>
        <v/>
      </c>
      <c r="I284" s="53">
        <f>IF(B284="",0,IF(ISNA(VLOOKUP(A284,'600m'!F$5:J$302,2,FALSE)),0,VLOOKUP(A284,'600m'!F$5:J$302,2,FALSE)))</f>
        <v>0</v>
      </c>
      <c r="J284" s="51">
        <f>IF(B284="",0,IF(ISNA(VLOOKUP(A284,'600m'!F$5:J$302,5,FALSE)),0,VLOOKUP(A284,'600m'!F$5:J$302,5,FALSE)))</f>
        <v>0</v>
      </c>
      <c r="K284" s="51" t="str">
        <f>IF(B284="","",IF(ISNA(VLOOKUP(A284,'600m'!F$5:K$302,6,FALSE)),"",VLOOKUP(A284,'600m'!F$5:K$302,6,FALSE)))</f>
        <v/>
      </c>
      <c r="L284" s="51" t="str">
        <f>IF(B284="","",IF(ISNA(VLOOKUP(A284,LongJump!F$5:G$302,2,FALSE)),"",VLOOKUP(A284,LongJump!F$5:G$302,2,FALSE)))</f>
        <v/>
      </c>
      <c r="M284" s="51">
        <f>IF(B284="",0,IF(ISNA(VLOOKUP(A284,LongJump!F$5:J$302,5,FALSE)),0,VLOOKUP(A284,LongJump!F$5:J$302,5,FALSE)))</f>
        <v>0</v>
      </c>
      <c r="N284" s="51">
        <f>IF(B284="",0,IF(ISNA(VLOOKUP(A284,LongJump!F$5:K$302,6,FALSE)),0,VLOOKUP(A284,LongJump!F$5:K$302,6,FALSE)))</f>
        <v>0</v>
      </c>
      <c r="O284" s="51" t="str">
        <f>IF(B284="","",IF(ISNA(VLOOKUP(A284,Vortex!F$5:J$302,2,FALSE)),"",VLOOKUP(A284,Vortex!F$5:J$302,2,FALSE)))</f>
        <v/>
      </c>
      <c r="P284" s="51">
        <f>IF(B284="",0,IF(ISNA(VLOOKUP(A284,Vortex!F$5:J$302,5,FALSE)),0,VLOOKUP(A284,Vortex!F$5:J$302,5,FALSE)))</f>
        <v>0</v>
      </c>
      <c r="Q284" s="51">
        <f t="shared" si="29"/>
        <v>0</v>
      </c>
      <c r="R284" s="51" t="str">
        <f t="shared" si="25"/>
        <v/>
      </c>
      <c r="S284" s="51" t="str">
        <f t="shared" si="26"/>
        <v/>
      </c>
      <c r="T284" s="51" t="str">
        <f t="shared" si="27"/>
        <v/>
      </c>
      <c r="U284" s="51" t="str">
        <f t="shared" si="28"/>
        <v/>
      </c>
      <c r="V284" s="39"/>
    </row>
    <row r="285" spans="1:22" ht="14">
      <c r="A285" s="51" t="str">
        <f>IF(Declarations!B237=0,"",Declarations!B237)</f>
        <v/>
      </c>
      <c r="B285" s="161" t="str">
        <f>IF(ISNA(VLOOKUP(A285,Declarations!B$6:C$293,2,FALSE)),"",IF(VLOOKUP(A285,Declarations!B$6:C$293,2,FALSE)="","",VLOOKUP(A285,Declarations!B$6:C$293,2,FALSE)))</f>
        <v/>
      </c>
      <c r="C285" s="161" t="str">
        <f>IF(ISNA(VLOOKUP(A285,Declarations!B$6:F$293,5,FALSE)),"",IF(VLOOKUP(A285,Declarations!B$6:F$293,5,FALSE)="","",VLOOKUP(A285,Declarations!B$6:F$293,5,FALSE)))</f>
        <v/>
      </c>
      <c r="D285" s="161" t="str">
        <f>IF(ISNA(VLOOKUP(A285,Declarations!B$6:F$293,4,FALSE)),"",IF(VLOOKUP(A285,Declarations!B$6:F$293,4,FALSE)="","",VLOOKUP(A285,Declarations!B$6:F$293,4,FALSE)))</f>
        <v/>
      </c>
      <c r="E285" s="161" t="str">
        <f>IF(ISNA(VLOOKUP(A285,Declarations!B$6:D$293,3,FALSE)),"",IF(VLOOKUP(A285,Declarations!B$6:D$293,3,FALSE)="","",VLOOKUP(A285,Declarations!B$6:D$293,3,FALSE)))</f>
        <v/>
      </c>
      <c r="F285" s="51" t="str">
        <f>IF(B285="","",IF(ISNA(VLOOKUP(A285,'75m'!F$5:G$302,2,FALSE)),"",VLOOKUP(A285,'75m'!F$5:G$302,2,FALSE)))</f>
        <v/>
      </c>
      <c r="G285" s="51">
        <f>IF(B285="",0,IF(ISNA(VLOOKUP(A285,'75m'!F$5:J$302,5,FALSE)),0,VLOOKUP(A285,'75m'!F$5:J$302,5,FALSE)))</f>
        <v>0</v>
      </c>
      <c r="H285" s="51" t="str">
        <f>IF(B285="","",IF(ISNA(VLOOKUP(A285,'75m'!F$5:K$302,6,FALSE)),"",VLOOKUP(A285,'75m'!F$5:K$302,6,FALSE)))</f>
        <v/>
      </c>
      <c r="I285" s="53">
        <f>IF(B285="",0,IF(ISNA(VLOOKUP(A285,'600m'!F$5:J$302,2,FALSE)),0,VLOOKUP(A285,'600m'!F$5:J$302,2,FALSE)))</f>
        <v>0</v>
      </c>
      <c r="J285" s="51">
        <f>IF(B285="",0,IF(ISNA(VLOOKUP(A285,'600m'!F$5:J$302,5,FALSE)),0,VLOOKUP(A285,'600m'!F$5:J$302,5,FALSE)))</f>
        <v>0</v>
      </c>
      <c r="K285" s="51" t="str">
        <f>IF(B285="","",IF(ISNA(VLOOKUP(A285,'600m'!F$5:K$302,6,FALSE)),"",VLOOKUP(A285,'600m'!F$5:K$302,6,FALSE)))</f>
        <v/>
      </c>
      <c r="L285" s="51" t="str">
        <f>IF(B285="","",IF(ISNA(VLOOKUP(A285,LongJump!F$5:G$302,2,FALSE)),"",VLOOKUP(A285,LongJump!F$5:G$302,2,FALSE)))</f>
        <v/>
      </c>
      <c r="M285" s="51">
        <f>IF(B285="",0,IF(ISNA(VLOOKUP(A285,LongJump!F$5:J$302,5,FALSE)),0,VLOOKUP(A285,LongJump!F$5:J$302,5,FALSE)))</f>
        <v>0</v>
      </c>
      <c r="N285" s="51">
        <f>IF(B285="",0,IF(ISNA(VLOOKUP(A285,LongJump!F$5:K$302,6,FALSE)),0,VLOOKUP(A285,LongJump!F$5:K$302,6,FALSE)))</f>
        <v>0</v>
      </c>
      <c r="O285" s="51" t="str">
        <f>IF(B285="","",IF(ISNA(VLOOKUP(A285,Vortex!F$5:J$302,2,FALSE)),"",VLOOKUP(A285,Vortex!F$5:J$302,2,FALSE)))</f>
        <v/>
      </c>
      <c r="P285" s="51">
        <f>IF(B285="",0,IF(ISNA(VLOOKUP(A285,Vortex!F$5:J$302,5,FALSE)),0,VLOOKUP(A285,Vortex!F$5:J$302,5,FALSE)))</f>
        <v>0</v>
      </c>
      <c r="Q285" s="51">
        <f t="shared" si="29"/>
        <v>0</v>
      </c>
      <c r="R285" s="51" t="str">
        <f t="shared" si="25"/>
        <v/>
      </c>
      <c r="S285" s="51" t="str">
        <f t="shared" si="26"/>
        <v/>
      </c>
      <c r="T285" s="51" t="str">
        <f t="shared" si="27"/>
        <v/>
      </c>
      <c r="U285" s="51" t="str">
        <f t="shared" si="28"/>
        <v/>
      </c>
      <c r="V285" s="39"/>
    </row>
    <row r="286" spans="1:22" ht="14">
      <c r="A286" s="51" t="str">
        <f>IF(Declarations!B238=0,"",Declarations!B238)</f>
        <v/>
      </c>
      <c r="B286" s="161" t="str">
        <f>IF(ISNA(VLOOKUP(A286,Declarations!B$6:C$293,2,FALSE)),"",IF(VLOOKUP(A286,Declarations!B$6:C$293,2,FALSE)="","",VLOOKUP(A286,Declarations!B$6:C$293,2,FALSE)))</f>
        <v/>
      </c>
      <c r="C286" s="161" t="str">
        <f>IF(ISNA(VLOOKUP(A286,Declarations!B$6:F$293,5,FALSE)),"",IF(VLOOKUP(A286,Declarations!B$6:F$293,5,FALSE)="","",VLOOKUP(A286,Declarations!B$6:F$293,5,FALSE)))</f>
        <v/>
      </c>
      <c r="D286" s="161" t="str">
        <f>IF(ISNA(VLOOKUP(A286,Declarations!B$6:F$293,4,FALSE)),"",IF(VLOOKUP(A286,Declarations!B$6:F$293,4,FALSE)="","",VLOOKUP(A286,Declarations!B$6:F$293,4,FALSE)))</f>
        <v/>
      </c>
      <c r="E286" s="161" t="str">
        <f>IF(ISNA(VLOOKUP(A286,Declarations!B$6:D$293,3,FALSE)),"",IF(VLOOKUP(A286,Declarations!B$6:D$293,3,FALSE)="","",VLOOKUP(A286,Declarations!B$6:D$293,3,FALSE)))</f>
        <v/>
      </c>
      <c r="F286" s="51" t="str">
        <f>IF(B286="","",IF(ISNA(VLOOKUP(A286,'75m'!F$5:G$302,2,FALSE)),"",VLOOKUP(A286,'75m'!F$5:G$302,2,FALSE)))</f>
        <v/>
      </c>
      <c r="G286" s="51">
        <f>IF(B286="",0,IF(ISNA(VLOOKUP(A286,'75m'!F$5:J$302,5,FALSE)),0,VLOOKUP(A286,'75m'!F$5:J$302,5,FALSE)))</f>
        <v>0</v>
      </c>
      <c r="H286" s="51" t="str">
        <f>IF(B286="","",IF(ISNA(VLOOKUP(A286,'75m'!F$5:K$302,6,FALSE)),"",VLOOKUP(A286,'75m'!F$5:K$302,6,FALSE)))</f>
        <v/>
      </c>
      <c r="I286" s="53">
        <f>IF(B286="",0,IF(ISNA(VLOOKUP(A286,'600m'!F$5:J$302,2,FALSE)),0,VLOOKUP(A286,'600m'!F$5:J$302,2,FALSE)))</f>
        <v>0</v>
      </c>
      <c r="J286" s="51">
        <f>IF(B286="",0,IF(ISNA(VLOOKUP(A286,'600m'!F$5:J$302,5,FALSE)),0,VLOOKUP(A286,'600m'!F$5:J$302,5,FALSE)))</f>
        <v>0</v>
      </c>
      <c r="K286" s="51" t="str">
        <f>IF(B286="","",IF(ISNA(VLOOKUP(A286,'600m'!F$5:K$302,6,FALSE)),"",VLOOKUP(A286,'600m'!F$5:K$302,6,FALSE)))</f>
        <v/>
      </c>
      <c r="L286" s="51" t="str">
        <f>IF(B286="","",IF(ISNA(VLOOKUP(A286,LongJump!F$5:G$302,2,FALSE)),"",VLOOKUP(A286,LongJump!F$5:G$302,2,FALSE)))</f>
        <v/>
      </c>
      <c r="M286" s="51">
        <f>IF(B286="",0,IF(ISNA(VLOOKUP(A286,LongJump!F$5:J$302,5,FALSE)),0,VLOOKUP(A286,LongJump!F$5:J$302,5,FALSE)))</f>
        <v>0</v>
      </c>
      <c r="N286" s="51">
        <f>IF(B286="",0,IF(ISNA(VLOOKUP(A286,LongJump!F$5:K$302,6,FALSE)),0,VLOOKUP(A286,LongJump!F$5:K$302,6,FALSE)))</f>
        <v>0</v>
      </c>
      <c r="O286" s="51" t="str">
        <f>IF(B286="","",IF(ISNA(VLOOKUP(A286,Vortex!F$5:J$302,2,FALSE)),"",VLOOKUP(A286,Vortex!F$5:J$302,2,FALSE)))</f>
        <v/>
      </c>
      <c r="P286" s="51">
        <f>IF(B286="",0,IF(ISNA(VLOOKUP(A286,Vortex!F$5:J$302,5,FALSE)),0,VLOOKUP(A286,Vortex!F$5:J$302,5,FALSE)))</f>
        <v>0</v>
      </c>
      <c r="Q286" s="51">
        <f t="shared" si="29"/>
        <v>0</v>
      </c>
      <c r="R286" s="51" t="str">
        <f t="shared" si="25"/>
        <v/>
      </c>
      <c r="S286" s="51" t="str">
        <f t="shared" si="26"/>
        <v/>
      </c>
      <c r="T286" s="51" t="str">
        <f t="shared" si="27"/>
        <v/>
      </c>
      <c r="U286" s="51" t="str">
        <f t="shared" si="28"/>
        <v/>
      </c>
      <c r="V286" s="39"/>
    </row>
    <row r="287" spans="1:22" ht="14">
      <c r="A287" s="51" t="str">
        <f>IF(Declarations!B239=0,"",Declarations!B239)</f>
        <v/>
      </c>
      <c r="B287" s="161" t="str">
        <f>IF(ISNA(VLOOKUP(A287,Declarations!B$6:C$293,2,FALSE)),"",IF(VLOOKUP(A287,Declarations!B$6:C$293,2,FALSE)="","",VLOOKUP(A287,Declarations!B$6:C$293,2,FALSE)))</f>
        <v/>
      </c>
      <c r="C287" s="161" t="str">
        <f>IF(ISNA(VLOOKUP(A287,Declarations!B$6:F$293,5,FALSE)),"",IF(VLOOKUP(A287,Declarations!B$6:F$293,5,FALSE)="","",VLOOKUP(A287,Declarations!B$6:F$293,5,FALSE)))</f>
        <v/>
      </c>
      <c r="D287" s="161" t="str">
        <f>IF(ISNA(VLOOKUP(A287,Declarations!B$6:F$293,4,FALSE)),"",IF(VLOOKUP(A287,Declarations!B$6:F$293,4,FALSE)="","",VLOOKUP(A287,Declarations!B$6:F$293,4,FALSE)))</f>
        <v/>
      </c>
      <c r="E287" s="161" t="str">
        <f>IF(ISNA(VLOOKUP(A287,Declarations!B$6:D$293,3,FALSE)),"",IF(VLOOKUP(A287,Declarations!B$6:D$293,3,FALSE)="","",VLOOKUP(A287,Declarations!B$6:D$293,3,FALSE)))</f>
        <v/>
      </c>
      <c r="F287" s="51" t="str">
        <f>IF(B287="","",IF(ISNA(VLOOKUP(A287,'75m'!F$5:G$302,2,FALSE)),"",VLOOKUP(A287,'75m'!F$5:G$302,2,FALSE)))</f>
        <v/>
      </c>
      <c r="G287" s="51">
        <f>IF(B287="",0,IF(ISNA(VLOOKUP(A287,'75m'!F$5:J$302,5,FALSE)),0,VLOOKUP(A287,'75m'!F$5:J$302,5,FALSE)))</f>
        <v>0</v>
      </c>
      <c r="H287" s="51" t="str">
        <f>IF(B287="","",IF(ISNA(VLOOKUP(A287,'75m'!F$5:K$302,6,FALSE)),"",VLOOKUP(A287,'75m'!F$5:K$302,6,FALSE)))</f>
        <v/>
      </c>
      <c r="I287" s="53">
        <f>IF(B287="",0,IF(ISNA(VLOOKUP(A287,'600m'!F$5:J$302,2,FALSE)),0,VLOOKUP(A287,'600m'!F$5:J$302,2,FALSE)))</f>
        <v>0</v>
      </c>
      <c r="J287" s="51">
        <f>IF(B287="",0,IF(ISNA(VLOOKUP(A287,'600m'!F$5:J$302,5,FALSE)),0,VLOOKUP(A287,'600m'!F$5:J$302,5,FALSE)))</f>
        <v>0</v>
      </c>
      <c r="K287" s="51" t="str">
        <f>IF(B287="","",IF(ISNA(VLOOKUP(A287,'600m'!F$5:K$302,6,FALSE)),"",VLOOKUP(A287,'600m'!F$5:K$302,6,FALSE)))</f>
        <v/>
      </c>
      <c r="L287" s="51" t="str">
        <f>IF(B287="","",IF(ISNA(VLOOKUP(A287,LongJump!F$5:G$302,2,FALSE)),"",VLOOKUP(A287,LongJump!F$5:G$302,2,FALSE)))</f>
        <v/>
      </c>
      <c r="M287" s="51">
        <f>IF(B287="",0,IF(ISNA(VLOOKUP(A287,LongJump!F$5:J$302,5,FALSE)),0,VLOOKUP(A287,LongJump!F$5:J$302,5,FALSE)))</f>
        <v>0</v>
      </c>
      <c r="N287" s="51">
        <f>IF(B287="",0,IF(ISNA(VLOOKUP(A287,LongJump!F$5:K$302,6,FALSE)),0,VLOOKUP(A287,LongJump!F$5:K$302,6,FALSE)))</f>
        <v>0</v>
      </c>
      <c r="O287" s="51" t="str">
        <f>IF(B287="","",IF(ISNA(VLOOKUP(A287,Vortex!F$5:J$302,2,FALSE)),"",VLOOKUP(A287,Vortex!F$5:J$302,2,FALSE)))</f>
        <v/>
      </c>
      <c r="P287" s="51">
        <f>IF(B287="",0,IF(ISNA(VLOOKUP(A287,Vortex!F$5:J$302,5,FALSE)),0,VLOOKUP(A287,Vortex!F$5:J$302,5,FALSE)))</f>
        <v>0</v>
      </c>
      <c r="Q287" s="51">
        <f t="shared" si="29"/>
        <v>0</v>
      </c>
      <c r="R287" s="51" t="str">
        <f t="shared" si="25"/>
        <v/>
      </c>
      <c r="S287" s="51" t="str">
        <f t="shared" si="26"/>
        <v/>
      </c>
      <c r="T287" s="51" t="str">
        <f t="shared" si="27"/>
        <v/>
      </c>
      <c r="U287" s="51" t="str">
        <f t="shared" si="28"/>
        <v/>
      </c>
      <c r="V287" s="39"/>
    </row>
    <row r="288" spans="1:22" ht="14">
      <c r="A288" s="51" t="str">
        <f>IF(Declarations!B240=0,"",Declarations!B240)</f>
        <v/>
      </c>
      <c r="B288" s="161" t="str">
        <f>IF(ISNA(VLOOKUP(A288,Declarations!B$6:C$293,2,FALSE)),"",IF(VLOOKUP(A288,Declarations!B$6:C$293,2,FALSE)="","",VLOOKUP(A288,Declarations!B$6:C$293,2,FALSE)))</f>
        <v/>
      </c>
      <c r="C288" s="161" t="str">
        <f>IF(ISNA(VLOOKUP(A288,Declarations!B$6:F$293,5,FALSE)),"",IF(VLOOKUP(A288,Declarations!B$6:F$293,5,FALSE)="","",VLOOKUP(A288,Declarations!B$6:F$293,5,FALSE)))</f>
        <v/>
      </c>
      <c r="D288" s="161" t="str">
        <f>IF(ISNA(VLOOKUP(A288,Declarations!B$6:F$293,4,FALSE)),"",IF(VLOOKUP(A288,Declarations!B$6:F$293,4,FALSE)="","",VLOOKUP(A288,Declarations!B$6:F$293,4,FALSE)))</f>
        <v/>
      </c>
      <c r="E288" s="161" t="str">
        <f>IF(ISNA(VLOOKUP(A288,Declarations!B$6:D$293,3,FALSE)),"",IF(VLOOKUP(A288,Declarations!B$6:D$293,3,FALSE)="","",VLOOKUP(A288,Declarations!B$6:D$293,3,FALSE)))</f>
        <v/>
      </c>
      <c r="F288" s="51" t="str">
        <f>IF(B288="","",IF(ISNA(VLOOKUP(A288,'75m'!F$5:G$302,2,FALSE)),"",VLOOKUP(A288,'75m'!F$5:G$302,2,FALSE)))</f>
        <v/>
      </c>
      <c r="G288" s="51">
        <f>IF(B288="",0,IF(ISNA(VLOOKUP(A288,'75m'!F$5:J$302,5,FALSE)),0,VLOOKUP(A288,'75m'!F$5:J$302,5,FALSE)))</f>
        <v>0</v>
      </c>
      <c r="H288" s="51" t="str">
        <f>IF(B288="","",IF(ISNA(VLOOKUP(A288,'75m'!F$5:K$302,6,FALSE)),"",VLOOKUP(A288,'75m'!F$5:K$302,6,FALSE)))</f>
        <v/>
      </c>
      <c r="I288" s="53">
        <f>IF(B288="",0,IF(ISNA(VLOOKUP(A288,'600m'!F$5:J$302,2,FALSE)),0,VLOOKUP(A288,'600m'!F$5:J$302,2,FALSE)))</f>
        <v>0</v>
      </c>
      <c r="J288" s="51">
        <f>IF(B288="",0,IF(ISNA(VLOOKUP(A288,'600m'!F$5:J$302,5,FALSE)),0,VLOOKUP(A288,'600m'!F$5:J$302,5,FALSE)))</f>
        <v>0</v>
      </c>
      <c r="K288" s="51" t="str">
        <f>IF(B288="","",IF(ISNA(VLOOKUP(A288,'600m'!F$5:K$302,6,FALSE)),"",VLOOKUP(A288,'600m'!F$5:K$302,6,FALSE)))</f>
        <v/>
      </c>
      <c r="L288" s="51" t="str">
        <f>IF(B288="","",IF(ISNA(VLOOKUP(A288,LongJump!F$5:G$302,2,FALSE)),"",VLOOKUP(A288,LongJump!F$5:G$302,2,FALSE)))</f>
        <v/>
      </c>
      <c r="M288" s="51">
        <f>IF(B288="",0,IF(ISNA(VLOOKUP(A288,LongJump!F$5:J$302,5,FALSE)),0,VLOOKUP(A288,LongJump!F$5:J$302,5,FALSE)))</f>
        <v>0</v>
      </c>
      <c r="N288" s="51">
        <f>IF(B288="",0,IF(ISNA(VLOOKUP(A288,LongJump!F$5:K$302,6,FALSE)),0,VLOOKUP(A288,LongJump!F$5:K$302,6,FALSE)))</f>
        <v>0</v>
      </c>
      <c r="O288" s="51" t="str">
        <f>IF(B288="","",IF(ISNA(VLOOKUP(A288,Vortex!F$5:J$302,2,FALSE)),"",VLOOKUP(A288,Vortex!F$5:J$302,2,FALSE)))</f>
        <v/>
      </c>
      <c r="P288" s="51">
        <f>IF(B288="",0,IF(ISNA(VLOOKUP(A288,Vortex!F$5:J$302,5,FALSE)),0,VLOOKUP(A288,Vortex!F$5:J$302,5,FALSE)))</f>
        <v>0</v>
      </c>
      <c r="Q288" s="51">
        <f t="shared" si="29"/>
        <v>0</v>
      </c>
      <c r="R288" s="51" t="str">
        <f t="shared" si="25"/>
        <v/>
      </c>
      <c r="S288" s="51" t="str">
        <f t="shared" si="26"/>
        <v/>
      </c>
      <c r="T288" s="51" t="str">
        <f t="shared" si="27"/>
        <v/>
      </c>
      <c r="U288" s="51" t="str">
        <f t="shared" si="28"/>
        <v/>
      </c>
      <c r="V288" s="39"/>
    </row>
    <row r="289" spans="1:22" ht="14">
      <c r="A289" s="51" t="str">
        <f>IF(Declarations!B241=0,"",Declarations!B241)</f>
        <v/>
      </c>
      <c r="B289" s="161" t="str">
        <f>IF(ISNA(VLOOKUP(A289,Declarations!B$6:C$293,2,FALSE)),"",IF(VLOOKUP(A289,Declarations!B$6:C$293,2,FALSE)="","",VLOOKUP(A289,Declarations!B$6:C$293,2,FALSE)))</f>
        <v/>
      </c>
      <c r="C289" s="161" t="str">
        <f>IF(ISNA(VLOOKUP(A289,Declarations!B$6:F$293,5,FALSE)),"",IF(VLOOKUP(A289,Declarations!B$6:F$293,5,FALSE)="","",VLOOKUP(A289,Declarations!B$6:F$293,5,FALSE)))</f>
        <v/>
      </c>
      <c r="D289" s="161" t="str">
        <f>IF(ISNA(VLOOKUP(A289,Declarations!B$6:F$293,4,FALSE)),"",IF(VLOOKUP(A289,Declarations!B$6:F$293,4,FALSE)="","",VLOOKUP(A289,Declarations!B$6:F$293,4,FALSE)))</f>
        <v/>
      </c>
      <c r="E289" s="161" t="str">
        <f>IF(ISNA(VLOOKUP(A289,Declarations!B$6:D$293,3,FALSE)),"",IF(VLOOKUP(A289,Declarations!B$6:D$293,3,FALSE)="","",VLOOKUP(A289,Declarations!B$6:D$293,3,FALSE)))</f>
        <v/>
      </c>
      <c r="F289" s="51" t="str">
        <f>IF(B289="","",IF(ISNA(VLOOKUP(A289,'75m'!F$5:G$302,2,FALSE)),"",VLOOKUP(A289,'75m'!F$5:G$302,2,FALSE)))</f>
        <v/>
      </c>
      <c r="G289" s="51">
        <f>IF(B289="",0,IF(ISNA(VLOOKUP(A289,'75m'!F$5:J$302,5,FALSE)),0,VLOOKUP(A289,'75m'!F$5:J$302,5,FALSE)))</f>
        <v>0</v>
      </c>
      <c r="H289" s="51" t="str">
        <f>IF(B289="","",IF(ISNA(VLOOKUP(A289,'75m'!F$5:K$302,6,FALSE)),"",VLOOKUP(A289,'75m'!F$5:K$302,6,FALSE)))</f>
        <v/>
      </c>
      <c r="I289" s="53">
        <f>IF(B289="",0,IF(ISNA(VLOOKUP(A289,'600m'!F$5:J$302,2,FALSE)),0,VLOOKUP(A289,'600m'!F$5:J$302,2,FALSE)))</f>
        <v>0</v>
      </c>
      <c r="J289" s="51">
        <f>IF(B289="",0,IF(ISNA(VLOOKUP(A289,'600m'!F$5:J$302,5,FALSE)),0,VLOOKUP(A289,'600m'!F$5:J$302,5,FALSE)))</f>
        <v>0</v>
      </c>
      <c r="K289" s="51" t="str">
        <f>IF(B289="","",IF(ISNA(VLOOKUP(A289,'600m'!F$5:K$302,6,FALSE)),"",VLOOKUP(A289,'600m'!F$5:K$302,6,FALSE)))</f>
        <v/>
      </c>
      <c r="L289" s="51" t="str">
        <f>IF(B289="","",IF(ISNA(VLOOKUP(A289,LongJump!F$5:G$302,2,FALSE)),"",VLOOKUP(A289,LongJump!F$5:G$302,2,FALSE)))</f>
        <v/>
      </c>
      <c r="M289" s="51">
        <f>IF(B289="",0,IF(ISNA(VLOOKUP(A289,LongJump!F$5:J$302,5,FALSE)),0,VLOOKUP(A289,LongJump!F$5:J$302,5,FALSE)))</f>
        <v>0</v>
      </c>
      <c r="N289" s="51">
        <f>IF(B289="",0,IF(ISNA(VLOOKUP(A289,LongJump!F$5:K$302,6,FALSE)),0,VLOOKUP(A289,LongJump!F$5:K$302,6,FALSE)))</f>
        <v>0</v>
      </c>
      <c r="O289" s="51" t="str">
        <f>IF(B289="","",IF(ISNA(VLOOKUP(A289,Vortex!F$5:J$302,2,FALSE)),"",VLOOKUP(A289,Vortex!F$5:J$302,2,FALSE)))</f>
        <v/>
      </c>
      <c r="P289" s="51">
        <f>IF(B289="",0,IF(ISNA(VLOOKUP(A289,Vortex!F$5:J$302,5,FALSE)),0,VLOOKUP(A289,Vortex!F$5:J$302,5,FALSE)))</f>
        <v>0</v>
      </c>
      <c r="Q289" s="51">
        <f t="shared" si="29"/>
        <v>0</v>
      </c>
      <c r="R289" s="51" t="str">
        <f t="shared" si="25"/>
        <v/>
      </c>
      <c r="S289" s="51" t="str">
        <f t="shared" si="26"/>
        <v/>
      </c>
      <c r="T289" s="51" t="str">
        <f t="shared" si="27"/>
        <v/>
      </c>
      <c r="U289" s="51" t="str">
        <f t="shared" si="28"/>
        <v/>
      </c>
      <c r="V289" s="39"/>
    </row>
    <row r="290" spans="1:22" ht="14">
      <c r="A290" s="51" t="str">
        <f>IF(Declarations!B242=0,"",Declarations!B242)</f>
        <v/>
      </c>
      <c r="B290" s="161" t="str">
        <f>IF(ISNA(VLOOKUP(A290,Declarations!B$6:C$293,2,FALSE)),"",IF(VLOOKUP(A290,Declarations!B$6:C$293,2,FALSE)="","",VLOOKUP(A290,Declarations!B$6:C$293,2,FALSE)))</f>
        <v/>
      </c>
      <c r="C290" s="161" t="str">
        <f>IF(ISNA(VLOOKUP(A290,Declarations!B$6:F$293,5,FALSE)),"",IF(VLOOKUP(A290,Declarations!B$6:F$293,5,FALSE)="","",VLOOKUP(A290,Declarations!B$6:F$293,5,FALSE)))</f>
        <v/>
      </c>
      <c r="D290" s="161" t="str">
        <f>IF(ISNA(VLOOKUP(A290,Declarations!B$6:F$293,4,FALSE)),"",IF(VLOOKUP(A290,Declarations!B$6:F$293,4,FALSE)="","",VLOOKUP(A290,Declarations!B$6:F$293,4,FALSE)))</f>
        <v/>
      </c>
      <c r="E290" s="161" t="str">
        <f>IF(ISNA(VLOOKUP(A290,Declarations!B$6:D$293,3,FALSE)),"",IF(VLOOKUP(A290,Declarations!B$6:D$293,3,FALSE)="","",VLOOKUP(A290,Declarations!B$6:D$293,3,FALSE)))</f>
        <v/>
      </c>
      <c r="F290" s="51" t="str">
        <f>IF(B290="","",IF(ISNA(VLOOKUP(A290,'75m'!F$5:G$302,2,FALSE)),"",VLOOKUP(A290,'75m'!F$5:G$302,2,FALSE)))</f>
        <v/>
      </c>
      <c r="G290" s="51">
        <f>IF(B290="",0,IF(ISNA(VLOOKUP(A290,'75m'!F$5:J$302,5,FALSE)),0,VLOOKUP(A290,'75m'!F$5:J$302,5,FALSE)))</f>
        <v>0</v>
      </c>
      <c r="H290" s="51" t="str">
        <f>IF(B290="","",IF(ISNA(VLOOKUP(A290,'75m'!F$5:K$302,6,FALSE)),"",VLOOKUP(A290,'75m'!F$5:K$302,6,FALSE)))</f>
        <v/>
      </c>
      <c r="I290" s="53">
        <f>IF(B290="",0,IF(ISNA(VLOOKUP(A290,'600m'!F$5:J$302,2,FALSE)),0,VLOOKUP(A290,'600m'!F$5:J$302,2,FALSE)))</f>
        <v>0</v>
      </c>
      <c r="J290" s="51">
        <f>IF(B290="",0,IF(ISNA(VLOOKUP(A290,'600m'!F$5:J$302,5,FALSE)),0,VLOOKUP(A290,'600m'!F$5:J$302,5,FALSE)))</f>
        <v>0</v>
      </c>
      <c r="K290" s="51" t="str">
        <f>IF(B290="","",IF(ISNA(VLOOKUP(A290,'600m'!F$5:K$302,6,FALSE)),"",VLOOKUP(A290,'600m'!F$5:K$302,6,FALSE)))</f>
        <v/>
      </c>
      <c r="L290" s="51" t="str">
        <f>IF(B290="","",IF(ISNA(VLOOKUP(A290,LongJump!F$5:G$302,2,FALSE)),"",VLOOKUP(A290,LongJump!F$5:G$302,2,FALSE)))</f>
        <v/>
      </c>
      <c r="M290" s="51">
        <f>IF(B290="",0,IF(ISNA(VLOOKUP(A290,LongJump!F$5:J$302,5,FALSE)),0,VLOOKUP(A290,LongJump!F$5:J$302,5,FALSE)))</f>
        <v>0</v>
      </c>
      <c r="N290" s="51">
        <f>IF(B290="",0,IF(ISNA(VLOOKUP(A290,LongJump!F$5:K$302,6,FALSE)),0,VLOOKUP(A290,LongJump!F$5:K$302,6,FALSE)))</f>
        <v>0</v>
      </c>
      <c r="O290" s="51" t="str">
        <f>IF(B290="","",IF(ISNA(VLOOKUP(A290,Vortex!F$5:J$302,2,FALSE)),"",VLOOKUP(A290,Vortex!F$5:J$302,2,FALSE)))</f>
        <v/>
      </c>
      <c r="P290" s="51">
        <f>IF(B290="",0,IF(ISNA(VLOOKUP(A290,Vortex!F$5:J$302,5,FALSE)),0,VLOOKUP(A290,Vortex!F$5:J$302,5,FALSE)))</f>
        <v>0</v>
      </c>
      <c r="Q290" s="51">
        <f t="shared" si="29"/>
        <v>0</v>
      </c>
      <c r="R290" s="51" t="str">
        <f t="shared" si="25"/>
        <v/>
      </c>
      <c r="S290" s="51" t="str">
        <f t="shared" si="26"/>
        <v/>
      </c>
      <c r="T290" s="51" t="str">
        <f t="shared" si="27"/>
        <v/>
      </c>
      <c r="U290" s="51" t="str">
        <f t="shared" si="28"/>
        <v/>
      </c>
      <c r="V290" s="39"/>
    </row>
    <row r="291" spans="1:22" ht="14">
      <c r="A291" s="51" t="str">
        <f>IF(Declarations!B243=0,"",Declarations!B243)</f>
        <v/>
      </c>
      <c r="B291" s="161" t="str">
        <f>IF(ISNA(VLOOKUP(A291,Declarations!B$6:C$293,2,FALSE)),"",IF(VLOOKUP(A291,Declarations!B$6:C$293,2,FALSE)="","",VLOOKUP(A291,Declarations!B$6:C$293,2,FALSE)))</f>
        <v/>
      </c>
      <c r="C291" s="161" t="str">
        <f>IF(ISNA(VLOOKUP(A291,Declarations!B$6:F$293,5,FALSE)),"",IF(VLOOKUP(A291,Declarations!B$6:F$293,5,FALSE)="","",VLOOKUP(A291,Declarations!B$6:F$293,5,FALSE)))</f>
        <v/>
      </c>
      <c r="D291" s="161" t="str">
        <f>IF(ISNA(VLOOKUP(A291,Declarations!B$6:F$293,4,FALSE)),"",IF(VLOOKUP(A291,Declarations!B$6:F$293,4,FALSE)="","",VLOOKUP(A291,Declarations!B$6:F$293,4,FALSE)))</f>
        <v/>
      </c>
      <c r="E291" s="161" t="str">
        <f>IF(ISNA(VLOOKUP(A291,Declarations!B$6:D$293,3,FALSE)),"",IF(VLOOKUP(A291,Declarations!B$6:D$293,3,FALSE)="","",VLOOKUP(A291,Declarations!B$6:D$293,3,FALSE)))</f>
        <v/>
      </c>
      <c r="F291" s="51" t="str">
        <f>IF(B291="","",IF(ISNA(VLOOKUP(A291,'75m'!F$5:G$302,2,FALSE)),"",VLOOKUP(A291,'75m'!F$5:G$302,2,FALSE)))</f>
        <v/>
      </c>
      <c r="G291" s="51">
        <f>IF(B291="",0,IF(ISNA(VLOOKUP(A291,'75m'!F$5:J$302,5,FALSE)),0,VLOOKUP(A291,'75m'!F$5:J$302,5,FALSE)))</f>
        <v>0</v>
      </c>
      <c r="H291" s="51" t="str">
        <f>IF(B291="","",IF(ISNA(VLOOKUP(A291,'75m'!F$5:K$302,6,FALSE)),"",VLOOKUP(A291,'75m'!F$5:K$302,6,FALSE)))</f>
        <v/>
      </c>
      <c r="I291" s="53">
        <f>IF(B291="",0,IF(ISNA(VLOOKUP(A291,'600m'!F$5:J$302,2,FALSE)),0,VLOOKUP(A291,'600m'!F$5:J$302,2,FALSE)))</f>
        <v>0</v>
      </c>
      <c r="J291" s="51">
        <f>IF(B291="",0,IF(ISNA(VLOOKUP(A291,'600m'!F$5:J$302,5,FALSE)),0,VLOOKUP(A291,'600m'!F$5:J$302,5,FALSE)))</f>
        <v>0</v>
      </c>
      <c r="K291" s="51" t="str">
        <f>IF(B291="","",IF(ISNA(VLOOKUP(A291,'600m'!F$5:K$302,6,FALSE)),"",VLOOKUP(A291,'600m'!F$5:K$302,6,FALSE)))</f>
        <v/>
      </c>
      <c r="L291" s="51" t="str">
        <f>IF(B291="","",IF(ISNA(VLOOKUP(A291,LongJump!F$5:G$302,2,FALSE)),"",VLOOKUP(A291,LongJump!F$5:G$302,2,FALSE)))</f>
        <v/>
      </c>
      <c r="M291" s="51">
        <f>IF(B291="",0,IF(ISNA(VLOOKUP(A291,LongJump!F$5:J$302,5,FALSE)),0,VLOOKUP(A291,LongJump!F$5:J$302,5,FALSE)))</f>
        <v>0</v>
      </c>
      <c r="N291" s="51">
        <f>IF(B291="",0,IF(ISNA(VLOOKUP(A291,LongJump!F$5:K$302,6,FALSE)),0,VLOOKUP(A291,LongJump!F$5:K$302,6,FALSE)))</f>
        <v>0</v>
      </c>
      <c r="O291" s="51" t="str">
        <f>IF(B291="","",IF(ISNA(VLOOKUP(A291,Vortex!F$5:J$302,2,FALSE)),"",VLOOKUP(A291,Vortex!F$5:J$302,2,FALSE)))</f>
        <v/>
      </c>
      <c r="P291" s="51">
        <f>IF(B291="",0,IF(ISNA(VLOOKUP(A291,Vortex!F$5:J$302,5,FALSE)),0,VLOOKUP(A291,Vortex!F$5:J$302,5,FALSE)))</f>
        <v>0</v>
      </c>
      <c r="Q291" s="51">
        <f t="shared" si="29"/>
        <v>0</v>
      </c>
      <c r="R291" s="51" t="str">
        <f t="shared" si="25"/>
        <v/>
      </c>
      <c r="S291" s="51" t="str">
        <f t="shared" si="26"/>
        <v/>
      </c>
      <c r="T291" s="51" t="str">
        <f t="shared" si="27"/>
        <v/>
      </c>
      <c r="U291" s="51" t="str">
        <f t="shared" si="28"/>
        <v/>
      </c>
      <c r="V291" s="39"/>
    </row>
    <row r="292" spans="1:22" ht="14">
      <c r="A292" s="51" t="str">
        <f>IF(Declarations!B244=0,"",Declarations!B244)</f>
        <v/>
      </c>
      <c r="B292" s="161" t="str">
        <f>IF(ISNA(VLOOKUP(A292,Declarations!B$6:C$293,2,FALSE)),"",IF(VLOOKUP(A292,Declarations!B$6:C$293,2,FALSE)="","",VLOOKUP(A292,Declarations!B$6:C$293,2,FALSE)))</f>
        <v/>
      </c>
      <c r="C292" s="161" t="str">
        <f>IF(ISNA(VLOOKUP(A292,Declarations!B$6:F$293,5,FALSE)),"",IF(VLOOKUP(A292,Declarations!B$6:F$293,5,FALSE)="","",VLOOKUP(A292,Declarations!B$6:F$293,5,FALSE)))</f>
        <v/>
      </c>
      <c r="D292" s="161" t="str">
        <f>IF(ISNA(VLOOKUP(A292,Declarations!B$6:F$293,4,FALSE)),"",IF(VLOOKUP(A292,Declarations!B$6:F$293,4,FALSE)="","",VLOOKUP(A292,Declarations!B$6:F$293,4,FALSE)))</f>
        <v/>
      </c>
      <c r="E292" s="161" t="str">
        <f>IF(ISNA(VLOOKUP(A292,Declarations!B$6:D$293,3,FALSE)),"",IF(VLOOKUP(A292,Declarations!B$6:D$293,3,FALSE)="","",VLOOKUP(A292,Declarations!B$6:D$293,3,FALSE)))</f>
        <v/>
      </c>
      <c r="F292" s="51" t="str">
        <f>IF(B292="","",IF(ISNA(VLOOKUP(A292,'75m'!F$5:G$302,2,FALSE)),"",VLOOKUP(A292,'75m'!F$5:G$302,2,FALSE)))</f>
        <v/>
      </c>
      <c r="G292" s="51">
        <f>IF(B292="",0,IF(ISNA(VLOOKUP(A292,'75m'!F$5:J$302,5,FALSE)),0,VLOOKUP(A292,'75m'!F$5:J$302,5,FALSE)))</f>
        <v>0</v>
      </c>
      <c r="H292" s="51" t="str">
        <f>IF(B292="","",IF(ISNA(VLOOKUP(A292,'75m'!F$5:K$302,6,FALSE)),"",VLOOKUP(A292,'75m'!F$5:K$302,6,FALSE)))</f>
        <v/>
      </c>
      <c r="I292" s="53">
        <f>IF(B292="",0,IF(ISNA(VLOOKUP(A292,'600m'!F$5:J$302,2,FALSE)),0,VLOOKUP(A292,'600m'!F$5:J$302,2,FALSE)))</f>
        <v>0</v>
      </c>
      <c r="J292" s="51">
        <f>IF(B292="",0,IF(ISNA(VLOOKUP(A292,'600m'!F$5:J$302,5,FALSE)),0,VLOOKUP(A292,'600m'!F$5:J$302,5,FALSE)))</f>
        <v>0</v>
      </c>
      <c r="K292" s="51" t="str">
        <f>IF(B292="","",IF(ISNA(VLOOKUP(A292,'600m'!F$5:K$302,6,FALSE)),"",VLOOKUP(A292,'600m'!F$5:K$302,6,FALSE)))</f>
        <v/>
      </c>
      <c r="L292" s="51" t="str">
        <f>IF(B292="","",IF(ISNA(VLOOKUP(A292,LongJump!F$5:G$302,2,FALSE)),"",VLOOKUP(A292,LongJump!F$5:G$302,2,FALSE)))</f>
        <v/>
      </c>
      <c r="M292" s="51">
        <f>IF(B292="",0,IF(ISNA(VLOOKUP(A292,LongJump!F$5:J$302,5,FALSE)),0,VLOOKUP(A292,LongJump!F$5:J$302,5,FALSE)))</f>
        <v>0</v>
      </c>
      <c r="N292" s="51">
        <f>IF(B292="",0,IF(ISNA(VLOOKUP(A292,LongJump!F$5:K$302,6,FALSE)),0,VLOOKUP(A292,LongJump!F$5:K$302,6,FALSE)))</f>
        <v>0</v>
      </c>
      <c r="O292" s="51" t="str">
        <f>IF(B292="","",IF(ISNA(VLOOKUP(A292,Vortex!F$5:J$302,2,FALSE)),"",VLOOKUP(A292,Vortex!F$5:J$302,2,FALSE)))</f>
        <v/>
      </c>
      <c r="P292" s="51">
        <f>IF(B292="",0,IF(ISNA(VLOOKUP(A292,Vortex!F$5:J$302,5,FALSE)),0,VLOOKUP(A292,Vortex!F$5:J$302,5,FALSE)))</f>
        <v>0</v>
      </c>
      <c r="Q292" s="51">
        <f t="shared" si="29"/>
        <v>0</v>
      </c>
      <c r="R292" s="51" t="str">
        <f t="shared" si="25"/>
        <v/>
      </c>
      <c r="S292" s="51" t="str">
        <f t="shared" si="26"/>
        <v/>
      </c>
      <c r="T292" s="51" t="str">
        <f t="shared" si="27"/>
        <v/>
      </c>
      <c r="U292" s="51" t="str">
        <f t="shared" si="28"/>
        <v/>
      </c>
      <c r="V292" s="39"/>
    </row>
    <row r="293" spans="1:22" ht="14">
      <c r="A293" s="51" t="str">
        <f>IF(Declarations!B245=0,"",Declarations!B245)</f>
        <v/>
      </c>
      <c r="B293" s="161" t="str">
        <f>IF(ISNA(VLOOKUP(A293,Declarations!B$6:C$293,2,FALSE)),"",IF(VLOOKUP(A293,Declarations!B$6:C$293,2,FALSE)="","",VLOOKUP(A293,Declarations!B$6:C$293,2,FALSE)))</f>
        <v/>
      </c>
      <c r="C293" s="161" t="str">
        <f>IF(ISNA(VLOOKUP(A293,Declarations!B$6:F$293,5,FALSE)),"",IF(VLOOKUP(A293,Declarations!B$6:F$293,5,FALSE)="","",VLOOKUP(A293,Declarations!B$6:F$293,5,FALSE)))</f>
        <v/>
      </c>
      <c r="D293" s="161" t="str">
        <f>IF(ISNA(VLOOKUP(A293,Declarations!B$6:F$293,4,FALSE)),"",IF(VLOOKUP(A293,Declarations!B$6:F$293,4,FALSE)="","",VLOOKUP(A293,Declarations!B$6:F$293,4,FALSE)))</f>
        <v/>
      </c>
      <c r="E293" s="161" t="str">
        <f>IF(ISNA(VLOOKUP(A293,Declarations!B$6:D$293,3,FALSE)),"",IF(VLOOKUP(A293,Declarations!B$6:D$293,3,FALSE)="","",VLOOKUP(A293,Declarations!B$6:D$293,3,FALSE)))</f>
        <v/>
      </c>
      <c r="F293" s="51" t="str">
        <f>IF(B293="","",IF(ISNA(VLOOKUP(A293,'75m'!F$5:G$302,2,FALSE)),"",VLOOKUP(A293,'75m'!F$5:G$302,2,FALSE)))</f>
        <v/>
      </c>
      <c r="G293" s="51">
        <f>IF(B293="",0,IF(ISNA(VLOOKUP(A293,'75m'!F$5:J$302,5,FALSE)),0,VLOOKUP(A293,'75m'!F$5:J$302,5,FALSE)))</f>
        <v>0</v>
      </c>
      <c r="H293" s="51" t="str">
        <f>IF(B293="","",IF(ISNA(VLOOKUP(A293,'75m'!F$5:K$302,6,FALSE)),"",VLOOKUP(A293,'75m'!F$5:K$302,6,FALSE)))</f>
        <v/>
      </c>
      <c r="I293" s="53">
        <f>IF(B293="",0,IF(ISNA(VLOOKUP(A293,'600m'!F$5:J$302,2,FALSE)),0,VLOOKUP(A293,'600m'!F$5:J$302,2,FALSE)))</f>
        <v>0</v>
      </c>
      <c r="J293" s="51">
        <f>IF(B293="",0,IF(ISNA(VLOOKUP(A293,'600m'!F$5:J$302,5,FALSE)),0,VLOOKUP(A293,'600m'!F$5:J$302,5,FALSE)))</f>
        <v>0</v>
      </c>
      <c r="K293" s="51" t="str">
        <f>IF(B293="","",IF(ISNA(VLOOKUP(A293,'600m'!F$5:K$302,6,FALSE)),"",VLOOKUP(A293,'600m'!F$5:K$302,6,FALSE)))</f>
        <v/>
      </c>
      <c r="L293" s="51" t="str">
        <f>IF(B293="","",IF(ISNA(VLOOKUP(A293,LongJump!F$5:G$302,2,FALSE)),"",VLOOKUP(A293,LongJump!F$5:G$302,2,FALSE)))</f>
        <v/>
      </c>
      <c r="M293" s="51">
        <f>IF(B293="",0,IF(ISNA(VLOOKUP(A293,LongJump!F$5:J$302,5,FALSE)),0,VLOOKUP(A293,LongJump!F$5:J$302,5,FALSE)))</f>
        <v>0</v>
      </c>
      <c r="N293" s="51">
        <f>IF(B293="",0,IF(ISNA(VLOOKUP(A293,LongJump!F$5:K$302,6,FALSE)),0,VLOOKUP(A293,LongJump!F$5:K$302,6,FALSE)))</f>
        <v>0</v>
      </c>
      <c r="O293" s="51" t="str">
        <f>IF(B293="","",IF(ISNA(VLOOKUP(A293,Vortex!F$5:J$302,2,FALSE)),"",VLOOKUP(A293,Vortex!F$5:J$302,2,FALSE)))</f>
        <v/>
      </c>
      <c r="P293" s="51">
        <f>IF(B293="",0,IF(ISNA(VLOOKUP(A293,Vortex!F$5:J$302,5,FALSE)),0,VLOOKUP(A293,Vortex!F$5:J$302,5,FALSE)))</f>
        <v>0</v>
      </c>
      <c r="Q293" s="51">
        <f t="shared" si="29"/>
        <v>0</v>
      </c>
      <c r="R293" s="51" t="str">
        <f t="shared" si="25"/>
        <v/>
      </c>
      <c r="S293" s="51" t="str">
        <f t="shared" si="26"/>
        <v/>
      </c>
      <c r="T293" s="51" t="str">
        <f t="shared" si="27"/>
        <v/>
      </c>
      <c r="U293" s="51" t="str">
        <f t="shared" si="28"/>
        <v/>
      </c>
      <c r="V293" s="39"/>
    </row>
    <row r="294" spans="1:22" ht="14">
      <c r="A294" s="51" t="str">
        <f>IF(Declarations!B246=0,"",Declarations!B246)</f>
        <v/>
      </c>
      <c r="B294" s="161" t="str">
        <f>IF(ISNA(VLOOKUP(A294,Declarations!B$6:C$293,2,FALSE)),"",IF(VLOOKUP(A294,Declarations!B$6:C$293,2,FALSE)="","",VLOOKUP(A294,Declarations!B$6:C$293,2,FALSE)))</f>
        <v/>
      </c>
      <c r="C294" s="161" t="str">
        <f>IF(ISNA(VLOOKUP(A294,Declarations!B$6:F$293,5,FALSE)),"",IF(VLOOKUP(A294,Declarations!B$6:F$293,5,FALSE)="","",VLOOKUP(A294,Declarations!B$6:F$293,5,FALSE)))</f>
        <v/>
      </c>
      <c r="D294" s="161" t="str">
        <f>IF(ISNA(VLOOKUP(A294,Declarations!B$6:F$293,4,FALSE)),"",IF(VLOOKUP(A294,Declarations!B$6:F$293,4,FALSE)="","",VLOOKUP(A294,Declarations!B$6:F$293,4,FALSE)))</f>
        <v/>
      </c>
      <c r="E294" s="161" t="str">
        <f>IF(ISNA(VLOOKUP(A294,Declarations!B$6:D$293,3,FALSE)),"",IF(VLOOKUP(A294,Declarations!B$6:D$293,3,FALSE)="","",VLOOKUP(A294,Declarations!B$6:D$293,3,FALSE)))</f>
        <v/>
      </c>
      <c r="F294" s="51" t="str">
        <f>IF(B294="","",IF(ISNA(VLOOKUP(A294,'75m'!F$5:G$302,2,FALSE)),"",VLOOKUP(A294,'75m'!F$5:G$302,2,FALSE)))</f>
        <v/>
      </c>
      <c r="G294" s="51">
        <f>IF(B294="",0,IF(ISNA(VLOOKUP(A294,'75m'!F$5:J$302,5,FALSE)),0,VLOOKUP(A294,'75m'!F$5:J$302,5,FALSE)))</f>
        <v>0</v>
      </c>
      <c r="H294" s="51" t="str">
        <f>IF(B294="","",IF(ISNA(VLOOKUP(A294,'75m'!F$5:K$302,6,FALSE)),"",VLOOKUP(A294,'75m'!F$5:K$302,6,FALSE)))</f>
        <v/>
      </c>
      <c r="I294" s="53">
        <f>IF(B294="",0,IF(ISNA(VLOOKUP(A294,'600m'!F$5:J$302,2,FALSE)),0,VLOOKUP(A294,'600m'!F$5:J$302,2,FALSE)))</f>
        <v>0</v>
      </c>
      <c r="J294" s="51">
        <f>IF(B294="",0,IF(ISNA(VLOOKUP(A294,'600m'!F$5:J$302,5,FALSE)),0,VLOOKUP(A294,'600m'!F$5:J$302,5,FALSE)))</f>
        <v>0</v>
      </c>
      <c r="K294" s="51" t="str">
        <f>IF(B294="","",IF(ISNA(VLOOKUP(A294,'600m'!F$5:K$302,6,FALSE)),"",VLOOKUP(A294,'600m'!F$5:K$302,6,FALSE)))</f>
        <v/>
      </c>
      <c r="L294" s="51" t="str">
        <f>IF(B294="","",IF(ISNA(VLOOKUP(A294,LongJump!F$5:G$302,2,FALSE)),"",VLOOKUP(A294,LongJump!F$5:G$302,2,FALSE)))</f>
        <v/>
      </c>
      <c r="M294" s="51">
        <f>IF(B294="",0,IF(ISNA(VLOOKUP(A294,LongJump!F$5:J$302,5,FALSE)),0,VLOOKUP(A294,LongJump!F$5:J$302,5,FALSE)))</f>
        <v>0</v>
      </c>
      <c r="N294" s="51">
        <f>IF(B294="",0,IF(ISNA(VLOOKUP(A294,LongJump!F$5:K$302,6,FALSE)),0,VLOOKUP(A294,LongJump!F$5:K$302,6,FALSE)))</f>
        <v>0</v>
      </c>
      <c r="O294" s="51" t="str">
        <f>IF(B294="","",IF(ISNA(VLOOKUP(A294,Vortex!F$5:J$302,2,FALSE)),"",VLOOKUP(A294,Vortex!F$5:J$302,2,FALSE)))</f>
        <v/>
      </c>
      <c r="P294" s="51">
        <f>IF(B294="",0,IF(ISNA(VLOOKUP(A294,Vortex!F$5:J$302,5,FALSE)),0,VLOOKUP(A294,Vortex!F$5:J$302,5,FALSE)))</f>
        <v>0</v>
      </c>
      <c r="Q294" s="51">
        <f t="shared" si="29"/>
        <v>0</v>
      </c>
      <c r="R294" s="51" t="str">
        <f t="shared" si="25"/>
        <v/>
      </c>
      <c r="S294" s="51" t="str">
        <f t="shared" si="26"/>
        <v/>
      </c>
      <c r="T294" s="51" t="str">
        <f t="shared" si="27"/>
        <v/>
      </c>
      <c r="U294" s="51" t="str">
        <f t="shared" si="28"/>
        <v/>
      </c>
      <c r="V294" s="39"/>
    </row>
    <row r="295" spans="1:22" ht="14">
      <c r="A295" s="51" t="str">
        <f>IF(Declarations!B247=0,"",Declarations!B247)</f>
        <v/>
      </c>
      <c r="B295" s="161" t="str">
        <f>IF(ISNA(VLOOKUP(A295,Declarations!B$6:C$293,2,FALSE)),"",IF(VLOOKUP(A295,Declarations!B$6:C$293,2,FALSE)="","",VLOOKUP(A295,Declarations!B$6:C$293,2,FALSE)))</f>
        <v/>
      </c>
      <c r="C295" s="161" t="str">
        <f>IF(ISNA(VLOOKUP(A295,Declarations!B$6:F$293,5,FALSE)),"",IF(VLOOKUP(A295,Declarations!B$6:F$293,5,FALSE)="","",VLOOKUP(A295,Declarations!B$6:F$293,5,FALSE)))</f>
        <v/>
      </c>
      <c r="D295" s="161" t="str">
        <f>IF(ISNA(VLOOKUP(A295,Declarations!B$6:F$293,4,FALSE)),"",IF(VLOOKUP(A295,Declarations!B$6:F$293,4,FALSE)="","",VLOOKUP(A295,Declarations!B$6:F$293,4,FALSE)))</f>
        <v/>
      </c>
      <c r="E295" s="161" t="str">
        <f>IF(ISNA(VLOOKUP(A295,Declarations!B$6:D$293,3,FALSE)),"",IF(VLOOKUP(A295,Declarations!B$6:D$293,3,FALSE)="","",VLOOKUP(A295,Declarations!B$6:D$293,3,FALSE)))</f>
        <v/>
      </c>
      <c r="F295" s="51" t="str">
        <f>IF(B295="","",IF(ISNA(VLOOKUP(A295,'75m'!F$5:G$302,2,FALSE)),"",VLOOKUP(A295,'75m'!F$5:G$302,2,FALSE)))</f>
        <v/>
      </c>
      <c r="G295" s="51">
        <f>IF(B295="",0,IF(ISNA(VLOOKUP(A295,'75m'!F$5:J$302,5,FALSE)),0,VLOOKUP(A295,'75m'!F$5:J$302,5,FALSE)))</f>
        <v>0</v>
      </c>
      <c r="H295" s="51" t="str">
        <f>IF(B295="","",IF(ISNA(VLOOKUP(A295,'75m'!F$5:K$302,6,FALSE)),"",VLOOKUP(A295,'75m'!F$5:K$302,6,FALSE)))</f>
        <v/>
      </c>
      <c r="I295" s="53">
        <f>IF(B295="",0,IF(ISNA(VLOOKUP(A295,'600m'!F$5:J$302,2,FALSE)),0,VLOOKUP(A295,'600m'!F$5:J$302,2,FALSE)))</f>
        <v>0</v>
      </c>
      <c r="J295" s="51">
        <f>IF(B295="",0,IF(ISNA(VLOOKUP(A295,'600m'!F$5:J$302,5,FALSE)),0,VLOOKUP(A295,'600m'!F$5:J$302,5,FALSE)))</f>
        <v>0</v>
      </c>
      <c r="K295" s="51" t="str">
        <f>IF(B295="","",IF(ISNA(VLOOKUP(A295,'600m'!F$5:K$302,6,FALSE)),"",VLOOKUP(A295,'600m'!F$5:K$302,6,FALSE)))</f>
        <v/>
      </c>
      <c r="L295" s="51" t="str">
        <f>IF(B295="","",IF(ISNA(VLOOKUP(A295,LongJump!F$5:G$302,2,FALSE)),"",VLOOKUP(A295,LongJump!F$5:G$302,2,FALSE)))</f>
        <v/>
      </c>
      <c r="M295" s="51">
        <f>IF(B295="",0,IF(ISNA(VLOOKUP(A295,LongJump!F$5:J$302,5,FALSE)),0,VLOOKUP(A295,LongJump!F$5:J$302,5,FALSE)))</f>
        <v>0</v>
      </c>
      <c r="N295" s="51">
        <f>IF(B295="",0,IF(ISNA(VLOOKUP(A295,LongJump!F$5:K$302,6,FALSE)),0,VLOOKUP(A295,LongJump!F$5:K$302,6,FALSE)))</f>
        <v>0</v>
      </c>
      <c r="O295" s="51" t="str">
        <f>IF(B295="","",IF(ISNA(VLOOKUP(A295,Vortex!F$5:J$302,2,FALSE)),"",VLOOKUP(A295,Vortex!F$5:J$302,2,FALSE)))</f>
        <v/>
      </c>
      <c r="P295" s="51">
        <f>IF(B295="",0,IF(ISNA(VLOOKUP(A295,Vortex!F$5:J$302,5,FALSE)),0,VLOOKUP(A295,Vortex!F$5:J$302,5,FALSE)))</f>
        <v>0</v>
      </c>
      <c r="Q295" s="51">
        <f t="shared" si="29"/>
        <v>0</v>
      </c>
      <c r="R295" s="51" t="str">
        <f t="shared" si="25"/>
        <v/>
      </c>
      <c r="S295" s="51" t="str">
        <f t="shared" si="26"/>
        <v/>
      </c>
      <c r="T295" s="51" t="str">
        <f t="shared" si="27"/>
        <v/>
      </c>
      <c r="U295" s="51" t="str">
        <f t="shared" si="28"/>
        <v/>
      </c>
      <c r="V295" s="39"/>
    </row>
    <row r="296" spans="1:22" ht="14">
      <c r="A296" s="51" t="str">
        <f>IF(Declarations!B248=0,"",Declarations!B248)</f>
        <v/>
      </c>
      <c r="B296" s="161" t="str">
        <f>IF(ISNA(VLOOKUP(A296,Declarations!B$6:C$293,2,FALSE)),"",IF(VLOOKUP(A296,Declarations!B$6:C$293,2,FALSE)="","",VLOOKUP(A296,Declarations!B$6:C$293,2,FALSE)))</f>
        <v/>
      </c>
      <c r="C296" s="161" t="str">
        <f>IF(ISNA(VLOOKUP(A296,Declarations!B$6:F$293,5,FALSE)),"",IF(VLOOKUP(A296,Declarations!B$6:F$293,5,FALSE)="","",VLOOKUP(A296,Declarations!B$6:F$293,5,FALSE)))</f>
        <v/>
      </c>
      <c r="D296" s="161" t="str">
        <f>IF(ISNA(VLOOKUP(A296,Declarations!B$6:F$293,4,FALSE)),"",IF(VLOOKUP(A296,Declarations!B$6:F$293,4,FALSE)="","",VLOOKUP(A296,Declarations!B$6:F$293,4,FALSE)))</f>
        <v/>
      </c>
      <c r="E296" s="161" t="str">
        <f>IF(ISNA(VLOOKUP(A296,Declarations!B$6:D$293,3,FALSE)),"",IF(VLOOKUP(A296,Declarations!B$6:D$293,3,FALSE)="","",VLOOKUP(A296,Declarations!B$6:D$293,3,FALSE)))</f>
        <v/>
      </c>
      <c r="F296" s="51" t="str">
        <f>IF(B296="","",IF(ISNA(VLOOKUP(A296,'75m'!F$5:G$302,2,FALSE)),"",VLOOKUP(A296,'75m'!F$5:G$302,2,FALSE)))</f>
        <v/>
      </c>
      <c r="G296" s="51">
        <f>IF(B296="",0,IF(ISNA(VLOOKUP(A296,'75m'!F$5:J$302,5,FALSE)),0,VLOOKUP(A296,'75m'!F$5:J$302,5,FALSE)))</f>
        <v>0</v>
      </c>
      <c r="H296" s="51" t="str">
        <f>IF(B296="","",IF(ISNA(VLOOKUP(A296,'75m'!F$5:K$302,6,FALSE)),"",VLOOKUP(A296,'75m'!F$5:K$302,6,FALSE)))</f>
        <v/>
      </c>
      <c r="I296" s="53">
        <f>IF(B296="",0,IF(ISNA(VLOOKUP(A296,'600m'!F$5:J$302,2,FALSE)),0,VLOOKUP(A296,'600m'!F$5:J$302,2,FALSE)))</f>
        <v>0</v>
      </c>
      <c r="J296" s="51">
        <f>IF(B296="",0,IF(ISNA(VLOOKUP(A296,'600m'!F$5:J$302,5,FALSE)),0,VLOOKUP(A296,'600m'!F$5:J$302,5,FALSE)))</f>
        <v>0</v>
      </c>
      <c r="K296" s="51" t="str">
        <f>IF(B296="","",IF(ISNA(VLOOKUP(A296,'600m'!F$5:K$302,6,FALSE)),"",VLOOKUP(A296,'600m'!F$5:K$302,6,FALSE)))</f>
        <v/>
      </c>
      <c r="L296" s="51" t="str">
        <f>IF(B296="","",IF(ISNA(VLOOKUP(A296,LongJump!F$5:G$302,2,FALSE)),"",VLOOKUP(A296,LongJump!F$5:G$302,2,FALSE)))</f>
        <v/>
      </c>
      <c r="M296" s="51">
        <f>IF(B296="",0,IF(ISNA(VLOOKUP(A296,LongJump!F$5:J$302,5,FALSE)),0,VLOOKUP(A296,LongJump!F$5:J$302,5,FALSE)))</f>
        <v>0</v>
      </c>
      <c r="N296" s="51">
        <f>IF(B296="",0,IF(ISNA(VLOOKUP(A296,LongJump!F$5:K$302,6,FALSE)),0,VLOOKUP(A296,LongJump!F$5:K$302,6,FALSE)))</f>
        <v>0</v>
      </c>
      <c r="O296" s="51" t="str">
        <f>IF(B296="","",IF(ISNA(VLOOKUP(A296,Vortex!F$5:J$302,2,FALSE)),"",VLOOKUP(A296,Vortex!F$5:J$302,2,FALSE)))</f>
        <v/>
      </c>
      <c r="P296" s="51">
        <f>IF(B296="",0,IF(ISNA(VLOOKUP(A296,Vortex!F$5:J$302,5,FALSE)),0,VLOOKUP(A296,Vortex!F$5:J$302,5,FALSE)))</f>
        <v>0</v>
      </c>
      <c r="Q296" s="51">
        <f t="shared" si="29"/>
        <v>0</v>
      </c>
      <c r="R296" s="51" t="str">
        <f t="shared" si="25"/>
        <v/>
      </c>
      <c r="S296" s="51" t="str">
        <f t="shared" si="26"/>
        <v/>
      </c>
      <c r="T296" s="51" t="str">
        <f t="shared" si="27"/>
        <v/>
      </c>
      <c r="U296" s="51" t="str">
        <f t="shared" si="28"/>
        <v/>
      </c>
      <c r="V296" s="39"/>
    </row>
    <row r="297" spans="1:22" ht="14">
      <c r="A297" s="51" t="str">
        <f>IF(Declarations!B249=0,"",Declarations!B249)</f>
        <v/>
      </c>
      <c r="B297" s="161" t="str">
        <f>IF(ISNA(VLOOKUP(A297,Declarations!B$6:C$293,2,FALSE)),"",IF(VLOOKUP(A297,Declarations!B$6:C$293,2,FALSE)="","",VLOOKUP(A297,Declarations!B$6:C$293,2,FALSE)))</f>
        <v/>
      </c>
      <c r="C297" s="161" t="str">
        <f>IF(ISNA(VLOOKUP(A297,Declarations!B$6:F$293,5,FALSE)),"",IF(VLOOKUP(A297,Declarations!B$6:F$293,5,FALSE)="","",VLOOKUP(A297,Declarations!B$6:F$293,5,FALSE)))</f>
        <v/>
      </c>
      <c r="D297" s="161" t="str">
        <f>IF(ISNA(VLOOKUP(A297,Declarations!B$6:F$293,4,FALSE)),"",IF(VLOOKUP(A297,Declarations!B$6:F$293,4,FALSE)="","",VLOOKUP(A297,Declarations!B$6:F$293,4,FALSE)))</f>
        <v/>
      </c>
      <c r="E297" s="161" t="str">
        <f>IF(ISNA(VLOOKUP(A297,Declarations!B$6:D$293,3,FALSE)),"",IF(VLOOKUP(A297,Declarations!B$6:D$293,3,FALSE)="","",VLOOKUP(A297,Declarations!B$6:D$293,3,FALSE)))</f>
        <v/>
      </c>
      <c r="F297" s="51" t="str">
        <f>IF(B297="","",IF(ISNA(VLOOKUP(A297,'75m'!F$5:G$302,2,FALSE)),"",VLOOKUP(A297,'75m'!F$5:G$302,2,FALSE)))</f>
        <v/>
      </c>
      <c r="G297" s="51">
        <f>IF(B297="",0,IF(ISNA(VLOOKUP(A297,'75m'!F$5:J$302,5,FALSE)),0,VLOOKUP(A297,'75m'!F$5:J$302,5,FALSE)))</f>
        <v>0</v>
      </c>
      <c r="H297" s="51" t="str">
        <f>IF(B297="","",IF(ISNA(VLOOKUP(A297,'75m'!F$5:K$302,6,FALSE)),"",VLOOKUP(A297,'75m'!F$5:K$302,6,FALSE)))</f>
        <v/>
      </c>
      <c r="I297" s="53">
        <f>IF(B297="",0,IF(ISNA(VLOOKUP(A297,'600m'!F$5:J$302,2,FALSE)),0,VLOOKUP(A297,'600m'!F$5:J$302,2,FALSE)))</f>
        <v>0</v>
      </c>
      <c r="J297" s="51">
        <f>IF(B297="",0,IF(ISNA(VLOOKUP(A297,'600m'!F$5:J$302,5,FALSE)),0,VLOOKUP(A297,'600m'!F$5:J$302,5,FALSE)))</f>
        <v>0</v>
      </c>
      <c r="K297" s="51" t="str">
        <f>IF(B297="","",IF(ISNA(VLOOKUP(A297,'600m'!F$5:K$302,6,FALSE)),"",VLOOKUP(A297,'600m'!F$5:K$302,6,FALSE)))</f>
        <v/>
      </c>
      <c r="L297" s="51" t="str">
        <f>IF(B297="","",IF(ISNA(VLOOKUP(A297,LongJump!F$5:G$302,2,FALSE)),"",VLOOKUP(A297,LongJump!F$5:G$302,2,FALSE)))</f>
        <v/>
      </c>
      <c r="M297" s="51">
        <f>IF(B297="",0,IF(ISNA(VLOOKUP(A297,LongJump!F$5:J$302,5,FALSE)),0,VLOOKUP(A297,LongJump!F$5:J$302,5,FALSE)))</f>
        <v>0</v>
      </c>
      <c r="N297" s="51">
        <f>IF(B297="",0,IF(ISNA(VLOOKUP(A297,LongJump!F$5:K$302,6,FALSE)),0,VLOOKUP(A297,LongJump!F$5:K$302,6,FALSE)))</f>
        <v>0</v>
      </c>
      <c r="O297" s="51" t="str">
        <f>IF(B297="","",IF(ISNA(VLOOKUP(A297,Vortex!F$5:J$302,2,FALSE)),"",VLOOKUP(A297,Vortex!F$5:J$302,2,FALSE)))</f>
        <v/>
      </c>
      <c r="P297" s="51">
        <f>IF(B297="",0,IF(ISNA(VLOOKUP(A297,Vortex!F$5:J$302,5,FALSE)),0,VLOOKUP(A297,Vortex!F$5:J$302,5,FALSE)))</f>
        <v>0</v>
      </c>
      <c r="Q297" s="51">
        <f t="shared" si="29"/>
        <v>0</v>
      </c>
      <c r="R297" s="51" t="str">
        <f t="shared" si="25"/>
        <v/>
      </c>
      <c r="S297" s="51" t="str">
        <f t="shared" si="26"/>
        <v/>
      </c>
      <c r="T297" s="51" t="str">
        <f t="shared" si="27"/>
        <v/>
      </c>
      <c r="U297" s="51" t="str">
        <f t="shared" si="28"/>
        <v/>
      </c>
      <c r="V297" s="39"/>
    </row>
    <row r="298" spans="1:22" ht="14">
      <c r="A298" s="51" t="str">
        <f>IF(Declarations!B250=0,"",Declarations!B250)</f>
        <v/>
      </c>
      <c r="B298" s="161" t="str">
        <f>IF(ISNA(VLOOKUP(A298,Declarations!B$6:C$293,2,FALSE)),"",IF(VLOOKUP(A298,Declarations!B$6:C$293,2,FALSE)="","",VLOOKUP(A298,Declarations!B$6:C$293,2,FALSE)))</f>
        <v/>
      </c>
      <c r="C298" s="161" t="str">
        <f>IF(ISNA(VLOOKUP(A298,Declarations!B$6:F$293,5,FALSE)),"",IF(VLOOKUP(A298,Declarations!B$6:F$293,5,FALSE)="","",VLOOKUP(A298,Declarations!B$6:F$293,5,FALSE)))</f>
        <v/>
      </c>
      <c r="D298" s="161" t="str">
        <f>IF(ISNA(VLOOKUP(A298,Declarations!B$6:F$293,4,FALSE)),"",IF(VLOOKUP(A298,Declarations!B$6:F$293,4,FALSE)="","",VLOOKUP(A298,Declarations!B$6:F$293,4,FALSE)))</f>
        <v/>
      </c>
      <c r="E298" s="161" t="str">
        <f>IF(ISNA(VLOOKUP(A298,Declarations!B$6:D$293,3,FALSE)),"",IF(VLOOKUP(A298,Declarations!B$6:D$293,3,FALSE)="","",VLOOKUP(A298,Declarations!B$6:D$293,3,FALSE)))</f>
        <v/>
      </c>
      <c r="F298" s="51" t="str">
        <f>IF(B298="","",IF(ISNA(VLOOKUP(A298,'75m'!F$5:G$302,2,FALSE)),"",VLOOKUP(A298,'75m'!F$5:G$302,2,FALSE)))</f>
        <v/>
      </c>
      <c r="G298" s="51">
        <f>IF(B298="",0,IF(ISNA(VLOOKUP(A298,'75m'!F$5:J$302,5,FALSE)),0,VLOOKUP(A298,'75m'!F$5:J$302,5,FALSE)))</f>
        <v>0</v>
      </c>
      <c r="H298" s="51" t="str">
        <f>IF(B298="","",IF(ISNA(VLOOKUP(A298,'75m'!F$5:K$302,6,FALSE)),"",VLOOKUP(A298,'75m'!F$5:K$302,6,FALSE)))</f>
        <v/>
      </c>
      <c r="I298" s="53">
        <f>IF(B298="",0,IF(ISNA(VLOOKUP(A298,'600m'!F$5:J$302,2,FALSE)),0,VLOOKUP(A298,'600m'!F$5:J$302,2,FALSE)))</f>
        <v>0</v>
      </c>
      <c r="J298" s="51">
        <f>IF(B298="",0,IF(ISNA(VLOOKUP(A298,'600m'!F$5:J$302,5,FALSE)),0,VLOOKUP(A298,'600m'!F$5:J$302,5,FALSE)))</f>
        <v>0</v>
      </c>
      <c r="K298" s="51" t="str">
        <f>IF(B298="","",IF(ISNA(VLOOKUP(A298,'600m'!F$5:K$302,6,FALSE)),"",VLOOKUP(A298,'600m'!F$5:K$302,6,FALSE)))</f>
        <v/>
      </c>
      <c r="L298" s="51" t="str">
        <f>IF(B298="","",IF(ISNA(VLOOKUP(A298,LongJump!F$5:G$302,2,FALSE)),"",VLOOKUP(A298,LongJump!F$5:G$302,2,FALSE)))</f>
        <v/>
      </c>
      <c r="M298" s="51">
        <f>IF(B298="",0,IF(ISNA(VLOOKUP(A298,LongJump!F$5:J$302,5,FALSE)),0,VLOOKUP(A298,LongJump!F$5:J$302,5,FALSE)))</f>
        <v>0</v>
      </c>
      <c r="N298" s="51">
        <f>IF(B298="",0,IF(ISNA(VLOOKUP(A298,LongJump!F$5:K$302,6,FALSE)),0,VLOOKUP(A298,LongJump!F$5:K$302,6,FALSE)))</f>
        <v>0</v>
      </c>
      <c r="O298" s="51" t="str">
        <f>IF(B298="","",IF(ISNA(VLOOKUP(A298,Vortex!F$5:J$302,2,FALSE)),"",VLOOKUP(A298,Vortex!F$5:J$302,2,FALSE)))</f>
        <v/>
      </c>
      <c r="P298" s="51">
        <f>IF(B298="",0,IF(ISNA(VLOOKUP(A298,Vortex!F$5:J$302,5,FALSE)),0,VLOOKUP(A298,Vortex!F$5:J$302,5,FALSE)))</f>
        <v>0</v>
      </c>
      <c r="Q298" s="51">
        <f t="shared" si="29"/>
        <v>0</v>
      </c>
      <c r="R298" s="51" t="str">
        <f t="shared" si="25"/>
        <v/>
      </c>
      <c r="S298" s="51" t="str">
        <f t="shared" si="26"/>
        <v/>
      </c>
      <c r="T298" s="51" t="str">
        <f t="shared" si="27"/>
        <v/>
      </c>
      <c r="U298" s="51" t="str">
        <f t="shared" si="28"/>
        <v/>
      </c>
      <c r="V298" s="39"/>
    </row>
    <row r="299" spans="1:22" ht="14">
      <c r="A299" s="51" t="str">
        <f>IF(Declarations!B251=0,"",Declarations!B251)</f>
        <v/>
      </c>
      <c r="B299" s="161" t="str">
        <f>IF(ISNA(VLOOKUP(A299,Declarations!B$6:C$293,2,FALSE)),"",IF(VLOOKUP(A299,Declarations!B$6:C$293,2,FALSE)="","",VLOOKUP(A299,Declarations!B$6:C$293,2,FALSE)))</f>
        <v/>
      </c>
      <c r="C299" s="161" t="str">
        <f>IF(ISNA(VLOOKUP(A299,Declarations!B$6:F$293,5,FALSE)),"",IF(VLOOKUP(A299,Declarations!B$6:F$293,5,FALSE)="","",VLOOKUP(A299,Declarations!B$6:F$293,5,FALSE)))</f>
        <v/>
      </c>
      <c r="D299" s="161" t="str">
        <f>IF(ISNA(VLOOKUP(A299,Declarations!B$6:F$293,4,FALSE)),"",IF(VLOOKUP(A299,Declarations!B$6:F$293,4,FALSE)="","",VLOOKUP(A299,Declarations!B$6:F$293,4,FALSE)))</f>
        <v/>
      </c>
      <c r="E299" s="161" t="str">
        <f>IF(ISNA(VLOOKUP(A299,Declarations!B$6:D$293,3,FALSE)),"",IF(VLOOKUP(A299,Declarations!B$6:D$293,3,FALSE)="","",VLOOKUP(A299,Declarations!B$6:D$293,3,FALSE)))</f>
        <v/>
      </c>
      <c r="F299" s="51" t="str">
        <f>IF(B299="","",IF(ISNA(VLOOKUP(A299,'75m'!F$5:G$302,2,FALSE)),"",VLOOKUP(A299,'75m'!F$5:G$302,2,FALSE)))</f>
        <v/>
      </c>
      <c r="G299" s="51">
        <f>IF(B299="",0,IF(ISNA(VLOOKUP(A299,'75m'!F$5:J$302,5,FALSE)),0,VLOOKUP(A299,'75m'!F$5:J$302,5,FALSE)))</f>
        <v>0</v>
      </c>
      <c r="H299" s="51" t="str">
        <f>IF(B299="","",IF(ISNA(VLOOKUP(A299,'75m'!F$5:K$302,6,FALSE)),"",VLOOKUP(A299,'75m'!F$5:K$302,6,FALSE)))</f>
        <v/>
      </c>
      <c r="I299" s="53">
        <f>IF(B299="",0,IF(ISNA(VLOOKUP(A299,'600m'!F$5:J$302,2,FALSE)),0,VLOOKUP(A299,'600m'!F$5:J$302,2,FALSE)))</f>
        <v>0</v>
      </c>
      <c r="J299" s="51">
        <f>IF(B299="",0,IF(ISNA(VLOOKUP(A299,'600m'!F$5:J$302,5,FALSE)),0,VLOOKUP(A299,'600m'!F$5:J$302,5,FALSE)))</f>
        <v>0</v>
      </c>
      <c r="K299" s="51" t="str">
        <f>IF(B299="","",IF(ISNA(VLOOKUP(A299,'600m'!F$5:K$302,6,FALSE)),"",VLOOKUP(A299,'600m'!F$5:K$302,6,FALSE)))</f>
        <v/>
      </c>
      <c r="L299" s="51" t="str">
        <f>IF(B299="","",IF(ISNA(VLOOKUP(A299,LongJump!F$5:G$302,2,FALSE)),"",VLOOKUP(A299,LongJump!F$5:G$302,2,FALSE)))</f>
        <v/>
      </c>
      <c r="M299" s="51">
        <f>IF(B299="",0,IF(ISNA(VLOOKUP(A299,LongJump!F$5:J$302,5,FALSE)),0,VLOOKUP(A299,LongJump!F$5:J$302,5,FALSE)))</f>
        <v>0</v>
      </c>
      <c r="N299" s="51">
        <f>IF(B299="",0,IF(ISNA(VLOOKUP(A299,LongJump!F$5:K$302,6,FALSE)),0,VLOOKUP(A299,LongJump!F$5:K$302,6,FALSE)))</f>
        <v>0</v>
      </c>
      <c r="O299" s="51" t="str">
        <f>IF(B299="","",IF(ISNA(VLOOKUP(A299,Vortex!F$5:J$302,2,FALSE)),"",VLOOKUP(A299,Vortex!F$5:J$302,2,FALSE)))</f>
        <v/>
      </c>
      <c r="P299" s="51">
        <f>IF(B299="",0,IF(ISNA(VLOOKUP(A299,Vortex!F$5:J$302,5,FALSE)),0,VLOOKUP(A299,Vortex!F$5:J$302,5,FALSE)))</f>
        <v>0</v>
      </c>
      <c r="Q299" s="51">
        <f t="shared" si="29"/>
        <v>0</v>
      </c>
      <c r="R299" s="51" t="str">
        <f t="shared" si="25"/>
        <v/>
      </c>
      <c r="S299" s="51" t="str">
        <f t="shared" si="26"/>
        <v/>
      </c>
      <c r="T299" s="51" t="str">
        <f t="shared" si="27"/>
        <v/>
      </c>
      <c r="U299" s="51" t="str">
        <f t="shared" si="28"/>
        <v/>
      </c>
      <c r="V299" s="39"/>
    </row>
    <row r="300" spans="1:22" ht="14">
      <c r="A300" s="51" t="str">
        <f>IF(Declarations!B252=0,"",Declarations!B252)</f>
        <v/>
      </c>
      <c r="B300" s="161" t="str">
        <f>IF(ISNA(VLOOKUP(A300,Declarations!B$6:C$293,2,FALSE)),"",IF(VLOOKUP(A300,Declarations!B$6:C$293,2,FALSE)="","",VLOOKUP(A300,Declarations!B$6:C$293,2,FALSE)))</f>
        <v/>
      </c>
      <c r="C300" s="161" t="str">
        <f>IF(ISNA(VLOOKUP(A300,Declarations!B$6:F$293,5,FALSE)),"",IF(VLOOKUP(A300,Declarations!B$6:F$293,5,FALSE)="","",VLOOKUP(A300,Declarations!B$6:F$293,5,FALSE)))</f>
        <v/>
      </c>
      <c r="D300" s="161" t="str">
        <f>IF(ISNA(VLOOKUP(A300,Declarations!B$6:F$293,4,FALSE)),"",IF(VLOOKUP(A300,Declarations!B$6:F$293,4,FALSE)="","",VLOOKUP(A300,Declarations!B$6:F$293,4,FALSE)))</f>
        <v/>
      </c>
      <c r="E300" s="161" t="str">
        <f>IF(ISNA(VLOOKUP(A300,Declarations!B$6:D$293,3,FALSE)),"",IF(VLOOKUP(A300,Declarations!B$6:D$293,3,FALSE)="","",VLOOKUP(A300,Declarations!B$6:D$293,3,FALSE)))</f>
        <v/>
      </c>
      <c r="F300" s="51" t="str">
        <f>IF(B300="","",IF(ISNA(VLOOKUP(A300,'75m'!F$5:G$302,2,FALSE)),"",VLOOKUP(A300,'75m'!F$5:G$302,2,FALSE)))</f>
        <v/>
      </c>
      <c r="G300" s="51">
        <f>IF(B300="",0,IF(ISNA(VLOOKUP(A300,'75m'!F$5:J$302,5,FALSE)),0,VLOOKUP(A300,'75m'!F$5:J$302,5,FALSE)))</f>
        <v>0</v>
      </c>
      <c r="H300" s="51" t="str">
        <f>IF(B300="","",IF(ISNA(VLOOKUP(A300,'75m'!F$5:K$302,6,FALSE)),"",VLOOKUP(A300,'75m'!F$5:K$302,6,FALSE)))</f>
        <v/>
      </c>
      <c r="I300" s="53">
        <f>IF(B300="",0,IF(ISNA(VLOOKUP(A300,'600m'!F$5:J$302,2,FALSE)),0,VLOOKUP(A300,'600m'!F$5:J$302,2,FALSE)))</f>
        <v>0</v>
      </c>
      <c r="J300" s="51">
        <f>IF(B300="",0,IF(ISNA(VLOOKUP(A300,'600m'!F$5:J$302,5,FALSE)),0,VLOOKUP(A300,'600m'!F$5:J$302,5,FALSE)))</f>
        <v>0</v>
      </c>
      <c r="K300" s="51" t="str">
        <f>IF(B300="","",IF(ISNA(VLOOKUP(A300,'600m'!F$5:K$302,6,FALSE)),"",VLOOKUP(A300,'600m'!F$5:K$302,6,FALSE)))</f>
        <v/>
      </c>
      <c r="L300" s="51" t="str">
        <f>IF(B300="","",IF(ISNA(VLOOKUP(A300,LongJump!F$5:G$302,2,FALSE)),"",VLOOKUP(A300,LongJump!F$5:G$302,2,FALSE)))</f>
        <v/>
      </c>
      <c r="M300" s="51">
        <f>IF(B300="",0,IF(ISNA(VLOOKUP(A300,LongJump!F$5:J$302,5,FALSE)),0,VLOOKUP(A300,LongJump!F$5:J$302,5,FALSE)))</f>
        <v>0</v>
      </c>
      <c r="N300" s="51">
        <f>IF(B300="",0,IF(ISNA(VLOOKUP(A300,LongJump!F$5:K$302,6,FALSE)),0,VLOOKUP(A300,LongJump!F$5:K$302,6,FALSE)))</f>
        <v>0</v>
      </c>
      <c r="O300" s="51" t="str">
        <f>IF(B300="","",IF(ISNA(VLOOKUP(A300,Vortex!F$5:J$302,2,FALSE)),"",VLOOKUP(A300,Vortex!F$5:J$302,2,FALSE)))</f>
        <v/>
      </c>
      <c r="P300" s="51">
        <f>IF(B300="",0,IF(ISNA(VLOOKUP(A300,Vortex!F$5:J$302,5,FALSE)),0,VLOOKUP(A300,Vortex!F$5:J$302,5,FALSE)))</f>
        <v>0</v>
      </c>
      <c r="Q300" s="51">
        <f t="shared" si="29"/>
        <v>0</v>
      </c>
      <c r="R300" s="51" t="str">
        <f t="shared" si="25"/>
        <v/>
      </c>
      <c r="S300" s="51" t="str">
        <f t="shared" si="26"/>
        <v/>
      </c>
      <c r="T300" s="51" t="str">
        <f t="shared" si="27"/>
        <v/>
      </c>
      <c r="U300" s="51" t="str">
        <f t="shared" si="28"/>
        <v/>
      </c>
      <c r="V300" s="39"/>
    </row>
    <row r="301" spans="1:22" ht="14">
      <c r="A301" s="51" t="str">
        <f>IF(Declarations!B253=0,"",Declarations!B253)</f>
        <v/>
      </c>
      <c r="B301" s="161" t="str">
        <f>IF(ISNA(VLOOKUP(A301,Declarations!B$6:C$293,2,FALSE)),"",IF(VLOOKUP(A301,Declarations!B$6:C$293,2,FALSE)="","",VLOOKUP(A301,Declarations!B$6:C$293,2,FALSE)))</f>
        <v/>
      </c>
      <c r="C301" s="161" t="str">
        <f>IF(ISNA(VLOOKUP(A301,Declarations!B$6:F$293,5,FALSE)),"",IF(VLOOKUP(A301,Declarations!B$6:F$293,5,FALSE)="","",VLOOKUP(A301,Declarations!B$6:F$293,5,FALSE)))</f>
        <v/>
      </c>
      <c r="D301" s="161" t="str">
        <f>IF(ISNA(VLOOKUP(A301,Declarations!B$6:F$293,4,FALSE)),"",IF(VLOOKUP(A301,Declarations!B$6:F$293,4,FALSE)="","",VLOOKUP(A301,Declarations!B$6:F$293,4,FALSE)))</f>
        <v/>
      </c>
      <c r="E301" s="161" t="str">
        <f>IF(ISNA(VLOOKUP(A301,Declarations!B$6:D$293,3,FALSE)),"",IF(VLOOKUP(A301,Declarations!B$6:D$293,3,FALSE)="","",VLOOKUP(A301,Declarations!B$6:D$293,3,FALSE)))</f>
        <v/>
      </c>
      <c r="F301" s="51" t="str">
        <f>IF(B301="","",IF(ISNA(VLOOKUP(A301,'75m'!F$5:G$302,2,FALSE)),"",VLOOKUP(A301,'75m'!F$5:G$302,2,FALSE)))</f>
        <v/>
      </c>
      <c r="G301" s="51">
        <f>IF(B301="",0,IF(ISNA(VLOOKUP(A301,'75m'!F$5:J$302,5,FALSE)),0,VLOOKUP(A301,'75m'!F$5:J$302,5,FALSE)))</f>
        <v>0</v>
      </c>
      <c r="H301" s="51" t="str">
        <f>IF(B301="","",IF(ISNA(VLOOKUP(A301,'75m'!F$5:K$302,6,FALSE)),"",VLOOKUP(A301,'75m'!F$5:K$302,6,FALSE)))</f>
        <v/>
      </c>
      <c r="I301" s="53">
        <f>IF(B301="",0,IF(ISNA(VLOOKUP(A301,'600m'!F$5:J$302,2,FALSE)),0,VLOOKUP(A301,'600m'!F$5:J$302,2,FALSE)))</f>
        <v>0</v>
      </c>
      <c r="J301" s="51">
        <f>IF(B301="",0,IF(ISNA(VLOOKUP(A301,'600m'!F$5:J$302,5,FALSE)),0,VLOOKUP(A301,'600m'!F$5:J$302,5,FALSE)))</f>
        <v>0</v>
      </c>
      <c r="K301" s="51" t="str">
        <f>IF(B301="","",IF(ISNA(VLOOKUP(A301,'600m'!F$5:K$302,6,FALSE)),"",VLOOKUP(A301,'600m'!F$5:K$302,6,FALSE)))</f>
        <v/>
      </c>
      <c r="L301" s="51" t="str">
        <f>IF(B301="","",IF(ISNA(VLOOKUP(A301,LongJump!F$5:G$302,2,FALSE)),"",VLOOKUP(A301,LongJump!F$5:G$302,2,FALSE)))</f>
        <v/>
      </c>
      <c r="M301" s="51">
        <f>IF(B301="",0,IF(ISNA(VLOOKUP(A301,LongJump!F$5:J$302,5,FALSE)),0,VLOOKUP(A301,LongJump!F$5:J$302,5,FALSE)))</f>
        <v>0</v>
      </c>
      <c r="N301" s="51">
        <f>IF(B301="",0,IF(ISNA(VLOOKUP(A301,LongJump!F$5:K$302,6,FALSE)),0,VLOOKUP(A301,LongJump!F$5:K$302,6,FALSE)))</f>
        <v>0</v>
      </c>
      <c r="O301" s="51" t="str">
        <f>IF(B301="","",IF(ISNA(VLOOKUP(A301,Vortex!F$5:J$302,2,FALSE)),"",VLOOKUP(A301,Vortex!F$5:J$302,2,FALSE)))</f>
        <v/>
      </c>
      <c r="P301" s="51">
        <f>IF(B301="",0,IF(ISNA(VLOOKUP(A301,Vortex!F$5:J$302,5,FALSE)),0,VLOOKUP(A301,Vortex!F$5:J$302,5,FALSE)))</f>
        <v>0</v>
      </c>
      <c r="Q301" s="51">
        <f t="shared" si="29"/>
        <v>0</v>
      </c>
      <c r="R301" s="51" t="str">
        <f t="shared" si="25"/>
        <v/>
      </c>
      <c r="S301" s="51" t="str">
        <f t="shared" si="26"/>
        <v/>
      </c>
      <c r="T301" s="51" t="str">
        <f t="shared" si="27"/>
        <v/>
      </c>
      <c r="U301" s="51" t="str">
        <f t="shared" si="28"/>
        <v/>
      </c>
      <c r="V301" s="39"/>
    </row>
    <row r="302" spans="1:22" ht="14">
      <c r="A302" s="51" t="str">
        <f>IF(Declarations!B254=0,"",Declarations!B254)</f>
        <v/>
      </c>
      <c r="B302" s="161" t="str">
        <f>IF(ISNA(VLOOKUP(A302,Declarations!B$6:C$293,2,FALSE)),"",IF(VLOOKUP(A302,Declarations!B$6:C$293,2,FALSE)="","",VLOOKUP(A302,Declarations!B$6:C$293,2,FALSE)))</f>
        <v/>
      </c>
      <c r="C302" s="161" t="str">
        <f>IF(ISNA(VLOOKUP(A302,Declarations!B$6:F$293,5,FALSE)),"",IF(VLOOKUP(A302,Declarations!B$6:F$293,5,FALSE)="","",VLOOKUP(A302,Declarations!B$6:F$293,5,FALSE)))</f>
        <v/>
      </c>
      <c r="D302" s="161" t="str">
        <f>IF(ISNA(VLOOKUP(A302,Declarations!B$6:F$293,4,FALSE)),"",IF(VLOOKUP(A302,Declarations!B$6:F$293,4,FALSE)="","",VLOOKUP(A302,Declarations!B$6:F$293,4,FALSE)))</f>
        <v/>
      </c>
      <c r="E302" s="161" t="str">
        <f>IF(ISNA(VLOOKUP(A302,Declarations!B$6:D$293,3,FALSE)),"",IF(VLOOKUP(A302,Declarations!B$6:D$293,3,FALSE)="","",VLOOKUP(A302,Declarations!B$6:D$293,3,FALSE)))</f>
        <v/>
      </c>
      <c r="F302" s="51" t="str">
        <f>IF(B302="","",IF(ISNA(VLOOKUP(A302,'75m'!F$5:G$302,2,FALSE)),"",VLOOKUP(A302,'75m'!F$5:G$302,2,FALSE)))</f>
        <v/>
      </c>
      <c r="G302" s="51">
        <f>IF(B302="",0,IF(ISNA(VLOOKUP(A302,'75m'!F$5:J$302,5,FALSE)),0,VLOOKUP(A302,'75m'!F$5:J$302,5,FALSE)))</f>
        <v>0</v>
      </c>
      <c r="H302" s="51" t="str">
        <f>IF(B302="","",IF(ISNA(VLOOKUP(A302,'75m'!F$5:K$302,6,FALSE)),"",VLOOKUP(A302,'75m'!F$5:K$302,6,FALSE)))</f>
        <v/>
      </c>
      <c r="I302" s="53">
        <f>IF(B302="",0,IF(ISNA(VLOOKUP(A302,'600m'!F$5:J$302,2,FALSE)),0,VLOOKUP(A302,'600m'!F$5:J$302,2,FALSE)))</f>
        <v>0</v>
      </c>
      <c r="J302" s="51">
        <f>IF(B302="",0,IF(ISNA(VLOOKUP(A302,'600m'!F$5:J$302,5,FALSE)),0,VLOOKUP(A302,'600m'!F$5:J$302,5,FALSE)))</f>
        <v>0</v>
      </c>
      <c r="K302" s="51" t="str">
        <f>IF(B302="","",IF(ISNA(VLOOKUP(A302,'600m'!F$5:K$302,6,FALSE)),"",VLOOKUP(A302,'600m'!F$5:K$302,6,FALSE)))</f>
        <v/>
      </c>
      <c r="L302" s="51" t="str">
        <f>IF(B302="","",IF(ISNA(VLOOKUP(A302,LongJump!F$5:G$302,2,FALSE)),"",VLOOKUP(A302,LongJump!F$5:G$302,2,FALSE)))</f>
        <v/>
      </c>
      <c r="M302" s="51">
        <f>IF(B302="",0,IF(ISNA(VLOOKUP(A302,LongJump!F$5:J$302,5,FALSE)),0,VLOOKUP(A302,LongJump!F$5:J$302,5,FALSE)))</f>
        <v>0</v>
      </c>
      <c r="N302" s="51">
        <f>IF(B302="",0,IF(ISNA(VLOOKUP(A302,LongJump!F$5:K$302,6,FALSE)),0,VLOOKUP(A302,LongJump!F$5:K$302,6,FALSE)))</f>
        <v>0</v>
      </c>
      <c r="O302" s="51" t="str">
        <f>IF(B302="","",IF(ISNA(VLOOKUP(A302,Vortex!F$5:J$302,2,FALSE)),"",VLOOKUP(A302,Vortex!F$5:J$302,2,FALSE)))</f>
        <v/>
      </c>
      <c r="P302" s="51">
        <f>IF(B302="",0,IF(ISNA(VLOOKUP(A302,Vortex!F$5:J$302,5,FALSE)),0,VLOOKUP(A302,Vortex!F$5:J$302,5,FALSE)))</f>
        <v>0</v>
      </c>
      <c r="Q302" s="51">
        <f t="shared" si="29"/>
        <v>0</v>
      </c>
      <c r="R302" s="51" t="str">
        <f t="shared" si="25"/>
        <v/>
      </c>
      <c r="S302" s="51" t="str">
        <f t="shared" si="26"/>
        <v/>
      </c>
      <c r="T302" s="51" t="str">
        <f t="shared" si="27"/>
        <v/>
      </c>
      <c r="U302" s="51" t="str">
        <f t="shared" si="28"/>
        <v/>
      </c>
      <c r="V302" s="39"/>
    </row>
    <row r="303" spans="1:22" ht="14">
      <c r="A303" s="51" t="str">
        <f>IF(Declarations!B255=0,"",Declarations!B255)</f>
        <v/>
      </c>
      <c r="B303" s="161" t="str">
        <f>IF(ISNA(VLOOKUP(A303,Declarations!B$6:C$293,2,FALSE)),"",IF(VLOOKUP(A303,Declarations!B$6:C$293,2,FALSE)="","",VLOOKUP(A303,Declarations!B$6:C$293,2,FALSE)))</f>
        <v/>
      </c>
      <c r="C303" s="161" t="str">
        <f>IF(ISNA(VLOOKUP(A303,Declarations!B$6:F$293,5,FALSE)),"",IF(VLOOKUP(A303,Declarations!B$6:F$293,5,FALSE)="","",VLOOKUP(A303,Declarations!B$6:F$293,5,FALSE)))</f>
        <v/>
      </c>
      <c r="D303" s="161" t="str">
        <f>IF(ISNA(VLOOKUP(A303,Declarations!B$6:F$293,4,FALSE)),"",IF(VLOOKUP(A303,Declarations!B$6:F$293,4,FALSE)="","",VLOOKUP(A303,Declarations!B$6:F$293,4,FALSE)))</f>
        <v/>
      </c>
      <c r="E303" s="161" t="str">
        <f>IF(ISNA(VLOOKUP(A303,Declarations!B$6:D$293,3,FALSE)),"",IF(VLOOKUP(A303,Declarations!B$6:D$293,3,FALSE)="","",VLOOKUP(A303,Declarations!B$6:D$293,3,FALSE)))</f>
        <v/>
      </c>
      <c r="F303" s="51" t="str">
        <f>IF(B303="","",IF(ISNA(VLOOKUP(A303,'75m'!F$5:G$302,2,FALSE)),"",VLOOKUP(A303,'75m'!F$5:G$302,2,FALSE)))</f>
        <v/>
      </c>
      <c r="G303" s="51">
        <f>IF(B303="",0,IF(ISNA(VLOOKUP(A303,'75m'!F$5:J$302,5,FALSE)),0,VLOOKUP(A303,'75m'!F$5:J$302,5,FALSE)))</f>
        <v>0</v>
      </c>
      <c r="H303" s="51" t="str">
        <f>IF(B303="","",IF(ISNA(VLOOKUP(A303,'75m'!F$5:K$302,6,FALSE)),"",VLOOKUP(A303,'75m'!F$5:K$302,6,FALSE)))</f>
        <v/>
      </c>
      <c r="I303" s="53">
        <f>IF(B303="",0,IF(ISNA(VLOOKUP(A303,'600m'!F$5:J$302,2,FALSE)),0,VLOOKUP(A303,'600m'!F$5:J$302,2,FALSE)))</f>
        <v>0</v>
      </c>
      <c r="J303" s="51">
        <f>IF(B303="",0,IF(ISNA(VLOOKUP(A303,'600m'!F$5:J$302,5,FALSE)),0,VLOOKUP(A303,'600m'!F$5:J$302,5,FALSE)))</f>
        <v>0</v>
      </c>
      <c r="K303" s="51" t="str">
        <f>IF(B303="","",IF(ISNA(VLOOKUP(A303,'600m'!F$5:K$302,6,FALSE)),"",VLOOKUP(A303,'600m'!F$5:K$302,6,FALSE)))</f>
        <v/>
      </c>
      <c r="L303" s="51" t="str">
        <f>IF(B303="","",IF(ISNA(VLOOKUP(A303,LongJump!F$5:G$302,2,FALSE)),"",VLOOKUP(A303,LongJump!F$5:G$302,2,FALSE)))</f>
        <v/>
      </c>
      <c r="M303" s="51">
        <f>IF(B303="",0,IF(ISNA(VLOOKUP(A303,LongJump!F$5:J$302,5,FALSE)),0,VLOOKUP(A303,LongJump!F$5:J$302,5,FALSE)))</f>
        <v>0</v>
      </c>
      <c r="N303" s="51">
        <f>IF(B303="",0,IF(ISNA(VLOOKUP(A303,LongJump!F$5:K$302,6,FALSE)),0,VLOOKUP(A303,LongJump!F$5:K$302,6,FALSE)))</f>
        <v>0</v>
      </c>
      <c r="O303" s="51" t="str">
        <f>IF(B303="","",IF(ISNA(VLOOKUP(A303,Vortex!F$5:J$302,2,FALSE)),"",VLOOKUP(A303,Vortex!F$5:J$302,2,FALSE)))</f>
        <v/>
      </c>
      <c r="P303" s="51">
        <f>IF(B303="",0,IF(ISNA(VLOOKUP(A303,Vortex!F$5:J$302,5,FALSE)),0,VLOOKUP(A303,Vortex!F$5:J$302,5,FALSE)))</f>
        <v>0</v>
      </c>
      <c r="Q303" s="51">
        <f t="shared" si="29"/>
        <v>0</v>
      </c>
      <c r="R303" s="51" t="str">
        <f t="shared" si="25"/>
        <v/>
      </c>
      <c r="S303" s="51" t="str">
        <f t="shared" si="26"/>
        <v/>
      </c>
      <c r="T303" s="51" t="str">
        <f t="shared" si="27"/>
        <v/>
      </c>
      <c r="U303" s="51" t="str">
        <f t="shared" si="28"/>
        <v/>
      </c>
      <c r="V303" s="39"/>
    </row>
    <row r="304" spans="1:22" ht="14">
      <c r="A304" s="51" t="str">
        <f>IF(Declarations!B256=0,"",Declarations!B256)</f>
        <v/>
      </c>
      <c r="B304" s="161" t="str">
        <f>IF(ISNA(VLOOKUP(A304,Declarations!B$6:C$293,2,FALSE)),"",IF(VLOOKUP(A304,Declarations!B$6:C$293,2,FALSE)="","",VLOOKUP(A304,Declarations!B$6:C$293,2,FALSE)))</f>
        <v/>
      </c>
      <c r="C304" s="161" t="str">
        <f>IF(ISNA(VLOOKUP(A304,Declarations!B$6:F$293,5,FALSE)),"",IF(VLOOKUP(A304,Declarations!B$6:F$293,5,FALSE)="","",VLOOKUP(A304,Declarations!B$6:F$293,5,FALSE)))</f>
        <v/>
      </c>
      <c r="D304" s="161" t="str">
        <f>IF(ISNA(VLOOKUP(A304,Declarations!B$6:F$293,4,FALSE)),"",IF(VLOOKUP(A304,Declarations!B$6:F$293,4,FALSE)="","",VLOOKUP(A304,Declarations!B$6:F$293,4,FALSE)))</f>
        <v/>
      </c>
      <c r="E304" s="161" t="str">
        <f>IF(ISNA(VLOOKUP(A304,Declarations!B$6:D$293,3,FALSE)),"",IF(VLOOKUP(A304,Declarations!B$6:D$293,3,FALSE)="","",VLOOKUP(A304,Declarations!B$6:D$293,3,FALSE)))</f>
        <v/>
      </c>
      <c r="F304" s="51" t="str">
        <f>IF(B304="","",IF(ISNA(VLOOKUP(A304,'75m'!F$5:G$302,2,FALSE)),"",VLOOKUP(A304,'75m'!F$5:G$302,2,FALSE)))</f>
        <v/>
      </c>
      <c r="G304" s="51">
        <f>IF(B304="",0,IF(ISNA(VLOOKUP(A304,'75m'!F$5:J$302,5,FALSE)),0,VLOOKUP(A304,'75m'!F$5:J$302,5,FALSE)))</f>
        <v>0</v>
      </c>
      <c r="H304" s="51" t="str">
        <f>IF(B304="","",IF(ISNA(VLOOKUP(A304,'75m'!F$5:K$302,6,FALSE)),"",VLOOKUP(A304,'75m'!F$5:K$302,6,FALSE)))</f>
        <v/>
      </c>
      <c r="I304" s="53">
        <f>IF(B304="",0,IF(ISNA(VLOOKUP(A304,'600m'!F$5:J$302,2,FALSE)),0,VLOOKUP(A304,'600m'!F$5:J$302,2,FALSE)))</f>
        <v>0</v>
      </c>
      <c r="J304" s="51">
        <f>IF(B304="",0,IF(ISNA(VLOOKUP(A304,'600m'!F$5:J$302,5,FALSE)),0,VLOOKUP(A304,'600m'!F$5:J$302,5,FALSE)))</f>
        <v>0</v>
      </c>
      <c r="K304" s="51" t="str">
        <f>IF(B304="","",IF(ISNA(VLOOKUP(A304,'600m'!F$5:K$302,6,FALSE)),"",VLOOKUP(A304,'600m'!F$5:K$302,6,FALSE)))</f>
        <v/>
      </c>
      <c r="L304" s="51" t="str">
        <f>IF(B304="","",IF(ISNA(VLOOKUP(A304,LongJump!F$5:G$302,2,FALSE)),"",VLOOKUP(A304,LongJump!F$5:G$302,2,FALSE)))</f>
        <v/>
      </c>
      <c r="M304" s="51">
        <f>IF(B304="",0,IF(ISNA(VLOOKUP(A304,LongJump!F$5:J$302,5,FALSE)),0,VLOOKUP(A304,LongJump!F$5:J$302,5,FALSE)))</f>
        <v>0</v>
      </c>
      <c r="N304" s="51">
        <f>IF(B304="",0,IF(ISNA(VLOOKUP(A304,LongJump!F$5:K$302,6,FALSE)),0,VLOOKUP(A304,LongJump!F$5:K$302,6,FALSE)))</f>
        <v>0</v>
      </c>
      <c r="O304" s="51" t="str">
        <f>IF(B304="","",IF(ISNA(VLOOKUP(A304,Vortex!F$5:J$302,2,FALSE)),"",VLOOKUP(A304,Vortex!F$5:J$302,2,FALSE)))</f>
        <v/>
      </c>
      <c r="P304" s="51">
        <f>IF(B304="",0,IF(ISNA(VLOOKUP(A304,Vortex!F$5:J$302,5,FALSE)),0,VLOOKUP(A304,Vortex!F$5:J$302,5,FALSE)))</f>
        <v>0</v>
      </c>
      <c r="Q304" s="51">
        <f t="shared" si="29"/>
        <v>0</v>
      </c>
      <c r="R304" s="51" t="str">
        <f t="shared" si="25"/>
        <v/>
      </c>
      <c r="S304" s="51" t="str">
        <f t="shared" si="26"/>
        <v/>
      </c>
      <c r="T304" s="51" t="str">
        <f t="shared" si="27"/>
        <v/>
      </c>
      <c r="U304" s="51" t="str">
        <f t="shared" si="28"/>
        <v/>
      </c>
      <c r="V304" s="39"/>
    </row>
    <row r="305" spans="1:22" ht="14">
      <c r="A305" s="51" t="str">
        <f>IF(Declarations!B257=0,"",Declarations!B257)</f>
        <v/>
      </c>
      <c r="B305" s="161" t="str">
        <f>IF(ISNA(VLOOKUP(A305,Declarations!B$6:C$293,2,FALSE)),"",IF(VLOOKUP(A305,Declarations!B$6:C$293,2,FALSE)="","",VLOOKUP(A305,Declarations!B$6:C$293,2,FALSE)))</f>
        <v/>
      </c>
      <c r="C305" s="161" t="str">
        <f>IF(ISNA(VLOOKUP(A305,Declarations!B$6:F$293,5,FALSE)),"",IF(VLOOKUP(A305,Declarations!B$6:F$293,5,FALSE)="","",VLOOKUP(A305,Declarations!B$6:F$293,5,FALSE)))</f>
        <v/>
      </c>
      <c r="D305" s="161" t="str">
        <f>IF(ISNA(VLOOKUP(A305,Declarations!B$6:F$293,4,FALSE)),"",IF(VLOOKUP(A305,Declarations!B$6:F$293,4,FALSE)="","",VLOOKUP(A305,Declarations!B$6:F$293,4,FALSE)))</f>
        <v/>
      </c>
      <c r="E305" s="161" t="str">
        <f>IF(ISNA(VLOOKUP(A305,Declarations!B$6:D$293,3,FALSE)),"",IF(VLOOKUP(A305,Declarations!B$6:D$293,3,FALSE)="","",VLOOKUP(A305,Declarations!B$6:D$293,3,FALSE)))</f>
        <v/>
      </c>
      <c r="F305" s="51" t="str">
        <f>IF(B305="","",IF(ISNA(VLOOKUP(A305,'75m'!F$5:G$302,2,FALSE)),"",VLOOKUP(A305,'75m'!F$5:G$302,2,FALSE)))</f>
        <v/>
      </c>
      <c r="G305" s="51">
        <f>IF(B305="",0,IF(ISNA(VLOOKUP(A305,'75m'!F$5:J$302,5,FALSE)),0,VLOOKUP(A305,'75m'!F$5:J$302,5,FALSE)))</f>
        <v>0</v>
      </c>
      <c r="H305" s="51" t="str">
        <f>IF(B305="","",IF(ISNA(VLOOKUP(A305,'75m'!F$5:K$302,6,FALSE)),"",VLOOKUP(A305,'75m'!F$5:K$302,6,FALSE)))</f>
        <v/>
      </c>
      <c r="I305" s="53">
        <f>IF(B305="",0,IF(ISNA(VLOOKUP(A305,'600m'!F$5:J$302,2,FALSE)),0,VLOOKUP(A305,'600m'!F$5:J$302,2,FALSE)))</f>
        <v>0</v>
      </c>
      <c r="J305" s="51">
        <f>IF(B305="",0,IF(ISNA(VLOOKUP(A305,'600m'!F$5:J$302,5,FALSE)),0,VLOOKUP(A305,'600m'!F$5:J$302,5,FALSE)))</f>
        <v>0</v>
      </c>
      <c r="K305" s="51" t="str">
        <f>IF(B305="","",IF(ISNA(VLOOKUP(A305,'600m'!F$5:K$302,6,FALSE)),"",VLOOKUP(A305,'600m'!F$5:K$302,6,FALSE)))</f>
        <v/>
      </c>
      <c r="L305" s="51" t="str">
        <f>IF(B305="","",IF(ISNA(VLOOKUP(A305,LongJump!F$5:G$302,2,FALSE)),"",VLOOKUP(A305,LongJump!F$5:G$302,2,FALSE)))</f>
        <v/>
      </c>
      <c r="M305" s="51">
        <f>IF(B305="",0,IF(ISNA(VLOOKUP(A305,LongJump!F$5:J$302,5,FALSE)),0,VLOOKUP(A305,LongJump!F$5:J$302,5,FALSE)))</f>
        <v>0</v>
      </c>
      <c r="N305" s="51">
        <f>IF(B305="",0,IF(ISNA(VLOOKUP(A305,LongJump!F$5:K$302,6,FALSE)),0,VLOOKUP(A305,LongJump!F$5:K$302,6,FALSE)))</f>
        <v>0</v>
      </c>
      <c r="O305" s="51" t="str">
        <f>IF(B305="","",IF(ISNA(VLOOKUP(A305,Vortex!F$5:J$302,2,FALSE)),"",VLOOKUP(A305,Vortex!F$5:J$302,2,FALSE)))</f>
        <v/>
      </c>
      <c r="P305" s="51">
        <f>IF(B305="",0,IF(ISNA(VLOOKUP(A305,Vortex!F$5:J$302,5,FALSE)),0,VLOOKUP(A305,Vortex!F$5:J$302,5,FALSE)))</f>
        <v>0</v>
      </c>
      <c r="Q305" s="51">
        <f t="shared" si="29"/>
        <v>0</v>
      </c>
      <c r="R305" s="51" t="str">
        <f t="shared" si="25"/>
        <v/>
      </c>
      <c r="S305" s="51" t="str">
        <f t="shared" si="26"/>
        <v/>
      </c>
      <c r="T305" s="51" t="str">
        <f t="shared" si="27"/>
        <v/>
      </c>
      <c r="U305" s="51" t="str">
        <f t="shared" si="28"/>
        <v/>
      </c>
      <c r="V305" s="39"/>
    </row>
    <row r="306" spans="1:22" ht="14">
      <c r="A306" s="51" t="str">
        <f>IF(Declarations!B258=0,"",Declarations!B258)</f>
        <v/>
      </c>
      <c r="B306" s="161" t="str">
        <f>IF(ISNA(VLOOKUP(A306,Declarations!B$6:C$293,2,FALSE)),"",IF(VLOOKUP(A306,Declarations!B$6:C$293,2,FALSE)="","",VLOOKUP(A306,Declarations!B$6:C$293,2,FALSE)))</f>
        <v/>
      </c>
      <c r="C306" s="161" t="str">
        <f>IF(ISNA(VLOOKUP(A306,Declarations!B$6:F$293,5,FALSE)),"",IF(VLOOKUP(A306,Declarations!B$6:F$293,5,FALSE)="","",VLOOKUP(A306,Declarations!B$6:F$293,5,FALSE)))</f>
        <v/>
      </c>
      <c r="D306" s="161" t="str">
        <f>IF(ISNA(VLOOKUP(A306,Declarations!B$6:F$293,4,FALSE)),"",IF(VLOOKUP(A306,Declarations!B$6:F$293,4,FALSE)="","",VLOOKUP(A306,Declarations!B$6:F$293,4,FALSE)))</f>
        <v/>
      </c>
      <c r="E306" s="161" t="str">
        <f>IF(ISNA(VLOOKUP(A306,Declarations!B$6:D$293,3,FALSE)),"",IF(VLOOKUP(A306,Declarations!B$6:D$293,3,FALSE)="","",VLOOKUP(A306,Declarations!B$6:D$293,3,FALSE)))</f>
        <v/>
      </c>
      <c r="F306" s="51" t="str">
        <f>IF(B306="","",IF(ISNA(VLOOKUP(A306,'75m'!F$5:G$302,2,FALSE)),"",VLOOKUP(A306,'75m'!F$5:G$302,2,FALSE)))</f>
        <v/>
      </c>
      <c r="G306" s="51">
        <f>IF(B306="",0,IF(ISNA(VLOOKUP(A306,'75m'!F$5:J$302,5,FALSE)),0,VLOOKUP(A306,'75m'!F$5:J$302,5,FALSE)))</f>
        <v>0</v>
      </c>
      <c r="H306" s="51" t="str">
        <f>IF(B306="","",IF(ISNA(VLOOKUP(A306,'75m'!F$5:K$302,6,FALSE)),"",VLOOKUP(A306,'75m'!F$5:K$302,6,FALSE)))</f>
        <v/>
      </c>
      <c r="I306" s="53">
        <f>IF(B306="",0,IF(ISNA(VLOOKUP(A306,'600m'!F$5:J$302,2,FALSE)),0,VLOOKUP(A306,'600m'!F$5:J$302,2,FALSE)))</f>
        <v>0</v>
      </c>
      <c r="J306" s="51">
        <f>IF(B306="",0,IF(ISNA(VLOOKUP(A306,'600m'!F$5:J$302,5,FALSE)),0,VLOOKUP(A306,'600m'!F$5:J$302,5,FALSE)))</f>
        <v>0</v>
      </c>
      <c r="K306" s="51" t="str">
        <f>IF(B306="","",IF(ISNA(VLOOKUP(A306,'600m'!F$5:K$302,6,FALSE)),"",VLOOKUP(A306,'600m'!F$5:K$302,6,FALSE)))</f>
        <v/>
      </c>
      <c r="L306" s="51" t="str">
        <f>IF(B306="","",IF(ISNA(VLOOKUP(A306,LongJump!F$5:G$302,2,FALSE)),"",VLOOKUP(A306,LongJump!F$5:G$302,2,FALSE)))</f>
        <v/>
      </c>
      <c r="M306" s="51">
        <f>IF(B306="",0,IF(ISNA(VLOOKUP(A306,LongJump!F$5:J$302,5,FALSE)),0,VLOOKUP(A306,LongJump!F$5:J$302,5,FALSE)))</f>
        <v>0</v>
      </c>
      <c r="N306" s="51">
        <f>IF(B306="",0,IF(ISNA(VLOOKUP(A306,LongJump!F$5:K$302,6,FALSE)),0,VLOOKUP(A306,LongJump!F$5:K$302,6,FALSE)))</f>
        <v>0</v>
      </c>
      <c r="O306" s="51" t="str">
        <f>IF(B306="","",IF(ISNA(VLOOKUP(A306,Vortex!F$5:J$302,2,FALSE)),"",VLOOKUP(A306,Vortex!F$5:J$302,2,FALSE)))</f>
        <v/>
      </c>
      <c r="P306" s="51">
        <f>IF(B306="",0,IF(ISNA(VLOOKUP(A306,Vortex!F$5:J$302,5,FALSE)),0,VLOOKUP(A306,Vortex!F$5:J$302,5,FALSE)))</f>
        <v>0</v>
      </c>
      <c r="Q306" s="51">
        <f t="shared" si="29"/>
        <v>0</v>
      </c>
      <c r="R306" s="51" t="str">
        <f t="shared" si="25"/>
        <v/>
      </c>
      <c r="S306" s="51" t="str">
        <f t="shared" si="26"/>
        <v/>
      </c>
      <c r="T306" s="51" t="str">
        <f t="shared" si="27"/>
        <v/>
      </c>
      <c r="U306" s="51" t="str">
        <f t="shared" si="28"/>
        <v/>
      </c>
      <c r="V306" s="39"/>
    </row>
    <row r="307" spans="1:22" ht="14">
      <c r="A307" s="51" t="str">
        <f>IF(Declarations!B259=0,"",Declarations!B259)</f>
        <v/>
      </c>
      <c r="B307" s="161" t="str">
        <f>IF(ISNA(VLOOKUP(A307,Declarations!B$6:C$293,2,FALSE)),"",IF(VLOOKUP(A307,Declarations!B$6:C$293,2,FALSE)="","",VLOOKUP(A307,Declarations!B$6:C$293,2,FALSE)))</f>
        <v/>
      </c>
      <c r="C307" s="161" t="str">
        <f>IF(ISNA(VLOOKUP(A307,Declarations!B$6:F$293,5,FALSE)),"",IF(VLOOKUP(A307,Declarations!B$6:F$293,5,FALSE)="","",VLOOKUP(A307,Declarations!B$6:F$293,5,FALSE)))</f>
        <v/>
      </c>
      <c r="D307" s="161" t="str">
        <f>IF(ISNA(VLOOKUP(A307,Declarations!B$6:F$293,4,FALSE)),"",IF(VLOOKUP(A307,Declarations!B$6:F$293,4,FALSE)="","",VLOOKUP(A307,Declarations!B$6:F$293,4,FALSE)))</f>
        <v/>
      </c>
      <c r="E307" s="161" t="str">
        <f>IF(ISNA(VLOOKUP(A307,Declarations!B$6:D$293,3,FALSE)),"",IF(VLOOKUP(A307,Declarations!B$6:D$293,3,FALSE)="","",VLOOKUP(A307,Declarations!B$6:D$293,3,FALSE)))</f>
        <v/>
      </c>
      <c r="F307" s="51" t="str">
        <f>IF(B307="","",IF(ISNA(VLOOKUP(A307,'75m'!F$5:G$302,2,FALSE)),"",VLOOKUP(A307,'75m'!F$5:G$302,2,FALSE)))</f>
        <v/>
      </c>
      <c r="G307" s="51">
        <f>IF(B307="",0,IF(ISNA(VLOOKUP(A307,'75m'!F$5:J$302,5,FALSE)),0,VLOOKUP(A307,'75m'!F$5:J$302,5,FALSE)))</f>
        <v>0</v>
      </c>
      <c r="H307" s="51" t="str">
        <f>IF(B307="","",IF(ISNA(VLOOKUP(A307,'75m'!F$5:K$302,6,FALSE)),"",VLOOKUP(A307,'75m'!F$5:K$302,6,FALSE)))</f>
        <v/>
      </c>
      <c r="I307" s="53">
        <f>IF(B307="",0,IF(ISNA(VLOOKUP(A307,'600m'!F$5:J$302,2,FALSE)),0,VLOOKUP(A307,'600m'!F$5:J$302,2,FALSE)))</f>
        <v>0</v>
      </c>
      <c r="J307" s="51">
        <f>IF(B307="",0,IF(ISNA(VLOOKUP(A307,'600m'!F$5:J$302,5,FALSE)),0,VLOOKUP(A307,'600m'!F$5:J$302,5,FALSE)))</f>
        <v>0</v>
      </c>
      <c r="K307" s="51" t="str">
        <f>IF(B307="","",IF(ISNA(VLOOKUP(A307,'600m'!F$5:K$302,6,FALSE)),"",VLOOKUP(A307,'600m'!F$5:K$302,6,FALSE)))</f>
        <v/>
      </c>
      <c r="L307" s="51" t="str">
        <f>IF(B307="","",IF(ISNA(VLOOKUP(A307,LongJump!F$5:G$302,2,FALSE)),"",VLOOKUP(A307,LongJump!F$5:G$302,2,FALSE)))</f>
        <v/>
      </c>
      <c r="M307" s="51">
        <f>IF(B307="",0,IF(ISNA(VLOOKUP(A307,LongJump!F$5:J$302,5,FALSE)),0,VLOOKUP(A307,LongJump!F$5:J$302,5,FALSE)))</f>
        <v>0</v>
      </c>
      <c r="N307" s="51">
        <f>IF(B307="",0,IF(ISNA(VLOOKUP(A307,LongJump!F$5:K$302,6,FALSE)),0,VLOOKUP(A307,LongJump!F$5:K$302,6,FALSE)))</f>
        <v>0</v>
      </c>
      <c r="O307" s="51" t="str">
        <f>IF(B307="","",IF(ISNA(VLOOKUP(A307,Vortex!F$5:J$302,2,FALSE)),"",VLOOKUP(A307,Vortex!F$5:J$302,2,FALSE)))</f>
        <v/>
      </c>
      <c r="P307" s="51">
        <f>IF(B307="",0,IF(ISNA(VLOOKUP(A307,Vortex!F$5:J$302,5,FALSE)),0,VLOOKUP(A307,Vortex!F$5:J$302,5,FALSE)))</f>
        <v>0</v>
      </c>
      <c r="Q307" s="51">
        <f t="shared" si="29"/>
        <v>0</v>
      </c>
      <c r="R307" s="51" t="str">
        <f t="shared" si="25"/>
        <v/>
      </c>
      <c r="S307" s="51" t="str">
        <f t="shared" si="26"/>
        <v/>
      </c>
      <c r="T307" s="51" t="str">
        <f t="shared" si="27"/>
        <v/>
      </c>
      <c r="U307" s="51" t="str">
        <f t="shared" si="28"/>
        <v/>
      </c>
      <c r="V307" s="39"/>
    </row>
    <row r="308" spans="1:22" ht="14">
      <c r="A308" s="51" t="str">
        <f>IF(Declarations!B260=0,"",Declarations!B260)</f>
        <v/>
      </c>
      <c r="B308" s="161" t="str">
        <f>IF(ISNA(VLOOKUP(A308,Declarations!B$6:C$293,2,FALSE)),"",IF(VLOOKUP(A308,Declarations!B$6:C$293,2,FALSE)="","",VLOOKUP(A308,Declarations!B$6:C$293,2,FALSE)))</f>
        <v/>
      </c>
      <c r="C308" s="161" t="str">
        <f>IF(ISNA(VLOOKUP(A308,Declarations!B$6:F$293,5,FALSE)),"",IF(VLOOKUP(A308,Declarations!B$6:F$293,5,FALSE)="","",VLOOKUP(A308,Declarations!B$6:F$293,5,FALSE)))</f>
        <v/>
      </c>
      <c r="D308" s="161" t="str">
        <f>IF(ISNA(VLOOKUP(A308,Declarations!B$6:F$293,4,FALSE)),"",IF(VLOOKUP(A308,Declarations!B$6:F$293,4,FALSE)="","",VLOOKUP(A308,Declarations!B$6:F$293,4,FALSE)))</f>
        <v/>
      </c>
      <c r="E308" s="161" t="str">
        <f>IF(ISNA(VLOOKUP(A308,Declarations!B$6:D$293,3,FALSE)),"",IF(VLOOKUP(A308,Declarations!B$6:D$293,3,FALSE)="","",VLOOKUP(A308,Declarations!B$6:D$293,3,FALSE)))</f>
        <v/>
      </c>
      <c r="F308" s="51" t="str">
        <f>IF(B308="","",IF(ISNA(VLOOKUP(A308,'75m'!F$5:G$302,2,FALSE)),"",VLOOKUP(A308,'75m'!F$5:G$302,2,FALSE)))</f>
        <v/>
      </c>
      <c r="G308" s="51">
        <f>IF(B308="",0,IF(ISNA(VLOOKUP(A308,'75m'!F$5:J$302,5,FALSE)),0,VLOOKUP(A308,'75m'!F$5:J$302,5,FALSE)))</f>
        <v>0</v>
      </c>
      <c r="H308" s="51" t="str">
        <f>IF(B308="","",IF(ISNA(VLOOKUP(A308,'75m'!F$5:K$302,6,FALSE)),"",VLOOKUP(A308,'75m'!F$5:K$302,6,FALSE)))</f>
        <v/>
      </c>
      <c r="I308" s="53">
        <f>IF(B308="",0,IF(ISNA(VLOOKUP(A308,'600m'!F$5:J$302,2,FALSE)),0,VLOOKUP(A308,'600m'!F$5:J$302,2,FALSE)))</f>
        <v>0</v>
      </c>
      <c r="J308" s="51">
        <f>IF(B308="",0,IF(ISNA(VLOOKUP(A308,'600m'!F$5:J$302,5,FALSE)),0,VLOOKUP(A308,'600m'!F$5:J$302,5,FALSE)))</f>
        <v>0</v>
      </c>
      <c r="K308" s="51" t="str">
        <f>IF(B308="","",IF(ISNA(VLOOKUP(A308,'600m'!F$5:K$302,6,FALSE)),"",VLOOKUP(A308,'600m'!F$5:K$302,6,FALSE)))</f>
        <v/>
      </c>
      <c r="L308" s="51" t="str">
        <f>IF(B308="","",IF(ISNA(VLOOKUP(A308,LongJump!F$5:G$302,2,FALSE)),"",VLOOKUP(A308,LongJump!F$5:G$302,2,FALSE)))</f>
        <v/>
      </c>
      <c r="M308" s="51">
        <f>IF(B308="",0,IF(ISNA(VLOOKUP(A308,LongJump!F$5:J$302,5,FALSE)),0,VLOOKUP(A308,LongJump!F$5:J$302,5,FALSE)))</f>
        <v>0</v>
      </c>
      <c r="N308" s="51">
        <f>IF(B308="",0,IF(ISNA(VLOOKUP(A308,LongJump!F$5:K$302,6,FALSE)),0,VLOOKUP(A308,LongJump!F$5:K$302,6,FALSE)))</f>
        <v>0</v>
      </c>
      <c r="O308" s="51" t="str">
        <f>IF(B308="","",IF(ISNA(VLOOKUP(A308,Vortex!F$5:J$302,2,FALSE)),"",VLOOKUP(A308,Vortex!F$5:J$302,2,FALSE)))</f>
        <v/>
      </c>
      <c r="P308" s="51">
        <f>IF(B308="",0,IF(ISNA(VLOOKUP(A308,Vortex!F$5:J$302,5,FALSE)),0,VLOOKUP(A308,Vortex!F$5:J$302,5,FALSE)))</f>
        <v>0</v>
      </c>
      <c r="Q308" s="51">
        <f t="shared" si="29"/>
        <v>0</v>
      </c>
      <c r="R308" s="51" t="str">
        <f t="shared" si="25"/>
        <v/>
      </c>
      <c r="S308" s="51" t="str">
        <f t="shared" si="26"/>
        <v/>
      </c>
      <c r="T308" s="51" t="str">
        <f t="shared" si="27"/>
        <v/>
      </c>
      <c r="U308" s="51" t="str">
        <f t="shared" si="28"/>
        <v/>
      </c>
      <c r="V308" s="39"/>
    </row>
    <row r="309" spans="1:22" ht="14">
      <c r="A309" s="51" t="str">
        <f>IF(Declarations!B261=0,"",Declarations!B261)</f>
        <v/>
      </c>
      <c r="B309" s="161" t="str">
        <f>IF(ISNA(VLOOKUP(A309,Declarations!B$6:C$293,2,FALSE)),"",IF(VLOOKUP(A309,Declarations!B$6:C$293,2,FALSE)="","",VLOOKUP(A309,Declarations!B$6:C$293,2,FALSE)))</f>
        <v/>
      </c>
      <c r="C309" s="161" t="str">
        <f>IF(ISNA(VLOOKUP(A309,Declarations!B$6:F$293,5,FALSE)),"",IF(VLOOKUP(A309,Declarations!B$6:F$293,5,FALSE)="","",VLOOKUP(A309,Declarations!B$6:F$293,5,FALSE)))</f>
        <v/>
      </c>
      <c r="D309" s="161" t="str">
        <f>IF(ISNA(VLOOKUP(A309,Declarations!B$6:F$293,4,FALSE)),"",IF(VLOOKUP(A309,Declarations!B$6:F$293,4,FALSE)="","",VLOOKUP(A309,Declarations!B$6:F$293,4,FALSE)))</f>
        <v/>
      </c>
      <c r="E309" s="161" t="str">
        <f>IF(ISNA(VLOOKUP(A309,Declarations!B$6:D$293,3,FALSE)),"",IF(VLOOKUP(A309,Declarations!B$6:D$293,3,FALSE)="","",VLOOKUP(A309,Declarations!B$6:D$293,3,FALSE)))</f>
        <v/>
      </c>
      <c r="F309" s="51" t="str">
        <f>IF(B309="","",IF(ISNA(VLOOKUP(A309,'75m'!F$5:G$302,2,FALSE)),"",VLOOKUP(A309,'75m'!F$5:G$302,2,FALSE)))</f>
        <v/>
      </c>
      <c r="G309" s="51">
        <f>IF(B309="",0,IF(ISNA(VLOOKUP(A309,'75m'!F$5:J$302,5,FALSE)),0,VLOOKUP(A309,'75m'!F$5:J$302,5,FALSE)))</f>
        <v>0</v>
      </c>
      <c r="H309" s="51" t="str">
        <f>IF(B309="","",IF(ISNA(VLOOKUP(A309,'75m'!F$5:K$302,6,FALSE)),"",VLOOKUP(A309,'75m'!F$5:K$302,6,FALSE)))</f>
        <v/>
      </c>
      <c r="I309" s="53">
        <f>IF(B309="",0,IF(ISNA(VLOOKUP(A309,'600m'!F$5:J$302,2,FALSE)),0,VLOOKUP(A309,'600m'!F$5:J$302,2,FALSE)))</f>
        <v>0</v>
      </c>
      <c r="J309" s="51">
        <f>IF(B309="",0,IF(ISNA(VLOOKUP(A309,'600m'!F$5:J$302,5,FALSE)),0,VLOOKUP(A309,'600m'!F$5:J$302,5,FALSE)))</f>
        <v>0</v>
      </c>
      <c r="K309" s="51" t="str">
        <f>IF(B309="","",IF(ISNA(VLOOKUP(A309,'600m'!F$5:K$302,6,FALSE)),"",VLOOKUP(A309,'600m'!F$5:K$302,6,FALSE)))</f>
        <v/>
      </c>
      <c r="L309" s="51" t="str">
        <f>IF(B309="","",IF(ISNA(VLOOKUP(A309,LongJump!F$5:G$302,2,FALSE)),"",VLOOKUP(A309,LongJump!F$5:G$302,2,FALSE)))</f>
        <v/>
      </c>
      <c r="M309" s="51">
        <f>IF(B309="",0,IF(ISNA(VLOOKUP(A309,LongJump!F$5:J$302,5,FALSE)),0,VLOOKUP(A309,LongJump!F$5:J$302,5,FALSE)))</f>
        <v>0</v>
      </c>
      <c r="N309" s="51">
        <f>IF(B309="",0,IF(ISNA(VLOOKUP(A309,LongJump!F$5:K$302,6,FALSE)),0,VLOOKUP(A309,LongJump!F$5:K$302,6,FALSE)))</f>
        <v>0</v>
      </c>
      <c r="O309" s="51" t="str">
        <f>IF(B309="","",IF(ISNA(VLOOKUP(A309,Vortex!F$5:J$302,2,FALSE)),"",VLOOKUP(A309,Vortex!F$5:J$302,2,FALSE)))</f>
        <v/>
      </c>
      <c r="P309" s="51">
        <f>IF(B309="",0,IF(ISNA(VLOOKUP(A309,Vortex!F$5:J$302,5,FALSE)),0,VLOOKUP(A309,Vortex!F$5:J$302,5,FALSE)))</f>
        <v>0</v>
      </c>
      <c r="Q309" s="51">
        <f t="shared" si="29"/>
        <v>0</v>
      </c>
      <c r="R309" s="51" t="str">
        <f t="shared" si="25"/>
        <v/>
      </c>
      <c r="S309" s="51" t="str">
        <f t="shared" si="26"/>
        <v/>
      </c>
      <c r="T309" s="51" t="str">
        <f t="shared" si="27"/>
        <v/>
      </c>
      <c r="U309" s="51" t="str">
        <f t="shared" si="28"/>
        <v/>
      </c>
      <c r="V309" s="39"/>
    </row>
    <row r="310" spans="1:22" ht="14">
      <c r="A310" s="51" t="str">
        <f>IF(Declarations!B262=0,"",Declarations!B262)</f>
        <v/>
      </c>
      <c r="B310" s="161" t="str">
        <f>IF(ISNA(VLOOKUP(A310,Declarations!B$6:C$293,2,FALSE)),"",IF(VLOOKUP(A310,Declarations!B$6:C$293,2,FALSE)="","",VLOOKUP(A310,Declarations!B$6:C$293,2,FALSE)))</f>
        <v/>
      </c>
      <c r="C310" s="161" t="str">
        <f>IF(ISNA(VLOOKUP(A310,Declarations!B$6:F$293,5,FALSE)),"",IF(VLOOKUP(A310,Declarations!B$6:F$293,5,FALSE)="","",VLOOKUP(A310,Declarations!B$6:F$293,5,FALSE)))</f>
        <v/>
      </c>
      <c r="D310" s="161" t="str">
        <f>IF(ISNA(VLOOKUP(A310,Declarations!B$6:F$293,4,FALSE)),"",IF(VLOOKUP(A310,Declarations!B$6:F$293,4,FALSE)="","",VLOOKUP(A310,Declarations!B$6:F$293,4,FALSE)))</f>
        <v/>
      </c>
      <c r="E310" s="161" t="str">
        <f>IF(ISNA(VLOOKUP(A310,Declarations!B$6:D$293,3,FALSE)),"",IF(VLOOKUP(A310,Declarations!B$6:D$293,3,FALSE)="","",VLOOKUP(A310,Declarations!B$6:D$293,3,FALSE)))</f>
        <v/>
      </c>
      <c r="F310" s="51" t="str">
        <f>IF(B310="","",IF(ISNA(VLOOKUP(A310,'75m'!F$5:G$302,2,FALSE)),"",VLOOKUP(A310,'75m'!F$5:G$302,2,FALSE)))</f>
        <v/>
      </c>
      <c r="G310" s="51">
        <f>IF(B310="",0,IF(ISNA(VLOOKUP(A310,'75m'!F$5:J$302,5,FALSE)),0,VLOOKUP(A310,'75m'!F$5:J$302,5,FALSE)))</f>
        <v>0</v>
      </c>
      <c r="H310" s="51" t="str">
        <f>IF(B310="","",IF(ISNA(VLOOKUP(A310,'75m'!F$5:K$302,6,FALSE)),"",VLOOKUP(A310,'75m'!F$5:K$302,6,FALSE)))</f>
        <v/>
      </c>
      <c r="I310" s="53">
        <f>IF(B310="",0,IF(ISNA(VLOOKUP(A310,'600m'!F$5:J$302,2,FALSE)),0,VLOOKUP(A310,'600m'!F$5:J$302,2,FALSE)))</f>
        <v>0</v>
      </c>
      <c r="J310" s="51">
        <f>IF(B310="",0,IF(ISNA(VLOOKUP(A310,'600m'!F$5:J$302,5,FALSE)),0,VLOOKUP(A310,'600m'!F$5:J$302,5,FALSE)))</f>
        <v>0</v>
      </c>
      <c r="K310" s="51" t="str">
        <f>IF(B310="","",IF(ISNA(VLOOKUP(A310,'600m'!F$5:K$302,6,FALSE)),"",VLOOKUP(A310,'600m'!F$5:K$302,6,FALSE)))</f>
        <v/>
      </c>
      <c r="L310" s="51" t="str">
        <f>IF(B310="","",IF(ISNA(VLOOKUP(A310,LongJump!F$5:G$302,2,FALSE)),"",VLOOKUP(A310,LongJump!F$5:G$302,2,FALSE)))</f>
        <v/>
      </c>
      <c r="M310" s="51">
        <f>IF(B310="",0,IF(ISNA(VLOOKUP(A310,LongJump!F$5:J$302,5,FALSE)),0,VLOOKUP(A310,LongJump!F$5:J$302,5,FALSE)))</f>
        <v>0</v>
      </c>
      <c r="N310" s="51">
        <f>IF(B310="",0,IF(ISNA(VLOOKUP(A310,LongJump!F$5:K$302,6,FALSE)),0,VLOOKUP(A310,LongJump!F$5:K$302,6,FALSE)))</f>
        <v>0</v>
      </c>
      <c r="O310" s="51" t="str">
        <f>IF(B310="","",IF(ISNA(VLOOKUP(A310,Vortex!F$5:J$302,2,FALSE)),"",VLOOKUP(A310,Vortex!F$5:J$302,2,FALSE)))</f>
        <v/>
      </c>
      <c r="P310" s="51">
        <f>IF(B310="",0,IF(ISNA(VLOOKUP(A310,Vortex!F$5:J$302,5,FALSE)),0,VLOOKUP(A310,Vortex!F$5:J$302,5,FALSE)))</f>
        <v>0</v>
      </c>
      <c r="Q310" s="51">
        <f t="shared" si="29"/>
        <v>0</v>
      </c>
      <c r="R310" s="51" t="str">
        <f t="shared" ref="R310:R341" si="30">IF(OR($Q310=0,$E310&lt;&gt;"U10"),"",COUNTIFS($C$54:$C$341, $C310, $D$54:$D$341, $D310, $E$54:$E$341, $E310, $Q$54:$Q$341,"&gt;"&amp;$Q310)+1)</f>
        <v/>
      </c>
      <c r="S310" s="51" t="str">
        <f t="shared" ref="S310:S341" si="31">IF(OR($Q310=0,$E310&lt;&gt;"U12"),"",COUNTIFS($C$54:$C$341, $C310, $D$54:$D$341, $D310, $E$54:$E$341, $E310, $Q$54:$Q$341,"&gt;"&amp;$Q310)+1)</f>
        <v/>
      </c>
      <c r="T310" s="51" t="str">
        <f t="shared" ref="T310:T341" si="32">IF(OR($Q310=0,$E310&lt;&gt;"U10"),"",COUNTIFS($D$54:$D$341, $D310,$E$54:$E$341,$E310,$Q$54:$Q$341,"&gt;"&amp;$Q310)+1)</f>
        <v/>
      </c>
      <c r="U310" s="51" t="str">
        <f t="shared" ref="U310:U341" si="33">IF(OR($Q310=0,$E310&lt;&gt;"U12"),"",COUNTIFS($D$54:$D$341, $D310,$E$54:$E$341,$E310,$Q$54:$Q$341,"&gt;"&amp;$Q310)+1)</f>
        <v/>
      </c>
      <c r="V310" s="39"/>
    </row>
    <row r="311" spans="1:22" ht="14">
      <c r="A311" s="51" t="str">
        <f>IF(Declarations!B263=0,"",Declarations!B263)</f>
        <v/>
      </c>
      <c r="B311" s="161" t="str">
        <f>IF(ISNA(VLOOKUP(A311,Declarations!B$6:C$293,2,FALSE)),"",IF(VLOOKUP(A311,Declarations!B$6:C$293,2,FALSE)="","",VLOOKUP(A311,Declarations!B$6:C$293,2,FALSE)))</f>
        <v/>
      </c>
      <c r="C311" s="161" t="str">
        <f>IF(ISNA(VLOOKUP(A311,Declarations!B$6:F$293,5,FALSE)),"",IF(VLOOKUP(A311,Declarations!B$6:F$293,5,FALSE)="","",VLOOKUP(A311,Declarations!B$6:F$293,5,FALSE)))</f>
        <v/>
      </c>
      <c r="D311" s="161" t="str">
        <f>IF(ISNA(VLOOKUP(A311,Declarations!B$6:F$293,4,FALSE)),"",IF(VLOOKUP(A311,Declarations!B$6:F$293,4,FALSE)="","",VLOOKUP(A311,Declarations!B$6:F$293,4,FALSE)))</f>
        <v/>
      </c>
      <c r="E311" s="161" t="str">
        <f>IF(ISNA(VLOOKUP(A311,Declarations!B$6:D$293,3,FALSE)),"",IF(VLOOKUP(A311,Declarations!B$6:D$293,3,FALSE)="","",VLOOKUP(A311,Declarations!B$6:D$293,3,FALSE)))</f>
        <v/>
      </c>
      <c r="F311" s="51" t="str">
        <f>IF(B311="","",IF(ISNA(VLOOKUP(A311,'75m'!F$5:G$302,2,FALSE)),"",VLOOKUP(A311,'75m'!F$5:G$302,2,FALSE)))</f>
        <v/>
      </c>
      <c r="G311" s="51">
        <f>IF(B311="",0,IF(ISNA(VLOOKUP(A311,'75m'!F$5:J$302,5,FALSE)),0,VLOOKUP(A311,'75m'!F$5:J$302,5,FALSE)))</f>
        <v>0</v>
      </c>
      <c r="H311" s="51" t="str">
        <f>IF(B311="","",IF(ISNA(VLOOKUP(A311,'75m'!F$5:K$302,6,FALSE)),"",VLOOKUP(A311,'75m'!F$5:K$302,6,FALSE)))</f>
        <v/>
      </c>
      <c r="I311" s="53">
        <f>IF(B311="",0,IF(ISNA(VLOOKUP(A311,'600m'!F$5:J$302,2,FALSE)),0,VLOOKUP(A311,'600m'!F$5:J$302,2,FALSE)))</f>
        <v>0</v>
      </c>
      <c r="J311" s="51">
        <f>IF(B311="",0,IF(ISNA(VLOOKUP(A311,'600m'!F$5:J$302,5,FALSE)),0,VLOOKUP(A311,'600m'!F$5:J$302,5,FALSE)))</f>
        <v>0</v>
      </c>
      <c r="K311" s="51" t="str">
        <f>IF(B311="","",IF(ISNA(VLOOKUP(A311,'600m'!F$5:K$302,6,FALSE)),"",VLOOKUP(A311,'600m'!F$5:K$302,6,FALSE)))</f>
        <v/>
      </c>
      <c r="L311" s="51" t="str">
        <f>IF(B311="","",IF(ISNA(VLOOKUP(A311,LongJump!F$5:G$302,2,FALSE)),"",VLOOKUP(A311,LongJump!F$5:G$302,2,FALSE)))</f>
        <v/>
      </c>
      <c r="M311" s="51">
        <f>IF(B311="",0,IF(ISNA(VLOOKUP(A311,LongJump!F$5:J$302,5,FALSE)),0,VLOOKUP(A311,LongJump!F$5:J$302,5,FALSE)))</f>
        <v>0</v>
      </c>
      <c r="N311" s="51">
        <f>IF(B311="",0,IF(ISNA(VLOOKUP(A311,LongJump!F$5:K$302,6,FALSE)),0,VLOOKUP(A311,LongJump!F$5:K$302,6,FALSE)))</f>
        <v>0</v>
      </c>
      <c r="O311" s="51" t="str">
        <f>IF(B311="","",IF(ISNA(VLOOKUP(A311,Vortex!F$5:J$302,2,FALSE)),"",VLOOKUP(A311,Vortex!F$5:J$302,2,FALSE)))</f>
        <v/>
      </c>
      <c r="P311" s="51">
        <f>IF(B311="",0,IF(ISNA(VLOOKUP(A311,Vortex!F$5:J$302,5,FALSE)),0,VLOOKUP(A311,Vortex!F$5:J$302,5,FALSE)))</f>
        <v>0</v>
      </c>
      <c r="Q311" s="51">
        <f t="shared" ref="Q311:Q341" si="34">G311+J311+M311+P311</f>
        <v>0</v>
      </c>
      <c r="R311" s="51" t="str">
        <f t="shared" si="30"/>
        <v/>
      </c>
      <c r="S311" s="51" t="str">
        <f t="shared" si="31"/>
        <v/>
      </c>
      <c r="T311" s="51" t="str">
        <f t="shared" si="32"/>
        <v/>
      </c>
      <c r="U311" s="51" t="str">
        <f t="shared" si="33"/>
        <v/>
      </c>
      <c r="V311" s="39"/>
    </row>
    <row r="312" spans="1:22" ht="14">
      <c r="A312" s="51" t="str">
        <f>IF(Declarations!B264=0,"",Declarations!B264)</f>
        <v/>
      </c>
      <c r="B312" s="161" t="str">
        <f>IF(ISNA(VLOOKUP(A312,Declarations!B$6:C$293,2,FALSE)),"",IF(VLOOKUP(A312,Declarations!B$6:C$293,2,FALSE)="","",VLOOKUP(A312,Declarations!B$6:C$293,2,FALSE)))</f>
        <v/>
      </c>
      <c r="C312" s="161" t="str">
        <f>IF(ISNA(VLOOKUP(A312,Declarations!B$6:F$293,5,FALSE)),"",IF(VLOOKUP(A312,Declarations!B$6:F$293,5,FALSE)="","",VLOOKUP(A312,Declarations!B$6:F$293,5,FALSE)))</f>
        <v/>
      </c>
      <c r="D312" s="161" t="str">
        <f>IF(ISNA(VLOOKUP(A312,Declarations!B$6:F$293,4,FALSE)),"",IF(VLOOKUP(A312,Declarations!B$6:F$293,4,FALSE)="","",VLOOKUP(A312,Declarations!B$6:F$293,4,FALSE)))</f>
        <v/>
      </c>
      <c r="E312" s="161" t="str">
        <f>IF(ISNA(VLOOKUP(A312,Declarations!B$6:D$293,3,FALSE)),"",IF(VLOOKUP(A312,Declarations!B$6:D$293,3,FALSE)="","",VLOOKUP(A312,Declarations!B$6:D$293,3,FALSE)))</f>
        <v/>
      </c>
      <c r="F312" s="51" t="str">
        <f>IF(B312="","",IF(ISNA(VLOOKUP(A312,'75m'!F$5:G$302,2,FALSE)),"",VLOOKUP(A312,'75m'!F$5:G$302,2,FALSE)))</f>
        <v/>
      </c>
      <c r="G312" s="51">
        <f>IF(B312="",0,IF(ISNA(VLOOKUP(A312,'75m'!F$5:J$302,5,FALSE)),0,VLOOKUP(A312,'75m'!F$5:J$302,5,FALSE)))</f>
        <v>0</v>
      </c>
      <c r="H312" s="51" t="str">
        <f>IF(B312="","",IF(ISNA(VLOOKUP(A312,'75m'!F$5:K$302,6,FALSE)),"",VLOOKUP(A312,'75m'!F$5:K$302,6,FALSE)))</f>
        <v/>
      </c>
      <c r="I312" s="53">
        <f>IF(B312="",0,IF(ISNA(VLOOKUP(A312,'600m'!F$5:J$302,2,FALSE)),0,VLOOKUP(A312,'600m'!F$5:J$302,2,FALSE)))</f>
        <v>0</v>
      </c>
      <c r="J312" s="51">
        <f>IF(B312="",0,IF(ISNA(VLOOKUP(A312,'600m'!F$5:J$302,5,FALSE)),0,VLOOKUP(A312,'600m'!F$5:J$302,5,FALSE)))</f>
        <v>0</v>
      </c>
      <c r="K312" s="51" t="str">
        <f>IF(B312="","",IF(ISNA(VLOOKUP(A312,'600m'!F$5:K$302,6,FALSE)),"",VLOOKUP(A312,'600m'!F$5:K$302,6,FALSE)))</f>
        <v/>
      </c>
      <c r="L312" s="51" t="str">
        <f>IF(B312="","",IF(ISNA(VLOOKUP(A312,LongJump!F$5:G$302,2,FALSE)),"",VLOOKUP(A312,LongJump!F$5:G$302,2,FALSE)))</f>
        <v/>
      </c>
      <c r="M312" s="51">
        <f>IF(B312="",0,IF(ISNA(VLOOKUP(A312,LongJump!F$5:J$302,5,FALSE)),0,VLOOKUP(A312,LongJump!F$5:J$302,5,FALSE)))</f>
        <v>0</v>
      </c>
      <c r="N312" s="51">
        <f>IF(B312="",0,IF(ISNA(VLOOKUP(A312,LongJump!F$5:K$302,6,FALSE)),0,VLOOKUP(A312,LongJump!F$5:K$302,6,FALSE)))</f>
        <v>0</v>
      </c>
      <c r="O312" s="51" t="str">
        <f>IF(B312="","",IF(ISNA(VLOOKUP(A312,Vortex!F$5:J$302,2,FALSE)),"",VLOOKUP(A312,Vortex!F$5:J$302,2,FALSE)))</f>
        <v/>
      </c>
      <c r="P312" s="51">
        <f>IF(B312="",0,IF(ISNA(VLOOKUP(A312,Vortex!F$5:J$302,5,FALSE)),0,VLOOKUP(A312,Vortex!F$5:J$302,5,FALSE)))</f>
        <v>0</v>
      </c>
      <c r="Q312" s="51">
        <f t="shared" si="34"/>
        <v>0</v>
      </c>
      <c r="R312" s="51" t="str">
        <f t="shared" si="30"/>
        <v/>
      </c>
      <c r="S312" s="51" t="str">
        <f t="shared" si="31"/>
        <v/>
      </c>
      <c r="T312" s="51" t="str">
        <f t="shared" si="32"/>
        <v/>
      </c>
      <c r="U312" s="51" t="str">
        <f t="shared" si="33"/>
        <v/>
      </c>
      <c r="V312" s="39"/>
    </row>
    <row r="313" spans="1:22" ht="14">
      <c r="A313" s="51" t="str">
        <f>IF(Declarations!B265=0,"",Declarations!B265)</f>
        <v/>
      </c>
      <c r="B313" s="161" t="str">
        <f>IF(ISNA(VLOOKUP(A313,Declarations!B$6:C$293,2,FALSE)),"",IF(VLOOKUP(A313,Declarations!B$6:C$293,2,FALSE)="","",VLOOKUP(A313,Declarations!B$6:C$293,2,FALSE)))</f>
        <v/>
      </c>
      <c r="C313" s="161" t="str">
        <f>IF(ISNA(VLOOKUP(A313,Declarations!B$6:F$293,5,FALSE)),"",IF(VLOOKUP(A313,Declarations!B$6:F$293,5,FALSE)="","",VLOOKUP(A313,Declarations!B$6:F$293,5,FALSE)))</f>
        <v/>
      </c>
      <c r="D313" s="161" t="str">
        <f>IF(ISNA(VLOOKUP(A313,Declarations!B$6:F$293,4,FALSE)),"",IF(VLOOKUP(A313,Declarations!B$6:F$293,4,FALSE)="","",VLOOKUP(A313,Declarations!B$6:F$293,4,FALSE)))</f>
        <v/>
      </c>
      <c r="E313" s="161" t="str">
        <f>IF(ISNA(VLOOKUP(A313,Declarations!B$6:D$293,3,FALSE)),"",IF(VLOOKUP(A313,Declarations!B$6:D$293,3,FALSE)="","",VLOOKUP(A313,Declarations!B$6:D$293,3,FALSE)))</f>
        <v/>
      </c>
      <c r="F313" s="51" t="str">
        <f>IF(B313="","",IF(ISNA(VLOOKUP(A313,'75m'!F$5:G$302,2,FALSE)),"",VLOOKUP(A313,'75m'!F$5:G$302,2,FALSE)))</f>
        <v/>
      </c>
      <c r="G313" s="51">
        <f>IF(B313="",0,IF(ISNA(VLOOKUP(A313,'75m'!F$5:J$302,5,FALSE)),0,VLOOKUP(A313,'75m'!F$5:J$302,5,FALSE)))</f>
        <v>0</v>
      </c>
      <c r="H313" s="51" t="str">
        <f>IF(B313="","",IF(ISNA(VLOOKUP(A313,'75m'!F$5:K$302,6,FALSE)),"",VLOOKUP(A313,'75m'!F$5:K$302,6,FALSE)))</f>
        <v/>
      </c>
      <c r="I313" s="53">
        <f>IF(B313="",0,IF(ISNA(VLOOKUP(A313,'600m'!F$5:J$302,2,FALSE)),0,VLOOKUP(A313,'600m'!F$5:J$302,2,FALSE)))</f>
        <v>0</v>
      </c>
      <c r="J313" s="51">
        <f>IF(B313="",0,IF(ISNA(VLOOKUP(A313,'600m'!F$5:J$302,5,FALSE)),0,VLOOKUP(A313,'600m'!F$5:J$302,5,FALSE)))</f>
        <v>0</v>
      </c>
      <c r="K313" s="51" t="str">
        <f>IF(B313="","",IF(ISNA(VLOOKUP(A313,'600m'!F$5:K$302,6,FALSE)),"",VLOOKUP(A313,'600m'!F$5:K$302,6,FALSE)))</f>
        <v/>
      </c>
      <c r="L313" s="51" t="str">
        <f>IF(B313="","",IF(ISNA(VLOOKUP(A313,LongJump!F$5:G$302,2,FALSE)),"",VLOOKUP(A313,LongJump!F$5:G$302,2,FALSE)))</f>
        <v/>
      </c>
      <c r="M313" s="51">
        <f>IF(B313="",0,IF(ISNA(VLOOKUP(A313,LongJump!F$5:J$302,5,FALSE)),0,VLOOKUP(A313,LongJump!F$5:J$302,5,FALSE)))</f>
        <v>0</v>
      </c>
      <c r="N313" s="51">
        <f>IF(B313="",0,IF(ISNA(VLOOKUP(A313,LongJump!F$5:K$302,6,FALSE)),0,VLOOKUP(A313,LongJump!F$5:K$302,6,FALSE)))</f>
        <v>0</v>
      </c>
      <c r="O313" s="51" t="str">
        <f>IF(B313="","",IF(ISNA(VLOOKUP(A313,Vortex!F$5:J$302,2,FALSE)),"",VLOOKUP(A313,Vortex!F$5:J$302,2,FALSE)))</f>
        <v/>
      </c>
      <c r="P313" s="51">
        <f>IF(B313="",0,IF(ISNA(VLOOKUP(A313,Vortex!F$5:J$302,5,FALSE)),0,VLOOKUP(A313,Vortex!F$5:J$302,5,FALSE)))</f>
        <v>0</v>
      </c>
      <c r="Q313" s="51">
        <f t="shared" si="34"/>
        <v>0</v>
      </c>
      <c r="R313" s="51" t="str">
        <f t="shared" si="30"/>
        <v/>
      </c>
      <c r="S313" s="51" t="str">
        <f t="shared" si="31"/>
        <v/>
      </c>
      <c r="T313" s="51" t="str">
        <f t="shared" si="32"/>
        <v/>
      </c>
      <c r="U313" s="51" t="str">
        <f t="shared" si="33"/>
        <v/>
      </c>
      <c r="V313" s="39"/>
    </row>
    <row r="314" spans="1:22" ht="14">
      <c r="A314" s="51" t="str">
        <f>IF(Declarations!B266=0,"",Declarations!B266)</f>
        <v/>
      </c>
      <c r="B314" s="161" t="str">
        <f>IF(ISNA(VLOOKUP(A314,Declarations!B$6:C$293,2,FALSE)),"",IF(VLOOKUP(A314,Declarations!B$6:C$293,2,FALSE)="","",VLOOKUP(A314,Declarations!B$6:C$293,2,FALSE)))</f>
        <v/>
      </c>
      <c r="C314" s="161" t="str">
        <f>IF(ISNA(VLOOKUP(A314,Declarations!B$6:F$293,5,FALSE)),"",IF(VLOOKUP(A314,Declarations!B$6:F$293,5,FALSE)="","",VLOOKUP(A314,Declarations!B$6:F$293,5,FALSE)))</f>
        <v/>
      </c>
      <c r="D314" s="161" t="str">
        <f>IF(ISNA(VLOOKUP(A314,Declarations!B$6:F$293,4,FALSE)),"",IF(VLOOKUP(A314,Declarations!B$6:F$293,4,FALSE)="","",VLOOKUP(A314,Declarations!B$6:F$293,4,FALSE)))</f>
        <v/>
      </c>
      <c r="E314" s="161" t="str">
        <f>IF(ISNA(VLOOKUP(A314,Declarations!B$6:D$293,3,FALSE)),"",IF(VLOOKUP(A314,Declarations!B$6:D$293,3,FALSE)="","",VLOOKUP(A314,Declarations!B$6:D$293,3,FALSE)))</f>
        <v/>
      </c>
      <c r="F314" s="51" t="str">
        <f>IF(B314="","",IF(ISNA(VLOOKUP(A314,'75m'!F$5:G$302,2,FALSE)),"",VLOOKUP(A314,'75m'!F$5:G$302,2,FALSE)))</f>
        <v/>
      </c>
      <c r="G314" s="51">
        <f>IF(B314="",0,IF(ISNA(VLOOKUP(A314,'75m'!F$5:J$302,5,FALSE)),0,VLOOKUP(A314,'75m'!F$5:J$302,5,FALSE)))</f>
        <v>0</v>
      </c>
      <c r="H314" s="51" t="str">
        <f>IF(B314="","",IF(ISNA(VLOOKUP(A314,'75m'!F$5:K$302,6,FALSE)),"",VLOOKUP(A314,'75m'!F$5:K$302,6,FALSE)))</f>
        <v/>
      </c>
      <c r="I314" s="53">
        <f>IF(B314="",0,IF(ISNA(VLOOKUP(A314,'600m'!F$5:J$302,2,FALSE)),0,VLOOKUP(A314,'600m'!F$5:J$302,2,FALSE)))</f>
        <v>0</v>
      </c>
      <c r="J314" s="51">
        <f>IF(B314="",0,IF(ISNA(VLOOKUP(A314,'600m'!F$5:J$302,5,FALSE)),0,VLOOKUP(A314,'600m'!F$5:J$302,5,FALSE)))</f>
        <v>0</v>
      </c>
      <c r="K314" s="51" t="str">
        <f>IF(B314="","",IF(ISNA(VLOOKUP(A314,'600m'!F$5:K$302,6,FALSE)),"",VLOOKUP(A314,'600m'!F$5:K$302,6,FALSE)))</f>
        <v/>
      </c>
      <c r="L314" s="51" t="str">
        <f>IF(B314="","",IF(ISNA(VLOOKUP(A314,LongJump!F$5:G$302,2,FALSE)),"",VLOOKUP(A314,LongJump!F$5:G$302,2,FALSE)))</f>
        <v/>
      </c>
      <c r="M314" s="51">
        <f>IF(B314="",0,IF(ISNA(VLOOKUP(A314,LongJump!F$5:J$302,5,FALSE)),0,VLOOKUP(A314,LongJump!F$5:J$302,5,FALSE)))</f>
        <v>0</v>
      </c>
      <c r="N314" s="51">
        <f>IF(B314="",0,IF(ISNA(VLOOKUP(A314,LongJump!F$5:K$302,6,FALSE)),0,VLOOKUP(A314,LongJump!F$5:K$302,6,FALSE)))</f>
        <v>0</v>
      </c>
      <c r="O314" s="51" t="str">
        <f>IF(B314="","",IF(ISNA(VLOOKUP(A314,Vortex!F$5:J$302,2,FALSE)),"",VLOOKUP(A314,Vortex!F$5:J$302,2,FALSE)))</f>
        <v/>
      </c>
      <c r="P314" s="51">
        <f>IF(B314="",0,IF(ISNA(VLOOKUP(A314,Vortex!F$5:J$302,5,FALSE)),0,VLOOKUP(A314,Vortex!F$5:J$302,5,FALSE)))</f>
        <v>0</v>
      </c>
      <c r="Q314" s="51">
        <f t="shared" si="34"/>
        <v>0</v>
      </c>
      <c r="R314" s="51" t="str">
        <f t="shared" si="30"/>
        <v/>
      </c>
      <c r="S314" s="51" t="str">
        <f t="shared" si="31"/>
        <v/>
      </c>
      <c r="T314" s="51" t="str">
        <f t="shared" si="32"/>
        <v/>
      </c>
      <c r="U314" s="51" t="str">
        <f t="shared" si="33"/>
        <v/>
      </c>
      <c r="V314" s="39"/>
    </row>
    <row r="315" spans="1:22" ht="14">
      <c r="A315" s="51" t="str">
        <f>IF(Declarations!B267=0,"",Declarations!B267)</f>
        <v/>
      </c>
      <c r="B315" s="161" t="str">
        <f>IF(ISNA(VLOOKUP(A315,Declarations!B$6:C$293,2,FALSE)),"",IF(VLOOKUP(A315,Declarations!B$6:C$293,2,FALSE)="","",VLOOKUP(A315,Declarations!B$6:C$293,2,FALSE)))</f>
        <v/>
      </c>
      <c r="C315" s="161" t="str">
        <f>IF(ISNA(VLOOKUP(A315,Declarations!B$6:F$293,5,FALSE)),"",IF(VLOOKUP(A315,Declarations!B$6:F$293,5,FALSE)="","",VLOOKUP(A315,Declarations!B$6:F$293,5,FALSE)))</f>
        <v/>
      </c>
      <c r="D315" s="161" t="str">
        <f>IF(ISNA(VLOOKUP(A315,Declarations!B$6:F$293,4,FALSE)),"",IF(VLOOKUP(A315,Declarations!B$6:F$293,4,FALSE)="","",VLOOKUP(A315,Declarations!B$6:F$293,4,FALSE)))</f>
        <v/>
      </c>
      <c r="E315" s="161" t="str">
        <f>IF(ISNA(VLOOKUP(A315,Declarations!B$6:D$293,3,FALSE)),"",IF(VLOOKUP(A315,Declarations!B$6:D$293,3,FALSE)="","",VLOOKUP(A315,Declarations!B$6:D$293,3,FALSE)))</f>
        <v/>
      </c>
      <c r="F315" s="51" t="str">
        <f>IF(B315="","",IF(ISNA(VLOOKUP(A315,'75m'!F$5:G$302,2,FALSE)),"",VLOOKUP(A315,'75m'!F$5:G$302,2,FALSE)))</f>
        <v/>
      </c>
      <c r="G315" s="51">
        <f>IF(B315="",0,IF(ISNA(VLOOKUP(A315,'75m'!F$5:J$302,5,FALSE)),0,VLOOKUP(A315,'75m'!F$5:J$302,5,FALSE)))</f>
        <v>0</v>
      </c>
      <c r="H315" s="51" t="str">
        <f>IF(B315="","",IF(ISNA(VLOOKUP(A315,'75m'!F$5:K$302,6,FALSE)),"",VLOOKUP(A315,'75m'!F$5:K$302,6,FALSE)))</f>
        <v/>
      </c>
      <c r="I315" s="53">
        <f>IF(B315="",0,IF(ISNA(VLOOKUP(A315,'600m'!F$5:J$302,2,FALSE)),0,VLOOKUP(A315,'600m'!F$5:J$302,2,FALSE)))</f>
        <v>0</v>
      </c>
      <c r="J315" s="51">
        <f>IF(B315="",0,IF(ISNA(VLOOKUP(A315,'600m'!F$5:J$302,5,FALSE)),0,VLOOKUP(A315,'600m'!F$5:J$302,5,FALSE)))</f>
        <v>0</v>
      </c>
      <c r="K315" s="51" t="str">
        <f>IF(B315="","",IF(ISNA(VLOOKUP(A315,'600m'!F$5:K$302,6,FALSE)),"",VLOOKUP(A315,'600m'!F$5:K$302,6,FALSE)))</f>
        <v/>
      </c>
      <c r="L315" s="51" t="str">
        <f>IF(B315="","",IF(ISNA(VLOOKUP(A315,LongJump!F$5:G$302,2,FALSE)),"",VLOOKUP(A315,LongJump!F$5:G$302,2,FALSE)))</f>
        <v/>
      </c>
      <c r="M315" s="51">
        <f>IF(B315="",0,IF(ISNA(VLOOKUP(A315,LongJump!F$5:J$302,5,FALSE)),0,VLOOKUP(A315,LongJump!F$5:J$302,5,FALSE)))</f>
        <v>0</v>
      </c>
      <c r="N315" s="51">
        <f>IF(B315="",0,IF(ISNA(VLOOKUP(A315,LongJump!F$5:K$302,6,FALSE)),0,VLOOKUP(A315,LongJump!F$5:K$302,6,FALSE)))</f>
        <v>0</v>
      </c>
      <c r="O315" s="51" t="str">
        <f>IF(B315="","",IF(ISNA(VLOOKUP(A315,Vortex!F$5:J$302,2,FALSE)),"",VLOOKUP(A315,Vortex!F$5:J$302,2,FALSE)))</f>
        <v/>
      </c>
      <c r="P315" s="51">
        <f>IF(B315="",0,IF(ISNA(VLOOKUP(A315,Vortex!F$5:J$302,5,FALSE)),0,VLOOKUP(A315,Vortex!F$5:J$302,5,FALSE)))</f>
        <v>0</v>
      </c>
      <c r="Q315" s="51">
        <f t="shared" si="34"/>
        <v>0</v>
      </c>
      <c r="R315" s="51" t="str">
        <f t="shared" si="30"/>
        <v/>
      </c>
      <c r="S315" s="51" t="str">
        <f t="shared" si="31"/>
        <v/>
      </c>
      <c r="T315" s="51" t="str">
        <f t="shared" si="32"/>
        <v/>
      </c>
      <c r="U315" s="51" t="str">
        <f t="shared" si="33"/>
        <v/>
      </c>
      <c r="V315" s="39"/>
    </row>
    <row r="316" spans="1:22" ht="14">
      <c r="A316" s="51" t="str">
        <f>IF(Declarations!B268=0,"",Declarations!B268)</f>
        <v/>
      </c>
      <c r="B316" s="161" t="str">
        <f>IF(ISNA(VLOOKUP(A316,Declarations!B$6:C$293,2,FALSE)),"",IF(VLOOKUP(A316,Declarations!B$6:C$293,2,FALSE)="","",VLOOKUP(A316,Declarations!B$6:C$293,2,FALSE)))</f>
        <v/>
      </c>
      <c r="C316" s="161" t="str">
        <f>IF(ISNA(VLOOKUP(A316,Declarations!B$6:F$293,5,FALSE)),"",IF(VLOOKUP(A316,Declarations!B$6:F$293,5,FALSE)="","",VLOOKUP(A316,Declarations!B$6:F$293,5,FALSE)))</f>
        <v/>
      </c>
      <c r="D316" s="161" t="str">
        <f>IF(ISNA(VLOOKUP(A316,Declarations!B$6:F$293,4,FALSE)),"",IF(VLOOKUP(A316,Declarations!B$6:F$293,4,FALSE)="","",VLOOKUP(A316,Declarations!B$6:F$293,4,FALSE)))</f>
        <v/>
      </c>
      <c r="E316" s="161" t="str">
        <f>IF(ISNA(VLOOKUP(A316,Declarations!B$6:D$293,3,FALSE)),"",IF(VLOOKUP(A316,Declarations!B$6:D$293,3,FALSE)="","",VLOOKUP(A316,Declarations!B$6:D$293,3,FALSE)))</f>
        <v/>
      </c>
      <c r="F316" s="51" t="str">
        <f>IF(B316="","",IF(ISNA(VLOOKUP(A316,'75m'!F$5:G$302,2,FALSE)),"",VLOOKUP(A316,'75m'!F$5:G$302,2,FALSE)))</f>
        <v/>
      </c>
      <c r="G316" s="51">
        <f>IF(B316="",0,IF(ISNA(VLOOKUP(A316,'75m'!F$5:J$302,5,FALSE)),0,VLOOKUP(A316,'75m'!F$5:J$302,5,FALSE)))</f>
        <v>0</v>
      </c>
      <c r="H316" s="51" t="str">
        <f>IF(B316="","",IF(ISNA(VLOOKUP(A316,'75m'!F$5:K$302,6,FALSE)),"",VLOOKUP(A316,'75m'!F$5:K$302,6,FALSE)))</f>
        <v/>
      </c>
      <c r="I316" s="53">
        <f>IF(B316="",0,IF(ISNA(VLOOKUP(A316,'600m'!F$5:J$302,2,FALSE)),0,VLOOKUP(A316,'600m'!F$5:J$302,2,FALSE)))</f>
        <v>0</v>
      </c>
      <c r="J316" s="51">
        <f>IF(B316="",0,IF(ISNA(VLOOKUP(A316,'600m'!F$5:J$302,5,FALSE)),0,VLOOKUP(A316,'600m'!F$5:J$302,5,FALSE)))</f>
        <v>0</v>
      </c>
      <c r="K316" s="51" t="str">
        <f>IF(B316="","",IF(ISNA(VLOOKUP(A316,'600m'!F$5:K$302,6,FALSE)),"",VLOOKUP(A316,'600m'!F$5:K$302,6,FALSE)))</f>
        <v/>
      </c>
      <c r="L316" s="51" t="str">
        <f>IF(B316="","",IF(ISNA(VLOOKUP(A316,LongJump!F$5:G$302,2,FALSE)),"",VLOOKUP(A316,LongJump!F$5:G$302,2,FALSE)))</f>
        <v/>
      </c>
      <c r="M316" s="51">
        <f>IF(B316="",0,IF(ISNA(VLOOKUP(A316,LongJump!F$5:J$302,5,FALSE)),0,VLOOKUP(A316,LongJump!F$5:J$302,5,FALSE)))</f>
        <v>0</v>
      </c>
      <c r="N316" s="51">
        <f>IF(B316="",0,IF(ISNA(VLOOKUP(A316,LongJump!F$5:K$302,6,FALSE)),0,VLOOKUP(A316,LongJump!F$5:K$302,6,FALSE)))</f>
        <v>0</v>
      </c>
      <c r="O316" s="51" t="str">
        <f>IF(B316="","",IF(ISNA(VLOOKUP(A316,Vortex!F$5:J$302,2,FALSE)),"",VLOOKUP(A316,Vortex!F$5:J$302,2,FALSE)))</f>
        <v/>
      </c>
      <c r="P316" s="51">
        <f>IF(B316="",0,IF(ISNA(VLOOKUP(A316,Vortex!F$5:J$302,5,FALSE)),0,VLOOKUP(A316,Vortex!F$5:J$302,5,FALSE)))</f>
        <v>0</v>
      </c>
      <c r="Q316" s="51">
        <f t="shared" si="34"/>
        <v>0</v>
      </c>
      <c r="R316" s="51" t="str">
        <f t="shared" si="30"/>
        <v/>
      </c>
      <c r="S316" s="51" t="str">
        <f t="shared" si="31"/>
        <v/>
      </c>
      <c r="T316" s="51" t="str">
        <f t="shared" si="32"/>
        <v/>
      </c>
      <c r="U316" s="51" t="str">
        <f t="shared" si="33"/>
        <v/>
      </c>
      <c r="V316" s="39"/>
    </row>
    <row r="317" spans="1:22" ht="14">
      <c r="A317" s="51" t="str">
        <f>IF(Declarations!B269=0,"",Declarations!B269)</f>
        <v/>
      </c>
      <c r="B317" s="161" t="str">
        <f>IF(ISNA(VLOOKUP(A317,Declarations!B$6:C$293,2,FALSE)),"",IF(VLOOKUP(A317,Declarations!B$6:C$293,2,FALSE)="","",VLOOKUP(A317,Declarations!B$6:C$293,2,FALSE)))</f>
        <v/>
      </c>
      <c r="C317" s="161" t="str">
        <f>IF(ISNA(VLOOKUP(A317,Declarations!B$6:F$293,5,FALSE)),"",IF(VLOOKUP(A317,Declarations!B$6:F$293,5,FALSE)="","",VLOOKUP(A317,Declarations!B$6:F$293,5,FALSE)))</f>
        <v/>
      </c>
      <c r="D317" s="161" t="str">
        <f>IF(ISNA(VLOOKUP(A317,Declarations!B$6:F$293,4,FALSE)),"",IF(VLOOKUP(A317,Declarations!B$6:F$293,4,FALSE)="","",VLOOKUP(A317,Declarations!B$6:F$293,4,FALSE)))</f>
        <v/>
      </c>
      <c r="E317" s="161" t="str">
        <f>IF(ISNA(VLOOKUP(A317,Declarations!B$6:D$293,3,FALSE)),"",IF(VLOOKUP(A317,Declarations!B$6:D$293,3,FALSE)="","",VLOOKUP(A317,Declarations!B$6:D$293,3,FALSE)))</f>
        <v/>
      </c>
      <c r="F317" s="51" t="str">
        <f>IF(B317="","",IF(ISNA(VLOOKUP(A317,'75m'!F$5:G$302,2,FALSE)),"",VLOOKUP(A317,'75m'!F$5:G$302,2,FALSE)))</f>
        <v/>
      </c>
      <c r="G317" s="51">
        <f>IF(B317="",0,IF(ISNA(VLOOKUP(A317,'75m'!F$5:J$302,5,FALSE)),0,VLOOKUP(A317,'75m'!F$5:J$302,5,FALSE)))</f>
        <v>0</v>
      </c>
      <c r="H317" s="51" t="str">
        <f>IF(B317="","",IF(ISNA(VLOOKUP(A317,'75m'!F$5:K$302,6,FALSE)),"",VLOOKUP(A317,'75m'!F$5:K$302,6,FALSE)))</f>
        <v/>
      </c>
      <c r="I317" s="53">
        <f>IF(B317="",0,IF(ISNA(VLOOKUP(A317,'600m'!F$5:J$302,2,FALSE)),0,VLOOKUP(A317,'600m'!F$5:J$302,2,FALSE)))</f>
        <v>0</v>
      </c>
      <c r="J317" s="51">
        <f>IF(B317="",0,IF(ISNA(VLOOKUP(A317,'600m'!F$5:J$302,5,FALSE)),0,VLOOKUP(A317,'600m'!F$5:J$302,5,FALSE)))</f>
        <v>0</v>
      </c>
      <c r="K317" s="51" t="str">
        <f>IF(B317="","",IF(ISNA(VLOOKUP(A317,'600m'!F$5:K$302,6,FALSE)),"",VLOOKUP(A317,'600m'!F$5:K$302,6,FALSE)))</f>
        <v/>
      </c>
      <c r="L317" s="51" t="str">
        <f>IF(B317="","",IF(ISNA(VLOOKUP(A317,LongJump!F$5:G$302,2,FALSE)),"",VLOOKUP(A317,LongJump!F$5:G$302,2,FALSE)))</f>
        <v/>
      </c>
      <c r="M317" s="51">
        <f>IF(B317="",0,IF(ISNA(VLOOKUP(A317,LongJump!F$5:J$302,5,FALSE)),0,VLOOKUP(A317,LongJump!F$5:J$302,5,FALSE)))</f>
        <v>0</v>
      </c>
      <c r="N317" s="51">
        <f>IF(B317="",0,IF(ISNA(VLOOKUP(A317,LongJump!F$5:K$302,6,FALSE)),0,VLOOKUP(A317,LongJump!F$5:K$302,6,FALSE)))</f>
        <v>0</v>
      </c>
      <c r="O317" s="51" t="str">
        <f>IF(B317="","",IF(ISNA(VLOOKUP(A317,Vortex!F$5:J$302,2,FALSE)),"",VLOOKUP(A317,Vortex!F$5:J$302,2,FALSE)))</f>
        <v/>
      </c>
      <c r="P317" s="51">
        <f>IF(B317="",0,IF(ISNA(VLOOKUP(A317,Vortex!F$5:J$302,5,FALSE)),0,VLOOKUP(A317,Vortex!F$5:J$302,5,FALSE)))</f>
        <v>0</v>
      </c>
      <c r="Q317" s="51">
        <f t="shared" si="34"/>
        <v>0</v>
      </c>
      <c r="R317" s="51" t="str">
        <f t="shared" si="30"/>
        <v/>
      </c>
      <c r="S317" s="51" t="str">
        <f t="shared" si="31"/>
        <v/>
      </c>
      <c r="T317" s="51" t="str">
        <f t="shared" si="32"/>
        <v/>
      </c>
      <c r="U317" s="51" t="str">
        <f t="shared" si="33"/>
        <v/>
      </c>
      <c r="V317" s="39"/>
    </row>
    <row r="318" spans="1:22" ht="14">
      <c r="A318" s="51" t="str">
        <f>IF(Declarations!B270=0,"",Declarations!B270)</f>
        <v/>
      </c>
      <c r="B318" s="161" t="str">
        <f>IF(ISNA(VLOOKUP(A318,Declarations!B$6:C$293,2,FALSE)),"",IF(VLOOKUP(A318,Declarations!B$6:C$293,2,FALSE)="","",VLOOKUP(A318,Declarations!B$6:C$293,2,FALSE)))</f>
        <v/>
      </c>
      <c r="C318" s="161" t="str">
        <f>IF(ISNA(VLOOKUP(A318,Declarations!B$6:F$293,5,FALSE)),"",IF(VLOOKUP(A318,Declarations!B$6:F$293,5,FALSE)="","",VLOOKUP(A318,Declarations!B$6:F$293,5,FALSE)))</f>
        <v/>
      </c>
      <c r="D318" s="161" t="str">
        <f>IF(ISNA(VLOOKUP(A318,Declarations!B$6:F$293,4,FALSE)),"",IF(VLOOKUP(A318,Declarations!B$6:F$293,4,FALSE)="","",VLOOKUP(A318,Declarations!B$6:F$293,4,FALSE)))</f>
        <v/>
      </c>
      <c r="E318" s="161" t="str">
        <f>IF(ISNA(VLOOKUP(A318,Declarations!B$6:D$293,3,FALSE)),"",IF(VLOOKUP(A318,Declarations!B$6:D$293,3,FALSE)="","",VLOOKUP(A318,Declarations!B$6:D$293,3,FALSE)))</f>
        <v/>
      </c>
      <c r="F318" s="51" t="str">
        <f>IF(B318="","",IF(ISNA(VLOOKUP(A318,'75m'!F$5:G$302,2,FALSE)),"",VLOOKUP(A318,'75m'!F$5:G$302,2,FALSE)))</f>
        <v/>
      </c>
      <c r="G318" s="51">
        <f>IF(B318="",0,IF(ISNA(VLOOKUP(A318,'75m'!F$5:J$302,5,FALSE)),0,VLOOKUP(A318,'75m'!F$5:J$302,5,FALSE)))</f>
        <v>0</v>
      </c>
      <c r="H318" s="51" t="str">
        <f>IF(B318="","",IF(ISNA(VLOOKUP(A318,'75m'!F$5:K$302,6,FALSE)),"",VLOOKUP(A318,'75m'!F$5:K$302,6,FALSE)))</f>
        <v/>
      </c>
      <c r="I318" s="53">
        <f>IF(B318="",0,IF(ISNA(VLOOKUP(A318,'600m'!F$5:J$302,2,FALSE)),0,VLOOKUP(A318,'600m'!F$5:J$302,2,FALSE)))</f>
        <v>0</v>
      </c>
      <c r="J318" s="51">
        <f>IF(B318="",0,IF(ISNA(VLOOKUP(A318,'600m'!F$5:J$302,5,FALSE)),0,VLOOKUP(A318,'600m'!F$5:J$302,5,FALSE)))</f>
        <v>0</v>
      </c>
      <c r="K318" s="51" t="str">
        <f>IF(B318="","",IF(ISNA(VLOOKUP(A318,'600m'!F$5:K$302,6,FALSE)),"",VLOOKUP(A318,'600m'!F$5:K$302,6,FALSE)))</f>
        <v/>
      </c>
      <c r="L318" s="51" t="str">
        <f>IF(B318="","",IF(ISNA(VLOOKUP(A318,LongJump!F$5:G$302,2,FALSE)),"",VLOOKUP(A318,LongJump!F$5:G$302,2,FALSE)))</f>
        <v/>
      </c>
      <c r="M318" s="51">
        <f>IF(B318="",0,IF(ISNA(VLOOKUP(A318,LongJump!F$5:J$302,5,FALSE)),0,VLOOKUP(A318,LongJump!F$5:J$302,5,FALSE)))</f>
        <v>0</v>
      </c>
      <c r="N318" s="51">
        <f>IF(B318="",0,IF(ISNA(VLOOKUP(A318,LongJump!F$5:K$302,6,FALSE)),0,VLOOKUP(A318,LongJump!F$5:K$302,6,FALSE)))</f>
        <v>0</v>
      </c>
      <c r="O318" s="51" t="str">
        <f>IF(B318="","",IF(ISNA(VLOOKUP(A318,Vortex!F$5:J$302,2,FALSE)),"",VLOOKUP(A318,Vortex!F$5:J$302,2,FALSE)))</f>
        <v/>
      </c>
      <c r="P318" s="51">
        <f>IF(B318="",0,IF(ISNA(VLOOKUP(A318,Vortex!F$5:J$302,5,FALSE)),0,VLOOKUP(A318,Vortex!F$5:J$302,5,FALSE)))</f>
        <v>0</v>
      </c>
      <c r="Q318" s="51">
        <f t="shared" si="34"/>
        <v>0</v>
      </c>
      <c r="R318" s="51" t="str">
        <f t="shared" si="30"/>
        <v/>
      </c>
      <c r="S318" s="51" t="str">
        <f t="shared" si="31"/>
        <v/>
      </c>
      <c r="T318" s="51" t="str">
        <f t="shared" si="32"/>
        <v/>
      </c>
      <c r="U318" s="51" t="str">
        <f t="shared" si="33"/>
        <v/>
      </c>
      <c r="V318" s="39"/>
    </row>
    <row r="319" spans="1:22" ht="14">
      <c r="A319" s="51" t="str">
        <f>IF(Declarations!B271=0,"",Declarations!B271)</f>
        <v/>
      </c>
      <c r="B319" s="161" t="str">
        <f>IF(ISNA(VLOOKUP(A319,Declarations!B$6:C$293,2,FALSE)),"",IF(VLOOKUP(A319,Declarations!B$6:C$293,2,FALSE)="","",VLOOKUP(A319,Declarations!B$6:C$293,2,FALSE)))</f>
        <v/>
      </c>
      <c r="C319" s="161" t="str">
        <f>IF(ISNA(VLOOKUP(A319,Declarations!B$6:F$293,5,FALSE)),"",IF(VLOOKUP(A319,Declarations!B$6:F$293,5,FALSE)="","",VLOOKUP(A319,Declarations!B$6:F$293,5,FALSE)))</f>
        <v/>
      </c>
      <c r="D319" s="161" t="str">
        <f>IF(ISNA(VLOOKUP(A319,Declarations!B$6:F$293,4,FALSE)),"",IF(VLOOKUP(A319,Declarations!B$6:F$293,4,FALSE)="","",VLOOKUP(A319,Declarations!B$6:F$293,4,FALSE)))</f>
        <v/>
      </c>
      <c r="E319" s="161" t="str">
        <f>IF(ISNA(VLOOKUP(A319,Declarations!B$6:D$293,3,FALSE)),"",IF(VLOOKUP(A319,Declarations!B$6:D$293,3,FALSE)="","",VLOOKUP(A319,Declarations!B$6:D$293,3,FALSE)))</f>
        <v/>
      </c>
      <c r="F319" s="51" t="str">
        <f>IF(B319="","",IF(ISNA(VLOOKUP(A319,'75m'!F$5:G$302,2,FALSE)),"",VLOOKUP(A319,'75m'!F$5:G$302,2,FALSE)))</f>
        <v/>
      </c>
      <c r="G319" s="51">
        <f>IF(B319="",0,IF(ISNA(VLOOKUP(A319,'75m'!F$5:J$302,5,FALSE)),0,VLOOKUP(A319,'75m'!F$5:J$302,5,FALSE)))</f>
        <v>0</v>
      </c>
      <c r="H319" s="51" t="str">
        <f>IF(B319="","",IF(ISNA(VLOOKUP(A319,'75m'!F$5:K$302,6,FALSE)),"",VLOOKUP(A319,'75m'!F$5:K$302,6,FALSE)))</f>
        <v/>
      </c>
      <c r="I319" s="53">
        <f>IF(B319="",0,IF(ISNA(VLOOKUP(A319,'600m'!F$5:J$302,2,FALSE)),0,VLOOKUP(A319,'600m'!F$5:J$302,2,FALSE)))</f>
        <v>0</v>
      </c>
      <c r="J319" s="51">
        <f>IF(B319="",0,IF(ISNA(VLOOKUP(A319,'600m'!F$5:J$302,5,FALSE)),0,VLOOKUP(A319,'600m'!F$5:J$302,5,FALSE)))</f>
        <v>0</v>
      </c>
      <c r="K319" s="51" t="str">
        <f>IF(B319="","",IF(ISNA(VLOOKUP(A319,'600m'!F$5:K$302,6,FALSE)),"",VLOOKUP(A319,'600m'!F$5:K$302,6,FALSE)))</f>
        <v/>
      </c>
      <c r="L319" s="51" t="str">
        <f>IF(B319="","",IF(ISNA(VLOOKUP(A319,LongJump!F$5:G$302,2,FALSE)),"",VLOOKUP(A319,LongJump!F$5:G$302,2,FALSE)))</f>
        <v/>
      </c>
      <c r="M319" s="51">
        <f>IF(B319="",0,IF(ISNA(VLOOKUP(A319,LongJump!F$5:J$302,5,FALSE)),0,VLOOKUP(A319,LongJump!F$5:J$302,5,FALSE)))</f>
        <v>0</v>
      </c>
      <c r="N319" s="51">
        <f>IF(B319="",0,IF(ISNA(VLOOKUP(A319,LongJump!F$5:K$302,6,FALSE)),0,VLOOKUP(A319,LongJump!F$5:K$302,6,FALSE)))</f>
        <v>0</v>
      </c>
      <c r="O319" s="51" t="str">
        <f>IF(B319="","",IF(ISNA(VLOOKUP(A319,Vortex!F$5:J$302,2,FALSE)),"",VLOOKUP(A319,Vortex!F$5:J$302,2,FALSE)))</f>
        <v/>
      </c>
      <c r="P319" s="51">
        <f>IF(B319="",0,IF(ISNA(VLOOKUP(A319,Vortex!F$5:J$302,5,FALSE)),0,VLOOKUP(A319,Vortex!F$5:J$302,5,FALSE)))</f>
        <v>0</v>
      </c>
      <c r="Q319" s="51">
        <f t="shared" si="34"/>
        <v>0</v>
      </c>
      <c r="R319" s="51" t="str">
        <f t="shared" si="30"/>
        <v/>
      </c>
      <c r="S319" s="51" t="str">
        <f t="shared" si="31"/>
        <v/>
      </c>
      <c r="T319" s="51" t="str">
        <f t="shared" si="32"/>
        <v/>
      </c>
      <c r="U319" s="51" t="str">
        <f t="shared" si="33"/>
        <v/>
      </c>
      <c r="V319" s="39"/>
    </row>
    <row r="320" spans="1:22" ht="14">
      <c r="A320" s="51" t="str">
        <f>IF(Declarations!B272=0,"",Declarations!B272)</f>
        <v/>
      </c>
      <c r="B320" s="161" t="str">
        <f>IF(ISNA(VLOOKUP(A320,Declarations!B$6:C$293,2,FALSE)),"",IF(VLOOKUP(A320,Declarations!B$6:C$293,2,FALSE)="","",VLOOKUP(A320,Declarations!B$6:C$293,2,FALSE)))</f>
        <v/>
      </c>
      <c r="C320" s="161" t="str">
        <f>IF(ISNA(VLOOKUP(A320,Declarations!B$6:F$293,5,FALSE)),"",IF(VLOOKUP(A320,Declarations!B$6:F$293,5,FALSE)="","",VLOOKUP(A320,Declarations!B$6:F$293,5,FALSE)))</f>
        <v/>
      </c>
      <c r="D320" s="161" t="str">
        <f>IF(ISNA(VLOOKUP(A320,Declarations!B$6:F$293,4,FALSE)),"",IF(VLOOKUP(A320,Declarations!B$6:F$293,4,FALSE)="","",VLOOKUP(A320,Declarations!B$6:F$293,4,FALSE)))</f>
        <v/>
      </c>
      <c r="E320" s="161" t="str">
        <f>IF(ISNA(VLOOKUP(A320,Declarations!B$6:D$293,3,FALSE)),"",IF(VLOOKUP(A320,Declarations!B$6:D$293,3,FALSE)="","",VLOOKUP(A320,Declarations!B$6:D$293,3,FALSE)))</f>
        <v/>
      </c>
      <c r="F320" s="51" t="str">
        <f>IF(B320="","",IF(ISNA(VLOOKUP(A320,'75m'!F$5:G$302,2,FALSE)),"",VLOOKUP(A320,'75m'!F$5:G$302,2,FALSE)))</f>
        <v/>
      </c>
      <c r="G320" s="51">
        <f>IF(B320="",0,IF(ISNA(VLOOKUP(A320,'75m'!F$5:J$302,5,FALSE)),0,VLOOKUP(A320,'75m'!F$5:J$302,5,FALSE)))</f>
        <v>0</v>
      </c>
      <c r="H320" s="51" t="str">
        <f>IF(B320="","",IF(ISNA(VLOOKUP(A320,'75m'!F$5:K$302,6,FALSE)),"",VLOOKUP(A320,'75m'!F$5:K$302,6,FALSE)))</f>
        <v/>
      </c>
      <c r="I320" s="53">
        <f>IF(B320="",0,IF(ISNA(VLOOKUP(A320,'600m'!F$5:J$302,2,FALSE)),0,VLOOKUP(A320,'600m'!F$5:J$302,2,FALSE)))</f>
        <v>0</v>
      </c>
      <c r="J320" s="51">
        <f>IF(B320="",0,IF(ISNA(VLOOKUP(A320,'600m'!F$5:J$302,5,FALSE)),0,VLOOKUP(A320,'600m'!F$5:J$302,5,FALSE)))</f>
        <v>0</v>
      </c>
      <c r="K320" s="51" t="str">
        <f>IF(B320="","",IF(ISNA(VLOOKUP(A320,'600m'!F$5:K$302,6,FALSE)),"",VLOOKUP(A320,'600m'!F$5:K$302,6,FALSE)))</f>
        <v/>
      </c>
      <c r="L320" s="51" t="str">
        <f>IF(B320="","",IF(ISNA(VLOOKUP(A320,LongJump!F$5:G$302,2,FALSE)),"",VLOOKUP(A320,LongJump!F$5:G$302,2,FALSE)))</f>
        <v/>
      </c>
      <c r="M320" s="51">
        <f>IF(B320="",0,IF(ISNA(VLOOKUP(A320,LongJump!F$5:J$302,5,FALSE)),0,VLOOKUP(A320,LongJump!F$5:J$302,5,FALSE)))</f>
        <v>0</v>
      </c>
      <c r="N320" s="51">
        <f>IF(B320="",0,IF(ISNA(VLOOKUP(A320,LongJump!F$5:K$302,6,FALSE)),0,VLOOKUP(A320,LongJump!F$5:K$302,6,FALSE)))</f>
        <v>0</v>
      </c>
      <c r="O320" s="51" t="str">
        <f>IF(B320="","",IF(ISNA(VLOOKUP(A320,Vortex!F$5:J$302,2,FALSE)),"",VLOOKUP(A320,Vortex!F$5:J$302,2,FALSE)))</f>
        <v/>
      </c>
      <c r="P320" s="51">
        <f>IF(B320="",0,IF(ISNA(VLOOKUP(A320,Vortex!F$5:J$302,5,FALSE)),0,VLOOKUP(A320,Vortex!F$5:J$302,5,FALSE)))</f>
        <v>0</v>
      </c>
      <c r="Q320" s="51">
        <f t="shared" si="34"/>
        <v>0</v>
      </c>
      <c r="R320" s="51" t="str">
        <f t="shared" si="30"/>
        <v/>
      </c>
      <c r="S320" s="51" t="str">
        <f t="shared" si="31"/>
        <v/>
      </c>
      <c r="T320" s="51" t="str">
        <f t="shared" si="32"/>
        <v/>
      </c>
      <c r="U320" s="51" t="str">
        <f t="shared" si="33"/>
        <v/>
      </c>
      <c r="V320" s="39"/>
    </row>
    <row r="321" spans="1:41" ht="14">
      <c r="A321" s="51" t="str">
        <f>IF(Declarations!B273=0,"",Declarations!B273)</f>
        <v/>
      </c>
      <c r="B321" s="161" t="str">
        <f>IF(ISNA(VLOOKUP(A321,Declarations!B$6:C$293,2,FALSE)),"",IF(VLOOKUP(A321,Declarations!B$6:C$293,2,FALSE)="","",VLOOKUP(A321,Declarations!B$6:C$293,2,FALSE)))</f>
        <v/>
      </c>
      <c r="C321" s="161" t="str">
        <f>IF(ISNA(VLOOKUP(A321,Declarations!B$6:F$293,5,FALSE)),"",IF(VLOOKUP(A321,Declarations!B$6:F$293,5,FALSE)="","",VLOOKUP(A321,Declarations!B$6:F$293,5,FALSE)))</f>
        <v/>
      </c>
      <c r="D321" s="161" t="str">
        <f>IF(ISNA(VLOOKUP(A321,Declarations!B$6:F$293,4,FALSE)),"",IF(VLOOKUP(A321,Declarations!B$6:F$293,4,FALSE)="","",VLOOKUP(A321,Declarations!B$6:F$293,4,FALSE)))</f>
        <v/>
      </c>
      <c r="E321" s="161" t="str">
        <f>IF(ISNA(VLOOKUP(A321,Declarations!B$6:D$293,3,FALSE)),"",IF(VLOOKUP(A321,Declarations!B$6:D$293,3,FALSE)="","",VLOOKUP(A321,Declarations!B$6:D$293,3,FALSE)))</f>
        <v/>
      </c>
      <c r="F321" s="51" t="str">
        <f>IF(B321="","",IF(ISNA(VLOOKUP(A321,'75m'!F$5:G$302,2,FALSE)),"",VLOOKUP(A321,'75m'!F$5:G$302,2,FALSE)))</f>
        <v/>
      </c>
      <c r="G321" s="51">
        <f>IF(B321="",0,IF(ISNA(VLOOKUP(A321,'75m'!F$5:J$302,5,FALSE)),0,VLOOKUP(A321,'75m'!F$5:J$302,5,FALSE)))</f>
        <v>0</v>
      </c>
      <c r="H321" s="51" t="str">
        <f>IF(B321="","",IF(ISNA(VLOOKUP(A321,'75m'!F$5:K$302,6,FALSE)),"",VLOOKUP(A321,'75m'!F$5:K$302,6,FALSE)))</f>
        <v/>
      </c>
      <c r="I321" s="53">
        <f>IF(B321="",0,IF(ISNA(VLOOKUP(A321,'600m'!F$5:J$302,2,FALSE)),0,VLOOKUP(A321,'600m'!F$5:J$302,2,FALSE)))</f>
        <v>0</v>
      </c>
      <c r="J321" s="51">
        <f>IF(B321="",0,IF(ISNA(VLOOKUP(A321,'600m'!F$5:J$302,5,FALSE)),0,VLOOKUP(A321,'600m'!F$5:J$302,5,FALSE)))</f>
        <v>0</v>
      </c>
      <c r="K321" s="51" t="str">
        <f>IF(B321="","",IF(ISNA(VLOOKUP(A321,'600m'!F$5:K$302,6,FALSE)),"",VLOOKUP(A321,'600m'!F$5:K$302,6,FALSE)))</f>
        <v/>
      </c>
      <c r="L321" s="51" t="str">
        <f>IF(B321="","",IF(ISNA(VLOOKUP(A321,LongJump!F$5:G$302,2,FALSE)),"",VLOOKUP(A321,LongJump!F$5:G$302,2,FALSE)))</f>
        <v/>
      </c>
      <c r="M321" s="51">
        <f>IF(B321="",0,IF(ISNA(VLOOKUP(A321,LongJump!F$5:J$302,5,FALSE)),0,VLOOKUP(A321,LongJump!F$5:J$302,5,FALSE)))</f>
        <v>0</v>
      </c>
      <c r="N321" s="51">
        <f>IF(B321="",0,IF(ISNA(VLOOKUP(A321,LongJump!F$5:K$302,6,FALSE)),0,VLOOKUP(A321,LongJump!F$5:K$302,6,FALSE)))</f>
        <v>0</v>
      </c>
      <c r="O321" s="51" t="str">
        <f>IF(B321="","",IF(ISNA(VLOOKUP(A321,Vortex!F$5:J$302,2,FALSE)),"",VLOOKUP(A321,Vortex!F$5:J$302,2,FALSE)))</f>
        <v/>
      </c>
      <c r="P321" s="51">
        <f>IF(B321="",0,IF(ISNA(VLOOKUP(A321,Vortex!F$5:J$302,5,FALSE)),0,VLOOKUP(A321,Vortex!F$5:J$302,5,FALSE)))</f>
        <v>0</v>
      </c>
      <c r="Q321" s="51">
        <f t="shared" si="34"/>
        <v>0</v>
      </c>
      <c r="R321" s="51" t="str">
        <f t="shared" si="30"/>
        <v/>
      </c>
      <c r="S321" s="51" t="str">
        <f t="shared" si="31"/>
        <v/>
      </c>
      <c r="T321" s="51" t="str">
        <f t="shared" si="32"/>
        <v/>
      </c>
      <c r="U321" s="51" t="str">
        <f t="shared" si="33"/>
        <v/>
      </c>
      <c r="V321" s="39"/>
    </row>
    <row r="322" spans="1:41" ht="14">
      <c r="A322" s="51" t="str">
        <f>IF(Declarations!B274=0,"",Declarations!B274)</f>
        <v/>
      </c>
      <c r="B322" s="161" t="str">
        <f>IF(ISNA(VLOOKUP(A322,Declarations!B$6:C$293,2,FALSE)),"",IF(VLOOKUP(A322,Declarations!B$6:C$293,2,FALSE)="","",VLOOKUP(A322,Declarations!B$6:C$293,2,FALSE)))</f>
        <v/>
      </c>
      <c r="C322" s="161" t="str">
        <f>IF(ISNA(VLOOKUP(A322,Declarations!B$6:F$293,5,FALSE)),"",IF(VLOOKUP(A322,Declarations!B$6:F$293,5,FALSE)="","",VLOOKUP(A322,Declarations!B$6:F$293,5,FALSE)))</f>
        <v/>
      </c>
      <c r="D322" s="161" t="str">
        <f>IF(ISNA(VLOOKUP(A322,Declarations!B$6:F$293,4,FALSE)),"",IF(VLOOKUP(A322,Declarations!B$6:F$293,4,FALSE)="","",VLOOKUP(A322,Declarations!B$6:F$293,4,FALSE)))</f>
        <v/>
      </c>
      <c r="E322" s="161" t="str">
        <f>IF(ISNA(VLOOKUP(A322,Declarations!B$6:D$293,3,FALSE)),"",IF(VLOOKUP(A322,Declarations!B$6:D$293,3,FALSE)="","",VLOOKUP(A322,Declarations!B$6:D$293,3,FALSE)))</f>
        <v/>
      </c>
      <c r="F322" s="51" t="str">
        <f>IF(B322="","",IF(ISNA(VLOOKUP(A322,'75m'!F$5:G$302,2,FALSE)),"",VLOOKUP(A322,'75m'!F$5:G$302,2,FALSE)))</f>
        <v/>
      </c>
      <c r="G322" s="51">
        <f>IF(B322="",0,IF(ISNA(VLOOKUP(A322,'75m'!F$5:J$302,5,FALSE)),0,VLOOKUP(A322,'75m'!F$5:J$302,5,FALSE)))</f>
        <v>0</v>
      </c>
      <c r="H322" s="51" t="str">
        <f>IF(B322="","",IF(ISNA(VLOOKUP(A322,'75m'!F$5:K$302,6,FALSE)),"",VLOOKUP(A322,'75m'!F$5:K$302,6,FALSE)))</f>
        <v/>
      </c>
      <c r="I322" s="53">
        <f>IF(B322="",0,IF(ISNA(VLOOKUP(A322,'600m'!F$5:J$302,2,FALSE)),0,VLOOKUP(A322,'600m'!F$5:J$302,2,FALSE)))</f>
        <v>0</v>
      </c>
      <c r="J322" s="51">
        <f>IF(B322="",0,IF(ISNA(VLOOKUP(A322,'600m'!F$5:J$302,5,FALSE)),0,VLOOKUP(A322,'600m'!F$5:J$302,5,FALSE)))</f>
        <v>0</v>
      </c>
      <c r="K322" s="51" t="str">
        <f>IF(B322="","",IF(ISNA(VLOOKUP(A322,'600m'!F$5:K$302,6,FALSE)),"",VLOOKUP(A322,'600m'!F$5:K$302,6,FALSE)))</f>
        <v/>
      </c>
      <c r="L322" s="51" t="str">
        <f>IF(B322="","",IF(ISNA(VLOOKUP(A322,LongJump!F$5:G$302,2,FALSE)),"",VLOOKUP(A322,LongJump!F$5:G$302,2,FALSE)))</f>
        <v/>
      </c>
      <c r="M322" s="51">
        <f>IF(B322="",0,IF(ISNA(VLOOKUP(A322,LongJump!F$5:J$302,5,FALSE)),0,VLOOKUP(A322,LongJump!F$5:J$302,5,FALSE)))</f>
        <v>0</v>
      </c>
      <c r="N322" s="51">
        <f>IF(B322="",0,IF(ISNA(VLOOKUP(A322,LongJump!F$5:K$302,6,FALSE)),0,VLOOKUP(A322,LongJump!F$5:K$302,6,FALSE)))</f>
        <v>0</v>
      </c>
      <c r="O322" s="51" t="str">
        <f>IF(B322="","",IF(ISNA(VLOOKUP(A322,Vortex!F$5:J$302,2,FALSE)),"",VLOOKUP(A322,Vortex!F$5:J$302,2,FALSE)))</f>
        <v/>
      </c>
      <c r="P322" s="51">
        <f>IF(B322="",0,IF(ISNA(VLOOKUP(A322,Vortex!F$5:J$302,5,FALSE)),0,VLOOKUP(A322,Vortex!F$5:J$302,5,FALSE)))</f>
        <v>0</v>
      </c>
      <c r="Q322" s="51">
        <f t="shared" si="34"/>
        <v>0</v>
      </c>
      <c r="R322" s="51" t="str">
        <f t="shared" si="30"/>
        <v/>
      </c>
      <c r="S322" s="51" t="str">
        <f t="shared" si="31"/>
        <v/>
      </c>
      <c r="T322" s="51" t="str">
        <f t="shared" si="32"/>
        <v/>
      </c>
      <c r="U322" s="51" t="str">
        <f t="shared" si="33"/>
        <v/>
      </c>
      <c r="V322" s="39"/>
    </row>
    <row r="323" spans="1:41">
      <c r="A323" s="51" t="str">
        <f>IF(Declarations!B275=0,"",Declarations!B275)</f>
        <v/>
      </c>
      <c r="B323" s="161" t="str">
        <f>IF(ISNA(VLOOKUP(A323,Declarations!B$6:C$293,2,FALSE)),"",IF(VLOOKUP(A323,Declarations!B$6:C$293,2,FALSE)="","",VLOOKUP(A323,Declarations!B$6:C$293,2,FALSE)))</f>
        <v/>
      </c>
      <c r="C323" s="161" t="str">
        <f>IF(ISNA(VLOOKUP(A323,Declarations!B$6:F$293,5,FALSE)),"",IF(VLOOKUP(A323,Declarations!B$6:F$293,5,FALSE)="","",VLOOKUP(A323,Declarations!B$6:F$293,5,FALSE)))</f>
        <v/>
      </c>
      <c r="D323" s="161" t="str">
        <f>IF(ISNA(VLOOKUP(A323,Declarations!B$6:F$293,4,FALSE)),"",IF(VLOOKUP(A323,Declarations!B$6:F$293,4,FALSE)="","",VLOOKUP(A323,Declarations!B$6:F$293,4,FALSE)))</f>
        <v/>
      </c>
      <c r="E323" s="161" t="str">
        <f>IF(ISNA(VLOOKUP(A323,Declarations!B$6:D$293,3,FALSE)),"",IF(VLOOKUP(A323,Declarations!B$6:D$293,3,FALSE)="","",VLOOKUP(A323,Declarations!B$6:D$293,3,FALSE)))</f>
        <v/>
      </c>
      <c r="F323" s="51" t="str">
        <f>IF(B323="","",IF(ISNA(VLOOKUP(A323,'75m'!F$5:G$302,2,FALSE)),"",VLOOKUP(A323,'75m'!F$5:G$302,2,FALSE)))</f>
        <v/>
      </c>
      <c r="G323" s="51">
        <f>IF(B323="",0,IF(ISNA(VLOOKUP(A323,'75m'!F$5:J$302,5,FALSE)),0,VLOOKUP(A323,'75m'!F$5:J$302,5,FALSE)))</f>
        <v>0</v>
      </c>
      <c r="H323" s="51" t="str">
        <f>IF(B323="","",IF(ISNA(VLOOKUP(A323,'75m'!F$5:K$302,6,FALSE)),"",VLOOKUP(A323,'75m'!F$5:K$302,6,FALSE)))</f>
        <v/>
      </c>
      <c r="I323" s="53">
        <f>IF(B323="",0,IF(ISNA(VLOOKUP(A323,'600m'!F$5:J$302,2,FALSE)),0,VLOOKUP(A323,'600m'!F$5:J$302,2,FALSE)))</f>
        <v>0</v>
      </c>
      <c r="J323" s="51">
        <f>IF(B323="",0,IF(ISNA(VLOOKUP(A323,'600m'!F$5:J$302,5,FALSE)),0,VLOOKUP(A323,'600m'!F$5:J$302,5,FALSE)))</f>
        <v>0</v>
      </c>
      <c r="K323" s="51" t="str">
        <f>IF(B323="","",IF(ISNA(VLOOKUP(A323,'600m'!F$5:K$302,6,FALSE)),"",VLOOKUP(A323,'600m'!F$5:K$302,6,FALSE)))</f>
        <v/>
      </c>
      <c r="L323" s="51" t="str">
        <f>IF(B323="","",IF(ISNA(VLOOKUP(A323,LongJump!F$5:G$302,2,FALSE)),"",VLOOKUP(A323,LongJump!F$5:G$302,2,FALSE)))</f>
        <v/>
      </c>
      <c r="M323" s="51">
        <f>IF(B323="",0,IF(ISNA(VLOOKUP(A323,LongJump!F$5:J$302,5,FALSE)),0,VLOOKUP(A323,LongJump!F$5:J$302,5,FALSE)))</f>
        <v>0</v>
      </c>
      <c r="N323" s="51">
        <f>IF(B323="",0,IF(ISNA(VLOOKUP(A323,LongJump!F$5:K$302,6,FALSE)),0,VLOOKUP(A323,LongJump!F$5:K$302,6,FALSE)))</f>
        <v>0</v>
      </c>
      <c r="O323" s="51" t="str">
        <f>IF(B323="","",IF(ISNA(VLOOKUP(A323,Vortex!F$5:J$302,2,FALSE)),"",VLOOKUP(A323,Vortex!F$5:J$302,2,FALSE)))</f>
        <v/>
      </c>
      <c r="P323" s="51">
        <f>IF(B323="",0,IF(ISNA(VLOOKUP(A323,Vortex!F$5:J$302,5,FALSE)),0,VLOOKUP(A323,Vortex!F$5:J$302,5,FALSE)))</f>
        <v>0</v>
      </c>
      <c r="Q323" s="51">
        <f t="shared" si="34"/>
        <v>0</v>
      </c>
      <c r="R323" s="51" t="str">
        <f t="shared" si="30"/>
        <v/>
      </c>
      <c r="S323" s="51" t="str">
        <f t="shared" si="31"/>
        <v/>
      </c>
      <c r="T323" s="51" t="str">
        <f t="shared" si="32"/>
        <v/>
      </c>
      <c r="U323" s="51" t="str">
        <f t="shared" si="33"/>
        <v/>
      </c>
    </row>
    <row r="324" spans="1:41">
      <c r="A324" s="51" t="str">
        <f>IF(Declarations!B276=0,"",Declarations!B276)</f>
        <v/>
      </c>
      <c r="B324" s="161" t="str">
        <f>IF(ISNA(VLOOKUP(A324,Declarations!B$6:C$293,2,FALSE)),"",IF(VLOOKUP(A324,Declarations!B$6:C$293,2,FALSE)="","",VLOOKUP(A324,Declarations!B$6:C$293,2,FALSE)))</f>
        <v/>
      </c>
      <c r="C324" s="161" t="str">
        <f>IF(ISNA(VLOOKUP(A324,Declarations!B$6:F$293,5,FALSE)),"",IF(VLOOKUP(A324,Declarations!B$6:F$293,5,FALSE)="","",VLOOKUP(A324,Declarations!B$6:F$293,5,FALSE)))</f>
        <v/>
      </c>
      <c r="D324" s="161" t="str">
        <f>IF(ISNA(VLOOKUP(A324,Declarations!B$6:F$293,4,FALSE)),"",IF(VLOOKUP(A324,Declarations!B$6:F$293,4,FALSE)="","",VLOOKUP(A324,Declarations!B$6:F$293,4,FALSE)))</f>
        <v/>
      </c>
      <c r="E324" s="161" t="str">
        <f>IF(ISNA(VLOOKUP(A324,Declarations!B$6:D$293,3,FALSE)),"",IF(VLOOKUP(A324,Declarations!B$6:D$293,3,FALSE)="","",VLOOKUP(A324,Declarations!B$6:D$293,3,FALSE)))</f>
        <v/>
      </c>
      <c r="F324" s="51" t="str">
        <f>IF(B324="","",IF(ISNA(VLOOKUP(A324,'75m'!F$5:G$302,2,FALSE)),"",VLOOKUP(A324,'75m'!F$5:G$302,2,FALSE)))</f>
        <v/>
      </c>
      <c r="G324" s="51">
        <f>IF(B324="",0,IF(ISNA(VLOOKUP(A324,'75m'!F$5:J$302,5,FALSE)),0,VLOOKUP(A324,'75m'!F$5:J$302,5,FALSE)))</f>
        <v>0</v>
      </c>
      <c r="H324" s="51" t="str">
        <f>IF(B324="","",IF(ISNA(VLOOKUP(A324,'75m'!F$5:K$302,6,FALSE)),"",VLOOKUP(A324,'75m'!F$5:K$302,6,FALSE)))</f>
        <v/>
      </c>
      <c r="I324" s="53">
        <f>IF(B324="",0,IF(ISNA(VLOOKUP(A324,'600m'!F$5:J$302,2,FALSE)),0,VLOOKUP(A324,'600m'!F$5:J$302,2,FALSE)))</f>
        <v>0</v>
      </c>
      <c r="J324" s="51">
        <f>IF(B324="",0,IF(ISNA(VLOOKUP(A324,'600m'!F$5:J$302,5,FALSE)),0,VLOOKUP(A324,'600m'!F$5:J$302,5,FALSE)))</f>
        <v>0</v>
      </c>
      <c r="K324" s="51" t="str">
        <f>IF(B324="","",IF(ISNA(VLOOKUP(A324,'600m'!F$5:K$302,6,FALSE)),"",VLOOKUP(A324,'600m'!F$5:K$302,6,FALSE)))</f>
        <v/>
      </c>
      <c r="L324" s="51" t="str">
        <f>IF(B324="","",IF(ISNA(VLOOKUP(A324,LongJump!F$5:G$302,2,FALSE)),"",VLOOKUP(A324,LongJump!F$5:G$302,2,FALSE)))</f>
        <v/>
      </c>
      <c r="M324" s="51">
        <f>IF(B324="",0,IF(ISNA(VLOOKUP(A324,LongJump!F$5:J$302,5,FALSE)),0,VLOOKUP(A324,LongJump!F$5:J$302,5,FALSE)))</f>
        <v>0</v>
      </c>
      <c r="N324" s="51">
        <f>IF(B324="",0,IF(ISNA(VLOOKUP(A324,LongJump!F$5:K$302,6,FALSE)),0,VLOOKUP(A324,LongJump!F$5:K$302,6,FALSE)))</f>
        <v>0</v>
      </c>
      <c r="O324" s="51" t="str">
        <f>IF(B324="","",IF(ISNA(VLOOKUP(A324,Vortex!F$5:J$302,2,FALSE)),"",VLOOKUP(A324,Vortex!F$5:J$302,2,FALSE)))</f>
        <v/>
      </c>
      <c r="P324" s="51">
        <f>IF(B324="",0,IF(ISNA(VLOOKUP(A324,Vortex!F$5:J$302,5,FALSE)),0,VLOOKUP(A324,Vortex!F$5:J$302,5,FALSE)))</f>
        <v>0</v>
      </c>
      <c r="Q324" s="51">
        <f t="shared" si="34"/>
        <v>0</v>
      </c>
      <c r="R324" s="51" t="str">
        <f t="shared" si="30"/>
        <v/>
      </c>
      <c r="S324" s="51" t="str">
        <f t="shared" si="31"/>
        <v/>
      </c>
      <c r="T324" s="51" t="str">
        <f t="shared" si="32"/>
        <v/>
      </c>
      <c r="U324" s="51" t="str">
        <f t="shared" si="33"/>
        <v/>
      </c>
    </row>
    <row r="325" spans="1:41">
      <c r="A325" s="51" t="str">
        <f>IF(Declarations!B277=0,"",Declarations!B277)</f>
        <v/>
      </c>
      <c r="B325" s="161" t="str">
        <f>IF(ISNA(VLOOKUP(A325,Declarations!B$6:C$293,2,FALSE)),"",IF(VLOOKUP(A325,Declarations!B$6:C$293,2,FALSE)="","",VLOOKUP(A325,Declarations!B$6:C$293,2,FALSE)))</f>
        <v/>
      </c>
      <c r="C325" s="161" t="str">
        <f>IF(ISNA(VLOOKUP(A325,Declarations!B$6:F$293,5,FALSE)),"",IF(VLOOKUP(A325,Declarations!B$6:F$293,5,FALSE)="","",VLOOKUP(A325,Declarations!B$6:F$293,5,FALSE)))</f>
        <v/>
      </c>
      <c r="D325" s="161" t="str">
        <f>IF(ISNA(VLOOKUP(A325,Declarations!B$6:F$293,4,FALSE)),"",IF(VLOOKUP(A325,Declarations!B$6:F$293,4,FALSE)="","",VLOOKUP(A325,Declarations!B$6:F$293,4,FALSE)))</f>
        <v/>
      </c>
      <c r="E325" s="161" t="str">
        <f>IF(ISNA(VLOOKUP(A325,Declarations!B$6:D$293,3,FALSE)),"",IF(VLOOKUP(A325,Declarations!B$6:D$293,3,FALSE)="","",VLOOKUP(A325,Declarations!B$6:D$293,3,FALSE)))</f>
        <v/>
      </c>
      <c r="F325" s="51" t="str">
        <f>IF(B325="","",IF(ISNA(VLOOKUP(A325,'75m'!F$5:G$302,2,FALSE)),"",VLOOKUP(A325,'75m'!F$5:G$302,2,FALSE)))</f>
        <v/>
      </c>
      <c r="G325" s="51">
        <f>IF(B325="",0,IF(ISNA(VLOOKUP(A325,'75m'!F$5:J$302,5,FALSE)),0,VLOOKUP(A325,'75m'!F$5:J$302,5,FALSE)))</f>
        <v>0</v>
      </c>
      <c r="H325" s="51" t="str">
        <f>IF(B325="","",IF(ISNA(VLOOKUP(A325,'75m'!F$5:K$302,6,FALSE)),"",VLOOKUP(A325,'75m'!F$5:K$302,6,FALSE)))</f>
        <v/>
      </c>
      <c r="I325" s="53">
        <f>IF(B325="",0,IF(ISNA(VLOOKUP(A325,'600m'!F$5:J$302,2,FALSE)),0,VLOOKUP(A325,'600m'!F$5:J$302,2,FALSE)))</f>
        <v>0</v>
      </c>
      <c r="J325" s="51">
        <f>IF(B325="",0,IF(ISNA(VLOOKUP(A325,'600m'!F$5:J$302,5,FALSE)),0,VLOOKUP(A325,'600m'!F$5:J$302,5,FALSE)))</f>
        <v>0</v>
      </c>
      <c r="K325" s="51" t="str">
        <f>IF(B325="","",IF(ISNA(VLOOKUP(A325,'600m'!F$5:K$302,6,FALSE)),"",VLOOKUP(A325,'600m'!F$5:K$302,6,FALSE)))</f>
        <v/>
      </c>
      <c r="L325" s="51" t="str">
        <f>IF(B325="","",IF(ISNA(VLOOKUP(A325,LongJump!F$5:G$302,2,FALSE)),"",VLOOKUP(A325,LongJump!F$5:G$302,2,FALSE)))</f>
        <v/>
      </c>
      <c r="M325" s="51">
        <f>IF(B325="",0,IF(ISNA(VLOOKUP(A325,LongJump!F$5:J$302,5,FALSE)),0,VLOOKUP(A325,LongJump!F$5:J$302,5,FALSE)))</f>
        <v>0</v>
      </c>
      <c r="N325" s="51">
        <f>IF(B325="",0,IF(ISNA(VLOOKUP(A325,LongJump!F$5:K$302,6,FALSE)),0,VLOOKUP(A325,LongJump!F$5:K$302,6,FALSE)))</f>
        <v>0</v>
      </c>
      <c r="O325" s="51" t="str">
        <f>IF(B325="","",IF(ISNA(VLOOKUP(A325,Vortex!F$5:J$302,2,FALSE)),"",VLOOKUP(A325,Vortex!F$5:J$302,2,FALSE)))</f>
        <v/>
      </c>
      <c r="P325" s="51">
        <f>IF(B325="",0,IF(ISNA(VLOOKUP(A325,Vortex!F$5:J$302,5,FALSE)),0,VLOOKUP(A325,Vortex!F$5:J$302,5,FALSE)))</f>
        <v>0</v>
      </c>
      <c r="Q325" s="51">
        <f t="shared" si="34"/>
        <v>0</v>
      </c>
      <c r="R325" s="51" t="str">
        <f t="shared" si="30"/>
        <v/>
      </c>
      <c r="S325" s="51" t="str">
        <f t="shared" si="31"/>
        <v/>
      </c>
      <c r="T325" s="51" t="str">
        <f t="shared" si="32"/>
        <v/>
      </c>
      <c r="U325" s="51" t="str">
        <f t="shared" si="33"/>
        <v/>
      </c>
    </row>
    <row r="326" spans="1:41">
      <c r="A326" s="51" t="str">
        <f>IF(Declarations!B278=0,"",Declarations!B278)</f>
        <v/>
      </c>
      <c r="B326" s="161" t="str">
        <f>IF(ISNA(VLOOKUP(A326,Declarations!B$6:C$293,2,FALSE)),"",IF(VLOOKUP(A326,Declarations!B$6:C$293,2,FALSE)="","",VLOOKUP(A326,Declarations!B$6:C$293,2,FALSE)))</f>
        <v/>
      </c>
      <c r="C326" s="161" t="str">
        <f>IF(ISNA(VLOOKUP(A326,Declarations!B$6:F$293,5,FALSE)),"",IF(VLOOKUP(A326,Declarations!B$6:F$293,5,FALSE)="","",VLOOKUP(A326,Declarations!B$6:F$293,5,FALSE)))</f>
        <v/>
      </c>
      <c r="D326" s="161" t="str">
        <f>IF(ISNA(VLOOKUP(A326,Declarations!B$6:F$293,4,FALSE)),"",IF(VLOOKUP(A326,Declarations!B$6:F$293,4,FALSE)="","",VLOOKUP(A326,Declarations!B$6:F$293,4,FALSE)))</f>
        <v/>
      </c>
      <c r="E326" s="161" t="str">
        <f>IF(ISNA(VLOOKUP(A326,Declarations!B$6:D$293,3,FALSE)),"",IF(VLOOKUP(A326,Declarations!B$6:D$293,3,FALSE)="","",VLOOKUP(A326,Declarations!B$6:D$293,3,FALSE)))</f>
        <v/>
      </c>
      <c r="F326" s="51" t="str">
        <f>IF(B326="","",IF(ISNA(VLOOKUP(A326,'75m'!F$5:G$302,2,FALSE)),"",VLOOKUP(A326,'75m'!F$5:G$302,2,FALSE)))</f>
        <v/>
      </c>
      <c r="G326" s="51">
        <f>IF(B326="",0,IF(ISNA(VLOOKUP(A326,'75m'!F$5:J$302,5,FALSE)),0,VLOOKUP(A326,'75m'!F$5:J$302,5,FALSE)))</f>
        <v>0</v>
      </c>
      <c r="H326" s="51" t="str">
        <f>IF(B326="","",IF(ISNA(VLOOKUP(A326,'75m'!F$5:K$302,6,FALSE)),"",VLOOKUP(A326,'75m'!F$5:K$302,6,FALSE)))</f>
        <v/>
      </c>
      <c r="I326" s="53">
        <f>IF(B326="",0,IF(ISNA(VLOOKUP(A326,'600m'!F$5:J$302,2,FALSE)),0,VLOOKUP(A326,'600m'!F$5:J$302,2,FALSE)))</f>
        <v>0</v>
      </c>
      <c r="J326" s="51">
        <f>IF(B326="",0,IF(ISNA(VLOOKUP(A326,'600m'!F$5:J$302,5,FALSE)),0,VLOOKUP(A326,'600m'!F$5:J$302,5,FALSE)))</f>
        <v>0</v>
      </c>
      <c r="K326" s="51" t="str">
        <f>IF(B326="","",IF(ISNA(VLOOKUP(A326,'600m'!F$5:K$302,6,FALSE)),"",VLOOKUP(A326,'600m'!F$5:K$302,6,FALSE)))</f>
        <v/>
      </c>
      <c r="L326" s="51" t="str">
        <f>IF(B326="","",IF(ISNA(VLOOKUP(A326,LongJump!F$5:G$302,2,FALSE)),"",VLOOKUP(A326,LongJump!F$5:G$302,2,FALSE)))</f>
        <v/>
      </c>
      <c r="M326" s="51">
        <f>IF(B326="",0,IF(ISNA(VLOOKUP(A326,LongJump!F$5:J$302,5,FALSE)),0,VLOOKUP(A326,LongJump!F$5:J$302,5,FALSE)))</f>
        <v>0</v>
      </c>
      <c r="N326" s="51">
        <f>IF(B326="",0,IF(ISNA(VLOOKUP(A326,LongJump!F$5:K$302,6,FALSE)),0,VLOOKUP(A326,LongJump!F$5:K$302,6,FALSE)))</f>
        <v>0</v>
      </c>
      <c r="O326" s="51" t="str">
        <f>IF(B326="","",IF(ISNA(VLOOKUP(A326,Vortex!F$5:J$302,2,FALSE)),"",VLOOKUP(A326,Vortex!F$5:J$302,2,FALSE)))</f>
        <v/>
      </c>
      <c r="P326" s="51">
        <f>IF(B326="",0,IF(ISNA(VLOOKUP(A326,Vortex!F$5:J$302,5,FALSE)),0,VLOOKUP(A326,Vortex!F$5:J$302,5,FALSE)))</f>
        <v>0</v>
      </c>
      <c r="Q326" s="51">
        <f t="shared" si="34"/>
        <v>0</v>
      </c>
      <c r="R326" s="51" t="str">
        <f t="shared" si="30"/>
        <v/>
      </c>
      <c r="S326" s="51" t="str">
        <f t="shared" si="31"/>
        <v/>
      </c>
      <c r="T326" s="51" t="str">
        <f t="shared" si="32"/>
        <v/>
      </c>
      <c r="U326" s="51" t="str">
        <f t="shared" si="33"/>
        <v/>
      </c>
    </row>
    <row r="327" spans="1:41">
      <c r="A327" s="51" t="str">
        <f>IF(Declarations!B279=0,"",Declarations!B279)</f>
        <v/>
      </c>
      <c r="B327" s="161" t="str">
        <f>IF(ISNA(VLOOKUP(A327,Declarations!B$6:C$293,2,FALSE)),"",IF(VLOOKUP(A327,Declarations!B$6:C$293,2,FALSE)="","",VLOOKUP(A327,Declarations!B$6:C$293,2,FALSE)))</f>
        <v/>
      </c>
      <c r="C327" s="161" t="str">
        <f>IF(ISNA(VLOOKUP(A327,Declarations!B$6:F$293,5,FALSE)),"",IF(VLOOKUP(A327,Declarations!B$6:F$293,5,FALSE)="","",VLOOKUP(A327,Declarations!B$6:F$293,5,FALSE)))</f>
        <v/>
      </c>
      <c r="D327" s="161" t="str">
        <f>IF(ISNA(VLOOKUP(A327,Declarations!B$6:F$293,4,FALSE)),"",IF(VLOOKUP(A327,Declarations!B$6:F$293,4,FALSE)="","",VLOOKUP(A327,Declarations!B$6:F$293,4,FALSE)))</f>
        <v/>
      </c>
      <c r="E327" s="161" t="str">
        <f>IF(ISNA(VLOOKUP(A327,Declarations!B$6:D$293,3,FALSE)),"",IF(VLOOKUP(A327,Declarations!B$6:D$293,3,FALSE)="","",VLOOKUP(A327,Declarations!B$6:D$293,3,FALSE)))</f>
        <v/>
      </c>
      <c r="F327" s="51" t="str">
        <f>IF(B327="","",IF(ISNA(VLOOKUP(A327,'75m'!F$5:G$302,2,FALSE)),"",VLOOKUP(A327,'75m'!F$5:G$302,2,FALSE)))</f>
        <v/>
      </c>
      <c r="G327" s="51">
        <f>IF(B327="",0,IF(ISNA(VLOOKUP(A327,'75m'!F$5:J$302,5,FALSE)),0,VLOOKUP(A327,'75m'!F$5:J$302,5,FALSE)))</f>
        <v>0</v>
      </c>
      <c r="H327" s="51" t="str">
        <f>IF(B327="","",IF(ISNA(VLOOKUP(A327,'75m'!F$5:K$302,6,FALSE)),"",VLOOKUP(A327,'75m'!F$5:K$302,6,FALSE)))</f>
        <v/>
      </c>
      <c r="I327" s="53">
        <f>IF(B327="",0,IF(ISNA(VLOOKUP(A327,'600m'!F$5:J$302,2,FALSE)),0,VLOOKUP(A327,'600m'!F$5:J$302,2,FALSE)))</f>
        <v>0</v>
      </c>
      <c r="J327" s="51">
        <f>IF(B327="",0,IF(ISNA(VLOOKUP(A327,'600m'!F$5:J$302,5,FALSE)),0,VLOOKUP(A327,'600m'!F$5:J$302,5,FALSE)))</f>
        <v>0</v>
      </c>
      <c r="K327" s="51" t="str">
        <f>IF(B327="","",IF(ISNA(VLOOKUP(A327,'600m'!F$5:K$302,6,FALSE)),"",VLOOKUP(A327,'600m'!F$5:K$302,6,FALSE)))</f>
        <v/>
      </c>
      <c r="L327" s="51" t="str">
        <f>IF(B327="","",IF(ISNA(VLOOKUP(A327,LongJump!F$5:G$302,2,FALSE)),"",VLOOKUP(A327,LongJump!F$5:G$302,2,FALSE)))</f>
        <v/>
      </c>
      <c r="M327" s="51">
        <f>IF(B327="",0,IF(ISNA(VLOOKUP(A327,LongJump!F$5:J$302,5,FALSE)),0,VLOOKUP(A327,LongJump!F$5:J$302,5,FALSE)))</f>
        <v>0</v>
      </c>
      <c r="N327" s="51">
        <f>IF(B327="",0,IF(ISNA(VLOOKUP(A327,LongJump!F$5:K$302,6,FALSE)),0,VLOOKUP(A327,LongJump!F$5:K$302,6,FALSE)))</f>
        <v>0</v>
      </c>
      <c r="O327" s="51" t="str">
        <f>IF(B327="","",IF(ISNA(VLOOKUP(A327,Vortex!F$5:J$302,2,FALSE)),"",VLOOKUP(A327,Vortex!F$5:J$302,2,FALSE)))</f>
        <v/>
      </c>
      <c r="P327" s="51">
        <f>IF(B327="",0,IF(ISNA(VLOOKUP(A327,Vortex!F$5:J$302,5,FALSE)),0,VLOOKUP(A327,Vortex!F$5:J$302,5,FALSE)))</f>
        <v>0</v>
      </c>
      <c r="Q327" s="51">
        <f t="shared" si="34"/>
        <v>0</v>
      </c>
      <c r="R327" s="51" t="str">
        <f t="shared" si="30"/>
        <v/>
      </c>
      <c r="S327" s="51" t="str">
        <f t="shared" si="31"/>
        <v/>
      </c>
      <c r="T327" s="51" t="str">
        <f t="shared" si="32"/>
        <v/>
      </c>
      <c r="U327" s="51" t="str">
        <f t="shared" si="33"/>
        <v/>
      </c>
    </row>
    <row r="328" spans="1:41">
      <c r="A328" s="51" t="str">
        <f>IF(Declarations!B280=0,"",Declarations!B280)</f>
        <v/>
      </c>
      <c r="B328" s="161" t="str">
        <f>IF(ISNA(VLOOKUP(A328,Declarations!B$6:C$293,2,FALSE)),"",IF(VLOOKUP(A328,Declarations!B$6:C$293,2,FALSE)="","",VLOOKUP(A328,Declarations!B$6:C$293,2,FALSE)))</f>
        <v/>
      </c>
      <c r="C328" s="161" t="str">
        <f>IF(ISNA(VLOOKUP(A328,Declarations!B$6:F$293,5,FALSE)),"",IF(VLOOKUP(A328,Declarations!B$6:F$293,5,FALSE)="","",VLOOKUP(A328,Declarations!B$6:F$293,5,FALSE)))</f>
        <v/>
      </c>
      <c r="D328" s="161" t="str">
        <f>IF(ISNA(VLOOKUP(A328,Declarations!B$6:F$293,4,FALSE)),"",IF(VLOOKUP(A328,Declarations!B$6:F$293,4,FALSE)="","",VLOOKUP(A328,Declarations!B$6:F$293,4,FALSE)))</f>
        <v/>
      </c>
      <c r="E328" s="161" t="str">
        <f>IF(ISNA(VLOOKUP(A328,Declarations!B$6:D$293,3,FALSE)),"",IF(VLOOKUP(A328,Declarations!B$6:D$293,3,FALSE)="","",VLOOKUP(A328,Declarations!B$6:D$293,3,FALSE)))</f>
        <v/>
      </c>
      <c r="F328" s="51" t="str">
        <f>IF(B328="","",IF(ISNA(VLOOKUP(A328,'75m'!F$5:G$302,2,FALSE)),"",VLOOKUP(A328,'75m'!F$5:G$302,2,FALSE)))</f>
        <v/>
      </c>
      <c r="G328" s="51">
        <f>IF(B328="",0,IF(ISNA(VLOOKUP(A328,'75m'!F$5:J$302,5,FALSE)),0,VLOOKUP(A328,'75m'!F$5:J$302,5,FALSE)))</f>
        <v>0</v>
      </c>
      <c r="H328" s="51" t="str">
        <f>IF(B328="","",IF(ISNA(VLOOKUP(A328,'75m'!F$5:K$302,6,FALSE)),"",VLOOKUP(A328,'75m'!F$5:K$302,6,FALSE)))</f>
        <v/>
      </c>
      <c r="I328" s="53">
        <f>IF(B328="",0,IF(ISNA(VLOOKUP(A328,'600m'!F$5:J$302,2,FALSE)),0,VLOOKUP(A328,'600m'!F$5:J$302,2,FALSE)))</f>
        <v>0</v>
      </c>
      <c r="J328" s="51">
        <f>IF(B328="",0,IF(ISNA(VLOOKUP(A328,'600m'!F$5:J$302,5,FALSE)),0,VLOOKUP(A328,'600m'!F$5:J$302,5,FALSE)))</f>
        <v>0</v>
      </c>
      <c r="K328" s="51" t="str">
        <f>IF(B328="","",IF(ISNA(VLOOKUP(A328,'600m'!F$5:K$302,6,FALSE)),"",VLOOKUP(A328,'600m'!F$5:K$302,6,FALSE)))</f>
        <v/>
      </c>
      <c r="L328" s="51" t="str">
        <f>IF(B328="","",IF(ISNA(VLOOKUP(A328,LongJump!F$5:G$302,2,FALSE)),"",VLOOKUP(A328,LongJump!F$5:G$302,2,FALSE)))</f>
        <v/>
      </c>
      <c r="M328" s="51">
        <f>IF(B328="",0,IF(ISNA(VLOOKUP(A328,LongJump!F$5:J$302,5,FALSE)),0,VLOOKUP(A328,LongJump!F$5:J$302,5,FALSE)))</f>
        <v>0</v>
      </c>
      <c r="N328" s="51">
        <f>IF(B328="",0,IF(ISNA(VLOOKUP(A328,LongJump!F$5:K$302,6,FALSE)),0,VLOOKUP(A328,LongJump!F$5:K$302,6,FALSE)))</f>
        <v>0</v>
      </c>
      <c r="O328" s="51" t="str">
        <f>IF(B328="","",IF(ISNA(VLOOKUP(A328,Vortex!F$5:J$302,2,FALSE)),"",VLOOKUP(A328,Vortex!F$5:J$302,2,FALSE)))</f>
        <v/>
      </c>
      <c r="P328" s="51">
        <f>IF(B328="",0,IF(ISNA(VLOOKUP(A328,Vortex!F$5:J$302,5,FALSE)),0,VLOOKUP(A328,Vortex!F$5:J$302,5,FALSE)))</f>
        <v>0</v>
      </c>
      <c r="Q328" s="51">
        <f t="shared" si="34"/>
        <v>0</v>
      </c>
      <c r="R328" s="51" t="str">
        <f t="shared" si="30"/>
        <v/>
      </c>
      <c r="S328" s="51" t="str">
        <f t="shared" si="31"/>
        <v/>
      </c>
      <c r="T328" s="51" t="str">
        <f t="shared" si="32"/>
        <v/>
      </c>
      <c r="U328" s="51" t="str">
        <f t="shared" si="33"/>
        <v/>
      </c>
    </row>
    <row r="329" spans="1:41" ht="25">
      <c r="A329" s="51" t="str">
        <f>IF(Declarations!B281=0,"",Declarations!B281)</f>
        <v/>
      </c>
      <c r="B329" s="161" t="str">
        <f>IF(ISNA(VLOOKUP(A329,Declarations!B$6:C$293,2,FALSE)),"",IF(VLOOKUP(A329,Declarations!B$6:C$293,2,FALSE)="","",VLOOKUP(A329,Declarations!B$6:C$293,2,FALSE)))</f>
        <v/>
      </c>
      <c r="C329" s="161" t="str">
        <f>IF(ISNA(VLOOKUP(A329,Declarations!B$6:F$293,5,FALSE)),"",IF(VLOOKUP(A329,Declarations!B$6:F$293,5,FALSE)="","",VLOOKUP(A329,Declarations!B$6:F$293,5,FALSE)))</f>
        <v/>
      </c>
      <c r="D329" s="161" t="str">
        <f>IF(ISNA(VLOOKUP(A329,Declarations!B$6:F$293,4,FALSE)),"",IF(VLOOKUP(A329,Declarations!B$6:F$293,4,FALSE)="","",VLOOKUP(A329,Declarations!B$6:F$293,4,FALSE)))</f>
        <v/>
      </c>
      <c r="E329" s="161" t="str">
        <f>IF(ISNA(VLOOKUP(A329,Declarations!B$6:D$293,3,FALSE)),"",IF(VLOOKUP(A329,Declarations!B$6:D$293,3,FALSE)="","",VLOOKUP(A329,Declarations!B$6:D$293,3,FALSE)))</f>
        <v/>
      </c>
      <c r="F329" s="51" t="str">
        <f>IF(B329="","",IF(ISNA(VLOOKUP(A329,'75m'!F$5:G$302,2,FALSE)),"",VLOOKUP(A329,'75m'!F$5:G$302,2,FALSE)))</f>
        <v/>
      </c>
      <c r="G329" s="51">
        <f>IF(B329="",0,IF(ISNA(VLOOKUP(A329,'75m'!F$5:J$302,5,FALSE)),0,VLOOKUP(A329,'75m'!F$5:J$302,5,FALSE)))</f>
        <v>0</v>
      </c>
      <c r="H329" s="51" t="str">
        <f>IF(B329="","",IF(ISNA(VLOOKUP(A329,'75m'!F$5:K$302,6,FALSE)),"",VLOOKUP(A329,'75m'!F$5:K$302,6,FALSE)))</f>
        <v/>
      </c>
      <c r="I329" s="53">
        <f>IF(B329="",0,IF(ISNA(VLOOKUP(A329,'600m'!F$5:J$302,2,FALSE)),0,VLOOKUP(A329,'600m'!F$5:J$302,2,FALSE)))</f>
        <v>0</v>
      </c>
      <c r="J329" s="51">
        <f>IF(B329="",0,IF(ISNA(VLOOKUP(A329,'600m'!F$5:J$302,5,FALSE)),0,VLOOKUP(A329,'600m'!F$5:J$302,5,FALSE)))</f>
        <v>0</v>
      </c>
      <c r="K329" s="51" t="str">
        <f>IF(B329="","",IF(ISNA(VLOOKUP(A329,'600m'!F$5:K$302,6,FALSE)),"",VLOOKUP(A329,'600m'!F$5:K$302,6,FALSE)))</f>
        <v/>
      </c>
      <c r="L329" s="51" t="str">
        <f>IF(B329="","",IF(ISNA(VLOOKUP(A329,LongJump!F$5:G$302,2,FALSE)),"",VLOOKUP(A329,LongJump!F$5:G$302,2,FALSE)))</f>
        <v/>
      </c>
      <c r="M329" s="51">
        <f>IF(B329="",0,IF(ISNA(VLOOKUP(A329,LongJump!F$5:J$302,5,FALSE)),0,VLOOKUP(A329,LongJump!F$5:J$302,5,FALSE)))</f>
        <v>0</v>
      </c>
      <c r="N329" s="51">
        <f>IF(B329="",0,IF(ISNA(VLOOKUP(A329,LongJump!F$5:K$302,6,FALSE)),0,VLOOKUP(A329,LongJump!F$5:K$302,6,FALSE)))</f>
        <v>0</v>
      </c>
      <c r="O329" s="51" t="str">
        <f>IF(B329="","",IF(ISNA(VLOOKUP(A329,Vortex!F$5:J$302,2,FALSE)),"",VLOOKUP(A329,Vortex!F$5:J$302,2,FALSE)))</f>
        <v/>
      </c>
      <c r="P329" s="51">
        <f>IF(B329="",0,IF(ISNA(VLOOKUP(A329,Vortex!F$5:J$302,5,FALSE)),0,VLOOKUP(A329,Vortex!F$5:J$302,5,FALSE)))</f>
        <v>0</v>
      </c>
      <c r="Q329" s="51">
        <f t="shared" si="34"/>
        <v>0</v>
      </c>
      <c r="R329" s="51" t="str">
        <f t="shared" si="30"/>
        <v/>
      </c>
      <c r="S329" s="51" t="str">
        <f t="shared" si="31"/>
        <v/>
      </c>
      <c r="T329" s="51" t="str">
        <f t="shared" si="32"/>
        <v/>
      </c>
      <c r="U329" s="51" t="str">
        <f t="shared" si="33"/>
        <v/>
      </c>
      <c r="AL329" s="16"/>
      <c r="AM329" s="16"/>
      <c r="AN329" s="16"/>
      <c r="AO329" s="16"/>
    </row>
    <row r="330" spans="1:41" s="16" customFormat="1" ht="25">
      <c r="A330" s="51" t="str">
        <f>IF(Declarations!B282=0,"",Declarations!B282)</f>
        <v/>
      </c>
      <c r="B330" s="161" t="str">
        <f>IF(ISNA(VLOOKUP(A330,Declarations!B$6:C$293,2,FALSE)),"",IF(VLOOKUP(A330,Declarations!B$6:C$293,2,FALSE)="","",VLOOKUP(A330,Declarations!B$6:C$293,2,FALSE)))</f>
        <v/>
      </c>
      <c r="C330" s="161" t="str">
        <f>IF(ISNA(VLOOKUP(A330,Declarations!B$6:F$293,5,FALSE)),"",IF(VLOOKUP(A330,Declarations!B$6:F$293,5,FALSE)="","",VLOOKUP(A330,Declarations!B$6:F$293,5,FALSE)))</f>
        <v/>
      </c>
      <c r="D330" s="161" t="str">
        <f>IF(ISNA(VLOOKUP(A330,Declarations!B$6:F$293,4,FALSE)),"",IF(VLOOKUP(A330,Declarations!B$6:F$293,4,FALSE)="","",VLOOKUP(A330,Declarations!B$6:F$293,4,FALSE)))</f>
        <v/>
      </c>
      <c r="E330" s="161" t="str">
        <f>IF(ISNA(VLOOKUP(A330,Declarations!B$6:D$293,3,FALSE)),"",IF(VLOOKUP(A330,Declarations!B$6:D$293,3,FALSE)="","",VLOOKUP(A330,Declarations!B$6:D$293,3,FALSE)))</f>
        <v/>
      </c>
      <c r="F330" s="51" t="str">
        <f>IF(B330="","",IF(ISNA(VLOOKUP(A330,'75m'!F$5:G$302,2,FALSE)),"",VLOOKUP(A330,'75m'!F$5:G$302,2,FALSE)))</f>
        <v/>
      </c>
      <c r="G330" s="51">
        <f>IF(B330="",0,IF(ISNA(VLOOKUP(A330,'75m'!F$5:J$302,5,FALSE)),0,VLOOKUP(A330,'75m'!F$5:J$302,5,FALSE)))</f>
        <v>0</v>
      </c>
      <c r="H330" s="51" t="str">
        <f>IF(B330="","",IF(ISNA(VLOOKUP(A330,'75m'!F$5:K$302,6,FALSE)),"",VLOOKUP(A330,'75m'!F$5:K$302,6,FALSE)))</f>
        <v/>
      </c>
      <c r="I330" s="53">
        <f>IF(B330="",0,IF(ISNA(VLOOKUP(A330,'600m'!F$5:J$302,2,FALSE)),0,VLOOKUP(A330,'600m'!F$5:J$302,2,FALSE)))</f>
        <v>0</v>
      </c>
      <c r="J330" s="51">
        <f>IF(B330="",0,IF(ISNA(VLOOKUP(A330,'600m'!F$5:J$302,5,FALSE)),0,VLOOKUP(A330,'600m'!F$5:J$302,5,FALSE)))</f>
        <v>0</v>
      </c>
      <c r="K330" s="51" t="str">
        <f>IF(B330="","",IF(ISNA(VLOOKUP(A330,'600m'!F$5:K$302,6,FALSE)),"",VLOOKUP(A330,'600m'!F$5:K$302,6,FALSE)))</f>
        <v/>
      </c>
      <c r="L330" s="51" t="str">
        <f>IF(B330="","",IF(ISNA(VLOOKUP(A330,LongJump!F$5:G$302,2,FALSE)),"",VLOOKUP(A330,LongJump!F$5:G$302,2,FALSE)))</f>
        <v/>
      </c>
      <c r="M330" s="51">
        <f>IF(B330="",0,IF(ISNA(VLOOKUP(A330,LongJump!F$5:J$302,5,FALSE)),0,VLOOKUP(A330,LongJump!F$5:J$302,5,FALSE)))</f>
        <v>0</v>
      </c>
      <c r="N330" s="51">
        <f>IF(B330="",0,IF(ISNA(VLOOKUP(A330,LongJump!F$5:K$302,6,FALSE)),0,VLOOKUP(A330,LongJump!F$5:K$302,6,FALSE)))</f>
        <v>0</v>
      </c>
      <c r="O330" s="51" t="str">
        <f>IF(B330="","",IF(ISNA(VLOOKUP(A330,Vortex!F$5:J$302,2,FALSE)),"",VLOOKUP(A330,Vortex!F$5:J$302,2,FALSE)))</f>
        <v/>
      </c>
      <c r="P330" s="51">
        <f>IF(B330="",0,IF(ISNA(VLOOKUP(A330,Vortex!F$5:J$302,5,FALSE)),0,VLOOKUP(A330,Vortex!F$5:J$302,5,FALSE)))</f>
        <v>0</v>
      </c>
      <c r="Q330" s="51">
        <f t="shared" si="34"/>
        <v>0</v>
      </c>
      <c r="R330" s="51" t="str">
        <f t="shared" si="30"/>
        <v/>
      </c>
      <c r="S330" s="51" t="str">
        <f t="shared" si="31"/>
        <v/>
      </c>
      <c r="T330" s="51" t="str">
        <f t="shared" si="32"/>
        <v/>
      </c>
      <c r="U330" s="51" t="str">
        <f t="shared" si="33"/>
        <v/>
      </c>
      <c r="V330"/>
      <c r="W330"/>
      <c r="X330"/>
      <c r="Y330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/>
      <c r="AL330"/>
      <c r="AM330"/>
      <c r="AN330"/>
      <c r="AO330"/>
    </row>
    <row r="331" spans="1:41">
      <c r="A331" s="51" t="str">
        <f>IF(Declarations!B283=0,"",Declarations!B283)</f>
        <v/>
      </c>
      <c r="B331" s="161" t="str">
        <f>IF(ISNA(VLOOKUP(A331,Declarations!B$6:C$293,2,FALSE)),"",IF(VLOOKUP(A331,Declarations!B$6:C$293,2,FALSE)="","",VLOOKUP(A331,Declarations!B$6:C$293,2,FALSE)))</f>
        <v/>
      </c>
      <c r="C331" s="161" t="str">
        <f>IF(ISNA(VLOOKUP(A331,Declarations!B$6:F$293,5,FALSE)),"",IF(VLOOKUP(A331,Declarations!B$6:F$293,5,FALSE)="","",VLOOKUP(A331,Declarations!B$6:F$293,5,FALSE)))</f>
        <v/>
      </c>
      <c r="D331" s="161" t="str">
        <f>IF(ISNA(VLOOKUP(A331,Declarations!B$6:F$293,4,FALSE)),"",IF(VLOOKUP(A331,Declarations!B$6:F$293,4,FALSE)="","",VLOOKUP(A331,Declarations!B$6:F$293,4,FALSE)))</f>
        <v/>
      </c>
      <c r="E331" s="161" t="str">
        <f>IF(ISNA(VLOOKUP(A331,Declarations!B$6:D$293,3,FALSE)),"",IF(VLOOKUP(A331,Declarations!B$6:D$293,3,FALSE)="","",VLOOKUP(A331,Declarations!B$6:D$293,3,FALSE)))</f>
        <v/>
      </c>
      <c r="F331" s="51" t="str">
        <f>IF(B331="","",IF(ISNA(VLOOKUP(A331,'75m'!F$5:G$302,2,FALSE)),"",VLOOKUP(A331,'75m'!F$5:G$302,2,FALSE)))</f>
        <v/>
      </c>
      <c r="G331" s="51">
        <f>IF(B331="",0,IF(ISNA(VLOOKUP(A331,'75m'!F$5:J$302,5,FALSE)),0,VLOOKUP(A331,'75m'!F$5:J$302,5,FALSE)))</f>
        <v>0</v>
      </c>
      <c r="H331" s="51" t="str">
        <f>IF(B331="","",IF(ISNA(VLOOKUP(A331,'75m'!F$5:K$302,6,FALSE)),"",VLOOKUP(A331,'75m'!F$5:K$302,6,FALSE)))</f>
        <v/>
      </c>
      <c r="I331" s="53">
        <f>IF(B331="",0,IF(ISNA(VLOOKUP(A331,'600m'!F$5:J$302,2,FALSE)),0,VLOOKUP(A331,'600m'!F$5:J$302,2,FALSE)))</f>
        <v>0</v>
      </c>
      <c r="J331" s="51">
        <f>IF(B331="",0,IF(ISNA(VLOOKUP(A331,'600m'!F$5:J$302,5,FALSE)),0,VLOOKUP(A331,'600m'!F$5:J$302,5,FALSE)))</f>
        <v>0</v>
      </c>
      <c r="K331" s="51" t="str">
        <f>IF(B331="","",IF(ISNA(VLOOKUP(A331,'600m'!F$5:K$302,6,FALSE)),"",VLOOKUP(A331,'600m'!F$5:K$302,6,FALSE)))</f>
        <v/>
      </c>
      <c r="L331" s="51" t="str">
        <f>IF(B331="","",IF(ISNA(VLOOKUP(A331,LongJump!F$5:G$302,2,FALSE)),"",VLOOKUP(A331,LongJump!F$5:G$302,2,FALSE)))</f>
        <v/>
      </c>
      <c r="M331" s="51">
        <f>IF(B331="",0,IF(ISNA(VLOOKUP(A331,LongJump!F$5:J$302,5,FALSE)),0,VLOOKUP(A331,LongJump!F$5:J$302,5,FALSE)))</f>
        <v>0</v>
      </c>
      <c r="N331" s="51">
        <f>IF(B331="",0,IF(ISNA(VLOOKUP(A331,LongJump!F$5:K$302,6,FALSE)),0,VLOOKUP(A331,LongJump!F$5:K$302,6,FALSE)))</f>
        <v>0</v>
      </c>
      <c r="O331" s="51" t="str">
        <f>IF(B331="","",IF(ISNA(VLOOKUP(A331,Vortex!F$5:J$302,2,FALSE)),"",VLOOKUP(A331,Vortex!F$5:J$302,2,FALSE)))</f>
        <v/>
      </c>
      <c r="P331" s="51">
        <f>IF(B331="",0,IF(ISNA(VLOOKUP(A331,Vortex!F$5:J$302,5,FALSE)),0,VLOOKUP(A331,Vortex!F$5:J$302,5,FALSE)))</f>
        <v>0</v>
      </c>
      <c r="Q331" s="51">
        <f t="shared" si="34"/>
        <v>0</v>
      </c>
      <c r="R331" s="51" t="str">
        <f t="shared" si="30"/>
        <v/>
      </c>
      <c r="S331" s="51" t="str">
        <f t="shared" si="31"/>
        <v/>
      </c>
      <c r="T331" s="51" t="str">
        <f t="shared" si="32"/>
        <v/>
      </c>
      <c r="U331" s="51" t="str">
        <f t="shared" si="33"/>
        <v/>
      </c>
    </row>
    <row r="332" spans="1:41">
      <c r="A332" s="51" t="str">
        <f>IF(Declarations!B284=0,"",Declarations!B284)</f>
        <v/>
      </c>
      <c r="B332" s="161" t="str">
        <f>IF(ISNA(VLOOKUP(A332,Declarations!B$6:C$293,2,FALSE)),"",IF(VLOOKUP(A332,Declarations!B$6:C$293,2,FALSE)="","",VLOOKUP(A332,Declarations!B$6:C$293,2,FALSE)))</f>
        <v/>
      </c>
      <c r="C332" s="161" t="str">
        <f>IF(ISNA(VLOOKUP(A332,Declarations!B$6:F$293,5,FALSE)),"",IF(VLOOKUP(A332,Declarations!B$6:F$293,5,FALSE)="","",VLOOKUP(A332,Declarations!B$6:F$293,5,FALSE)))</f>
        <v/>
      </c>
      <c r="D332" s="161" t="str">
        <f>IF(ISNA(VLOOKUP(A332,Declarations!B$6:F$293,4,FALSE)),"",IF(VLOOKUP(A332,Declarations!B$6:F$293,4,FALSE)="","",VLOOKUP(A332,Declarations!B$6:F$293,4,FALSE)))</f>
        <v/>
      </c>
      <c r="E332" s="161" t="str">
        <f>IF(ISNA(VLOOKUP(A332,Declarations!B$6:D$293,3,FALSE)),"",IF(VLOOKUP(A332,Declarations!B$6:D$293,3,FALSE)="","",VLOOKUP(A332,Declarations!B$6:D$293,3,FALSE)))</f>
        <v/>
      </c>
      <c r="F332" s="51" t="str">
        <f>IF(B332="","",IF(ISNA(VLOOKUP(A332,'75m'!F$5:G$302,2,FALSE)),"",VLOOKUP(A332,'75m'!F$5:G$302,2,FALSE)))</f>
        <v/>
      </c>
      <c r="G332" s="51">
        <f>IF(B332="",0,IF(ISNA(VLOOKUP(A332,'75m'!F$5:J$302,5,FALSE)),0,VLOOKUP(A332,'75m'!F$5:J$302,5,FALSE)))</f>
        <v>0</v>
      </c>
      <c r="H332" s="51" t="str">
        <f>IF(B332="","",IF(ISNA(VLOOKUP(A332,'75m'!F$5:K$302,6,FALSE)),"",VLOOKUP(A332,'75m'!F$5:K$302,6,FALSE)))</f>
        <v/>
      </c>
      <c r="I332" s="53">
        <f>IF(B332="",0,IF(ISNA(VLOOKUP(A332,'600m'!F$5:J$302,2,FALSE)),0,VLOOKUP(A332,'600m'!F$5:J$302,2,FALSE)))</f>
        <v>0</v>
      </c>
      <c r="J332" s="51">
        <f>IF(B332="",0,IF(ISNA(VLOOKUP(A332,'600m'!F$5:J$302,5,FALSE)),0,VLOOKUP(A332,'600m'!F$5:J$302,5,FALSE)))</f>
        <v>0</v>
      </c>
      <c r="K332" s="51" t="str">
        <f>IF(B332="","",IF(ISNA(VLOOKUP(A332,'600m'!F$5:K$302,6,FALSE)),"",VLOOKUP(A332,'600m'!F$5:K$302,6,FALSE)))</f>
        <v/>
      </c>
      <c r="L332" s="51" t="str">
        <f>IF(B332="","",IF(ISNA(VLOOKUP(A332,LongJump!F$5:G$302,2,FALSE)),"",VLOOKUP(A332,LongJump!F$5:G$302,2,FALSE)))</f>
        <v/>
      </c>
      <c r="M332" s="51">
        <f>IF(B332="",0,IF(ISNA(VLOOKUP(A332,LongJump!F$5:J$302,5,FALSE)),0,VLOOKUP(A332,LongJump!F$5:J$302,5,FALSE)))</f>
        <v>0</v>
      </c>
      <c r="N332" s="51">
        <f>IF(B332="",0,IF(ISNA(VLOOKUP(A332,LongJump!F$5:K$302,6,FALSE)),0,VLOOKUP(A332,LongJump!F$5:K$302,6,FALSE)))</f>
        <v>0</v>
      </c>
      <c r="O332" s="51" t="str">
        <f>IF(B332="","",IF(ISNA(VLOOKUP(A332,Vortex!F$5:J$302,2,FALSE)),"",VLOOKUP(A332,Vortex!F$5:J$302,2,FALSE)))</f>
        <v/>
      </c>
      <c r="P332" s="51">
        <f>IF(B332="",0,IF(ISNA(VLOOKUP(A332,Vortex!F$5:J$302,5,FALSE)),0,VLOOKUP(A332,Vortex!F$5:J$302,5,FALSE)))</f>
        <v>0</v>
      </c>
      <c r="Q332" s="51">
        <f t="shared" si="34"/>
        <v>0</v>
      </c>
      <c r="R332" s="51" t="str">
        <f t="shared" si="30"/>
        <v/>
      </c>
      <c r="S332" s="51" t="str">
        <f t="shared" si="31"/>
        <v/>
      </c>
      <c r="T332" s="51" t="str">
        <f t="shared" si="32"/>
        <v/>
      </c>
      <c r="U332" s="51" t="str">
        <f t="shared" si="33"/>
        <v/>
      </c>
    </row>
    <row r="333" spans="1:41">
      <c r="A333" s="51" t="str">
        <f>IF(Declarations!B285=0,"",Declarations!B285)</f>
        <v/>
      </c>
      <c r="B333" s="161" t="str">
        <f>IF(ISNA(VLOOKUP(A333,Declarations!B$6:C$293,2,FALSE)),"",IF(VLOOKUP(A333,Declarations!B$6:C$293,2,FALSE)="","",VLOOKUP(A333,Declarations!B$6:C$293,2,FALSE)))</f>
        <v/>
      </c>
      <c r="C333" s="161" t="str">
        <f>IF(ISNA(VLOOKUP(A333,Declarations!B$6:F$293,5,FALSE)),"",IF(VLOOKUP(A333,Declarations!B$6:F$293,5,FALSE)="","",VLOOKUP(A333,Declarations!B$6:F$293,5,FALSE)))</f>
        <v/>
      </c>
      <c r="D333" s="161" t="str">
        <f>IF(ISNA(VLOOKUP(A333,Declarations!B$6:F$293,4,FALSE)),"",IF(VLOOKUP(A333,Declarations!B$6:F$293,4,FALSE)="","",VLOOKUP(A333,Declarations!B$6:F$293,4,FALSE)))</f>
        <v/>
      </c>
      <c r="E333" s="161" t="str">
        <f>IF(ISNA(VLOOKUP(A333,Declarations!B$6:D$293,3,FALSE)),"",IF(VLOOKUP(A333,Declarations!B$6:D$293,3,FALSE)="","",VLOOKUP(A333,Declarations!B$6:D$293,3,FALSE)))</f>
        <v/>
      </c>
      <c r="F333" s="51" t="str">
        <f>IF(B333="","",IF(ISNA(VLOOKUP(A333,'75m'!F$5:G$302,2,FALSE)),"",VLOOKUP(A333,'75m'!F$5:G$302,2,FALSE)))</f>
        <v/>
      </c>
      <c r="G333" s="51">
        <f>IF(B333="",0,IF(ISNA(VLOOKUP(A333,'75m'!F$5:J$302,5,FALSE)),0,VLOOKUP(A333,'75m'!F$5:J$302,5,FALSE)))</f>
        <v>0</v>
      </c>
      <c r="H333" s="51" t="str">
        <f>IF(B333="","",IF(ISNA(VLOOKUP(A333,'75m'!F$5:K$302,6,FALSE)),"",VLOOKUP(A333,'75m'!F$5:K$302,6,FALSE)))</f>
        <v/>
      </c>
      <c r="I333" s="53">
        <f>IF(B333="",0,IF(ISNA(VLOOKUP(A333,'600m'!F$5:J$302,2,FALSE)),0,VLOOKUP(A333,'600m'!F$5:J$302,2,FALSE)))</f>
        <v>0</v>
      </c>
      <c r="J333" s="51">
        <f>IF(B333="",0,IF(ISNA(VLOOKUP(A333,'600m'!F$5:J$302,5,FALSE)),0,VLOOKUP(A333,'600m'!F$5:J$302,5,FALSE)))</f>
        <v>0</v>
      </c>
      <c r="K333" s="51" t="str">
        <f>IF(B333="","",IF(ISNA(VLOOKUP(A333,'600m'!F$5:K$302,6,FALSE)),"",VLOOKUP(A333,'600m'!F$5:K$302,6,FALSE)))</f>
        <v/>
      </c>
      <c r="L333" s="51" t="str">
        <f>IF(B333="","",IF(ISNA(VLOOKUP(A333,LongJump!F$5:G$302,2,FALSE)),"",VLOOKUP(A333,LongJump!F$5:G$302,2,FALSE)))</f>
        <v/>
      </c>
      <c r="M333" s="51">
        <f>IF(B333="",0,IF(ISNA(VLOOKUP(A333,LongJump!F$5:J$302,5,FALSE)),0,VLOOKUP(A333,LongJump!F$5:J$302,5,FALSE)))</f>
        <v>0</v>
      </c>
      <c r="N333" s="51">
        <f>IF(B333="",0,IF(ISNA(VLOOKUP(A333,LongJump!F$5:K$302,6,FALSE)),0,VLOOKUP(A333,LongJump!F$5:K$302,6,FALSE)))</f>
        <v>0</v>
      </c>
      <c r="O333" s="51" t="str">
        <f>IF(B333="","",IF(ISNA(VLOOKUP(A333,Vortex!F$5:J$302,2,FALSE)),"",VLOOKUP(A333,Vortex!F$5:J$302,2,FALSE)))</f>
        <v/>
      </c>
      <c r="P333" s="51">
        <f>IF(B333="",0,IF(ISNA(VLOOKUP(A333,Vortex!F$5:J$302,5,FALSE)),0,VLOOKUP(A333,Vortex!F$5:J$302,5,FALSE)))</f>
        <v>0</v>
      </c>
      <c r="Q333" s="51">
        <f t="shared" si="34"/>
        <v>0</v>
      </c>
      <c r="R333" s="51" t="str">
        <f t="shared" si="30"/>
        <v/>
      </c>
      <c r="S333" s="51" t="str">
        <f t="shared" si="31"/>
        <v/>
      </c>
      <c r="T333" s="51" t="str">
        <f t="shared" si="32"/>
        <v/>
      </c>
      <c r="U333" s="51" t="str">
        <f t="shared" si="33"/>
        <v/>
      </c>
    </row>
    <row r="334" spans="1:41" ht="25">
      <c r="A334" s="51" t="str">
        <f>IF(Declarations!B286=0,"",Declarations!B286)</f>
        <v/>
      </c>
      <c r="B334" s="161" t="str">
        <f>IF(ISNA(VLOOKUP(A334,Declarations!B$6:C$293,2,FALSE)),"",IF(VLOOKUP(A334,Declarations!B$6:C$293,2,FALSE)="","",VLOOKUP(A334,Declarations!B$6:C$293,2,FALSE)))</f>
        <v/>
      </c>
      <c r="C334" s="161" t="str">
        <f>IF(ISNA(VLOOKUP(A334,Declarations!B$6:F$293,5,FALSE)),"",IF(VLOOKUP(A334,Declarations!B$6:F$293,5,FALSE)="","",VLOOKUP(A334,Declarations!B$6:F$293,5,FALSE)))</f>
        <v/>
      </c>
      <c r="D334" s="161" t="str">
        <f>IF(ISNA(VLOOKUP(A334,Declarations!B$6:F$293,4,FALSE)),"",IF(VLOOKUP(A334,Declarations!B$6:F$293,4,FALSE)="","",VLOOKUP(A334,Declarations!B$6:F$293,4,FALSE)))</f>
        <v/>
      </c>
      <c r="E334" s="161" t="str">
        <f>IF(ISNA(VLOOKUP(A334,Declarations!B$6:D$293,3,FALSE)),"",IF(VLOOKUP(A334,Declarations!B$6:D$293,3,FALSE)="","",VLOOKUP(A334,Declarations!B$6:D$293,3,FALSE)))</f>
        <v/>
      </c>
      <c r="F334" s="51" t="str">
        <f>IF(B334="","",IF(ISNA(VLOOKUP(A334,'75m'!F$5:G$302,2,FALSE)),"",VLOOKUP(A334,'75m'!F$5:G$302,2,FALSE)))</f>
        <v/>
      </c>
      <c r="G334" s="51">
        <f>IF(B334="",0,IF(ISNA(VLOOKUP(A334,'75m'!F$5:J$302,5,FALSE)),0,VLOOKUP(A334,'75m'!F$5:J$302,5,FALSE)))</f>
        <v>0</v>
      </c>
      <c r="H334" s="51" t="str">
        <f>IF(B334="","",IF(ISNA(VLOOKUP(A334,'75m'!F$5:K$302,6,FALSE)),"",VLOOKUP(A334,'75m'!F$5:K$302,6,FALSE)))</f>
        <v/>
      </c>
      <c r="I334" s="53">
        <f>IF(B334="",0,IF(ISNA(VLOOKUP(A334,'600m'!F$5:J$302,2,FALSE)),0,VLOOKUP(A334,'600m'!F$5:J$302,2,FALSE)))</f>
        <v>0</v>
      </c>
      <c r="J334" s="51">
        <f>IF(B334="",0,IF(ISNA(VLOOKUP(A334,'600m'!F$5:J$302,5,FALSE)),0,VLOOKUP(A334,'600m'!F$5:J$302,5,FALSE)))</f>
        <v>0</v>
      </c>
      <c r="K334" s="51" t="str">
        <f>IF(B334="","",IF(ISNA(VLOOKUP(A334,'600m'!F$5:K$302,6,FALSE)),"",VLOOKUP(A334,'600m'!F$5:K$302,6,FALSE)))</f>
        <v/>
      </c>
      <c r="L334" s="51" t="str">
        <f>IF(B334="","",IF(ISNA(VLOOKUP(A334,LongJump!F$5:G$302,2,FALSE)),"",VLOOKUP(A334,LongJump!F$5:G$302,2,FALSE)))</f>
        <v/>
      </c>
      <c r="M334" s="51">
        <f>IF(B334="",0,IF(ISNA(VLOOKUP(A334,LongJump!F$5:J$302,5,FALSE)),0,VLOOKUP(A334,LongJump!F$5:J$302,5,FALSE)))</f>
        <v>0</v>
      </c>
      <c r="N334" s="51">
        <f>IF(B334="",0,IF(ISNA(VLOOKUP(A334,LongJump!F$5:K$302,6,FALSE)),0,VLOOKUP(A334,LongJump!F$5:K$302,6,FALSE)))</f>
        <v>0</v>
      </c>
      <c r="O334" s="51" t="str">
        <f>IF(B334="","",IF(ISNA(VLOOKUP(A334,Vortex!F$5:J$302,2,FALSE)),"",VLOOKUP(A334,Vortex!F$5:J$302,2,FALSE)))</f>
        <v/>
      </c>
      <c r="P334" s="51">
        <f>IF(B334="",0,IF(ISNA(VLOOKUP(A334,Vortex!F$5:J$302,5,FALSE)),0,VLOOKUP(A334,Vortex!F$5:J$302,5,FALSE)))</f>
        <v>0</v>
      </c>
      <c r="Q334" s="51">
        <f t="shared" si="34"/>
        <v>0</v>
      </c>
      <c r="R334" s="51" t="str">
        <f t="shared" si="30"/>
        <v/>
      </c>
      <c r="S334" s="51" t="str">
        <f t="shared" si="31"/>
        <v/>
      </c>
      <c r="T334" s="51" t="str">
        <f t="shared" si="32"/>
        <v/>
      </c>
      <c r="U334" s="51" t="str">
        <f t="shared" si="33"/>
        <v/>
      </c>
      <c r="AJ334" s="94"/>
      <c r="AK334" s="16"/>
    </row>
    <row r="335" spans="1:41">
      <c r="A335" s="51" t="str">
        <f>IF(Declarations!B287=0,"",Declarations!B287)</f>
        <v/>
      </c>
      <c r="B335" s="161" t="str">
        <f>IF(ISNA(VLOOKUP(A335,Declarations!B$6:C$293,2,FALSE)),"",IF(VLOOKUP(A335,Declarations!B$6:C$293,2,FALSE)="","",VLOOKUP(A335,Declarations!B$6:C$293,2,FALSE)))</f>
        <v/>
      </c>
      <c r="C335" s="161" t="str">
        <f>IF(ISNA(VLOOKUP(A335,Declarations!B$6:F$293,5,FALSE)),"",IF(VLOOKUP(A335,Declarations!B$6:F$293,5,FALSE)="","",VLOOKUP(A335,Declarations!B$6:F$293,5,FALSE)))</f>
        <v/>
      </c>
      <c r="D335" s="161" t="str">
        <f>IF(ISNA(VLOOKUP(A335,Declarations!B$6:F$293,4,FALSE)),"",IF(VLOOKUP(A335,Declarations!B$6:F$293,4,FALSE)="","",VLOOKUP(A335,Declarations!B$6:F$293,4,FALSE)))</f>
        <v/>
      </c>
      <c r="E335" s="161" t="str">
        <f>IF(ISNA(VLOOKUP(A335,Declarations!B$6:D$293,3,FALSE)),"",IF(VLOOKUP(A335,Declarations!B$6:D$293,3,FALSE)="","",VLOOKUP(A335,Declarations!B$6:D$293,3,FALSE)))</f>
        <v/>
      </c>
      <c r="F335" s="51" t="str">
        <f>IF(B335="","",IF(ISNA(VLOOKUP(A335,'75m'!F$5:G$302,2,FALSE)),"",VLOOKUP(A335,'75m'!F$5:G$302,2,FALSE)))</f>
        <v/>
      </c>
      <c r="G335" s="51">
        <f>IF(B335="",0,IF(ISNA(VLOOKUP(A335,'75m'!F$5:J$302,5,FALSE)),0,VLOOKUP(A335,'75m'!F$5:J$302,5,FALSE)))</f>
        <v>0</v>
      </c>
      <c r="H335" s="51" t="str">
        <f>IF(B335="","",IF(ISNA(VLOOKUP(A335,'75m'!F$5:K$302,6,FALSE)),"",VLOOKUP(A335,'75m'!F$5:K$302,6,FALSE)))</f>
        <v/>
      </c>
      <c r="I335" s="53">
        <f>IF(B335="",0,IF(ISNA(VLOOKUP(A335,'600m'!F$5:J$302,2,FALSE)),0,VLOOKUP(A335,'600m'!F$5:J$302,2,FALSE)))</f>
        <v>0</v>
      </c>
      <c r="J335" s="51">
        <f>IF(B335="",0,IF(ISNA(VLOOKUP(A335,'600m'!F$5:J$302,5,FALSE)),0,VLOOKUP(A335,'600m'!F$5:J$302,5,FALSE)))</f>
        <v>0</v>
      </c>
      <c r="K335" s="51" t="str">
        <f>IF(B335="","",IF(ISNA(VLOOKUP(A335,'600m'!F$5:K$302,6,FALSE)),"",VLOOKUP(A335,'600m'!F$5:K$302,6,FALSE)))</f>
        <v/>
      </c>
      <c r="L335" s="51" t="str">
        <f>IF(B335="","",IF(ISNA(VLOOKUP(A335,LongJump!F$5:G$302,2,FALSE)),"",VLOOKUP(A335,LongJump!F$5:G$302,2,FALSE)))</f>
        <v/>
      </c>
      <c r="M335" s="51">
        <f>IF(B335="",0,IF(ISNA(VLOOKUP(A335,LongJump!F$5:J$302,5,FALSE)),0,VLOOKUP(A335,LongJump!F$5:J$302,5,FALSE)))</f>
        <v>0</v>
      </c>
      <c r="N335" s="51">
        <f>IF(B335="",0,IF(ISNA(VLOOKUP(A335,LongJump!F$5:K$302,6,FALSE)),0,VLOOKUP(A335,LongJump!F$5:K$302,6,FALSE)))</f>
        <v>0</v>
      </c>
      <c r="O335" s="51" t="str">
        <f>IF(B335="","",IF(ISNA(VLOOKUP(A335,Vortex!F$5:J$302,2,FALSE)),"",VLOOKUP(A335,Vortex!F$5:J$302,2,FALSE)))</f>
        <v/>
      </c>
      <c r="P335" s="51">
        <f>IF(B335="",0,IF(ISNA(VLOOKUP(A335,Vortex!F$5:J$302,5,FALSE)),0,VLOOKUP(A335,Vortex!F$5:J$302,5,FALSE)))</f>
        <v>0</v>
      </c>
      <c r="Q335" s="51">
        <f t="shared" si="34"/>
        <v>0</v>
      </c>
      <c r="R335" s="51" t="str">
        <f t="shared" si="30"/>
        <v/>
      </c>
      <c r="S335" s="51" t="str">
        <f t="shared" si="31"/>
        <v/>
      </c>
      <c r="T335" s="51" t="str">
        <f t="shared" si="32"/>
        <v/>
      </c>
      <c r="U335" s="51" t="str">
        <f t="shared" si="33"/>
        <v/>
      </c>
    </row>
    <row r="336" spans="1:41">
      <c r="A336" s="51" t="str">
        <f>IF(Declarations!B288=0,"",Declarations!B288)</f>
        <v/>
      </c>
      <c r="B336" s="161" t="str">
        <f>IF(ISNA(VLOOKUP(A336,Declarations!B$6:C$293,2,FALSE)),"",IF(VLOOKUP(A336,Declarations!B$6:C$293,2,FALSE)="","",VLOOKUP(A336,Declarations!B$6:C$293,2,FALSE)))</f>
        <v/>
      </c>
      <c r="C336" s="161" t="str">
        <f>IF(ISNA(VLOOKUP(A336,Declarations!B$6:F$293,5,FALSE)),"",IF(VLOOKUP(A336,Declarations!B$6:F$293,5,FALSE)="","",VLOOKUP(A336,Declarations!B$6:F$293,5,FALSE)))</f>
        <v/>
      </c>
      <c r="D336" s="161" t="str">
        <f>IF(ISNA(VLOOKUP(A336,Declarations!B$6:F$293,4,FALSE)),"",IF(VLOOKUP(A336,Declarations!B$6:F$293,4,FALSE)="","",VLOOKUP(A336,Declarations!B$6:F$293,4,FALSE)))</f>
        <v/>
      </c>
      <c r="E336" s="161" t="str">
        <f>IF(ISNA(VLOOKUP(A336,Declarations!B$6:D$293,3,FALSE)),"",IF(VLOOKUP(A336,Declarations!B$6:D$293,3,FALSE)="","",VLOOKUP(A336,Declarations!B$6:D$293,3,FALSE)))</f>
        <v/>
      </c>
      <c r="F336" s="51" t="str">
        <f>IF(B336="","",IF(ISNA(VLOOKUP(A336,'75m'!F$5:G$302,2,FALSE)),"",VLOOKUP(A336,'75m'!F$5:G$302,2,FALSE)))</f>
        <v/>
      </c>
      <c r="G336" s="51">
        <f>IF(B336="",0,IF(ISNA(VLOOKUP(A336,'75m'!F$5:J$302,5,FALSE)),0,VLOOKUP(A336,'75m'!F$5:J$302,5,FALSE)))</f>
        <v>0</v>
      </c>
      <c r="H336" s="51" t="str">
        <f>IF(B336="","",IF(ISNA(VLOOKUP(A336,'75m'!F$5:K$302,6,FALSE)),"",VLOOKUP(A336,'75m'!F$5:K$302,6,FALSE)))</f>
        <v/>
      </c>
      <c r="I336" s="53">
        <f>IF(B336="",0,IF(ISNA(VLOOKUP(A336,'600m'!F$5:J$302,2,FALSE)),0,VLOOKUP(A336,'600m'!F$5:J$302,2,FALSE)))</f>
        <v>0</v>
      </c>
      <c r="J336" s="51">
        <f>IF(B336="",0,IF(ISNA(VLOOKUP(A336,'600m'!F$5:J$302,5,FALSE)),0,VLOOKUP(A336,'600m'!F$5:J$302,5,FALSE)))</f>
        <v>0</v>
      </c>
      <c r="K336" s="51" t="str">
        <f>IF(B336="","",IF(ISNA(VLOOKUP(A336,'600m'!F$5:K$302,6,FALSE)),"",VLOOKUP(A336,'600m'!F$5:K$302,6,FALSE)))</f>
        <v/>
      </c>
      <c r="L336" s="51" t="str">
        <f>IF(B336="","",IF(ISNA(VLOOKUP(A336,LongJump!F$5:G$302,2,FALSE)),"",VLOOKUP(A336,LongJump!F$5:G$302,2,FALSE)))</f>
        <v/>
      </c>
      <c r="M336" s="51">
        <f>IF(B336="",0,IF(ISNA(VLOOKUP(A336,LongJump!F$5:J$302,5,FALSE)),0,VLOOKUP(A336,LongJump!F$5:J$302,5,FALSE)))</f>
        <v>0</v>
      </c>
      <c r="N336" s="51">
        <f>IF(B336="",0,IF(ISNA(VLOOKUP(A336,LongJump!F$5:K$302,6,FALSE)),0,VLOOKUP(A336,LongJump!F$5:K$302,6,FALSE)))</f>
        <v>0</v>
      </c>
      <c r="O336" s="51" t="str">
        <f>IF(B336="","",IF(ISNA(VLOOKUP(A336,Vortex!F$5:J$302,2,FALSE)),"",VLOOKUP(A336,Vortex!F$5:J$302,2,FALSE)))</f>
        <v/>
      </c>
      <c r="P336" s="51">
        <f>IF(B336="",0,IF(ISNA(VLOOKUP(A336,Vortex!F$5:J$302,5,FALSE)),0,VLOOKUP(A336,Vortex!F$5:J$302,5,FALSE)))</f>
        <v>0</v>
      </c>
      <c r="Q336" s="51">
        <f t="shared" si="34"/>
        <v>0</v>
      </c>
      <c r="R336" s="51" t="str">
        <f t="shared" si="30"/>
        <v/>
      </c>
      <c r="S336" s="51" t="str">
        <f t="shared" si="31"/>
        <v/>
      </c>
      <c r="T336" s="51" t="str">
        <f t="shared" si="32"/>
        <v/>
      </c>
      <c r="U336" s="51" t="str">
        <f t="shared" si="33"/>
        <v/>
      </c>
    </row>
    <row r="337" spans="1:35">
      <c r="A337" s="51" t="str">
        <f>IF(Declarations!B289=0,"",Declarations!B289)</f>
        <v/>
      </c>
      <c r="B337" s="161" t="str">
        <f>IF(ISNA(VLOOKUP(A337,Declarations!B$6:C$293,2,FALSE)),"",IF(VLOOKUP(A337,Declarations!B$6:C$293,2,FALSE)="","",VLOOKUP(A337,Declarations!B$6:C$293,2,FALSE)))</f>
        <v/>
      </c>
      <c r="C337" s="161" t="str">
        <f>IF(ISNA(VLOOKUP(A337,Declarations!B$6:F$293,5,FALSE)),"",IF(VLOOKUP(A337,Declarations!B$6:F$293,5,FALSE)="","",VLOOKUP(A337,Declarations!B$6:F$293,5,FALSE)))</f>
        <v/>
      </c>
      <c r="D337" s="161" t="str">
        <f>IF(ISNA(VLOOKUP(A337,Declarations!B$6:F$293,4,FALSE)),"",IF(VLOOKUP(A337,Declarations!B$6:F$293,4,FALSE)="","",VLOOKUP(A337,Declarations!B$6:F$293,4,FALSE)))</f>
        <v/>
      </c>
      <c r="E337" s="161" t="str">
        <f>IF(ISNA(VLOOKUP(A337,Declarations!B$6:D$293,3,FALSE)),"",IF(VLOOKUP(A337,Declarations!B$6:D$293,3,FALSE)="","",VLOOKUP(A337,Declarations!B$6:D$293,3,FALSE)))</f>
        <v/>
      </c>
      <c r="F337" s="51" t="str">
        <f>IF(B337="","",IF(ISNA(VLOOKUP(A337,'75m'!F$5:G$302,2,FALSE)),"",VLOOKUP(A337,'75m'!F$5:G$302,2,FALSE)))</f>
        <v/>
      </c>
      <c r="G337" s="51">
        <f>IF(B337="",0,IF(ISNA(VLOOKUP(A337,'75m'!F$5:J$302,5,FALSE)),0,VLOOKUP(A337,'75m'!F$5:J$302,5,FALSE)))</f>
        <v>0</v>
      </c>
      <c r="H337" s="51" t="str">
        <f>IF(B337="","",IF(ISNA(VLOOKUP(A337,'75m'!F$5:K$302,6,FALSE)),"",VLOOKUP(A337,'75m'!F$5:K$302,6,FALSE)))</f>
        <v/>
      </c>
      <c r="I337" s="53">
        <f>IF(B337="",0,IF(ISNA(VLOOKUP(A337,'600m'!F$5:J$302,2,FALSE)),0,VLOOKUP(A337,'600m'!F$5:J$302,2,FALSE)))</f>
        <v>0</v>
      </c>
      <c r="J337" s="51">
        <f>IF(B337="",0,IF(ISNA(VLOOKUP(A337,'600m'!F$5:J$302,5,FALSE)),0,VLOOKUP(A337,'600m'!F$5:J$302,5,FALSE)))</f>
        <v>0</v>
      </c>
      <c r="K337" s="51" t="str">
        <f>IF(B337="","",IF(ISNA(VLOOKUP(A337,'600m'!F$5:K$302,6,FALSE)),"",VLOOKUP(A337,'600m'!F$5:K$302,6,FALSE)))</f>
        <v/>
      </c>
      <c r="L337" s="51" t="str">
        <f>IF(B337="","",IF(ISNA(VLOOKUP(A337,LongJump!F$5:G$302,2,FALSE)),"",VLOOKUP(A337,LongJump!F$5:G$302,2,FALSE)))</f>
        <v/>
      </c>
      <c r="M337" s="51">
        <f>IF(B337="",0,IF(ISNA(VLOOKUP(A337,LongJump!F$5:J$302,5,FALSE)),0,VLOOKUP(A337,LongJump!F$5:J$302,5,FALSE)))</f>
        <v>0</v>
      </c>
      <c r="N337" s="51">
        <f>IF(B337="",0,IF(ISNA(VLOOKUP(A337,LongJump!F$5:K$302,6,FALSE)),0,VLOOKUP(A337,LongJump!F$5:K$302,6,FALSE)))</f>
        <v>0</v>
      </c>
      <c r="O337" s="51" t="str">
        <f>IF(B337="","",IF(ISNA(VLOOKUP(A337,Vortex!F$5:J$302,2,FALSE)),"",VLOOKUP(A337,Vortex!F$5:J$302,2,FALSE)))</f>
        <v/>
      </c>
      <c r="P337" s="51">
        <f>IF(B337="",0,IF(ISNA(VLOOKUP(A337,Vortex!F$5:J$302,5,FALSE)),0,VLOOKUP(A337,Vortex!F$5:J$302,5,FALSE)))</f>
        <v>0</v>
      </c>
      <c r="Q337" s="51">
        <f t="shared" si="34"/>
        <v>0</v>
      </c>
      <c r="R337" s="51" t="str">
        <f t="shared" si="30"/>
        <v/>
      </c>
      <c r="S337" s="51" t="str">
        <f t="shared" si="31"/>
        <v/>
      </c>
      <c r="T337" s="51" t="str">
        <f t="shared" si="32"/>
        <v/>
      </c>
      <c r="U337" s="51" t="str">
        <f t="shared" si="33"/>
        <v/>
      </c>
    </row>
    <row r="338" spans="1:35" ht="25">
      <c r="A338" s="51" t="str">
        <f>IF(Declarations!B290=0,"",Declarations!B290)</f>
        <v/>
      </c>
      <c r="B338" s="161" t="str">
        <f>IF(ISNA(VLOOKUP(A338,Declarations!B$6:C$293,2,FALSE)),"",IF(VLOOKUP(A338,Declarations!B$6:C$293,2,FALSE)="","",VLOOKUP(A338,Declarations!B$6:C$293,2,FALSE)))</f>
        <v/>
      </c>
      <c r="C338" s="161" t="str">
        <f>IF(ISNA(VLOOKUP(A338,Declarations!B$6:F$293,5,FALSE)),"",IF(VLOOKUP(A338,Declarations!B$6:F$293,5,FALSE)="","",VLOOKUP(A338,Declarations!B$6:F$293,5,FALSE)))</f>
        <v/>
      </c>
      <c r="D338" s="161" t="str">
        <f>IF(ISNA(VLOOKUP(A338,Declarations!B$6:F$293,4,FALSE)),"",IF(VLOOKUP(A338,Declarations!B$6:F$293,4,FALSE)="","",VLOOKUP(A338,Declarations!B$6:F$293,4,FALSE)))</f>
        <v/>
      </c>
      <c r="E338" s="161" t="str">
        <f>IF(ISNA(VLOOKUP(A338,Declarations!B$6:D$293,3,FALSE)),"",IF(VLOOKUP(A338,Declarations!B$6:D$293,3,FALSE)="","",VLOOKUP(A338,Declarations!B$6:D$293,3,FALSE)))</f>
        <v/>
      </c>
      <c r="F338" s="51" t="str">
        <f>IF(B338="","",IF(ISNA(VLOOKUP(A338,'75m'!F$5:G$302,2,FALSE)),"",VLOOKUP(A338,'75m'!F$5:G$302,2,FALSE)))</f>
        <v/>
      </c>
      <c r="G338" s="51">
        <f>IF(B338="",0,IF(ISNA(VLOOKUP(A338,'75m'!F$5:J$302,5,FALSE)),0,VLOOKUP(A338,'75m'!F$5:J$302,5,FALSE)))</f>
        <v>0</v>
      </c>
      <c r="H338" s="51" t="str">
        <f>IF(B338="","",IF(ISNA(VLOOKUP(A338,'75m'!F$5:K$302,6,FALSE)),"",VLOOKUP(A338,'75m'!F$5:K$302,6,FALSE)))</f>
        <v/>
      </c>
      <c r="I338" s="53">
        <f>IF(B338="",0,IF(ISNA(VLOOKUP(A338,'600m'!F$5:J$302,2,FALSE)),0,VLOOKUP(A338,'600m'!F$5:J$302,2,FALSE)))</f>
        <v>0</v>
      </c>
      <c r="J338" s="51">
        <f>IF(B338="",0,IF(ISNA(VLOOKUP(A338,'600m'!F$5:J$302,5,FALSE)),0,VLOOKUP(A338,'600m'!F$5:J$302,5,FALSE)))</f>
        <v>0</v>
      </c>
      <c r="K338" s="51" t="str">
        <f>IF(B338="","",IF(ISNA(VLOOKUP(A338,'600m'!F$5:K$302,6,FALSE)),"",VLOOKUP(A338,'600m'!F$5:K$302,6,FALSE)))</f>
        <v/>
      </c>
      <c r="L338" s="51" t="str">
        <f>IF(B338="","",IF(ISNA(VLOOKUP(A338,LongJump!F$5:G$302,2,FALSE)),"",VLOOKUP(A338,LongJump!F$5:G$302,2,FALSE)))</f>
        <v/>
      </c>
      <c r="M338" s="51">
        <f>IF(B338="",0,IF(ISNA(VLOOKUP(A338,LongJump!F$5:J$302,5,FALSE)),0,VLOOKUP(A338,LongJump!F$5:J$302,5,FALSE)))</f>
        <v>0</v>
      </c>
      <c r="N338" s="51">
        <f>IF(B338="",0,IF(ISNA(VLOOKUP(A338,LongJump!F$5:K$302,6,FALSE)),0,VLOOKUP(A338,LongJump!F$5:K$302,6,FALSE)))</f>
        <v>0</v>
      </c>
      <c r="O338" s="51" t="str">
        <f>IF(B338="","",IF(ISNA(VLOOKUP(A338,Vortex!F$5:J$302,2,FALSE)),"",VLOOKUP(A338,Vortex!F$5:J$302,2,FALSE)))</f>
        <v/>
      </c>
      <c r="P338" s="51">
        <f>IF(B338="",0,IF(ISNA(VLOOKUP(A338,Vortex!F$5:J$302,5,FALSE)),0,VLOOKUP(A338,Vortex!F$5:J$302,5,FALSE)))</f>
        <v>0</v>
      </c>
      <c r="Q338" s="51">
        <f t="shared" si="34"/>
        <v>0</v>
      </c>
      <c r="R338" s="51" t="str">
        <f t="shared" si="30"/>
        <v/>
      </c>
      <c r="S338" s="51" t="str">
        <f t="shared" si="31"/>
        <v/>
      </c>
      <c r="T338" s="51" t="str">
        <f t="shared" si="32"/>
        <v/>
      </c>
      <c r="U338" s="51" t="str">
        <f t="shared" si="33"/>
        <v/>
      </c>
      <c r="Z338" s="94"/>
      <c r="AA338" s="94"/>
      <c r="AB338" s="94"/>
      <c r="AC338" s="94"/>
      <c r="AD338" s="94"/>
      <c r="AE338" s="94"/>
      <c r="AF338" s="94"/>
      <c r="AG338" s="94"/>
      <c r="AH338" s="94"/>
      <c r="AI338" s="94"/>
    </row>
    <row r="339" spans="1:35">
      <c r="A339" s="51" t="str">
        <f>IF(Declarations!B291=0,"",Declarations!B291)</f>
        <v/>
      </c>
      <c r="B339" s="161" t="str">
        <f>IF(ISNA(VLOOKUP(A339,Declarations!B$6:C$293,2,FALSE)),"",IF(VLOOKUP(A339,Declarations!B$6:C$293,2,FALSE)="","",VLOOKUP(A339,Declarations!B$6:C$293,2,FALSE)))</f>
        <v/>
      </c>
      <c r="C339" s="161" t="str">
        <f>IF(ISNA(VLOOKUP(A339,Declarations!B$6:F$293,5,FALSE)),"",IF(VLOOKUP(A339,Declarations!B$6:F$293,5,FALSE)="","",VLOOKUP(A339,Declarations!B$6:F$293,5,FALSE)))</f>
        <v/>
      </c>
      <c r="D339" s="161" t="str">
        <f>IF(ISNA(VLOOKUP(A339,Declarations!B$6:F$293,4,FALSE)),"",IF(VLOOKUP(A339,Declarations!B$6:F$293,4,FALSE)="","",VLOOKUP(A339,Declarations!B$6:F$293,4,FALSE)))</f>
        <v/>
      </c>
      <c r="E339" s="161" t="str">
        <f>IF(ISNA(VLOOKUP(A339,Declarations!B$6:D$293,3,FALSE)),"",IF(VLOOKUP(A339,Declarations!B$6:D$293,3,FALSE)="","",VLOOKUP(A339,Declarations!B$6:D$293,3,FALSE)))</f>
        <v/>
      </c>
      <c r="F339" s="51" t="str">
        <f>IF(B339="","",IF(ISNA(VLOOKUP(A339,'75m'!F$5:G$302,2,FALSE)),"",VLOOKUP(A339,'75m'!F$5:G$302,2,FALSE)))</f>
        <v/>
      </c>
      <c r="G339" s="51">
        <f>IF(B339="",0,IF(ISNA(VLOOKUP(A339,'75m'!F$5:J$302,5,FALSE)),0,VLOOKUP(A339,'75m'!F$5:J$302,5,FALSE)))</f>
        <v>0</v>
      </c>
      <c r="H339" s="51" t="str">
        <f>IF(B339="","",IF(ISNA(VLOOKUP(A339,'75m'!F$5:K$302,6,FALSE)),"",VLOOKUP(A339,'75m'!F$5:K$302,6,FALSE)))</f>
        <v/>
      </c>
      <c r="I339" s="53">
        <f>IF(B339="",0,IF(ISNA(VLOOKUP(A339,'600m'!F$5:J$302,2,FALSE)),0,VLOOKUP(A339,'600m'!F$5:J$302,2,FALSE)))</f>
        <v>0</v>
      </c>
      <c r="J339" s="51">
        <f>IF(B339="",0,IF(ISNA(VLOOKUP(A339,'600m'!F$5:J$302,5,FALSE)),0,VLOOKUP(A339,'600m'!F$5:J$302,5,FALSE)))</f>
        <v>0</v>
      </c>
      <c r="K339" s="51" t="str">
        <f>IF(B339="","",IF(ISNA(VLOOKUP(A339,'600m'!F$5:K$302,6,FALSE)),"",VLOOKUP(A339,'600m'!F$5:K$302,6,FALSE)))</f>
        <v/>
      </c>
      <c r="L339" s="51" t="str">
        <f>IF(B339="","",IF(ISNA(VLOOKUP(A339,LongJump!F$5:G$302,2,FALSE)),"",VLOOKUP(A339,LongJump!F$5:G$302,2,FALSE)))</f>
        <v/>
      </c>
      <c r="M339" s="51">
        <f>IF(B339="",0,IF(ISNA(VLOOKUP(A339,LongJump!F$5:J$302,5,FALSE)),0,VLOOKUP(A339,LongJump!F$5:J$302,5,FALSE)))</f>
        <v>0</v>
      </c>
      <c r="N339" s="51">
        <f>IF(B339="",0,IF(ISNA(VLOOKUP(A339,LongJump!F$5:K$302,6,FALSE)),0,VLOOKUP(A339,LongJump!F$5:K$302,6,FALSE)))</f>
        <v>0</v>
      </c>
      <c r="O339" s="51" t="str">
        <f>IF(B339="","",IF(ISNA(VLOOKUP(A339,Vortex!F$5:J$302,2,FALSE)),"",VLOOKUP(A339,Vortex!F$5:J$302,2,FALSE)))</f>
        <v/>
      </c>
      <c r="P339" s="51">
        <f>IF(B339="",0,IF(ISNA(VLOOKUP(A339,Vortex!F$5:J$302,5,FALSE)),0,VLOOKUP(A339,Vortex!F$5:J$302,5,FALSE)))</f>
        <v>0</v>
      </c>
      <c r="Q339" s="51">
        <f t="shared" si="34"/>
        <v>0</v>
      </c>
      <c r="R339" s="51" t="str">
        <f t="shared" si="30"/>
        <v/>
      </c>
      <c r="S339" s="51" t="str">
        <f t="shared" si="31"/>
        <v/>
      </c>
      <c r="T339" s="51" t="str">
        <f t="shared" si="32"/>
        <v/>
      </c>
      <c r="U339" s="51" t="str">
        <f t="shared" si="33"/>
        <v/>
      </c>
    </row>
    <row r="340" spans="1:35">
      <c r="A340" s="51" t="str">
        <f>IF(Declarations!B292=0,"",Declarations!B292)</f>
        <v/>
      </c>
      <c r="B340" s="161" t="str">
        <f>IF(ISNA(VLOOKUP(A340,Declarations!B$6:C$293,2,FALSE)),"",IF(VLOOKUP(A340,Declarations!B$6:C$293,2,FALSE)="","",VLOOKUP(A340,Declarations!B$6:C$293,2,FALSE)))</f>
        <v/>
      </c>
      <c r="C340" s="161" t="str">
        <f>IF(ISNA(VLOOKUP(A340,Declarations!B$6:F$293,5,FALSE)),"",IF(VLOOKUP(A340,Declarations!B$6:F$293,5,FALSE)="","",VLOOKUP(A340,Declarations!B$6:F$293,5,FALSE)))</f>
        <v/>
      </c>
      <c r="D340" s="161" t="str">
        <f>IF(ISNA(VLOOKUP(A340,Declarations!B$6:F$293,4,FALSE)),"",IF(VLOOKUP(A340,Declarations!B$6:F$293,4,FALSE)="","",VLOOKUP(A340,Declarations!B$6:F$293,4,FALSE)))</f>
        <v/>
      </c>
      <c r="E340" s="161" t="str">
        <f>IF(ISNA(VLOOKUP(A340,Declarations!B$6:D$293,3,FALSE)),"",IF(VLOOKUP(A340,Declarations!B$6:D$293,3,FALSE)="","",VLOOKUP(A340,Declarations!B$6:D$293,3,FALSE)))</f>
        <v/>
      </c>
      <c r="F340" s="51" t="str">
        <f>IF(B340="","",IF(ISNA(VLOOKUP(A340,'75m'!F$5:G$302,2,FALSE)),"",VLOOKUP(A340,'75m'!F$5:G$302,2,FALSE)))</f>
        <v/>
      </c>
      <c r="G340" s="51">
        <f>IF(B340="",0,IF(ISNA(VLOOKUP(A340,'75m'!F$5:J$302,5,FALSE)),0,VLOOKUP(A340,'75m'!F$5:J$302,5,FALSE)))</f>
        <v>0</v>
      </c>
      <c r="H340" s="51" t="str">
        <f>IF(B340="","",IF(ISNA(VLOOKUP(A340,'75m'!F$5:K$302,6,FALSE)),"",VLOOKUP(A340,'75m'!F$5:K$302,6,FALSE)))</f>
        <v/>
      </c>
      <c r="I340" s="53">
        <f>IF(B340="",0,IF(ISNA(VLOOKUP(A340,'600m'!F$5:J$302,2,FALSE)),0,VLOOKUP(A340,'600m'!F$5:J$302,2,FALSE)))</f>
        <v>0</v>
      </c>
      <c r="J340" s="51">
        <f>IF(B340="",0,IF(ISNA(VLOOKUP(A340,'600m'!F$5:J$302,5,FALSE)),0,VLOOKUP(A340,'600m'!F$5:J$302,5,FALSE)))</f>
        <v>0</v>
      </c>
      <c r="K340" s="51" t="str">
        <f>IF(B340="","",IF(ISNA(VLOOKUP(A340,'600m'!F$5:K$302,6,FALSE)),"",VLOOKUP(A340,'600m'!F$5:K$302,6,FALSE)))</f>
        <v/>
      </c>
      <c r="L340" s="51" t="str">
        <f>IF(B340="","",IF(ISNA(VLOOKUP(A340,LongJump!F$5:G$302,2,FALSE)),"",VLOOKUP(A340,LongJump!F$5:G$302,2,FALSE)))</f>
        <v/>
      </c>
      <c r="M340" s="51">
        <f>IF(B340="",0,IF(ISNA(VLOOKUP(A340,LongJump!F$5:J$302,5,FALSE)),0,VLOOKUP(A340,LongJump!F$5:J$302,5,FALSE)))</f>
        <v>0</v>
      </c>
      <c r="N340" s="51">
        <f>IF(B340="",0,IF(ISNA(VLOOKUP(A340,LongJump!F$5:K$302,6,FALSE)),0,VLOOKUP(A340,LongJump!F$5:K$302,6,FALSE)))</f>
        <v>0</v>
      </c>
      <c r="O340" s="51" t="str">
        <f>IF(B340="","",IF(ISNA(VLOOKUP(A340,Vortex!F$5:J$302,2,FALSE)),"",VLOOKUP(A340,Vortex!F$5:J$302,2,FALSE)))</f>
        <v/>
      </c>
      <c r="P340" s="51">
        <f>IF(B340="",0,IF(ISNA(VLOOKUP(A340,Vortex!F$5:J$302,5,FALSE)),0,VLOOKUP(A340,Vortex!F$5:J$302,5,FALSE)))</f>
        <v>0</v>
      </c>
      <c r="Q340" s="51">
        <f t="shared" si="34"/>
        <v>0</v>
      </c>
      <c r="R340" s="51" t="str">
        <f t="shared" si="30"/>
        <v/>
      </c>
      <c r="S340" s="51" t="str">
        <f t="shared" si="31"/>
        <v/>
      </c>
      <c r="T340" s="51" t="str">
        <f t="shared" si="32"/>
        <v/>
      </c>
      <c r="U340" s="51" t="str">
        <f t="shared" si="33"/>
        <v/>
      </c>
    </row>
    <row r="341" spans="1:35">
      <c r="A341" s="51" t="str">
        <f>IF(Declarations!B293=0,"",Declarations!B293)</f>
        <v/>
      </c>
      <c r="B341" s="161" t="str">
        <f>IF(ISNA(VLOOKUP(A341,Declarations!B$6:C$293,2,FALSE)),"",IF(VLOOKUP(A341,Declarations!B$6:C$293,2,FALSE)="","",VLOOKUP(A341,Declarations!B$6:C$293,2,FALSE)))</f>
        <v/>
      </c>
      <c r="C341" s="161" t="str">
        <f>IF(ISNA(VLOOKUP(A341,Declarations!B$6:F$293,5,FALSE)),"",IF(VLOOKUP(A341,Declarations!B$6:F$293,5,FALSE)="","",VLOOKUP(A341,Declarations!B$6:F$293,5,FALSE)))</f>
        <v/>
      </c>
      <c r="D341" s="161" t="str">
        <f>IF(ISNA(VLOOKUP(A341,Declarations!B$6:F$293,4,FALSE)),"",IF(VLOOKUP(A341,Declarations!B$6:F$293,4,FALSE)="","",VLOOKUP(A341,Declarations!B$6:F$293,4,FALSE)))</f>
        <v/>
      </c>
      <c r="E341" s="161" t="str">
        <f>IF(ISNA(VLOOKUP(A341,Declarations!B$6:D$293,3,FALSE)),"",IF(VLOOKUP(A341,Declarations!B$6:D$293,3,FALSE)="","",VLOOKUP(A341,Declarations!B$6:D$293,3,FALSE)))</f>
        <v/>
      </c>
      <c r="F341" s="51" t="str">
        <f>IF(B341="","",IF(ISNA(VLOOKUP(A341,'75m'!F$5:G$302,2,FALSE)),"",VLOOKUP(A341,'75m'!F$5:G$302,2,FALSE)))</f>
        <v/>
      </c>
      <c r="G341" s="51">
        <f>IF(B341="",0,IF(ISNA(VLOOKUP(A341,'75m'!F$5:J$302,5,FALSE)),0,VLOOKUP(A341,'75m'!F$5:J$302,5,FALSE)))</f>
        <v>0</v>
      </c>
      <c r="H341" s="51" t="str">
        <f>IF(B341="","",IF(ISNA(VLOOKUP(A341,'75m'!F$5:K$302,6,FALSE)),"",VLOOKUP(A341,'75m'!F$5:K$302,6,FALSE)))</f>
        <v/>
      </c>
      <c r="I341" s="53">
        <f>IF(B341="",0,IF(ISNA(VLOOKUP(A341,'600m'!F$5:J$302,2,FALSE)),0,VLOOKUP(A341,'600m'!F$5:J$302,2,FALSE)))</f>
        <v>0</v>
      </c>
      <c r="J341" s="51">
        <f>IF(B341="",0,IF(ISNA(VLOOKUP(A341,'600m'!F$5:J$302,5,FALSE)),0,VLOOKUP(A341,'600m'!F$5:J$302,5,FALSE)))</f>
        <v>0</v>
      </c>
      <c r="K341" s="51" t="str">
        <f>IF(B341="","",IF(ISNA(VLOOKUP(A341,'600m'!F$5:K$302,6,FALSE)),"",VLOOKUP(A341,'600m'!F$5:K$302,6,FALSE)))</f>
        <v/>
      </c>
      <c r="L341" s="51" t="str">
        <f>IF(B341="","",IF(ISNA(VLOOKUP(A341,LongJump!F$5:G$302,2,FALSE)),"",VLOOKUP(A341,LongJump!F$5:G$302,2,FALSE)))</f>
        <v/>
      </c>
      <c r="M341" s="51">
        <f>IF(B341="",0,IF(ISNA(VLOOKUP(A341,LongJump!F$5:J$302,5,FALSE)),0,VLOOKUP(A341,LongJump!F$5:J$302,5,FALSE)))</f>
        <v>0</v>
      </c>
      <c r="N341" s="51">
        <f>IF(B341="",0,IF(ISNA(VLOOKUP(A341,LongJump!F$5:K$302,6,FALSE)),0,VLOOKUP(A341,LongJump!F$5:K$302,6,FALSE)))</f>
        <v>0</v>
      </c>
      <c r="O341" s="51" t="str">
        <f>IF(B341="","",IF(ISNA(VLOOKUP(A341,Vortex!F$5:J$302,2,FALSE)),"",VLOOKUP(A341,Vortex!F$5:J$302,2,FALSE)))</f>
        <v/>
      </c>
      <c r="P341" s="51">
        <f>IF(B341="",0,IF(ISNA(VLOOKUP(A341,Vortex!F$5:J$302,5,FALSE)),0,VLOOKUP(A341,Vortex!F$5:J$302,5,FALSE)))</f>
        <v>0</v>
      </c>
      <c r="Q341" s="51">
        <f t="shared" si="34"/>
        <v>0</v>
      </c>
      <c r="R341" s="51" t="str">
        <f t="shared" si="30"/>
        <v/>
      </c>
      <c r="S341" s="51" t="str">
        <f t="shared" si="31"/>
        <v/>
      </c>
      <c r="T341" s="51" t="str">
        <f t="shared" si="32"/>
        <v/>
      </c>
      <c r="U341" s="51" t="str">
        <f t="shared" si="33"/>
        <v/>
      </c>
    </row>
    <row r="342" spans="1:35">
      <c r="V342" s="186"/>
    </row>
    <row r="343" spans="1:35">
      <c r="A343" s="134" t="str">
        <f>'Read Me First'!C11</f>
        <v>Abingdon AC</v>
      </c>
      <c r="B343" s="134" t="s">
        <v>59</v>
      </c>
      <c r="C343" s="134" t="s">
        <v>150</v>
      </c>
      <c r="D343" s="52" cm="1">
        <f t="array" ref="D343">IF(IFERROR(ROWS(_xlfn._xlws.FILTER($A$54:$A$341,($C$54:$C$341=A343)*($D$54:$D$341=B343)*($E$54:$E$341=C343))),0)=0, 0,SUM(LARGE(_xlfn._xlws.FILTER($Q$54:$Q$341,($C$54:$C$341=A343)*($D$54:$D$341=B343)*($E$54:$E$341=C343)),_xlfn.SEQUENCE(IF(IFERROR(ROWS(_xlfn._xlws.FILTER($A$54:$A$341,($C$54:$C$341=A343)*($D$54:$D$341=B343)*($E$54:$E$341=C343))),0)&gt;3, 4, IFERROR(ROWS(_xlfn._xlws.FILTER($A$54:$A$341,($C$54:$C$341=A343)*($D$54:$D$341=B343)*($E$54:$E$341=C343))),0))))))</f>
        <v>0</v>
      </c>
      <c r="E343" s="51" t="str">
        <f t="shared" ref="E343:E349" si="35">IF(D343=0,"",RANK(D343,D$343:D$350))</f>
        <v/>
      </c>
      <c r="F343" s="51">
        <f>IF(E343="", 0, 9-E343)</f>
        <v>0</v>
      </c>
      <c r="G343" s="134" t="str">
        <f>A343</f>
        <v>Abingdon AC</v>
      </c>
      <c r="H343" s="134" t="s">
        <v>59</v>
      </c>
      <c r="I343" s="134" t="s">
        <v>145</v>
      </c>
      <c r="J343" s="52" cm="1">
        <f t="array" ref="J343">IF(IFERROR(ROWS(_xlfn._xlws.FILTER($A$54:$A$341,($C$54:$C$341=G343)*($D$54:$D$341=H343)*($E$54:$E$341=I343))),0)=0, 0,SUM(LARGE(_xlfn._xlws.FILTER($Q$54:$Q$341,($C$54:$C$341=G343)*($D$54:$D$341=H343)*($E$54:$E$341=I343)),_xlfn.SEQUENCE(IF(IFERROR(ROWS(_xlfn._xlws.FILTER($A$54:$A$341,($C$54:$C$341=G343)*($D$54:$D$341=H343)*($E$54:$E$341=I343))),0)&gt;3, 4, IFERROR(ROWS(_xlfn._xlws.FILTER($A$54:$A$341,($C$54:$C$341=G343)*($D$54:$D$341=H343)*($E$54:$E$341=I343))),0))))))</f>
        <v>0</v>
      </c>
      <c r="K343" s="51" t="str">
        <f t="shared" ref="K343:K350" si="36">IF(J343=0,"",RANK(J343,J$343:J$350))</f>
        <v/>
      </c>
      <c r="L343" s="51">
        <f t="shared" ref="L343:L350" si="37">IF(K343="", 0, 9-K343)</f>
        <v>0</v>
      </c>
      <c r="M343" s="134" t="str">
        <f>G343</f>
        <v>Abingdon AC</v>
      </c>
      <c r="N343" s="134" t="s">
        <v>60</v>
      </c>
      <c r="O343" s="134" t="s">
        <v>150</v>
      </c>
      <c r="P343" s="52" cm="1">
        <f t="array" ref="P343">IF(IFERROR(ROWS(_xlfn._xlws.FILTER($A$54:$A$341,($C$54:$C$341=M343)*($D$54:$D$341=N343)*($E$54:$E$341=O343))),0)=0, 0,SUM(LARGE(_xlfn._xlws.FILTER($Q$54:$Q$341,($C$54:$C$341=M343)*($D$54:$D$341=N343)*($E$54:$E$341=O343)),_xlfn.SEQUENCE(IF(IFERROR(ROWS(_xlfn._xlws.FILTER($A$54:$A$341,($C$54:$C$341=M343)*($D$54:$D$341=N343)*($E$54:$E$341=O343))),0)&gt;3, 4, IFERROR(ROWS(_xlfn._xlws.FILTER($A$54:$A$341,($C$54:$C$341=M343)*($D$54:$D$341=N343)*($E$54:$E$341=O343))),0))))))</f>
        <v>0</v>
      </c>
      <c r="Q343" s="51" t="str">
        <f>IF(P343=0,"",RANK(P343,P$343:P$350))</f>
        <v/>
      </c>
      <c r="R343" s="51">
        <f>IF(Q343="", 0, 9-Q343)</f>
        <v>0</v>
      </c>
      <c r="S343" s="134" t="str">
        <f>M343</f>
        <v>Abingdon AC</v>
      </c>
      <c r="T343" s="134" t="s">
        <v>60</v>
      </c>
      <c r="U343" s="134" t="s">
        <v>145</v>
      </c>
      <c r="V343" s="52" cm="1">
        <f t="array" ref="V343">IF(IFERROR(ROWS(_xlfn._xlws.FILTER($A$54:$A$341,($C$54:$C$341=S343)*($D$54:$D$341=T343)*($E$54:$E$341=U343))),0)=0, 0,SUM(LARGE(_xlfn._xlws.FILTER($Q$54:$Q$341,($C$54:$C$341=S343)*($D$54:$D$341=T343)*($E$54:$E$341=U343)),_xlfn.SEQUENCE(IF(IFERROR(ROWS(_xlfn._xlws.FILTER($A$54:$A$341,($C$54:$C$341=S343)*($D$54:$D$341=T343)*($E$54:$E$341=U343))),0)&gt;3, 4, IFERROR(ROWS(_xlfn._xlws.FILTER($A$54:$A$341,($C$54:$C$341=S343)*($D$54:$D$341=T343)*($E$54:$E$341=U343))),0))))))</f>
        <v>0</v>
      </c>
      <c r="W343" s="51" t="str">
        <f t="shared" ref="W343:W350" si="38">IF(V343=0,"",RANK(V343,V$343:V$350))</f>
        <v/>
      </c>
      <c r="X343" s="51">
        <f>IF(W343="", 0, 9-W343)</f>
        <v>0</v>
      </c>
    </row>
    <row r="344" spans="1:35">
      <c r="A344" s="134" t="str">
        <f>'Read Me First'!C12</f>
        <v>Banbury Harriers AC</v>
      </c>
      <c r="B344" s="134" t="s">
        <v>59</v>
      </c>
      <c r="C344" s="134" t="s">
        <v>150</v>
      </c>
      <c r="D344" s="52" cm="1">
        <f t="array" ref="D344">IF(IFERROR(ROWS(_xlfn._xlws.FILTER($A$54:$A$341,($C$54:$C$341=A344)*($D$54:$D$341=B344)*($E$54:$E$341=C344))),0)=0, 0,SUM(LARGE(_xlfn._xlws.FILTER($Q$54:$Q$341,($C$54:$C$341=A344)*($D$54:$D$341=B344)*($E$54:$E$341=C344)),_xlfn.SEQUENCE(IF(IFERROR(ROWS(_xlfn._xlws.FILTER($A$54:$A$341,($C$54:$C$341=A344)*($D$54:$D$341=B344)*($E$54:$E$341=C344))),0)&gt;3, 4, IFERROR(ROWS(_xlfn._xlws.FILTER($A$54:$A$341,($C$54:$C$341=A344)*($D$54:$D$341=B344)*($E$54:$E$341=C344))),0))))))</f>
        <v>0</v>
      </c>
      <c r="E344" s="51" t="str">
        <f t="shared" si="35"/>
        <v/>
      </c>
      <c r="F344" s="51">
        <f t="shared" ref="F344:F350" si="39">IF(E344="", 0, 9-E344)</f>
        <v>0</v>
      </c>
      <c r="G344" s="134" t="str">
        <f t="shared" ref="G344:G351" si="40">A344</f>
        <v>Banbury Harriers AC</v>
      </c>
      <c r="H344" s="134" t="s">
        <v>59</v>
      </c>
      <c r="I344" s="134" t="s">
        <v>145</v>
      </c>
      <c r="J344" s="52" cm="1">
        <f t="array" ref="J344">IF(IFERROR(ROWS(_xlfn._xlws.FILTER($A$54:$A$341,($C$54:$C$341=G344)*($D$54:$D$341=H344)*($E$54:$E$341=I344))),0)=0, 0,SUM(LARGE(_xlfn._xlws.FILTER($Q$54:$Q$341,($C$54:$C$341=G344)*($D$54:$D$341=H344)*($E$54:$E$341=I344)),_xlfn.SEQUENCE(IF(IFERROR(ROWS(_xlfn._xlws.FILTER($A$54:$A$341,($C$54:$C$341=G344)*($D$54:$D$341=H344)*($E$54:$E$341=I344))),0)&gt;3, 4, IFERROR(ROWS(_xlfn._xlws.FILTER($A$54:$A$341,($C$54:$C$341=G344)*($D$54:$D$341=H344)*($E$54:$E$341=I344))),0))))))</f>
        <v>0</v>
      </c>
      <c r="K344" s="51" t="str">
        <f t="shared" si="36"/>
        <v/>
      </c>
      <c r="L344" s="51">
        <f t="shared" si="37"/>
        <v>0</v>
      </c>
      <c r="M344" s="134" t="str">
        <f t="shared" ref="M344:M351" si="41">G344</f>
        <v>Banbury Harriers AC</v>
      </c>
      <c r="N344" s="134" t="s">
        <v>60</v>
      </c>
      <c r="O344" s="134" t="s">
        <v>150</v>
      </c>
      <c r="P344" s="52" cm="1">
        <f t="array" ref="P344">IF(IFERROR(ROWS(_xlfn._xlws.FILTER($A$54:$A$341,($C$54:$C$341=M344)*($D$54:$D$341=N344)*($E$54:$E$341=O344))),0)=0, 0,SUM(LARGE(_xlfn._xlws.FILTER($Q$54:$Q$341,($C$54:$C$341=M344)*($D$54:$D$341=N344)*($E$54:$E$341=O344)),_xlfn.SEQUENCE(IF(IFERROR(ROWS(_xlfn._xlws.FILTER($A$54:$A$341,($C$54:$C$341=M344)*($D$54:$D$341=N344)*($E$54:$E$341=O344))),0)&gt;3, 4, IFERROR(ROWS(_xlfn._xlws.FILTER($A$54:$A$341,($C$54:$C$341=M344)*($D$54:$D$341=N344)*($E$54:$E$341=O344))),0))))))</f>
        <v>0</v>
      </c>
      <c r="Q344" s="51" t="str">
        <f t="shared" ref="Q344:Q350" si="42">IF(P344=0,"",RANK(P344,P$343:P$350))</f>
        <v/>
      </c>
      <c r="R344" s="51">
        <f t="shared" ref="R344:R350" si="43">IF(Q344="", 0, 9-Q344)</f>
        <v>0</v>
      </c>
      <c r="S344" s="134" t="str">
        <f t="shared" ref="S344:S351" si="44">M344</f>
        <v>Banbury Harriers AC</v>
      </c>
      <c r="T344" s="134" t="s">
        <v>60</v>
      </c>
      <c r="U344" s="134" t="s">
        <v>145</v>
      </c>
      <c r="V344" s="52" cm="1">
        <f t="array" ref="V344">IF(IFERROR(ROWS(_xlfn._xlws.FILTER($A$54:$A$341,($C$54:$C$341=S344)*($D$54:$D$341=T344)*($E$54:$E$341=U344))),0)=0, 0,SUM(LARGE(_xlfn._xlws.FILTER($Q$54:$Q$341,($C$54:$C$341=S344)*($D$54:$D$341=T344)*($E$54:$E$341=U344)),_xlfn.SEQUENCE(IF(IFERROR(ROWS(_xlfn._xlws.FILTER($A$54:$A$341,($C$54:$C$341=S344)*($D$54:$D$341=T344)*($E$54:$E$341=U344))),0)&gt;3, 4, IFERROR(ROWS(_xlfn._xlws.FILTER($A$54:$A$341,($C$54:$C$341=S344)*($D$54:$D$341=T344)*($E$54:$E$341=U344))),0))))))</f>
        <v>0</v>
      </c>
      <c r="W344" s="51" t="str">
        <f t="shared" si="38"/>
        <v/>
      </c>
      <c r="X344" s="51">
        <f t="shared" ref="X344:X350" si="45">IF(W344="", 0, 9-W344)</f>
        <v>0</v>
      </c>
    </row>
    <row r="345" spans="1:35">
      <c r="A345" s="134" t="str">
        <f>'Read Me First'!C13</f>
        <v>Bicester AC</v>
      </c>
      <c r="B345" s="134" t="s">
        <v>59</v>
      </c>
      <c r="C345" s="134" t="s">
        <v>150</v>
      </c>
      <c r="D345" s="52" cm="1">
        <f t="array" ref="D345">IF(IFERROR(ROWS(_xlfn._xlws.FILTER($A$54:$A$341,($C$54:$C$341=A345)*($D$54:$D$341=B345)*($E$54:$E$341=C345))),0)=0, 0,SUM(LARGE(_xlfn._xlws.FILTER($Q$54:$Q$341,($C$54:$C$341=A345)*($D$54:$D$341=B345)*($E$54:$E$341=C345)),_xlfn.SEQUENCE(IF(IFERROR(ROWS(_xlfn._xlws.FILTER($A$54:$A$341,($C$54:$C$341=A345)*($D$54:$D$341=B345)*($E$54:$E$341=C345))),0)&gt;3, 4, IFERROR(ROWS(_xlfn._xlws.FILTER($A$54:$A$341,($C$54:$C$341=A345)*($D$54:$D$341=B345)*($E$54:$E$341=C345))),0))))))</f>
        <v>0</v>
      </c>
      <c r="E345" s="51" t="str">
        <f t="shared" si="35"/>
        <v/>
      </c>
      <c r="F345" s="51">
        <f t="shared" si="39"/>
        <v>0</v>
      </c>
      <c r="G345" s="134" t="str">
        <f t="shared" si="40"/>
        <v>Bicester AC</v>
      </c>
      <c r="H345" s="134" t="s">
        <v>59</v>
      </c>
      <c r="I345" s="134" t="s">
        <v>145</v>
      </c>
      <c r="J345" s="52" cm="1">
        <f t="array" ref="J345">IF(IFERROR(ROWS(_xlfn._xlws.FILTER($A$54:$A$341,($C$54:$C$341=G345)*($D$54:$D$341=H345)*($E$54:$E$341=I345))),0)=0, 0,SUM(LARGE(_xlfn._xlws.FILTER($Q$54:$Q$341,($C$54:$C$341=G345)*($D$54:$D$341=H345)*($E$54:$E$341=I345)),_xlfn.SEQUENCE(IF(IFERROR(ROWS(_xlfn._xlws.FILTER($A$54:$A$341,($C$54:$C$341=G345)*($D$54:$D$341=H345)*($E$54:$E$341=I345))),0)&gt;3, 4, IFERROR(ROWS(_xlfn._xlws.FILTER($A$54:$A$341,($C$54:$C$341=G345)*($D$54:$D$341=H345)*($E$54:$E$341=I345))),0))))))</f>
        <v>0</v>
      </c>
      <c r="K345" s="51" t="str">
        <f t="shared" si="36"/>
        <v/>
      </c>
      <c r="L345" s="51">
        <f t="shared" si="37"/>
        <v>0</v>
      </c>
      <c r="M345" s="134" t="str">
        <f t="shared" si="41"/>
        <v>Bicester AC</v>
      </c>
      <c r="N345" s="134" t="s">
        <v>60</v>
      </c>
      <c r="O345" s="134" t="s">
        <v>150</v>
      </c>
      <c r="P345" s="52" cm="1">
        <f t="array" ref="P345">IF(IFERROR(ROWS(_xlfn._xlws.FILTER($A$54:$A$341,($C$54:$C$341=M345)*($D$54:$D$341=N345)*($E$54:$E$341=O345))),0)=0, 0,SUM(LARGE(_xlfn._xlws.FILTER($Q$54:$Q$341,($C$54:$C$341=M345)*($D$54:$D$341=N345)*($E$54:$E$341=O345)),_xlfn.SEQUENCE(IF(IFERROR(ROWS(_xlfn._xlws.FILTER($A$54:$A$341,($C$54:$C$341=M345)*($D$54:$D$341=N345)*($E$54:$E$341=O345))),0)&gt;3, 4, IFERROR(ROWS(_xlfn._xlws.FILTER($A$54:$A$341,($C$54:$C$341=M345)*($D$54:$D$341=N345)*($E$54:$E$341=O345))),0))))))</f>
        <v>0</v>
      </c>
      <c r="Q345" s="51" t="str">
        <f t="shared" si="42"/>
        <v/>
      </c>
      <c r="R345" s="51">
        <f t="shared" si="43"/>
        <v>0</v>
      </c>
      <c r="S345" s="134" t="str">
        <f t="shared" si="44"/>
        <v>Bicester AC</v>
      </c>
      <c r="T345" s="134" t="s">
        <v>60</v>
      </c>
      <c r="U345" s="134" t="s">
        <v>145</v>
      </c>
      <c r="V345" s="52" cm="1">
        <f t="array" ref="V345">IF(IFERROR(ROWS(_xlfn._xlws.FILTER($A$54:$A$341,($C$54:$C$341=S345)*($D$54:$D$341=T345)*($E$54:$E$341=U345))),0)=0, 0,SUM(LARGE(_xlfn._xlws.FILTER($Q$54:$Q$341,($C$54:$C$341=S345)*($D$54:$D$341=T345)*($E$54:$E$341=U345)),_xlfn.SEQUENCE(IF(IFERROR(ROWS(_xlfn._xlws.FILTER($A$54:$A$341,($C$54:$C$341=S345)*($D$54:$D$341=T345)*($E$54:$E$341=U345))),0)&gt;3, 4, IFERROR(ROWS(_xlfn._xlws.FILTER($A$54:$A$341,($C$54:$C$341=S345)*($D$54:$D$341=T345)*($E$54:$E$341=U345))),0))))))</f>
        <v>0</v>
      </c>
      <c r="W345" s="51" t="str">
        <f t="shared" si="38"/>
        <v/>
      </c>
      <c r="X345" s="51">
        <f t="shared" si="45"/>
        <v>0</v>
      </c>
    </row>
    <row r="346" spans="1:35">
      <c r="A346" s="134" t="str">
        <f>'Read Me First'!C14</f>
        <v>Oxford City AC</v>
      </c>
      <c r="B346" s="134" t="s">
        <v>59</v>
      </c>
      <c r="C346" s="134" t="s">
        <v>150</v>
      </c>
      <c r="D346" s="52" cm="1">
        <f t="array" ref="D346">IF(IFERROR(ROWS(_xlfn._xlws.FILTER($A$54:$A$341,($C$54:$C$341=A346)*($D$54:$D$341=B346)*($E$54:$E$341=C346))),0)=0, 0,SUM(LARGE(_xlfn._xlws.FILTER($Q$54:$Q$341,($C$54:$C$341=A346)*($D$54:$D$341=B346)*($E$54:$E$341=C346)),_xlfn.SEQUENCE(IF(IFERROR(ROWS(_xlfn._xlws.FILTER($A$54:$A$341,($C$54:$C$341=A346)*($D$54:$D$341=B346)*($E$54:$E$341=C346))),0)&gt;3, 4, IFERROR(ROWS(_xlfn._xlws.FILTER($A$54:$A$341,($C$54:$C$341=A346)*($D$54:$D$341=B346)*($E$54:$E$341=C346))),0))))))</f>
        <v>0</v>
      </c>
      <c r="E346" s="51" t="str">
        <f t="shared" si="35"/>
        <v/>
      </c>
      <c r="F346" s="51">
        <f t="shared" si="39"/>
        <v>0</v>
      </c>
      <c r="G346" s="134" t="str">
        <f t="shared" si="40"/>
        <v>Oxford City AC</v>
      </c>
      <c r="H346" s="134" t="s">
        <v>59</v>
      </c>
      <c r="I346" s="134" t="s">
        <v>145</v>
      </c>
      <c r="J346" s="52" cm="1">
        <f t="array" ref="J346">IF(IFERROR(ROWS(_xlfn._xlws.FILTER($A$54:$A$341,($C$54:$C$341=G346)*($D$54:$D$341=H346)*($E$54:$E$341=I346))),0)=0, 0,SUM(LARGE(_xlfn._xlws.FILTER($Q$54:$Q$341,($C$54:$C$341=G346)*($D$54:$D$341=H346)*($E$54:$E$341=I346)),_xlfn.SEQUENCE(IF(IFERROR(ROWS(_xlfn._xlws.FILTER($A$54:$A$341,($C$54:$C$341=G346)*($D$54:$D$341=H346)*($E$54:$E$341=I346))),0)&gt;3, 4, IFERROR(ROWS(_xlfn._xlws.FILTER($A$54:$A$341,($C$54:$C$341=G346)*($D$54:$D$341=H346)*($E$54:$E$341=I346))),0))))))</f>
        <v>0</v>
      </c>
      <c r="K346" s="51" t="str">
        <f t="shared" si="36"/>
        <v/>
      </c>
      <c r="L346" s="51">
        <f t="shared" si="37"/>
        <v>0</v>
      </c>
      <c r="M346" s="134" t="str">
        <f t="shared" si="41"/>
        <v>Oxford City AC</v>
      </c>
      <c r="N346" s="134" t="s">
        <v>60</v>
      </c>
      <c r="O346" s="134" t="s">
        <v>150</v>
      </c>
      <c r="P346" s="52" cm="1">
        <f t="array" ref="P346">IF(IFERROR(ROWS(_xlfn._xlws.FILTER($A$54:$A$341,($C$54:$C$341=M346)*($D$54:$D$341=N346)*($E$54:$E$341=O346))),0)=0, 0,SUM(LARGE(_xlfn._xlws.FILTER($Q$54:$Q$341,($C$54:$C$341=M346)*($D$54:$D$341=N346)*($E$54:$E$341=O346)),_xlfn.SEQUENCE(IF(IFERROR(ROWS(_xlfn._xlws.FILTER($A$54:$A$341,($C$54:$C$341=M346)*($D$54:$D$341=N346)*($E$54:$E$341=O346))),0)&gt;3, 4, IFERROR(ROWS(_xlfn._xlws.FILTER($A$54:$A$341,($C$54:$C$341=M346)*($D$54:$D$341=N346)*($E$54:$E$341=O346))),0))))))</f>
        <v>0</v>
      </c>
      <c r="Q346" s="51" t="str">
        <f t="shared" si="42"/>
        <v/>
      </c>
      <c r="R346" s="51">
        <f t="shared" si="43"/>
        <v>0</v>
      </c>
      <c r="S346" s="134" t="str">
        <f t="shared" si="44"/>
        <v>Oxford City AC</v>
      </c>
      <c r="T346" s="134" t="s">
        <v>60</v>
      </c>
      <c r="U346" s="134" t="s">
        <v>145</v>
      </c>
      <c r="V346" s="52" cm="1">
        <f t="array" ref="V346">IF(IFERROR(ROWS(_xlfn._xlws.FILTER($A$54:$A$341,($C$54:$C$341=S346)*($D$54:$D$341=T346)*($E$54:$E$341=U346))),0)=0, 0,SUM(LARGE(_xlfn._xlws.FILTER($Q$54:$Q$341,($C$54:$C$341=S346)*($D$54:$D$341=T346)*($E$54:$E$341=U346)),_xlfn.SEQUENCE(IF(IFERROR(ROWS(_xlfn._xlws.FILTER($A$54:$A$341,($C$54:$C$341=S346)*($D$54:$D$341=T346)*($E$54:$E$341=U346))),0)&gt;3, 4, IFERROR(ROWS(_xlfn._xlws.FILTER($A$54:$A$341,($C$54:$C$341=S346)*($D$54:$D$341=T346)*($E$54:$E$341=U346))),0))))))</f>
        <v>0</v>
      </c>
      <c r="W346" s="51" t="str">
        <f t="shared" si="38"/>
        <v/>
      </c>
      <c r="X346" s="51">
        <f t="shared" si="45"/>
        <v>0</v>
      </c>
    </row>
    <row r="347" spans="1:35">
      <c r="A347" s="134" t="str">
        <f>'Read Me First'!C15</f>
        <v>Radley AC</v>
      </c>
      <c r="B347" s="134" t="s">
        <v>59</v>
      </c>
      <c r="C347" s="134" t="s">
        <v>150</v>
      </c>
      <c r="D347" s="52" cm="1">
        <f t="array" ref="D347">IF(IFERROR(ROWS(_xlfn._xlws.FILTER($A$54:$A$341,($C$54:$C$341=A347)*($D$54:$D$341=B347)*($E$54:$E$341=C347))),0)=0, 0,SUM(LARGE(_xlfn._xlws.FILTER($Q$54:$Q$341,($C$54:$C$341=A347)*($D$54:$D$341=B347)*($E$54:$E$341=C347)),_xlfn.SEQUENCE(IF(IFERROR(ROWS(_xlfn._xlws.FILTER($A$54:$A$341,($C$54:$C$341=A347)*($D$54:$D$341=B347)*($E$54:$E$341=C347))),0)&gt;3, 4, IFERROR(ROWS(_xlfn._xlws.FILTER($A$54:$A$341,($C$54:$C$341=A347)*($D$54:$D$341=B347)*($E$54:$E$341=C347))),0))))))</f>
        <v>0</v>
      </c>
      <c r="E347" s="51" t="str">
        <f t="shared" si="35"/>
        <v/>
      </c>
      <c r="F347" s="51">
        <f t="shared" si="39"/>
        <v>0</v>
      </c>
      <c r="G347" s="134" t="str">
        <f t="shared" si="40"/>
        <v>Radley AC</v>
      </c>
      <c r="H347" s="134" t="s">
        <v>59</v>
      </c>
      <c r="I347" s="134" t="s">
        <v>145</v>
      </c>
      <c r="J347" s="52" cm="1">
        <f t="array" ref="J347">IF(IFERROR(ROWS(_xlfn._xlws.FILTER($A$54:$A$341,($C$54:$C$341=G347)*($D$54:$D$341=H347)*($E$54:$E$341=I347))),0)=0, 0,SUM(LARGE(_xlfn._xlws.FILTER($Q$54:$Q$341,($C$54:$C$341=G347)*($D$54:$D$341=H347)*($E$54:$E$341=I347)),_xlfn.SEQUENCE(IF(IFERROR(ROWS(_xlfn._xlws.FILTER($A$54:$A$341,($C$54:$C$341=G347)*($D$54:$D$341=H347)*($E$54:$E$341=I347))),0)&gt;3, 4, IFERROR(ROWS(_xlfn._xlws.FILTER($A$54:$A$341,($C$54:$C$341=G347)*($D$54:$D$341=H347)*($E$54:$E$341=I347))),0))))))</f>
        <v>0</v>
      </c>
      <c r="K347" s="51" t="str">
        <f t="shared" si="36"/>
        <v/>
      </c>
      <c r="L347" s="51">
        <f t="shared" si="37"/>
        <v>0</v>
      </c>
      <c r="M347" s="134" t="str">
        <f t="shared" si="41"/>
        <v>Radley AC</v>
      </c>
      <c r="N347" s="134" t="s">
        <v>60</v>
      </c>
      <c r="O347" s="134" t="s">
        <v>150</v>
      </c>
      <c r="P347" s="52" cm="1">
        <f t="array" ref="P347">IF(IFERROR(ROWS(_xlfn._xlws.FILTER($A$54:$A$341,($C$54:$C$341=M347)*($D$54:$D$341=N347)*($E$54:$E$341=O347))),0)=0, 0,SUM(LARGE(_xlfn._xlws.FILTER($Q$54:$Q$341,($C$54:$C$341=M347)*($D$54:$D$341=N347)*($E$54:$E$341=O347)),_xlfn.SEQUENCE(IF(IFERROR(ROWS(_xlfn._xlws.FILTER($A$54:$A$341,($C$54:$C$341=M347)*($D$54:$D$341=N347)*($E$54:$E$341=O347))),0)&gt;3, 4, IFERROR(ROWS(_xlfn._xlws.FILTER($A$54:$A$341,($C$54:$C$341=M347)*($D$54:$D$341=N347)*($E$54:$E$341=O347))),0))))))</f>
        <v>0</v>
      </c>
      <c r="Q347" s="51" t="str">
        <f t="shared" si="42"/>
        <v/>
      </c>
      <c r="R347" s="51">
        <f t="shared" si="43"/>
        <v>0</v>
      </c>
      <c r="S347" s="134" t="str">
        <f t="shared" si="44"/>
        <v>Radley AC</v>
      </c>
      <c r="T347" s="134" t="s">
        <v>60</v>
      </c>
      <c r="U347" s="134" t="s">
        <v>145</v>
      </c>
      <c r="V347" s="52" cm="1">
        <f t="array" ref="V347">IF(IFERROR(ROWS(_xlfn._xlws.FILTER($A$54:$A$341,($C$54:$C$341=S347)*($D$54:$D$341=T347)*($E$54:$E$341=U347))),0)=0, 0,SUM(LARGE(_xlfn._xlws.FILTER($Q$54:$Q$341,($C$54:$C$341=S347)*($D$54:$D$341=T347)*($E$54:$E$341=U347)),_xlfn.SEQUENCE(IF(IFERROR(ROWS(_xlfn._xlws.FILTER($A$54:$A$341,($C$54:$C$341=S347)*($D$54:$D$341=T347)*($E$54:$E$341=U347))),0)&gt;3, 4, IFERROR(ROWS(_xlfn._xlws.FILTER($A$54:$A$341,($C$54:$C$341=S347)*($D$54:$D$341=T347)*($E$54:$E$341=U347))),0))))))</f>
        <v>0</v>
      </c>
      <c r="W347" s="51" t="str">
        <f t="shared" si="38"/>
        <v/>
      </c>
      <c r="X347" s="51">
        <f t="shared" si="45"/>
        <v>0</v>
      </c>
    </row>
    <row r="348" spans="1:35">
      <c r="A348" s="134" t="str">
        <f>'Read Me First'!C16</f>
        <v>Team Kennet</v>
      </c>
      <c r="B348" s="134" t="s">
        <v>59</v>
      </c>
      <c r="C348" s="134" t="s">
        <v>150</v>
      </c>
      <c r="D348" s="52" cm="1">
        <f t="array" ref="D348">IF(IFERROR(ROWS(_xlfn._xlws.FILTER($A$54:$A$341,($C$54:$C$341=A348)*($D$54:$D$341=B348)*($E$54:$E$341=C348))),0)=0, 0,SUM(LARGE(_xlfn._xlws.FILTER($Q$54:$Q$341,($C$54:$C$341=A348)*($D$54:$D$341=B348)*($E$54:$E$341=C348)),_xlfn.SEQUENCE(IF(IFERROR(ROWS(_xlfn._xlws.FILTER($A$54:$A$341,($C$54:$C$341=A348)*($D$54:$D$341=B348)*($E$54:$E$341=C348))),0)&gt;3, 4, IFERROR(ROWS(_xlfn._xlws.FILTER($A$54:$A$341,($C$54:$C$341=A348)*($D$54:$D$341=B348)*($E$54:$E$341=C348))),0))))))</f>
        <v>0</v>
      </c>
      <c r="E348" s="51" t="str">
        <f t="shared" si="35"/>
        <v/>
      </c>
      <c r="F348" s="51">
        <f t="shared" si="39"/>
        <v>0</v>
      </c>
      <c r="G348" s="134" t="str">
        <f t="shared" si="40"/>
        <v>Team Kennet</v>
      </c>
      <c r="H348" s="134" t="s">
        <v>59</v>
      </c>
      <c r="I348" s="134" t="s">
        <v>145</v>
      </c>
      <c r="J348" s="52" cm="1">
        <f t="array" ref="J348">IF(IFERROR(ROWS(_xlfn._xlws.FILTER($A$54:$A$341,($C$54:$C$341=G348)*($D$54:$D$341=H348)*($E$54:$E$341=I348))),0)=0, 0,SUM(LARGE(_xlfn._xlws.FILTER($Q$54:$Q$341,($C$54:$C$341=G348)*($D$54:$D$341=H348)*($E$54:$E$341=I348)),_xlfn.SEQUENCE(IF(IFERROR(ROWS(_xlfn._xlws.FILTER($A$54:$A$341,($C$54:$C$341=G348)*($D$54:$D$341=H348)*($E$54:$E$341=I348))),0)&gt;3, 4, IFERROR(ROWS(_xlfn._xlws.FILTER($A$54:$A$341,($C$54:$C$341=G348)*($D$54:$D$341=H348)*($E$54:$E$341=I348))),0))))))</f>
        <v>0</v>
      </c>
      <c r="K348" s="51" t="str">
        <f t="shared" si="36"/>
        <v/>
      </c>
      <c r="L348" s="51">
        <f t="shared" si="37"/>
        <v>0</v>
      </c>
      <c r="M348" s="134" t="str">
        <f t="shared" si="41"/>
        <v>Team Kennet</v>
      </c>
      <c r="N348" s="134" t="s">
        <v>60</v>
      </c>
      <c r="O348" s="134" t="s">
        <v>150</v>
      </c>
      <c r="P348" s="52" cm="1">
        <f t="array" ref="P348">IF(IFERROR(ROWS(_xlfn._xlws.FILTER($A$54:$A$341,($C$54:$C$341=M348)*($D$54:$D$341=N348)*($E$54:$E$341=O348))),0)=0, 0,SUM(LARGE(_xlfn._xlws.FILTER($Q$54:$Q$341,($C$54:$C$341=M348)*($D$54:$D$341=N348)*($E$54:$E$341=O348)),_xlfn.SEQUENCE(IF(IFERROR(ROWS(_xlfn._xlws.FILTER($A$54:$A$341,($C$54:$C$341=M348)*($D$54:$D$341=N348)*($E$54:$E$341=O348))),0)&gt;3, 4, IFERROR(ROWS(_xlfn._xlws.FILTER($A$54:$A$341,($C$54:$C$341=M348)*($D$54:$D$341=N348)*($E$54:$E$341=O348))),0))))))</f>
        <v>0</v>
      </c>
      <c r="Q348" s="51" t="str">
        <f t="shared" si="42"/>
        <v/>
      </c>
      <c r="R348" s="51">
        <f t="shared" si="43"/>
        <v>0</v>
      </c>
      <c r="S348" s="134" t="str">
        <f t="shared" si="44"/>
        <v>Team Kennet</v>
      </c>
      <c r="T348" s="134" t="s">
        <v>60</v>
      </c>
      <c r="U348" s="134" t="s">
        <v>145</v>
      </c>
      <c r="V348" s="52" cm="1">
        <f t="array" ref="V348">IF(IFERROR(ROWS(_xlfn._xlws.FILTER($A$54:$A$341,($C$54:$C$341=S348)*($D$54:$D$341=T348)*($E$54:$E$341=U348))),0)=0, 0,SUM(LARGE(_xlfn._xlws.FILTER($Q$54:$Q$341,($C$54:$C$341=S348)*($D$54:$D$341=T348)*($E$54:$E$341=U348)),_xlfn.SEQUENCE(IF(IFERROR(ROWS(_xlfn._xlws.FILTER($A$54:$A$341,($C$54:$C$341=S348)*($D$54:$D$341=T348)*($E$54:$E$341=U348))),0)&gt;3, 4, IFERROR(ROWS(_xlfn._xlws.FILTER($A$54:$A$341,($C$54:$C$341=S348)*($D$54:$D$341=T348)*($E$54:$E$341=U348))),0))))))</f>
        <v>0</v>
      </c>
      <c r="W348" s="51" t="str">
        <f t="shared" si="38"/>
        <v/>
      </c>
      <c r="X348" s="51">
        <f t="shared" si="45"/>
        <v>0</v>
      </c>
    </row>
    <row r="349" spans="1:35">
      <c r="A349" s="134" t="str">
        <f>'Read Me First'!C17</f>
        <v>White Horse Harriers</v>
      </c>
      <c r="B349" s="134" t="s">
        <v>59</v>
      </c>
      <c r="C349" s="134" t="s">
        <v>150</v>
      </c>
      <c r="D349" s="52" cm="1">
        <f t="array" ref="D349">IF(IFERROR(ROWS(_xlfn._xlws.FILTER($A$54:$A$341,($C$54:$C$341=A349)*($D$54:$D$341=B349)*($E$54:$E$341=C349))),0)=0, 0,SUM(LARGE(_xlfn._xlws.FILTER($Q$54:$Q$341,($C$54:$C$341=A349)*($D$54:$D$341=B349)*($E$54:$E$341=C349)),_xlfn.SEQUENCE(IF(IFERROR(ROWS(_xlfn._xlws.FILTER($A$54:$A$341,($C$54:$C$341=A349)*($D$54:$D$341=B349)*($E$54:$E$341=C349))),0)&gt;3, 4, IFERROR(ROWS(_xlfn._xlws.FILTER($A$54:$A$341,($C$54:$C$341=A349)*($D$54:$D$341=B349)*($E$54:$E$341=C349))),0))))))</f>
        <v>0</v>
      </c>
      <c r="E349" s="51" t="str">
        <f t="shared" si="35"/>
        <v/>
      </c>
      <c r="F349" s="51">
        <f t="shared" si="39"/>
        <v>0</v>
      </c>
      <c r="G349" s="134" t="str">
        <f t="shared" si="40"/>
        <v>White Horse Harriers</v>
      </c>
      <c r="H349" s="134" t="s">
        <v>59</v>
      </c>
      <c r="I349" s="134" t="s">
        <v>145</v>
      </c>
      <c r="J349" s="52" cm="1">
        <f t="array" ref="J349">IF(IFERROR(ROWS(_xlfn._xlws.FILTER($A$54:$A$341,($C$54:$C$341=G349)*($D$54:$D$341=H349)*($E$54:$E$341=I349))),0)=0, 0,SUM(LARGE(_xlfn._xlws.FILTER($Q$54:$Q$341,($C$54:$C$341=G349)*($D$54:$D$341=H349)*($E$54:$E$341=I349)),_xlfn.SEQUENCE(IF(IFERROR(ROWS(_xlfn._xlws.FILTER($A$54:$A$341,($C$54:$C$341=G349)*($D$54:$D$341=H349)*($E$54:$E$341=I349))),0)&gt;3, 4, IFERROR(ROWS(_xlfn._xlws.FILTER($A$54:$A$341,($C$54:$C$341=G349)*($D$54:$D$341=H349)*($E$54:$E$341=I349))),0))))))</f>
        <v>0</v>
      </c>
      <c r="K349" s="51" t="str">
        <f t="shared" si="36"/>
        <v/>
      </c>
      <c r="L349" s="51">
        <f t="shared" si="37"/>
        <v>0</v>
      </c>
      <c r="M349" s="134" t="str">
        <f t="shared" si="41"/>
        <v>White Horse Harriers</v>
      </c>
      <c r="N349" s="134" t="s">
        <v>60</v>
      </c>
      <c r="O349" s="134" t="s">
        <v>150</v>
      </c>
      <c r="P349" s="52" cm="1">
        <f t="array" ref="P349">IF(IFERROR(ROWS(_xlfn._xlws.FILTER($A$54:$A$341,($C$54:$C$341=M349)*($D$54:$D$341=N349)*($E$54:$E$341=O349))),0)=0, 0,SUM(LARGE(_xlfn._xlws.FILTER($Q$54:$Q$341,($C$54:$C$341=M349)*($D$54:$D$341=N349)*($E$54:$E$341=O349)),_xlfn.SEQUENCE(IF(IFERROR(ROWS(_xlfn._xlws.FILTER($A$54:$A$341,($C$54:$C$341=M349)*($D$54:$D$341=N349)*($E$54:$E$341=O349))),0)&gt;3, 4, IFERROR(ROWS(_xlfn._xlws.FILTER($A$54:$A$341,($C$54:$C$341=M349)*($D$54:$D$341=N349)*($E$54:$E$341=O349))),0))))))</f>
        <v>0</v>
      </c>
      <c r="Q349" s="51" t="str">
        <f t="shared" si="42"/>
        <v/>
      </c>
      <c r="R349" s="51">
        <f t="shared" si="43"/>
        <v>0</v>
      </c>
      <c r="S349" s="134" t="str">
        <f t="shared" si="44"/>
        <v>White Horse Harriers</v>
      </c>
      <c r="T349" s="134" t="s">
        <v>60</v>
      </c>
      <c r="U349" s="134" t="s">
        <v>145</v>
      </c>
      <c r="V349" s="52" cm="1">
        <f t="array" ref="V349">IF(IFERROR(ROWS(_xlfn._xlws.FILTER($A$54:$A$341,($C$54:$C$341=S349)*($D$54:$D$341=T349)*($E$54:$E$341=U349))),0)=0, 0,SUM(LARGE(_xlfn._xlws.FILTER($Q$54:$Q$341,($C$54:$C$341=S349)*($D$54:$D$341=T349)*($E$54:$E$341=U349)),_xlfn.SEQUENCE(IF(IFERROR(ROWS(_xlfn._xlws.FILTER($A$54:$A$341,($C$54:$C$341=S349)*($D$54:$D$341=T349)*($E$54:$E$341=U349))),0)&gt;3, 4, IFERROR(ROWS(_xlfn._xlws.FILTER($A$54:$A$341,($C$54:$C$341=S349)*($D$54:$D$341=T349)*($E$54:$E$341=U349))),0))))))</f>
        <v>0</v>
      </c>
      <c r="W349" s="51" t="str">
        <f t="shared" si="38"/>
        <v/>
      </c>
      <c r="X349" s="51">
        <f t="shared" si="45"/>
        <v>0</v>
      </c>
    </row>
    <row r="350" spans="1:35">
      <c r="A350" s="134" t="str">
        <f>'Read Me First'!C18</f>
        <v>Witney Road Runners</v>
      </c>
      <c r="B350" s="134" t="s">
        <v>59</v>
      </c>
      <c r="C350" s="134" t="s">
        <v>150</v>
      </c>
      <c r="D350" s="52" cm="1">
        <f t="array" ref="D350">IF(IFERROR(ROWS(_xlfn._xlws.FILTER($A$54:$A$341,($C$54:$C$341=A350)*($D$54:$D$341=B350)*($E$54:$E$341=C350))),0)=0, 0,SUM(LARGE(_xlfn._xlws.FILTER($Q$54:$Q$341,($C$54:$C$341=A350)*($D$54:$D$341=B350)*($E$54:$E$341=C350)),_xlfn.SEQUENCE(IF(IFERROR(ROWS(_xlfn._xlws.FILTER($A$54:$A$341,($C$54:$C$341=A350)*($D$54:$D$341=B350)*($E$54:$E$341=C350))),0)&gt;3, 4, IFERROR(ROWS(_xlfn._xlws.FILTER($A$54:$A$341,($C$54:$C$341=A350)*($D$54:$D$341=B350)*($E$54:$E$341=C350))),0))))))</f>
        <v>0</v>
      </c>
      <c r="E350" s="51" t="str">
        <f>IF(D350=0,"",RANK(D350,D$343:D$350))</f>
        <v/>
      </c>
      <c r="F350" s="51">
        <f t="shared" si="39"/>
        <v>0</v>
      </c>
      <c r="G350" s="134" t="str">
        <f t="shared" si="40"/>
        <v>Witney Road Runners</v>
      </c>
      <c r="H350" s="134" t="s">
        <v>59</v>
      </c>
      <c r="I350" s="134" t="s">
        <v>145</v>
      </c>
      <c r="J350" s="52" cm="1">
        <f t="array" ref="J350">IF(IFERROR(ROWS(_xlfn._xlws.FILTER($A$54:$A$341,($C$54:$C$341=G350)*($D$54:$D$341=H350)*($E$54:$E$341=I350))),0)=0, 0,SUM(LARGE(_xlfn._xlws.FILTER($Q$54:$Q$341,($C$54:$C$341=G350)*($D$54:$D$341=H350)*($E$54:$E$341=I350)),_xlfn.SEQUENCE(IF(IFERROR(ROWS(_xlfn._xlws.FILTER($A$54:$A$341,($C$54:$C$341=G350)*($D$54:$D$341=H350)*($E$54:$E$341=I350))),0)&gt;3, 4, IFERROR(ROWS(_xlfn._xlws.FILTER($A$54:$A$341,($C$54:$C$341=G350)*($D$54:$D$341=H350)*($E$54:$E$341=I350))),0))))))</f>
        <v>0</v>
      </c>
      <c r="K350" s="51" t="str">
        <f t="shared" si="36"/>
        <v/>
      </c>
      <c r="L350" s="51">
        <f t="shared" si="37"/>
        <v>0</v>
      </c>
      <c r="M350" s="134" t="str">
        <f t="shared" si="41"/>
        <v>Witney Road Runners</v>
      </c>
      <c r="N350" s="134" t="s">
        <v>60</v>
      </c>
      <c r="O350" s="134" t="s">
        <v>150</v>
      </c>
      <c r="P350" s="52" cm="1">
        <f t="array" ref="P350">IF(IFERROR(ROWS(_xlfn._xlws.FILTER($A$54:$A$341,($C$54:$C$341=M350)*($D$54:$D$341=N350)*($E$54:$E$341=O350))),0)=0, 0,SUM(LARGE(_xlfn._xlws.FILTER($Q$54:$Q$341,($C$54:$C$341=M350)*($D$54:$D$341=N350)*($E$54:$E$341=O350)),_xlfn.SEQUENCE(IF(IFERROR(ROWS(_xlfn._xlws.FILTER($A$54:$A$341,($C$54:$C$341=M350)*($D$54:$D$341=N350)*($E$54:$E$341=O350))),0)&gt;3, 4, IFERROR(ROWS(_xlfn._xlws.FILTER($A$54:$A$341,($C$54:$C$341=M350)*($D$54:$D$341=N350)*($E$54:$E$341=O350))),0))))))</f>
        <v>0</v>
      </c>
      <c r="Q350" s="51" t="str">
        <f t="shared" si="42"/>
        <v/>
      </c>
      <c r="R350" s="51">
        <f t="shared" si="43"/>
        <v>0</v>
      </c>
      <c r="S350" s="134" t="str">
        <f t="shared" si="44"/>
        <v>Witney Road Runners</v>
      </c>
      <c r="T350" s="134" t="s">
        <v>60</v>
      </c>
      <c r="U350" s="134" t="s">
        <v>145</v>
      </c>
      <c r="V350" s="52" cm="1">
        <f t="array" ref="V350">IF(IFERROR(ROWS(_xlfn._xlws.FILTER($A$54:$A$341,($C$54:$C$341=S350)*($D$54:$D$341=T350)*($E$54:$E$341=U350))),0)=0, 0,SUM(LARGE(_xlfn._xlws.FILTER($Q$54:$Q$341,($C$54:$C$341=S350)*($D$54:$D$341=T350)*($E$54:$E$341=U350)),_xlfn.SEQUENCE(IF(IFERROR(ROWS(_xlfn._xlws.FILTER($A$54:$A$341,($C$54:$C$341=S350)*($D$54:$D$341=T350)*($E$54:$E$341=U350))),0)&gt;3, 4, IFERROR(ROWS(_xlfn._xlws.FILTER($A$54:$A$341,($C$54:$C$341=S350)*($D$54:$D$341=T350)*($E$54:$E$341=U350))),0))))))</f>
        <v>0</v>
      </c>
      <c r="W350" s="51" t="str">
        <f t="shared" si="38"/>
        <v/>
      </c>
      <c r="X350" s="51">
        <f t="shared" si="45"/>
        <v>0</v>
      </c>
    </row>
    <row r="351" spans="1:35">
      <c r="A351" s="134" t="str">
        <f>'Read Me First'!C19</f>
        <v>Great Milton AC</v>
      </c>
      <c r="B351" s="134" t="s">
        <v>59</v>
      </c>
      <c r="C351" s="134" t="s">
        <v>150</v>
      </c>
      <c r="D351" s="52" cm="1">
        <f t="array" ref="D351">IF(IFERROR(ROWS(_xlfn._xlws.FILTER($A$54:$A$341,($C$54:$C$341=A351)*($D$54:$D$341=B351)*($E$54:$E$341=C351))),0)=0, 0,SUM(LARGE(_xlfn._xlws.FILTER($Q$54:$Q$341,($C$54:$C$341=A351)*($D$54:$D$341=B351)*($E$54:$E$341=C351)),_xlfn.SEQUENCE(IF(IFERROR(ROWS(_xlfn._xlws.FILTER($A$54:$A$341,($C$54:$C$341=A351)*($D$54:$D$341=B351)*($E$54:$E$341=C351))),0)&gt;3, 4, IFERROR(ROWS(_xlfn._xlws.FILTER($A$54:$A$341,($C$54:$C$341=A351)*($D$54:$D$341=B351)*($E$54:$E$341=C351))),0))))))</f>
        <v>0</v>
      </c>
      <c r="E351" s="162" t="s">
        <v>84</v>
      </c>
      <c r="F351" s="162" t="s">
        <v>84</v>
      </c>
      <c r="G351" s="134" t="str">
        <f t="shared" si="40"/>
        <v>Great Milton AC</v>
      </c>
      <c r="H351" s="134" t="s">
        <v>59</v>
      </c>
      <c r="I351" s="134" t="s">
        <v>145</v>
      </c>
      <c r="J351" s="52" cm="1">
        <f t="array" ref="J351">IF(IFERROR(ROWS(_xlfn._xlws.FILTER($A$54:$A$341,($C$54:$C$341=G351)*($D$54:$D$341=H351)*($E$54:$E$341=I351))),0)=0, 0,SUM(LARGE(_xlfn._xlws.FILTER($Q$54:$Q$341,($C$54:$C$341=G351)*($D$54:$D$341=H351)*($E$54:$E$341=I351)),_xlfn.SEQUENCE(IF(IFERROR(ROWS(_xlfn._xlws.FILTER($A$54:$A$341,($C$54:$C$341=G351)*($D$54:$D$341=H351)*($E$54:$E$341=I351))),0)&gt;3, 4, IFERROR(ROWS(_xlfn._xlws.FILTER($A$54:$A$341,($C$54:$C$341=G351)*($D$54:$D$341=H351)*($E$54:$E$341=I351))),0))))))</f>
        <v>0</v>
      </c>
      <c r="K351" s="162" t="s">
        <v>84</v>
      </c>
      <c r="L351" s="162" t="s">
        <v>84</v>
      </c>
      <c r="M351" s="134" t="str">
        <f t="shared" si="41"/>
        <v>Great Milton AC</v>
      </c>
      <c r="N351" s="134" t="s">
        <v>60</v>
      </c>
      <c r="O351" s="134" t="s">
        <v>150</v>
      </c>
      <c r="P351" s="52" cm="1">
        <f t="array" ref="P351">IF(IFERROR(ROWS(_xlfn._xlws.FILTER($A$54:$A$341,($C$54:$C$341=M351)*($D$54:$D$341=N351)*($E$54:$E$341=O351))),0)=0, 0,SUM(LARGE(_xlfn._xlws.FILTER($Q$54:$Q$341,($C$54:$C$341=M351)*($D$54:$D$341=N351)*($E$54:$E$341=O351)),_xlfn.SEQUENCE(IF(IFERROR(ROWS(_xlfn._xlws.FILTER($A$54:$A$341,($C$54:$C$341=M351)*($D$54:$D$341=N351)*($E$54:$E$341=O351))),0)&gt;3, 4, IFERROR(ROWS(_xlfn._xlws.FILTER($A$54:$A$341,($C$54:$C$341=M351)*($D$54:$D$341=N351)*($E$54:$E$341=O351))),0))))))</f>
        <v>0</v>
      </c>
      <c r="Q351" s="162" t="s">
        <v>84</v>
      </c>
      <c r="R351" s="162" t="s">
        <v>84</v>
      </c>
      <c r="S351" s="134" t="str">
        <f t="shared" si="44"/>
        <v>Great Milton AC</v>
      </c>
      <c r="T351" s="134" t="s">
        <v>60</v>
      </c>
      <c r="U351" s="134" t="s">
        <v>145</v>
      </c>
      <c r="V351" s="52" cm="1">
        <f t="array" ref="V351">IF(IFERROR(ROWS(_xlfn._xlws.FILTER($A$54:$A$341,($C$54:$C$341=S351)*($D$54:$D$341=T351)*($E$54:$E$341=U351))),0)=0, 0,SUM(LARGE(_xlfn._xlws.FILTER($Q$54:$Q$341,($C$54:$C$341=S351)*($D$54:$D$341=T351)*($E$54:$E$341=U351)),_xlfn.SEQUENCE(IF(IFERROR(ROWS(_xlfn._xlws.FILTER($A$54:$A$341,($C$54:$C$341=S351)*($D$54:$D$341=T351)*($E$54:$E$341=U351))),0)&gt;3, 4, IFERROR(ROWS(_xlfn._xlws.FILTER($A$54:$A$341,($C$54:$C$341=S351)*($D$54:$D$341=T351)*($E$54:$E$341=U351))),0))))))</f>
        <v>0</v>
      </c>
      <c r="W351" s="162" t="s">
        <v>84</v>
      </c>
      <c r="X351" s="162" t="s">
        <v>84</v>
      </c>
    </row>
    <row r="353" spans="1:24">
      <c r="A353" s="168" t="str" cm="1">
        <f t="array" ref="A353">IFERROR(_xlfn._xlws.SORT(_xlfn._xlws.FILTER(CHOOSE({1,2,3,4},$A$343:$A$350,$D$343:$D$350,$E$343:$E$350,$F$343:$F$350),$D$343:$D$350&lt;&gt;0),3),"")</f>
        <v/>
      </c>
      <c r="B353" s="168"/>
      <c r="C353" s="168"/>
      <c r="D353" s="168"/>
      <c r="E353" s="168"/>
      <c r="F353" s="168"/>
      <c r="G353" s="168"/>
      <c r="H353" s="168" t="str" cm="1">
        <f t="array" ref="H353">IFERROR(_xlfn._xlws.SORT(_xlfn._xlws.FILTER(CHOOSE({1,2,3,4},$G$343:$G$350,$J$343:$J$350,$K$343:$K$350,$L$343:$L$350),$J$343:$J$350&lt;&gt;0),3),"")</f>
        <v/>
      </c>
      <c r="I353" s="168"/>
      <c r="J353" s="168"/>
      <c r="K353" s="168"/>
      <c r="L353" s="168"/>
      <c r="M353" s="168" t="str" cm="1">
        <f t="array" ref="M353">IFERROR(_xlfn._xlws.SORT(_xlfn._xlws.FILTER(CHOOSE({1,2,3,4},$M$343:$M$350,$P$343:$P$350,$Q$343:$Q$350,$R$343:$R$350),$P$343:$P$350&lt;&gt;0),3),"")</f>
        <v/>
      </c>
      <c r="N353" s="168"/>
      <c r="O353" s="168"/>
      <c r="P353" s="168"/>
      <c r="Q353" s="168"/>
      <c r="R353" s="168"/>
      <c r="S353" s="168" t="str" cm="1">
        <f t="array" ref="S353">IFERROR(_xlfn._xlws.SORT(_xlfn._xlws.FILTER(CHOOSE({1,2,3,4},$S$343:$S$350,$V$343:$V$350,$W$343:$W$350,$X$343:$X$350),$V$343:$V$350&lt;&gt;0),3),"")</f>
        <v/>
      </c>
      <c r="T353" s="168"/>
      <c r="U353" s="168"/>
      <c r="V353" s="168"/>
      <c r="W353" s="168"/>
      <c r="X353" s="168"/>
    </row>
    <row r="354" spans="1:24">
      <c r="A354" s="168"/>
      <c r="B354" s="168"/>
      <c r="C354" s="168"/>
      <c r="D354" s="168"/>
      <c r="E354" s="168"/>
      <c r="F354" s="168"/>
      <c r="G354" s="168"/>
      <c r="H354" s="168"/>
      <c r="I354" s="168"/>
      <c r="J354" s="168"/>
      <c r="K354" s="168"/>
      <c r="L354" s="168"/>
      <c r="M354" s="168"/>
      <c r="N354" s="168"/>
      <c r="O354" s="168"/>
      <c r="P354" s="168"/>
      <c r="Q354" s="168"/>
      <c r="R354" s="168"/>
      <c r="S354" s="168"/>
      <c r="T354" s="168"/>
      <c r="U354" s="168"/>
      <c r="V354" s="168"/>
      <c r="W354" s="168"/>
      <c r="X354" s="168"/>
    </row>
    <row r="355" spans="1:24">
      <c r="A355" s="168"/>
      <c r="B355" s="168"/>
      <c r="C355" s="168"/>
      <c r="D355" s="168"/>
      <c r="E355" s="168"/>
      <c r="F355" s="168"/>
      <c r="G355" s="168"/>
      <c r="H355" s="168"/>
      <c r="I355" s="168"/>
      <c r="J355" s="168"/>
      <c r="K355" s="168"/>
      <c r="L355" s="168"/>
      <c r="M355" s="168"/>
      <c r="N355" s="168"/>
      <c r="O355" s="168"/>
      <c r="P355" s="168"/>
      <c r="Q355" s="168"/>
      <c r="R355" s="168"/>
      <c r="S355" s="168"/>
      <c r="T355" s="168"/>
      <c r="U355" s="168"/>
      <c r="V355" s="168"/>
      <c r="W355" s="168"/>
      <c r="X355" s="168"/>
    </row>
    <row r="356" spans="1:24">
      <c r="A356" s="168"/>
      <c r="B356" s="168"/>
      <c r="C356" s="168"/>
      <c r="D356" s="168"/>
      <c r="E356" s="168"/>
      <c r="F356" s="168"/>
      <c r="G356" s="168"/>
      <c r="H356" s="168"/>
      <c r="I356" s="168"/>
      <c r="J356" s="168"/>
      <c r="K356" s="168"/>
      <c r="L356" s="168"/>
      <c r="M356" s="168"/>
      <c r="N356" s="168"/>
      <c r="O356" s="168"/>
      <c r="P356" s="168"/>
      <c r="Q356" s="168"/>
      <c r="R356" s="168"/>
      <c r="S356" s="168"/>
      <c r="T356" s="168"/>
      <c r="U356" s="168"/>
      <c r="V356" s="168"/>
      <c r="W356" s="168"/>
      <c r="X356" s="168"/>
    </row>
    <row r="357" spans="1:24">
      <c r="A357" s="168"/>
      <c r="B357" s="168"/>
      <c r="C357" s="168"/>
      <c r="D357" s="168"/>
      <c r="E357" s="168"/>
      <c r="F357" s="168"/>
      <c r="G357" s="168"/>
      <c r="H357" s="168"/>
      <c r="I357" s="168"/>
      <c r="J357" s="168"/>
      <c r="K357" s="168"/>
      <c r="L357" s="168"/>
      <c r="M357" s="168"/>
      <c r="N357" s="168"/>
      <c r="O357" s="168"/>
      <c r="P357" s="168"/>
      <c r="Q357" s="168"/>
      <c r="R357" s="168"/>
      <c r="S357" s="168"/>
      <c r="T357" s="168"/>
      <c r="U357" s="168"/>
      <c r="V357" s="168"/>
      <c r="W357" s="168"/>
      <c r="X357" s="168"/>
    </row>
    <row r="358" spans="1:24">
      <c r="A358" s="168"/>
      <c r="B358" s="168"/>
      <c r="C358" s="168"/>
      <c r="D358" s="168"/>
      <c r="E358" s="168"/>
      <c r="F358" s="168"/>
      <c r="G358" s="168"/>
      <c r="H358" s="168"/>
      <c r="I358" s="168"/>
      <c r="J358" s="168"/>
      <c r="K358" s="168"/>
      <c r="L358" s="168"/>
      <c r="M358" s="168"/>
      <c r="N358" s="168"/>
      <c r="O358" s="168"/>
      <c r="P358" s="168"/>
      <c r="Q358" s="168"/>
      <c r="R358" s="168"/>
      <c r="S358" s="168"/>
      <c r="T358" s="168"/>
      <c r="U358" s="168"/>
      <c r="V358" s="168"/>
      <c r="W358" s="168"/>
      <c r="X358" s="168"/>
    </row>
    <row r="359" spans="1:24">
      <c r="A359" s="168"/>
      <c r="B359" s="168"/>
      <c r="C359" s="168"/>
      <c r="D359" s="168"/>
      <c r="E359" s="168"/>
      <c r="F359" s="168"/>
      <c r="G359" s="168"/>
      <c r="H359" s="168"/>
      <c r="I359" s="168"/>
      <c r="J359" s="168"/>
      <c r="K359" s="168"/>
      <c r="L359" s="168"/>
      <c r="M359" s="168"/>
      <c r="N359" s="168"/>
      <c r="O359" s="168"/>
      <c r="P359" s="168"/>
      <c r="Q359" s="168"/>
      <c r="R359" s="168"/>
      <c r="S359" s="168"/>
      <c r="T359" s="168"/>
      <c r="U359" s="168"/>
      <c r="V359" s="168"/>
      <c r="W359" s="168"/>
      <c r="X359" s="168"/>
    </row>
    <row r="360" spans="1:24">
      <c r="A360" s="168"/>
      <c r="B360" s="168"/>
      <c r="C360" s="168"/>
      <c r="D360" s="168"/>
      <c r="E360" s="168"/>
      <c r="F360" s="168"/>
      <c r="G360" s="168"/>
      <c r="H360" s="168"/>
      <c r="I360" s="168"/>
      <c r="J360" s="168"/>
      <c r="K360" s="168"/>
      <c r="L360" s="168"/>
      <c r="M360" s="168"/>
      <c r="N360" s="168"/>
      <c r="O360" s="168"/>
      <c r="P360" s="168"/>
      <c r="Q360" s="168"/>
      <c r="R360" s="168"/>
      <c r="S360" s="168"/>
      <c r="T360" s="168"/>
      <c r="U360" s="168"/>
      <c r="V360" s="168"/>
      <c r="W360" s="168"/>
      <c r="X360" s="168"/>
    </row>
    <row r="361" spans="1:24">
      <c r="A361" s="168"/>
      <c r="B361" s="168"/>
      <c r="C361" s="168"/>
      <c r="D361" s="168"/>
      <c r="E361" s="168"/>
      <c r="F361" s="168"/>
      <c r="G361" s="168"/>
      <c r="H361" s="168"/>
      <c r="I361" s="168"/>
      <c r="J361" s="168"/>
      <c r="K361" s="168"/>
      <c r="L361" s="168"/>
      <c r="M361" s="168"/>
      <c r="N361" s="168"/>
      <c r="O361" s="168"/>
      <c r="P361" s="168"/>
      <c r="Q361" s="168"/>
      <c r="R361" s="168"/>
      <c r="S361" s="168"/>
      <c r="T361" s="168"/>
      <c r="U361" s="168"/>
      <c r="V361" s="168"/>
      <c r="W361" s="168"/>
      <c r="X361" s="168"/>
    </row>
    <row r="362" spans="1:24">
      <c r="A362" s="86"/>
      <c r="B362" s="86"/>
      <c r="C362" s="86"/>
      <c r="D362" s="86"/>
      <c r="E362" s="86"/>
      <c r="F362" s="86"/>
      <c r="G362" s="86"/>
      <c r="H362" s="86"/>
      <c r="I362" s="86"/>
      <c r="J362" s="86"/>
      <c r="K362" s="86"/>
      <c r="L362" s="86"/>
      <c r="M362" s="86"/>
      <c r="N362" s="86"/>
      <c r="O362" s="86"/>
      <c r="P362" s="86"/>
      <c r="Q362" s="86"/>
      <c r="R362" s="86"/>
      <c r="S362" s="86"/>
      <c r="T362" s="86"/>
      <c r="U362" s="86"/>
      <c r="V362" s="86"/>
      <c r="W362" s="86"/>
      <c r="X362" s="86"/>
    </row>
    <row r="363" spans="1:24">
      <c r="A363" s="86"/>
      <c r="B363" s="160"/>
      <c r="C363" s="159" t="s">
        <v>1</v>
      </c>
      <c r="D363" s="159" t="s">
        <v>100</v>
      </c>
      <c r="E363" s="159" t="s">
        <v>102</v>
      </c>
      <c r="F363" s="86"/>
      <c r="G363" s="86"/>
      <c r="H363" s="86"/>
      <c r="I363" s="86"/>
      <c r="J363" s="86"/>
      <c r="K363" s="86"/>
      <c r="L363" s="86"/>
      <c r="M363" s="86"/>
      <c r="N363" s="160"/>
      <c r="O363" s="159" t="s">
        <v>1</v>
      </c>
      <c r="P363" s="159" t="s">
        <v>102</v>
      </c>
      <c r="Q363" s="86"/>
      <c r="R363" s="86"/>
      <c r="S363" s="86"/>
      <c r="T363" s="86"/>
      <c r="U363" s="86"/>
      <c r="V363" s="86"/>
      <c r="W363" s="86"/>
    </row>
    <row r="364" spans="1:24">
      <c r="A364" s="86"/>
      <c r="B364" s="134" t="str">
        <f>A343</f>
        <v>Abingdon AC</v>
      </c>
      <c r="C364" s="160">
        <f>D343+J343+P343+V343</f>
        <v>0</v>
      </c>
      <c r="D364" s="160">
        <f t="shared" ref="D364:D371" si="46">F343+L343+R343+X343</f>
        <v>0</v>
      </c>
      <c r="E364" s="51" t="str">
        <f>IF(D364=0,"",RANK(D364,D$364:D$371) + COUNTIFS(D$364:D$371, D364, C$364:C$371, "&gt;"&amp; C364))</f>
        <v/>
      </c>
      <c r="F364" s="86"/>
      <c r="G364" s="86"/>
      <c r="H364" s="169" t="e" cm="1" vm="1">
        <f t="array" ref="H364">_xlfn._xlws.FILTER((_xlfn._xlws.SORT((_xlfn._xlws.SORT(_xlfn._xlws.FILTER(B364:E371,D364:D371&lt;&gt;0),2,-1)),4)), _xlfn.CHOOSECOLS((_xlfn._xlws.SORT((_xlfn._xlws.SORT(_xlfn._xlws.FILTER(B364:E371,D364:D371&lt;&gt;0),2,-1)),4)),1)&lt;&gt;0)</f>
        <v>#VALUE!</v>
      </c>
      <c r="I364" s="169"/>
      <c r="J364" s="169"/>
      <c r="K364" s="169"/>
      <c r="L364" s="86"/>
      <c r="M364" s="86"/>
      <c r="N364" s="134" t="str">
        <f>M343</f>
        <v>Abingdon AC</v>
      </c>
      <c r="O364" s="160">
        <f>D343+J343+P343+V343</f>
        <v>0</v>
      </c>
      <c r="P364" s="51" t="str">
        <f t="shared" ref="P364:P371" si="47">IF(O364=0,"",RANK(O364,O$364:O$371))</f>
        <v/>
      </c>
      <c r="Q364" s="86"/>
      <c r="R364" s="86"/>
      <c r="S364" s="169" t="e" cm="1" vm="1">
        <f t="array" ref="S364">_xlfn._xlws.FILTER((_xlfn._xlws.SORT((_xlfn._xlws.SORT(_xlfn._xlws.FILTER(N364:P371,O364:O371&lt;&gt;0),2,-1)),3)), _xlfn.CHOOSECOLS((_xlfn._xlws.SORT((_xlfn._xlws.SORT(_xlfn._xlws.FILTER(N364:P371,O364:O371&lt;&gt;0),2,-1)),3)),1)&lt;&gt;0)</f>
        <v>#VALUE!</v>
      </c>
      <c r="T364" s="169"/>
      <c r="U364" s="169"/>
      <c r="V364" s="169"/>
      <c r="W364" s="86"/>
    </row>
    <row r="365" spans="1:24">
      <c r="A365" s="86"/>
      <c r="B365" s="134" t="str">
        <f t="shared" ref="B365:B371" si="48">A344</f>
        <v>Banbury Harriers AC</v>
      </c>
      <c r="C365" s="160">
        <f t="shared" ref="C365:C371" si="49">D344+J344+P344+V344</f>
        <v>0</v>
      </c>
      <c r="D365" s="160">
        <f t="shared" si="46"/>
        <v>0</v>
      </c>
      <c r="E365" s="51" t="str">
        <f t="shared" ref="E365:E371" si="50">IF(D365=0,"",RANK(D365,D$364:D$371) + COUNTIFS(D$364:D$371, D365, C$364:C$371, "&gt;"&amp; C365))</f>
        <v/>
      </c>
      <c r="F365" s="86"/>
      <c r="G365" s="86"/>
      <c r="H365" s="169"/>
      <c r="I365" s="169"/>
      <c r="J365" s="169"/>
      <c r="K365" s="169"/>
      <c r="L365" s="86"/>
      <c r="M365" s="86"/>
      <c r="N365" s="134" t="str">
        <f t="shared" ref="N365:N371" si="51">M344</f>
        <v>Banbury Harriers AC</v>
      </c>
      <c r="O365" s="160">
        <f t="shared" ref="O365:O371" si="52">D344+J344+P344+V344</f>
        <v>0</v>
      </c>
      <c r="P365" s="51" t="str">
        <f t="shared" si="47"/>
        <v/>
      </c>
      <c r="Q365" s="86"/>
      <c r="R365" s="86"/>
      <c r="S365" s="169"/>
      <c r="T365" s="169"/>
      <c r="U365" s="169"/>
      <c r="V365" s="169"/>
      <c r="W365" s="86"/>
    </row>
    <row r="366" spans="1:24">
      <c r="B366" s="134" t="str">
        <f t="shared" si="48"/>
        <v>Bicester AC</v>
      </c>
      <c r="C366" s="160">
        <f t="shared" si="49"/>
        <v>0</v>
      </c>
      <c r="D366" s="160">
        <f t="shared" si="46"/>
        <v>0</v>
      </c>
      <c r="E366" s="51" t="str">
        <f t="shared" si="50"/>
        <v/>
      </c>
      <c r="F366" s="87"/>
      <c r="H366" s="173"/>
      <c r="I366" s="173"/>
      <c r="J366" s="173"/>
      <c r="K366" s="173"/>
      <c r="N366" s="134" t="str">
        <f t="shared" si="51"/>
        <v>Bicester AC</v>
      </c>
      <c r="O366" s="160">
        <f t="shared" si="52"/>
        <v>0</v>
      </c>
      <c r="P366" s="51" t="str">
        <f t="shared" si="47"/>
        <v/>
      </c>
      <c r="Q366" s="87"/>
      <c r="R366" s="4"/>
      <c r="S366" s="173"/>
      <c r="T366" s="173"/>
      <c r="U366" s="173"/>
      <c r="V366" s="173"/>
    </row>
    <row r="367" spans="1:24">
      <c r="B367" s="134" t="str">
        <f t="shared" si="48"/>
        <v>Oxford City AC</v>
      </c>
      <c r="C367" s="160">
        <f t="shared" si="49"/>
        <v>0</v>
      </c>
      <c r="D367" s="160">
        <f t="shared" si="46"/>
        <v>0</v>
      </c>
      <c r="E367" s="51" t="str">
        <f t="shared" si="50"/>
        <v/>
      </c>
      <c r="F367" s="87"/>
      <c r="H367" s="173"/>
      <c r="I367" s="173"/>
      <c r="J367" s="173"/>
      <c r="K367" s="173"/>
      <c r="N367" s="134" t="str">
        <f t="shared" si="51"/>
        <v>Oxford City AC</v>
      </c>
      <c r="O367" s="160">
        <f t="shared" si="52"/>
        <v>0</v>
      </c>
      <c r="P367" s="51" t="str">
        <f t="shared" si="47"/>
        <v/>
      </c>
      <c r="Q367" s="87"/>
      <c r="R367" s="4"/>
      <c r="S367" s="173"/>
      <c r="T367" s="173"/>
      <c r="U367" s="173"/>
      <c r="V367" s="173"/>
      <c r="X367" s="86"/>
    </row>
    <row r="368" spans="1:24">
      <c r="B368" s="134" t="str">
        <f t="shared" si="48"/>
        <v>Radley AC</v>
      </c>
      <c r="C368" s="160">
        <f t="shared" si="49"/>
        <v>0</v>
      </c>
      <c r="D368" s="160">
        <f t="shared" si="46"/>
        <v>0</v>
      </c>
      <c r="E368" s="51" t="str">
        <f t="shared" si="50"/>
        <v/>
      </c>
      <c r="F368" s="87"/>
      <c r="H368" s="173"/>
      <c r="I368" s="173"/>
      <c r="J368" s="173"/>
      <c r="K368" s="173"/>
      <c r="N368" s="134" t="str">
        <f t="shared" si="51"/>
        <v>Radley AC</v>
      </c>
      <c r="O368" s="160">
        <f t="shared" si="52"/>
        <v>0</v>
      </c>
      <c r="P368" s="51" t="str">
        <f t="shared" si="47"/>
        <v/>
      </c>
      <c r="Q368" s="87"/>
      <c r="R368" s="4"/>
      <c r="S368" s="173"/>
      <c r="T368" s="173"/>
      <c r="U368" s="173"/>
      <c r="V368" s="173"/>
      <c r="X368" s="86"/>
    </row>
    <row r="369" spans="1:27">
      <c r="B369" s="134" t="str">
        <f t="shared" si="48"/>
        <v>Team Kennet</v>
      </c>
      <c r="C369" s="160">
        <f t="shared" si="49"/>
        <v>0</v>
      </c>
      <c r="D369" s="160">
        <f t="shared" si="46"/>
        <v>0</v>
      </c>
      <c r="E369" s="51" t="str">
        <f t="shared" si="50"/>
        <v/>
      </c>
      <c r="F369" s="87"/>
      <c r="H369" s="173"/>
      <c r="I369" s="173"/>
      <c r="J369" s="173"/>
      <c r="K369" s="173"/>
      <c r="N369" s="134" t="str">
        <f t="shared" si="51"/>
        <v>Team Kennet</v>
      </c>
      <c r="O369" s="160">
        <f t="shared" si="52"/>
        <v>0</v>
      </c>
      <c r="P369" s="51" t="str">
        <f t="shared" si="47"/>
        <v/>
      </c>
      <c r="Q369" s="87"/>
      <c r="R369" s="4"/>
      <c r="S369" s="173"/>
      <c r="T369" s="173"/>
      <c r="U369" s="173"/>
      <c r="V369" s="173"/>
      <c r="X369" s="86"/>
    </row>
    <row r="370" spans="1:27">
      <c r="B370" s="134" t="str">
        <f t="shared" si="48"/>
        <v>White Horse Harriers</v>
      </c>
      <c r="C370" s="160">
        <f t="shared" si="49"/>
        <v>0</v>
      </c>
      <c r="D370" s="160">
        <f t="shared" si="46"/>
        <v>0</v>
      </c>
      <c r="E370" s="51" t="str">
        <f t="shared" si="50"/>
        <v/>
      </c>
      <c r="F370" s="87"/>
      <c r="H370" s="173"/>
      <c r="I370" s="173"/>
      <c r="J370" s="173"/>
      <c r="K370" s="173"/>
      <c r="N370" s="134" t="str">
        <f t="shared" si="51"/>
        <v>White Horse Harriers</v>
      </c>
      <c r="O370" s="160">
        <f t="shared" si="52"/>
        <v>0</v>
      </c>
      <c r="P370" s="51" t="str">
        <f t="shared" si="47"/>
        <v/>
      </c>
      <c r="Q370" s="87"/>
      <c r="R370" s="4"/>
      <c r="S370" s="173"/>
      <c r="T370" s="173"/>
      <c r="U370" s="173"/>
      <c r="V370" s="173"/>
    </row>
    <row r="371" spans="1:27">
      <c r="B371" s="134" t="str">
        <f t="shared" si="48"/>
        <v>Witney Road Runners</v>
      </c>
      <c r="C371" s="160">
        <f t="shared" si="49"/>
        <v>0</v>
      </c>
      <c r="D371" s="160">
        <f t="shared" si="46"/>
        <v>0</v>
      </c>
      <c r="E371" s="51" t="str">
        <f t="shared" si="50"/>
        <v/>
      </c>
      <c r="F371" s="87"/>
      <c r="H371" s="173"/>
      <c r="I371" s="173"/>
      <c r="J371" s="173"/>
      <c r="K371" s="173"/>
      <c r="N371" s="134" t="str">
        <f t="shared" si="51"/>
        <v>Witney Road Runners</v>
      </c>
      <c r="O371" s="160">
        <f t="shared" si="52"/>
        <v>0</v>
      </c>
      <c r="P371" s="51" t="str">
        <f t="shared" si="47"/>
        <v/>
      </c>
      <c r="Q371" s="87"/>
      <c r="R371" s="4"/>
      <c r="S371" s="173"/>
      <c r="T371" s="173"/>
      <c r="U371" s="173"/>
      <c r="V371" s="173"/>
    </row>
    <row r="374" spans="1:27" ht="16">
      <c r="A374" s="521" t="s">
        <v>31</v>
      </c>
      <c r="B374" s="521"/>
      <c r="C374" s="521"/>
      <c r="D374" s="521"/>
      <c r="E374" s="521"/>
      <c r="F374" s="521"/>
      <c r="G374" s="521"/>
      <c r="H374" s="521"/>
      <c r="I374" s="521"/>
      <c r="J374" s="521"/>
      <c r="K374" s="521"/>
      <c r="L374" s="521"/>
      <c r="M374" s="521"/>
      <c r="N374" s="521"/>
      <c r="O374" s="521"/>
      <c r="P374" s="521"/>
      <c r="Q374" s="521"/>
      <c r="R374" s="521"/>
      <c r="S374" s="521"/>
      <c r="T374" s="521"/>
      <c r="U374" s="521"/>
      <c r="Y374" s="545" t="s">
        <v>164</v>
      </c>
      <c r="Z374" s="545"/>
      <c r="AA374" s="545"/>
    </row>
    <row r="375" spans="1:27">
      <c r="A375"/>
      <c r="F375"/>
      <c r="G375"/>
      <c r="H375"/>
      <c r="Y375" s="545"/>
      <c r="Z375" s="545"/>
      <c r="AA375" s="545"/>
    </row>
    <row r="376" spans="1:27">
      <c r="A376" s="47"/>
      <c r="B376" s="159" t="s">
        <v>7</v>
      </c>
      <c r="C376" s="159" t="s">
        <v>19</v>
      </c>
      <c r="D376" s="159" t="s">
        <v>76</v>
      </c>
      <c r="E376" s="159" t="s">
        <v>158</v>
      </c>
      <c r="F376" s="541" t="s">
        <v>2</v>
      </c>
      <c r="G376" s="541"/>
      <c r="H376" s="48"/>
      <c r="I376" s="541" t="s">
        <v>3</v>
      </c>
      <c r="J376" s="541"/>
      <c r="K376" s="48"/>
      <c r="L376" s="539" t="s">
        <v>26</v>
      </c>
      <c r="M376" s="540"/>
      <c r="N376" s="131"/>
      <c r="O376" s="539" t="s">
        <v>27</v>
      </c>
      <c r="P376" s="540"/>
      <c r="Q376" s="132" t="s">
        <v>1</v>
      </c>
      <c r="R376" s="132" t="s">
        <v>156</v>
      </c>
      <c r="S376" s="132" t="s">
        <v>159</v>
      </c>
      <c r="T376" s="132" t="s">
        <v>157</v>
      </c>
      <c r="U376" s="132" t="s">
        <v>160</v>
      </c>
      <c r="Y376" s="545"/>
      <c r="Z376" s="545"/>
      <c r="AA376" s="545"/>
    </row>
    <row r="377" spans="1:27">
      <c r="A377" s="47"/>
      <c r="B377" s="160"/>
      <c r="C377" s="160"/>
      <c r="D377" s="160"/>
      <c r="E377" s="160"/>
      <c r="F377" s="49" t="s">
        <v>17</v>
      </c>
      <c r="G377" s="48" t="s">
        <v>1</v>
      </c>
      <c r="H377" s="133" t="s">
        <v>96</v>
      </c>
      <c r="I377" s="50" t="s">
        <v>17</v>
      </c>
      <c r="J377" s="48" t="s">
        <v>1</v>
      </c>
      <c r="K377" s="133" t="s">
        <v>96</v>
      </c>
      <c r="L377" s="50" t="s">
        <v>18</v>
      </c>
      <c r="M377" s="48" t="s">
        <v>1</v>
      </c>
      <c r="N377" s="133" t="s">
        <v>96</v>
      </c>
      <c r="O377" s="50" t="s">
        <v>18</v>
      </c>
      <c r="P377" s="48" t="s">
        <v>1</v>
      </c>
      <c r="Q377" s="48"/>
      <c r="R377" s="48"/>
      <c r="S377" s="48"/>
      <c r="T377" s="48"/>
      <c r="U377" s="48"/>
      <c r="Y377" s="545"/>
      <c r="Z377" s="545"/>
      <c r="AA377" s="545"/>
    </row>
    <row r="378" spans="1:27">
      <c r="A378" s="51" t="str">
        <f>IF(Declarations!B6=0,"",Declarations!B6)</f>
        <v/>
      </c>
      <c r="B378" s="161" t="str">
        <f>IF(ISNA(VLOOKUP(A378,Declarations!B$6:C$293,2,FALSE)),"",IF(VLOOKUP(A378,Declarations!B$6:C$293,2,FALSE)="","",VLOOKUP(A378,Declarations!B$6:C$293,2,FALSE)))</f>
        <v/>
      </c>
      <c r="C378" s="161" t="str">
        <f>IF(ISNA(VLOOKUP(A378,Declarations!B$6:F$293,5,FALSE)),"",IF(VLOOKUP(A378,Declarations!B$6:F$293,5,FALSE)="","",VLOOKUP(A378,Declarations!B$6:F$293,5,FALSE)))</f>
        <v/>
      </c>
      <c r="D378" s="161" t="str">
        <f>IF(ISNA(VLOOKUP(A378,Declarations!B$6:F$293,4,FALSE)),"",IF(VLOOKUP(A378,Declarations!B$6:F$293,4,FALSE)="","",VLOOKUP(A378,Declarations!B$6:F$293,4,FALSE)))</f>
        <v/>
      </c>
      <c r="E378" s="161" t="str">
        <f>IF(ISNA(VLOOKUP(A378,Declarations!B$6:D$293,3,FALSE)),"",IF(VLOOKUP(A378,Declarations!B$6:D$293,3,FALSE)="","",VLOOKUP(A378,Declarations!B$6:D$293,3,FALSE)))</f>
        <v/>
      </c>
      <c r="F378" s="51" t="str">
        <f>IF(B378="","",IF(ISNA(VLOOKUP(A378,'75m'!F$5:G$302,2,FALSE)),"",VLOOKUP(A378,'75m'!F$5:G$302,2,FALSE)))</f>
        <v/>
      </c>
      <c r="G378" s="51">
        <f>IF(B378="",0,IF(ISNA(_xlfn.XLOOKUP(A378,'75m'!F$5:F$302,'75m'!M$5:M$302)),0,_xlfn.XLOOKUP(A378,'75m'!F$5:F$302,'75m'!M$5:M$302)))</f>
        <v>0</v>
      </c>
      <c r="H378" s="51" t="str">
        <f>IF(B378="","",IF(ISNA(VLOOKUP(A378,'75m'!F$5:K$302,5,FALSE)),"",VLOOKUP(A378,'75m'!F$5:K$302,5,FALSE)))</f>
        <v/>
      </c>
      <c r="I378" s="53">
        <f>IF(B378="",0,IF(ISNA(VLOOKUP(A378,'600m'!F$5:J$302,2,FALSE)),0,VLOOKUP(A378,'600m'!F$5:J$302,2,FALSE)))</f>
        <v>0</v>
      </c>
      <c r="J378" s="51">
        <f>IF(B378="",0,IF(ISNA(_xlfn.XLOOKUP(A378,'600m'!F$5:F$302,'600m'!M$5:M$302)),0,_xlfn.XLOOKUP(A378,'600m'!F$5:F$302,'600m'!M$5:M$302)))</f>
        <v>0</v>
      </c>
      <c r="K378" s="51" t="str">
        <f>IF(B378="","",IF(ISNA(VLOOKUP(A378,'600m'!F$5:K$302,5,FALSE)),"",VLOOKUP(A378,'600m'!F$5:K$302,5,FALSE)))</f>
        <v/>
      </c>
      <c r="L378" s="51" t="str">
        <f>IF(B378="","",IF(ISNA(VLOOKUP(A378,LongJump!F$5:G$302,2,FALSE)),"",VLOOKUP(A378,LongJump!F$5:G$302,2,FALSE)))</f>
        <v/>
      </c>
      <c r="M378" s="51">
        <f>IF(B378="",0,IF(ISNA(_xlfn.XLOOKUP(A378,LongJump!F$5:F$302,LongJump!M$5:M$302)),0,_xlfn.XLOOKUP(A378,LongJump!F$5:F$302,LongJump!M$5:M$302)))</f>
        <v>0</v>
      </c>
      <c r="N378" s="51">
        <f>IF(B378="",0,IF(ISNA(VLOOKUP(A378,LongJump!F$5:K$302,5,FALSE)),0,VLOOKUP(A378,LongJump!F$5:K$302,5,FALSE)))</f>
        <v>0</v>
      </c>
      <c r="O378" s="51" t="str">
        <f>IF(B378="","",IF(ISNA(VLOOKUP(A378,Vortex!F$5:J$302,2,FALSE)),"",VLOOKUP(A378,Vortex!F$5:J$302,2,FALSE)))</f>
        <v/>
      </c>
      <c r="P378" s="51">
        <f>IF(B378="",0,IF(ISNA(_xlfn.XLOOKUP(A378,Vortex!F$5:F$302,Vortex!M$5:M$302)),0,_xlfn.XLOOKUP(A378,Vortex!F$5:F$302,Vortex!M$5:M$302)))</f>
        <v>0</v>
      </c>
      <c r="Q378" s="51">
        <f>G378+J378+M378+P378</f>
        <v>0</v>
      </c>
      <c r="R378" s="51" t="str">
        <f>IF(OR($Q378=0,$E378&lt;&gt;"U10"),"",COUNTIFS($C$378:$C$665, $C378, $D$378:$D$665, $D378, $E$378:$E$665, $E378, $Q$378:$Q$665,"&gt;"&amp;$Q378)+1)</f>
        <v/>
      </c>
      <c r="S378" s="51" t="str">
        <f>IF(OR($Q378=0,$E378&lt;&gt;"U12"),"",COUNTIFS($C$378:$C$665, $C378, $D$378:$D$665, $D378, $E$378:$E$665, $E378, $Q$378:$Q$665,"&gt;"&amp;$Q378)+1)</f>
        <v/>
      </c>
      <c r="T378" s="51" t="str">
        <f>IF(OR($Q378=0,$E378&lt;&gt;"U10"),"",COUNTIFS($D$378:$D$665, $D378,$E$378:$E$665,$E378,$Q$378:$Q$665,"&gt;"&amp;$Q378)+1)</f>
        <v/>
      </c>
      <c r="U378" s="51" t="str">
        <f>IF(OR($Q378=0,$E378&lt;&gt;"U12"),"",COUNTIFS($D$378:$D$665, $D378,$E$378:$E$665,$E378,$Q$378:$Q$665,"&gt;"&amp;$Q378)+1)</f>
        <v/>
      </c>
    </row>
    <row r="379" spans="1:27">
      <c r="A379" s="51" t="str">
        <f>IF(Declarations!B7=0,"",Declarations!B7)</f>
        <v/>
      </c>
      <c r="B379" s="161" t="str">
        <f>IF(ISNA(VLOOKUP(A379,Declarations!B$6:C$293,2,FALSE)),"",IF(VLOOKUP(A379,Declarations!B$6:C$293,2,FALSE)="","",VLOOKUP(A379,Declarations!B$6:C$293,2,FALSE)))</f>
        <v/>
      </c>
      <c r="C379" s="161" t="str">
        <f>IF(ISNA(VLOOKUP(A379,Declarations!B$6:F$293,5,FALSE)),"",IF(VLOOKUP(A379,Declarations!B$6:F$293,5,FALSE)="","",VLOOKUP(A379,Declarations!B$6:F$293,5,FALSE)))</f>
        <v/>
      </c>
      <c r="D379" s="161" t="str">
        <f>IF(ISNA(VLOOKUP(A379,Declarations!B$6:F$293,4,FALSE)),"",IF(VLOOKUP(A379,Declarations!B$6:F$293,4,FALSE)="","",VLOOKUP(A379,Declarations!B$6:F$293,4,FALSE)))</f>
        <v/>
      </c>
      <c r="E379" s="161" t="str">
        <f>IF(ISNA(VLOOKUP(A379,Declarations!B$6:D$293,3,FALSE)),"",IF(VLOOKUP(A379,Declarations!B$6:D$293,3,FALSE)="","",VLOOKUP(A379,Declarations!B$6:D$293,3,FALSE)))</f>
        <v/>
      </c>
      <c r="F379" s="51" t="str">
        <f>IF(B379="","",IF(ISNA(VLOOKUP(A379,'75m'!F$5:G$302,2,FALSE)),"",VLOOKUP(A379,'75m'!F$5:G$302,2,FALSE)))</f>
        <v/>
      </c>
      <c r="G379" s="51">
        <f>IF(B379="",0,IF(ISNA(_xlfn.XLOOKUP(A379,'75m'!F$5:F$302,'75m'!M$5:M$302)),0,_xlfn.XLOOKUP(A379,'75m'!F$5:F$302,'75m'!M$5:M$302)))</f>
        <v>0</v>
      </c>
      <c r="H379" s="51" t="str">
        <f>IF(B379="","",IF(ISNA(VLOOKUP(A379,'75m'!F$5:K$302,5,FALSE)),"",VLOOKUP(A379,'75m'!F$5:K$302,5,FALSE)))</f>
        <v/>
      </c>
      <c r="I379" s="53">
        <f>IF(B379="",0,IF(ISNA(VLOOKUP(A379,'600m'!F$5:J$302,2,FALSE)),0,VLOOKUP(A379,'600m'!F$5:J$302,2,FALSE)))</f>
        <v>0</v>
      </c>
      <c r="J379" s="51">
        <f>IF(B379="",0,IF(ISNA(_xlfn.XLOOKUP(A379,'600m'!F$5:F$302,'600m'!M$5:M$302)),0,_xlfn.XLOOKUP(A379,'600m'!F$5:F$302,'600m'!M$5:M$302)))</f>
        <v>0</v>
      </c>
      <c r="K379" s="51" t="str">
        <f>IF(B379="","",IF(ISNA(VLOOKUP(A379,'600m'!F$5:K$302,5,FALSE)),"",VLOOKUP(A379,'600m'!F$5:K$302,5,FALSE)))</f>
        <v/>
      </c>
      <c r="L379" s="51" t="str">
        <f>IF(B379="","",IF(ISNA(VLOOKUP(A379,LongJump!F$5:G$302,2,FALSE)),"",VLOOKUP(A379,LongJump!F$5:G$302,2,FALSE)))</f>
        <v/>
      </c>
      <c r="M379" s="51">
        <f>IF(B379="",0,IF(ISNA(_xlfn.XLOOKUP(A379,LongJump!F$5:F$302,LongJump!M$5:M$302)),0,_xlfn.XLOOKUP(A379,LongJump!F$5:F$302,LongJump!M$5:M$302)))</f>
        <v>0</v>
      </c>
      <c r="N379" s="51">
        <f>IF(B379="",0,IF(ISNA(VLOOKUP(A379,LongJump!F$5:K$302,5,FALSE)),0,VLOOKUP(A379,LongJump!F$5:K$302,5,FALSE)))</f>
        <v>0</v>
      </c>
      <c r="O379" s="51" t="str">
        <f>IF(B379="","",IF(ISNA(VLOOKUP(A379,Vortex!F$5:J$302,2,FALSE)),"",VLOOKUP(A379,Vortex!F$5:J$302,2,FALSE)))</f>
        <v/>
      </c>
      <c r="P379" s="51">
        <f>IF(B379="",0,IF(ISNA(_xlfn.XLOOKUP(A379,Vortex!F$5:F$302,Vortex!M$5:M$302)),0,_xlfn.XLOOKUP(A379,Vortex!F$5:F$302,Vortex!M$5:M$302)))</f>
        <v>0</v>
      </c>
      <c r="Q379" s="51">
        <f t="shared" ref="Q379:Q442" si="53">G379+J379+M379+P379</f>
        <v>0</v>
      </c>
      <c r="R379" s="51" t="str">
        <f t="shared" ref="R379:R442" si="54">IF(OR($Q379=0,$E379&lt;&gt;"U10"),"",COUNTIFS($C$378:$C$665, $C379, $D$378:$D$665, $D379, $E$378:$E$665, $E379, $Q$378:$Q$665,"&gt;"&amp;$Q379)+1)</f>
        <v/>
      </c>
      <c r="S379" s="51" t="str">
        <f t="shared" ref="S379:S442" si="55">IF(OR($Q379=0,$E379&lt;&gt;"U12"),"",COUNTIFS($C$378:$C$665, $C379, $D$378:$D$665, $D379, $E$378:$E$665, $E379, $Q$378:$Q$665,"&gt;"&amp;$Q379)+1)</f>
        <v/>
      </c>
      <c r="T379" s="51" t="str">
        <f t="shared" ref="T379:T442" si="56">IF(OR($Q379=0,$E379&lt;&gt;"U10"),"",COUNTIFS($D$378:$D$665, $D379,$E$378:$E$665,$E379,$Q$378:$Q$665,"&gt;"&amp;$Q379)+1)</f>
        <v/>
      </c>
      <c r="U379" s="51" t="str">
        <f t="shared" ref="U379:U442" si="57">IF(OR($Q379=0,$E379&lt;&gt;"U12"),"",COUNTIFS($D$378:$D$665, $D379,$E$378:$E$665,$E379,$Q$378:$Q$665,"&gt;"&amp;$Q379)+1)</f>
        <v/>
      </c>
    </row>
    <row r="380" spans="1:27">
      <c r="A380" s="51" t="str">
        <f>IF(Declarations!B8=0,"",Declarations!B8)</f>
        <v/>
      </c>
      <c r="B380" s="161" t="str">
        <f>IF(ISNA(VLOOKUP(A380,Declarations!B$6:C$293,2,FALSE)),"",IF(VLOOKUP(A380,Declarations!B$6:C$293,2,FALSE)="","",VLOOKUP(A380,Declarations!B$6:C$293,2,FALSE)))</f>
        <v/>
      </c>
      <c r="C380" s="161" t="str">
        <f>IF(ISNA(VLOOKUP(A380,Declarations!B$6:F$293,5,FALSE)),"",IF(VLOOKUP(A380,Declarations!B$6:F$293,5,FALSE)="","",VLOOKUP(A380,Declarations!B$6:F$293,5,FALSE)))</f>
        <v/>
      </c>
      <c r="D380" s="161" t="str">
        <f>IF(ISNA(VLOOKUP(A380,Declarations!B$6:F$293,4,FALSE)),"",IF(VLOOKUP(A380,Declarations!B$6:F$293,4,FALSE)="","",VLOOKUP(A380,Declarations!B$6:F$293,4,FALSE)))</f>
        <v/>
      </c>
      <c r="E380" s="161" t="str">
        <f>IF(ISNA(VLOOKUP(A380,Declarations!B$6:D$293,3,FALSE)),"",IF(VLOOKUP(A380,Declarations!B$6:D$293,3,FALSE)="","",VLOOKUP(A380,Declarations!B$6:D$293,3,FALSE)))</f>
        <v/>
      </c>
      <c r="F380" s="51" t="str">
        <f>IF(B380="","",IF(ISNA(VLOOKUP(A380,'75m'!F$5:G$302,2,FALSE)),"",VLOOKUP(A380,'75m'!F$5:G$302,2,FALSE)))</f>
        <v/>
      </c>
      <c r="G380" s="51">
        <f>IF(B380="",0,IF(ISNA(_xlfn.XLOOKUP(A380,'75m'!F$5:F$302,'75m'!M$5:M$302)),0,_xlfn.XLOOKUP(A380,'75m'!F$5:F$302,'75m'!M$5:M$302)))</f>
        <v>0</v>
      </c>
      <c r="H380" s="51" t="str">
        <f>IF(B380="","",IF(ISNA(VLOOKUP(A380,'75m'!F$5:K$302,5,FALSE)),"",VLOOKUP(A380,'75m'!F$5:K$302,5,FALSE)))</f>
        <v/>
      </c>
      <c r="I380" s="53">
        <f>IF(B380="",0,IF(ISNA(VLOOKUP(A380,'600m'!F$5:J$302,2,FALSE)),0,VLOOKUP(A380,'600m'!F$5:J$302,2,FALSE)))</f>
        <v>0</v>
      </c>
      <c r="J380" s="51">
        <f>IF(B380="",0,IF(ISNA(_xlfn.XLOOKUP(A380,'600m'!F$5:F$302,'600m'!M$5:M$302)),0,_xlfn.XLOOKUP(A380,'600m'!F$5:F$302,'600m'!M$5:M$302)))</f>
        <v>0</v>
      </c>
      <c r="K380" s="51" t="str">
        <f>IF(B380="","",IF(ISNA(VLOOKUP(A380,'600m'!F$5:K$302,5,FALSE)),"",VLOOKUP(A380,'600m'!F$5:K$302,5,FALSE)))</f>
        <v/>
      </c>
      <c r="L380" s="51" t="str">
        <f>IF(B380="","",IF(ISNA(VLOOKUP(A380,LongJump!F$5:G$302,2,FALSE)),"",VLOOKUP(A380,LongJump!F$5:G$302,2,FALSE)))</f>
        <v/>
      </c>
      <c r="M380" s="51">
        <f>IF(B380="",0,IF(ISNA(_xlfn.XLOOKUP(A380,LongJump!F$5:F$302,LongJump!M$5:M$302)),0,_xlfn.XLOOKUP(A380,LongJump!F$5:F$302,LongJump!M$5:M$302)))</f>
        <v>0</v>
      </c>
      <c r="N380" s="51">
        <f>IF(B380="",0,IF(ISNA(VLOOKUP(A380,LongJump!F$5:K$302,5,FALSE)),0,VLOOKUP(A380,LongJump!F$5:K$302,5,FALSE)))</f>
        <v>0</v>
      </c>
      <c r="O380" s="51" t="str">
        <f>IF(B380="","",IF(ISNA(VLOOKUP(A380,Vortex!F$5:J$302,2,FALSE)),"",VLOOKUP(A380,Vortex!F$5:J$302,2,FALSE)))</f>
        <v/>
      </c>
      <c r="P380" s="51">
        <f>IF(B380="",0,IF(ISNA(_xlfn.XLOOKUP(A380,Vortex!F$5:F$302,Vortex!M$5:M$302)),0,_xlfn.XLOOKUP(A380,Vortex!F$5:F$302,Vortex!M$5:M$302)))</f>
        <v>0</v>
      </c>
      <c r="Q380" s="51">
        <f t="shared" si="53"/>
        <v>0</v>
      </c>
      <c r="R380" s="51" t="str">
        <f t="shared" si="54"/>
        <v/>
      </c>
      <c r="S380" s="51" t="str">
        <f t="shared" si="55"/>
        <v/>
      </c>
      <c r="T380" s="51" t="str">
        <f t="shared" si="56"/>
        <v/>
      </c>
      <c r="U380" s="51" t="str">
        <f t="shared" si="57"/>
        <v/>
      </c>
    </row>
    <row r="381" spans="1:27">
      <c r="A381" s="51" t="str">
        <f>IF(Declarations!B9=0,"",Declarations!B9)</f>
        <v/>
      </c>
      <c r="B381" s="161" t="str">
        <f>IF(ISNA(VLOOKUP(A381,Declarations!B$6:C$293,2,FALSE)),"",IF(VLOOKUP(A381,Declarations!B$6:C$293,2,FALSE)="","",VLOOKUP(A381,Declarations!B$6:C$293,2,FALSE)))</f>
        <v/>
      </c>
      <c r="C381" s="161" t="str">
        <f>IF(ISNA(VLOOKUP(A381,Declarations!B$6:F$293,5,FALSE)),"",IF(VLOOKUP(A381,Declarations!B$6:F$293,5,FALSE)="","",VLOOKUP(A381,Declarations!B$6:F$293,5,FALSE)))</f>
        <v/>
      </c>
      <c r="D381" s="161" t="str">
        <f>IF(ISNA(VLOOKUP(A381,Declarations!B$6:F$293,4,FALSE)),"",IF(VLOOKUP(A381,Declarations!B$6:F$293,4,FALSE)="","",VLOOKUP(A381,Declarations!B$6:F$293,4,FALSE)))</f>
        <v/>
      </c>
      <c r="E381" s="161" t="str">
        <f>IF(ISNA(VLOOKUP(A381,Declarations!B$6:D$293,3,FALSE)),"",IF(VLOOKUP(A381,Declarations!B$6:D$293,3,FALSE)="","",VLOOKUP(A381,Declarations!B$6:D$293,3,FALSE)))</f>
        <v/>
      </c>
      <c r="F381" s="51" t="str">
        <f>IF(B381="","",IF(ISNA(VLOOKUP(A381,'75m'!F$5:G$302,2,FALSE)),"",VLOOKUP(A381,'75m'!F$5:G$302,2,FALSE)))</f>
        <v/>
      </c>
      <c r="G381" s="51">
        <f>IF(B381="",0,IF(ISNA(_xlfn.XLOOKUP(A381,'75m'!F$5:F$302,'75m'!M$5:M$302)),0,_xlfn.XLOOKUP(A381,'75m'!F$5:F$302,'75m'!M$5:M$302)))</f>
        <v>0</v>
      </c>
      <c r="H381" s="51" t="str">
        <f>IF(B381="","",IF(ISNA(VLOOKUP(A381,'75m'!F$5:K$302,5,FALSE)),"",VLOOKUP(A381,'75m'!F$5:K$302,5,FALSE)))</f>
        <v/>
      </c>
      <c r="I381" s="53">
        <f>IF(B381="",0,IF(ISNA(VLOOKUP(A381,'600m'!F$5:J$302,2,FALSE)),0,VLOOKUP(A381,'600m'!F$5:J$302,2,FALSE)))</f>
        <v>0</v>
      </c>
      <c r="J381" s="51">
        <f>IF(B381="",0,IF(ISNA(_xlfn.XLOOKUP(A381,'600m'!F$5:F$302,'600m'!M$5:M$302)),0,_xlfn.XLOOKUP(A381,'600m'!F$5:F$302,'600m'!M$5:M$302)))</f>
        <v>0</v>
      </c>
      <c r="K381" s="51" t="str">
        <f>IF(B381="","",IF(ISNA(VLOOKUP(A381,'600m'!F$5:K$302,5,FALSE)),"",VLOOKUP(A381,'600m'!F$5:K$302,5,FALSE)))</f>
        <v/>
      </c>
      <c r="L381" s="51" t="str">
        <f>IF(B381="","",IF(ISNA(VLOOKUP(A381,LongJump!F$5:G$302,2,FALSE)),"",VLOOKUP(A381,LongJump!F$5:G$302,2,FALSE)))</f>
        <v/>
      </c>
      <c r="M381" s="51">
        <f>IF(B381="",0,IF(ISNA(_xlfn.XLOOKUP(A381,LongJump!F$5:F$302,LongJump!M$5:M$302)),0,_xlfn.XLOOKUP(A381,LongJump!F$5:F$302,LongJump!M$5:M$302)))</f>
        <v>0</v>
      </c>
      <c r="N381" s="51">
        <f>IF(B381="",0,IF(ISNA(VLOOKUP(A381,LongJump!F$5:K$302,5,FALSE)),0,VLOOKUP(A381,LongJump!F$5:K$302,5,FALSE)))</f>
        <v>0</v>
      </c>
      <c r="O381" s="51" t="str">
        <f>IF(B381="","",IF(ISNA(VLOOKUP(A381,Vortex!F$5:J$302,2,FALSE)),"",VLOOKUP(A381,Vortex!F$5:J$302,2,FALSE)))</f>
        <v/>
      </c>
      <c r="P381" s="51">
        <f>IF(B381="",0,IF(ISNA(_xlfn.XLOOKUP(A381,Vortex!F$5:F$302,Vortex!M$5:M$302)),0,_xlfn.XLOOKUP(A381,Vortex!F$5:F$302,Vortex!M$5:M$302)))</f>
        <v>0</v>
      </c>
      <c r="Q381" s="51">
        <f t="shared" si="53"/>
        <v>0</v>
      </c>
      <c r="R381" s="51" t="str">
        <f t="shared" si="54"/>
        <v/>
      </c>
      <c r="S381" s="51" t="str">
        <f t="shared" si="55"/>
        <v/>
      </c>
      <c r="T381" s="51" t="str">
        <f t="shared" si="56"/>
        <v/>
      </c>
      <c r="U381" s="51" t="str">
        <f t="shared" si="57"/>
        <v/>
      </c>
    </row>
    <row r="382" spans="1:27">
      <c r="A382" s="51" t="str">
        <f>IF(Declarations!B10=0,"",Declarations!B10)</f>
        <v/>
      </c>
      <c r="B382" s="161" t="str">
        <f>IF(ISNA(VLOOKUP(A382,Declarations!B$6:C$293,2,FALSE)),"",IF(VLOOKUP(A382,Declarations!B$6:C$293,2,FALSE)="","",VLOOKUP(A382,Declarations!B$6:C$293,2,FALSE)))</f>
        <v/>
      </c>
      <c r="C382" s="161" t="str">
        <f>IF(ISNA(VLOOKUP(A382,Declarations!B$6:F$293,5,FALSE)),"",IF(VLOOKUP(A382,Declarations!B$6:F$293,5,FALSE)="","",VLOOKUP(A382,Declarations!B$6:F$293,5,FALSE)))</f>
        <v/>
      </c>
      <c r="D382" s="161" t="str">
        <f>IF(ISNA(VLOOKUP(A382,Declarations!B$6:F$293,4,FALSE)),"",IF(VLOOKUP(A382,Declarations!B$6:F$293,4,FALSE)="","",VLOOKUP(A382,Declarations!B$6:F$293,4,FALSE)))</f>
        <v/>
      </c>
      <c r="E382" s="161" t="str">
        <f>IF(ISNA(VLOOKUP(A382,Declarations!B$6:D$293,3,FALSE)),"",IF(VLOOKUP(A382,Declarations!B$6:D$293,3,FALSE)="","",VLOOKUP(A382,Declarations!B$6:D$293,3,FALSE)))</f>
        <v/>
      </c>
      <c r="F382" s="51" t="str">
        <f>IF(B382="","",IF(ISNA(VLOOKUP(A382,'75m'!F$5:G$302,2,FALSE)),"",VLOOKUP(A382,'75m'!F$5:G$302,2,FALSE)))</f>
        <v/>
      </c>
      <c r="G382" s="51">
        <f>IF(B382="",0,IF(ISNA(_xlfn.XLOOKUP(A382,'75m'!F$5:F$302,'75m'!M$5:M$302)),0,_xlfn.XLOOKUP(A382,'75m'!F$5:F$302,'75m'!M$5:M$302)))</f>
        <v>0</v>
      </c>
      <c r="H382" s="51" t="str">
        <f>IF(B382="","",IF(ISNA(VLOOKUP(A382,'75m'!F$5:K$302,5,FALSE)),"",VLOOKUP(A382,'75m'!F$5:K$302,5,FALSE)))</f>
        <v/>
      </c>
      <c r="I382" s="53">
        <f>IF(B382="",0,IF(ISNA(VLOOKUP(A382,'600m'!F$5:J$302,2,FALSE)),0,VLOOKUP(A382,'600m'!F$5:J$302,2,FALSE)))</f>
        <v>0</v>
      </c>
      <c r="J382" s="51">
        <f>IF(B382="",0,IF(ISNA(_xlfn.XLOOKUP(A382,'600m'!F$5:F$302,'600m'!M$5:M$302)),0,_xlfn.XLOOKUP(A382,'600m'!F$5:F$302,'600m'!M$5:M$302)))</f>
        <v>0</v>
      </c>
      <c r="K382" s="51" t="str">
        <f>IF(B382="","",IF(ISNA(VLOOKUP(A382,'600m'!F$5:K$302,5,FALSE)),"",VLOOKUP(A382,'600m'!F$5:K$302,5,FALSE)))</f>
        <v/>
      </c>
      <c r="L382" s="51" t="str">
        <f>IF(B382="","",IF(ISNA(VLOOKUP(A382,LongJump!F$5:G$302,2,FALSE)),"",VLOOKUP(A382,LongJump!F$5:G$302,2,FALSE)))</f>
        <v/>
      </c>
      <c r="M382" s="51">
        <f>IF(B382="",0,IF(ISNA(_xlfn.XLOOKUP(A382,LongJump!F$5:F$302,LongJump!M$5:M$302)),0,_xlfn.XLOOKUP(A382,LongJump!F$5:F$302,LongJump!M$5:M$302)))</f>
        <v>0</v>
      </c>
      <c r="N382" s="51">
        <f>IF(B382="",0,IF(ISNA(VLOOKUP(A382,LongJump!F$5:K$302,5,FALSE)),0,VLOOKUP(A382,LongJump!F$5:K$302,5,FALSE)))</f>
        <v>0</v>
      </c>
      <c r="O382" s="51" t="str">
        <f>IF(B382="","",IF(ISNA(VLOOKUP(A382,Vortex!F$5:J$302,2,FALSE)),"",VLOOKUP(A382,Vortex!F$5:J$302,2,FALSE)))</f>
        <v/>
      </c>
      <c r="P382" s="51">
        <f>IF(B382="",0,IF(ISNA(_xlfn.XLOOKUP(A382,Vortex!F$5:F$302,Vortex!M$5:M$302)),0,_xlfn.XLOOKUP(A382,Vortex!F$5:F$302,Vortex!M$5:M$302)))</f>
        <v>0</v>
      </c>
      <c r="Q382" s="51">
        <f t="shared" si="53"/>
        <v>0</v>
      </c>
      <c r="R382" s="51" t="str">
        <f t="shared" si="54"/>
        <v/>
      </c>
      <c r="S382" s="51" t="str">
        <f t="shared" si="55"/>
        <v/>
      </c>
      <c r="T382" s="51" t="str">
        <f t="shared" si="56"/>
        <v/>
      </c>
      <c r="U382" s="51" t="str">
        <f t="shared" si="57"/>
        <v/>
      </c>
    </row>
    <row r="383" spans="1:27">
      <c r="A383" s="51" t="str">
        <f>IF(Declarations!B11=0,"",Declarations!B11)</f>
        <v/>
      </c>
      <c r="B383" s="161" t="str">
        <f>IF(ISNA(VLOOKUP(A383,Declarations!B$6:C$293,2,FALSE)),"",IF(VLOOKUP(A383,Declarations!B$6:C$293,2,FALSE)="","",VLOOKUP(A383,Declarations!B$6:C$293,2,FALSE)))</f>
        <v/>
      </c>
      <c r="C383" s="161" t="str">
        <f>IF(ISNA(VLOOKUP(A383,Declarations!B$6:F$293,5,FALSE)),"",IF(VLOOKUP(A383,Declarations!B$6:F$293,5,FALSE)="","",VLOOKUP(A383,Declarations!B$6:F$293,5,FALSE)))</f>
        <v/>
      </c>
      <c r="D383" s="161" t="str">
        <f>IF(ISNA(VLOOKUP(A383,Declarations!B$6:F$293,4,FALSE)),"",IF(VLOOKUP(A383,Declarations!B$6:F$293,4,FALSE)="","",VLOOKUP(A383,Declarations!B$6:F$293,4,FALSE)))</f>
        <v/>
      </c>
      <c r="E383" s="161" t="str">
        <f>IF(ISNA(VLOOKUP(A383,Declarations!B$6:D$293,3,FALSE)),"",IF(VLOOKUP(A383,Declarations!B$6:D$293,3,FALSE)="","",VLOOKUP(A383,Declarations!B$6:D$293,3,FALSE)))</f>
        <v/>
      </c>
      <c r="F383" s="51" t="str">
        <f>IF(B383="","",IF(ISNA(VLOOKUP(A383,'75m'!F$5:G$302,2,FALSE)),"",VLOOKUP(A383,'75m'!F$5:G$302,2,FALSE)))</f>
        <v/>
      </c>
      <c r="G383" s="51">
        <f>IF(B383="",0,IF(ISNA(_xlfn.XLOOKUP(A383,'75m'!F$5:F$302,'75m'!M$5:M$302)),0,_xlfn.XLOOKUP(A383,'75m'!F$5:F$302,'75m'!M$5:M$302)))</f>
        <v>0</v>
      </c>
      <c r="H383" s="51" t="str">
        <f>IF(B383="","",IF(ISNA(VLOOKUP(A383,'75m'!F$5:K$302,5,FALSE)),"",VLOOKUP(A383,'75m'!F$5:K$302,5,FALSE)))</f>
        <v/>
      </c>
      <c r="I383" s="53">
        <f>IF(B383="",0,IF(ISNA(VLOOKUP(A383,'600m'!F$5:J$302,2,FALSE)),0,VLOOKUP(A383,'600m'!F$5:J$302,2,FALSE)))</f>
        <v>0</v>
      </c>
      <c r="J383" s="51">
        <f>IF(B383="",0,IF(ISNA(_xlfn.XLOOKUP(A383,'600m'!F$5:F$302,'600m'!M$5:M$302)),0,_xlfn.XLOOKUP(A383,'600m'!F$5:F$302,'600m'!M$5:M$302)))</f>
        <v>0</v>
      </c>
      <c r="K383" s="51" t="str">
        <f>IF(B383="","",IF(ISNA(VLOOKUP(A383,'600m'!F$5:K$302,5,FALSE)),"",VLOOKUP(A383,'600m'!F$5:K$302,5,FALSE)))</f>
        <v/>
      </c>
      <c r="L383" s="51" t="str">
        <f>IF(B383="","",IF(ISNA(VLOOKUP(A383,LongJump!F$5:G$302,2,FALSE)),"",VLOOKUP(A383,LongJump!F$5:G$302,2,FALSE)))</f>
        <v/>
      </c>
      <c r="M383" s="51">
        <f>IF(B383="",0,IF(ISNA(_xlfn.XLOOKUP(A383,LongJump!F$5:F$302,LongJump!M$5:M$302)),0,_xlfn.XLOOKUP(A383,LongJump!F$5:F$302,LongJump!M$5:M$302)))</f>
        <v>0</v>
      </c>
      <c r="N383" s="51">
        <f>IF(B383="",0,IF(ISNA(VLOOKUP(A383,LongJump!F$5:K$302,5,FALSE)),0,VLOOKUP(A383,LongJump!F$5:K$302,5,FALSE)))</f>
        <v>0</v>
      </c>
      <c r="O383" s="51" t="str">
        <f>IF(B383="","",IF(ISNA(VLOOKUP(A383,Vortex!F$5:J$302,2,FALSE)),"",VLOOKUP(A383,Vortex!F$5:J$302,2,FALSE)))</f>
        <v/>
      </c>
      <c r="P383" s="51">
        <f>IF(B383="",0,IF(ISNA(_xlfn.XLOOKUP(A383,Vortex!F$5:F$302,Vortex!M$5:M$302)),0,_xlfn.XLOOKUP(A383,Vortex!F$5:F$302,Vortex!M$5:M$302)))</f>
        <v>0</v>
      </c>
      <c r="Q383" s="51">
        <f t="shared" si="53"/>
        <v>0</v>
      </c>
      <c r="R383" s="51" t="str">
        <f t="shared" si="54"/>
        <v/>
      </c>
      <c r="S383" s="51" t="str">
        <f t="shared" si="55"/>
        <v/>
      </c>
      <c r="T383" s="51" t="str">
        <f t="shared" si="56"/>
        <v/>
      </c>
      <c r="U383" s="51" t="str">
        <f t="shared" si="57"/>
        <v/>
      </c>
    </row>
    <row r="384" spans="1:27">
      <c r="A384" s="51" t="str">
        <f>IF(Declarations!B12=0,"",Declarations!B12)</f>
        <v/>
      </c>
      <c r="B384" s="161" t="str">
        <f>IF(ISNA(VLOOKUP(A384,Declarations!B$6:C$293,2,FALSE)),"",IF(VLOOKUP(A384,Declarations!B$6:C$293,2,FALSE)="","",VLOOKUP(A384,Declarations!B$6:C$293,2,FALSE)))</f>
        <v/>
      </c>
      <c r="C384" s="161" t="str">
        <f>IF(ISNA(VLOOKUP(A384,Declarations!B$6:F$293,5,FALSE)),"",IF(VLOOKUP(A384,Declarations!B$6:F$293,5,FALSE)="","",VLOOKUP(A384,Declarations!B$6:F$293,5,FALSE)))</f>
        <v/>
      </c>
      <c r="D384" s="161" t="str">
        <f>IF(ISNA(VLOOKUP(A384,Declarations!B$6:F$293,4,FALSE)),"",IF(VLOOKUP(A384,Declarations!B$6:F$293,4,FALSE)="","",VLOOKUP(A384,Declarations!B$6:F$293,4,FALSE)))</f>
        <v/>
      </c>
      <c r="E384" s="161" t="str">
        <f>IF(ISNA(VLOOKUP(A384,Declarations!B$6:D$293,3,FALSE)),"",IF(VLOOKUP(A384,Declarations!B$6:D$293,3,FALSE)="","",VLOOKUP(A384,Declarations!B$6:D$293,3,FALSE)))</f>
        <v/>
      </c>
      <c r="F384" s="51" t="str">
        <f>IF(B384="","",IF(ISNA(VLOOKUP(A384,'75m'!F$5:G$302,2,FALSE)),"",VLOOKUP(A384,'75m'!F$5:G$302,2,FALSE)))</f>
        <v/>
      </c>
      <c r="G384" s="51">
        <f>IF(B384="",0,IF(ISNA(_xlfn.XLOOKUP(A384,'75m'!F$5:F$302,'75m'!M$5:M$302)),0,_xlfn.XLOOKUP(A384,'75m'!F$5:F$302,'75m'!M$5:M$302)))</f>
        <v>0</v>
      </c>
      <c r="H384" s="51" t="str">
        <f>IF(B384="","",IF(ISNA(VLOOKUP(A384,'75m'!F$5:K$302,5,FALSE)),"",VLOOKUP(A384,'75m'!F$5:K$302,5,FALSE)))</f>
        <v/>
      </c>
      <c r="I384" s="53">
        <f>IF(B384="",0,IF(ISNA(VLOOKUP(A384,'600m'!F$5:J$302,2,FALSE)),0,VLOOKUP(A384,'600m'!F$5:J$302,2,FALSE)))</f>
        <v>0</v>
      </c>
      <c r="J384" s="51">
        <f>IF(B384="",0,IF(ISNA(_xlfn.XLOOKUP(A384,'600m'!F$5:F$302,'600m'!M$5:M$302)),0,_xlfn.XLOOKUP(A384,'600m'!F$5:F$302,'600m'!M$5:M$302)))</f>
        <v>0</v>
      </c>
      <c r="K384" s="51" t="str">
        <f>IF(B384="","",IF(ISNA(VLOOKUP(A384,'600m'!F$5:K$302,5,FALSE)),"",VLOOKUP(A384,'600m'!F$5:K$302,5,FALSE)))</f>
        <v/>
      </c>
      <c r="L384" s="51" t="str">
        <f>IF(B384="","",IF(ISNA(VLOOKUP(A384,LongJump!F$5:G$302,2,FALSE)),"",VLOOKUP(A384,LongJump!F$5:G$302,2,FALSE)))</f>
        <v/>
      </c>
      <c r="M384" s="51">
        <f>IF(B384="",0,IF(ISNA(_xlfn.XLOOKUP(A384,LongJump!F$5:F$302,LongJump!M$5:M$302)),0,_xlfn.XLOOKUP(A384,LongJump!F$5:F$302,LongJump!M$5:M$302)))</f>
        <v>0</v>
      </c>
      <c r="N384" s="51">
        <f>IF(B384="",0,IF(ISNA(VLOOKUP(A384,LongJump!F$5:K$302,5,FALSE)),0,VLOOKUP(A384,LongJump!F$5:K$302,5,FALSE)))</f>
        <v>0</v>
      </c>
      <c r="O384" s="51" t="str">
        <f>IF(B384="","",IF(ISNA(VLOOKUP(A384,Vortex!F$5:J$302,2,FALSE)),"",VLOOKUP(A384,Vortex!F$5:J$302,2,FALSE)))</f>
        <v/>
      </c>
      <c r="P384" s="51">
        <f>IF(B384="",0,IF(ISNA(_xlfn.XLOOKUP(A384,Vortex!F$5:F$302,Vortex!M$5:M$302)),0,_xlfn.XLOOKUP(A384,Vortex!F$5:F$302,Vortex!M$5:M$302)))</f>
        <v>0</v>
      </c>
      <c r="Q384" s="51">
        <f t="shared" si="53"/>
        <v>0</v>
      </c>
      <c r="R384" s="51" t="str">
        <f t="shared" si="54"/>
        <v/>
      </c>
      <c r="S384" s="51" t="str">
        <f t="shared" si="55"/>
        <v/>
      </c>
      <c r="T384" s="51" t="str">
        <f t="shared" si="56"/>
        <v/>
      </c>
      <c r="U384" s="51" t="str">
        <f t="shared" si="57"/>
        <v/>
      </c>
    </row>
    <row r="385" spans="1:21">
      <c r="A385" s="51" t="str">
        <f>IF(Declarations!B13=0,"",Declarations!B13)</f>
        <v/>
      </c>
      <c r="B385" s="161" t="str">
        <f>IF(ISNA(VLOOKUP(A385,Declarations!B$6:C$293,2,FALSE)),"",IF(VLOOKUP(A385,Declarations!B$6:C$293,2,FALSE)="","",VLOOKUP(A385,Declarations!B$6:C$293,2,FALSE)))</f>
        <v/>
      </c>
      <c r="C385" s="161" t="str">
        <f>IF(ISNA(VLOOKUP(A385,Declarations!B$6:F$293,5,FALSE)),"",IF(VLOOKUP(A385,Declarations!B$6:F$293,5,FALSE)="","",VLOOKUP(A385,Declarations!B$6:F$293,5,FALSE)))</f>
        <v/>
      </c>
      <c r="D385" s="161" t="str">
        <f>IF(ISNA(VLOOKUP(A385,Declarations!B$6:F$293,4,FALSE)),"",IF(VLOOKUP(A385,Declarations!B$6:F$293,4,FALSE)="","",VLOOKUP(A385,Declarations!B$6:F$293,4,FALSE)))</f>
        <v/>
      </c>
      <c r="E385" s="161" t="str">
        <f>IF(ISNA(VLOOKUP(A385,Declarations!B$6:D$293,3,FALSE)),"",IF(VLOOKUP(A385,Declarations!B$6:D$293,3,FALSE)="","",VLOOKUP(A385,Declarations!B$6:D$293,3,FALSE)))</f>
        <v/>
      </c>
      <c r="F385" s="51" t="str">
        <f>IF(B385="","",IF(ISNA(VLOOKUP(A385,'75m'!F$5:G$302,2,FALSE)),"",VLOOKUP(A385,'75m'!F$5:G$302,2,FALSE)))</f>
        <v/>
      </c>
      <c r="G385" s="51">
        <f>IF(B385="",0,IF(ISNA(_xlfn.XLOOKUP(A385,'75m'!F$5:F$302,'75m'!M$5:M$302)),0,_xlfn.XLOOKUP(A385,'75m'!F$5:F$302,'75m'!M$5:M$302)))</f>
        <v>0</v>
      </c>
      <c r="H385" s="51" t="str">
        <f>IF(B385="","",IF(ISNA(VLOOKUP(A385,'75m'!F$5:K$302,5,FALSE)),"",VLOOKUP(A385,'75m'!F$5:K$302,5,FALSE)))</f>
        <v/>
      </c>
      <c r="I385" s="53">
        <f>IF(B385="",0,IF(ISNA(VLOOKUP(A385,'600m'!F$5:J$302,2,FALSE)),0,VLOOKUP(A385,'600m'!F$5:J$302,2,FALSE)))</f>
        <v>0</v>
      </c>
      <c r="J385" s="51">
        <f>IF(B385="",0,IF(ISNA(_xlfn.XLOOKUP(A385,'600m'!F$5:F$302,'600m'!M$5:M$302)),0,_xlfn.XLOOKUP(A385,'600m'!F$5:F$302,'600m'!M$5:M$302)))</f>
        <v>0</v>
      </c>
      <c r="K385" s="51" t="str">
        <f>IF(B385="","",IF(ISNA(VLOOKUP(A385,'600m'!F$5:K$302,5,FALSE)),"",VLOOKUP(A385,'600m'!F$5:K$302,5,FALSE)))</f>
        <v/>
      </c>
      <c r="L385" s="51" t="str">
        <f>IF(B385="","",IF(ISNA(VLOOKUP(A385,LongJump!F$5:G$302,2,FALSE)),"",VLOOKUP(A385,LongJump!F$5:G$302,2,FALSE)))</f>
        <v/>
      </c>
      <c r="M385" s="51">
        <f>IF(B385="",0,IF(ISNA(_xlfn.XLOOKUP(A385,LongJump!F$5:F$302,LongJump!M$5:M$302)),0,_xlfn.XLOOKUP(A385,LongJump!F$5:F$302,LongJump!M$5:M$302)))</f>
        <v>0</v>
      </c>
      <c r="N385" s="51">
        <f>IF(B385="",0,IF(ISNA(VLOOKUP(A385,LongJump!F$5:K$302,5,FALSE)),0,VLOOKUP(A385,LongJump!F$5:K$302,5,FALSE)))</f>
        <v>0</v>
      </c>
      <c r="O385" s="51" t="str">
        <f>IF(B385="","",IF(ISNA(VLOOKUP(A385,Vortex!F$5:J$302,2,FALSE)),"",VLOOKUP(A385,Vortex!F$5:J$302,2,FALSE)))</f>
        <v/>
      </c>
      <c r="P385" s="51">
        <f>IF(B385="",0,IF(ISNA(_xlfn.XLOOKUP(A385,Vortex!F$5:F$302,Vortex!M$5:M$302)),0,_xlfn.XLOOKUP(A385,Vortex!F$5:F$302,Vortex!M$5:M$302)))</f>
        <v>0</v>
      </c>
      <c r="Q385" s="51">
        <f t="shared" si="53"/>
        <v>0</v>
      </c>
      <c r="R385" s="51" t="str">
        <f t="shared" si="54"/>
        <v/>
      </c>
      <c r="S385" s="51" t="str">
        <f t="shared" si="55"/>
        <v/>
      </c>
      <c r="T385" s="51" t="str">
        <f t="shared" si="56"/>
        <v/>
      </c>
      <c r="U385" s="51" t="str">
        <f t="shared" si="57"/>
        <v/>
      </c>
    </row>
    <row r="386" spans="1:21">
      <c r="A386" s="51" t="str">
        <f>IF(Declarations!B14=0,"",Declarations!B14)</f>
        <v/>
      </c>
      <c r="B386" s="161" t="str">
        <f>IF(ISNA(VLOOKUP(A386,Declarations!B$6:C$293,2,FALSE)),"",IF(VLOOKUP(A386,Declarations!B$6:C$293,2,FALSE)="","",VLOOKUP(A386,Declarations!B$6:C$293,2,FALSE)))</f>
        <v/>
      </c>
      <c r="C386" s="161" t="str">
        <f>IF(ISNA(VLOOKUP(A386,Declarations!B$6:F$293,5,FALSE)),"",IF(VLOOKUP(A386,Declarations!B$6:F$293,5,FALSE)="","",VLOOKUP(A386,Declarations!B$6:F$293,5,FALSE)))</f>
        <v/>
      </c>
      <c r="D386" s="161" t="str">
        <f>IF(ISNA(VLOOKUP(A386,Declarations!B$6:F$293,4,FALSE)),"",IF(VLOOKUP(A386,Declarations!B$6:F$293,4,FALSE)="","",VLOOKUP(A386,Declarations!B$6:F$293,4,FALSE)))</f>
        <v/>
      </c>
      <c r="E386" s="161" t="str">
        <f>IF(ISNA(VLOOKUP(A386,Declarations!B$6:D$293,3,FALSE)),"",IF(VLOOKUP(A386,Declarations!B$6:D$293,3,FALSE)="","",VLOOKUP(A386,Declarations!B$6:D$293,3,FALSE)))</f>
        <v/>
      </c>
      <c r="F386" s="51" t="str">
        <f>IF(B386="","",IF(ISNA(VLOOKUP(A386,'75m'!F$5:G$302,2,FALSE)),"",VLOOKUP(A386,'75m'!F$5:G$302,2,FALSE)))</f>
        <v/>
      </c>
      <c r="G386" s="51">
        <f>IF(B386="",0,IF(ISNA(_xlfn.XLOOKUP(A386,'75m'!F$5:F$302,'75m'!M$5:M$302)),0,_xlfn.XLOOKUP(A386,'75m'!F$5:F$302,'75m'!M$5:M$302)))</f>
        <v>0</v>
      </c>
      <c r="H386" s="51" t="str">
        <f>IF(B386="","",IF(ISNA(VLOOKUP(A386,'75m'!F$5:K$302,5,FALSE)),"",VLOOKUP(A386,'75m'!F$5:K$302,5,FALSE)))</f>
        <v/>
      </c>
      <c r="I386" s="53">
        <f>IF(B386="",0,IF(ISNA(VLOOKUP(A386,'600m'!F$5:J$302,2,FALSE)),0,VLOOKUP(A386,'600m'!F$5:J$302,2,FALSE)))</f>
        <v>0</v>
      </c>
      <c r="J386" s="51">
        <f>IF(B386="",0,IF(ISNA(_xlfn.XLOOKUP(A386,'600m'!F$5:F$302,'600m'!M$5:M$302)),0,_xlfn.XLOOKUP(A386,'600m'!F$5:F$302,'600m'!M$5:M$302)))</f>
        <v>0</v>
      </c>
      <c r="K386" s="51" t="str">
        <f>IF(B386="","",IF(ISNA(VLOOKUP(A386,'600m'!F$5:K$302,5,FALSE)),"",VLOOKUP(A386,'600m'!F$5:K$302,5,FALSE)))</f>
        <v/>
      </c>
      <c r="L386" s="51" t="str">
        <f>IF(B386="","",IF(ISNA(VLOOKUP(A386,LongJump!F$5:G$302,2,FALSE)),"",VLOOKUP(A386,LongJump!F$5:G$302,2,FALSE)))</f>
        <v/>
      </c>
      <c r="M386" s="51">
        <f>IF(B386="",0,IF(ISNA(_xlfn.XLOOKUP(A386,LongJump!F$5:F$302,LongJump!M$5:M$302)),0,_xlfn.XLOOKUP(A386,LongJump!F$5:F$302,LongJump!M$5:M$302)))</f>
        <v>0</v>
      </c>
      <c r="N386" s="51">
        <f>IF(B386="",0,IF(ISNA(VLOOKUP(A386,LongJump!F$5:K$302,5,FALSE)),0,VLOOKUP(A386,LongJump!F$5:K$302,5,FALSE)))</f>
        <v>0</v>
      </c>
      <c r="O386" s="51" t="str">
        <f>IF(B386="","",IF(ISNA(VLOOKUP(A386,Vortex!F$5:J$302,2,FALSE)),"",VLOOKUP(A386,Vortex!F$5:J$302,2,FALSE)))</f>
        <v/>
      </c>
      <c r="P386" s="51">
        <f>IF(B386="",0,IF(ISNA(_xlfn.XLOOKUP(A386,Vortex!F$5:F$302,Vortex!M$5:M$302)),0,_xlfn.XLOOKUP(A386,Vortex!F$5:F$302,Vortex!M$5:M$302)))</f>
        <v>0</v>
      </c>
      <c r="Q386" s="51">
        <f t="shared" si="53"/>
        <v>0</v>
      </c>
      <c r="R386" s="51" t="str">
        <f t="shared" si="54"/>
        <v/>
      </c>
      <c r="S386" s="51" t="str">
        <f t="shared" si="55"/>
        <v/>
      </c>
      <c r="T386" s="51" t="str">
        <f t="shared" si="56"/>
        <v/>
      </c>
      <c r="U386" s="51" t="str">
        <f t="shared" si="57"/>
        <v/>
      </c>
    </row>
    <row r="387" spans="1:21">
      <c r="A387" s="51" t="str">
        <f>IF(Declarations!B15=0,"",Declarations!B15)</f>
        <v/>
      </c>
      <c r="B387" s="161" t="str">
        <f>IF(ISNA(VLOOKUP(A387,Declarations!B$6:C$293,2,FALSE)),"",IF(VLOOKUP(A387,Declarations!B$6:C$293,2,FALSE)="","",VLOOKUP(A387,Declarations!B$6:C$293,2,FALSE)))</f>
        <v/>
      </c>
      <c r="C387" s="161" t="str">
        <f>IF(ISNA(VLOOKUP(A387,Declarations!B$6:F$293,5,FALSE)),"",IF(VLOOKUP(A387,Declarations!B$6:F$293,5,FALSE)="","",VLOOKUP(A387,Declarations!B$6:F$293,5,FALSE)))</f>
        <v/>
      </c>
      <c r="D387" s="161" t="str">
        <f>IF(ISNA(VLOOKUP(A387,Declarations!B$6:F$293,4,FALSE)),"",IF(VLOOKUP(A387,Declarations!B$6:F$293,4,FALSE)="","",VLOOKUP(A387,Declarations!B$6:F$293,4,FALSE)))</f>
        <v/>
      </c>
      <c r="E387" s="161" t="str">
        <f>IF(ISNA(VLOOKUP(A387,Declarations!B$6:D$293,3,FALSE)),"",IF(VLOOKUP(A387,Declarations!B$6:D$293,3,FALSE)="","",VLOOKUP(A387,Declarations!B$6:D$293,3,FALSE)))</f>
        <v/>
      </c>
      <c r="F387" s="51" t="str">
        <f>IF(B387="","",IF(ISNA(VLOOKUP(A387,'75m'!F$5:G$302,2,FALSE)),"",VLOOKUP(A387,'75m'!F$5:G$302,2,FALSE)))</f>
        <v/>
      </c>
      <c r="G387" s="51">
        <f>IF(B387="",0,IF(ISNA(_xlfn.XLOOKUP(A387,'75m'!F$5:F$302,'75m'!M$5:M$302)),0,_xlfn.XLOOKUP(A387,'75m'!F$5:F$302,'75m'!M$5:M$302)))</f>
        <v>0</v>
      </c>
      <c r="H387" s="51" t="str">
        <f>IF(B387="","",IF(ISNA(VLOOKUP(A387,'75m'!F$5:K$302,5,FALSE)),"",VLOOKUP(A387,'75m'!F$5:K$302,5,FALSE)))</f>
        <v/>
      </c>
      <c r="I387" s="53">
        <f>IF(B387="",0,IF(ISNA(VLOOKUP(A387,'600m'!F$5:J$302,2,FALSE)),0,VLOOKUP(A387,'600m'!F$5:J$302,2,FALSE)))</f>
        <v>0</v>
      </c>
      <c r="J387" s="51">
        <f>IF(B387="",0,IF(ISNA(_xlfn.XLOOKUP(A387,'600m'!F$5:F$302,'600m'!M$5:M$302)),0,_xlfn.XLOOKUP(A387,'600m'!F$5:F$302,'600m'!M$5:M$302)))</f>
        <v>0</v>
      </c>
      <c r="K387" s="51" t="str">
        <f>IF(B387="","",IF(ISNA(VLOOKUP(A387,'600m'!F$5:K$302,5,FALSE)),"",VLOOKUP(A387,'600m'!F$5:K$302,5,FALSE)))</f>
        <v/>
      </c>
      <c r="L387" s="51" t="str">
        <f>IF(B387="","",IF(ISNA(VLOOKUP(A387,LongJump!F$5:G$302,2,FALSE)),"",VLOOKUP(A387,LongJump!F$5:G$302,2,FALSE)))</f>
        <v/>
      </c>
      <c r="M387" s="51">
        <f>IF(B387="",0,IF(ISNA(_xlfn.XLOOKUP(A387,LongJump!F$5:F$302,LongJump!M$5:M$302)),0,_xlfn.XLOOKUP(A387,LongJump!F$5:F$302,LongJump!M$5:M$302)))</f>
        <v>0</v>
      </c>
      <c r="N387" s="51">
        <f>IF(B387="",0,IF(ISNA(VLOOKUP(A387,LongJump!F$5:K$302,5,FALSE)),0,VLOOKUP(A387,LongJump!F$5:K$302,5,FALSE)))</f>
        <v>0</v>
      </c>
      <c r="O387" s="51" t="str">
        <f>IF(B387="","",IF(ISNA(VLOOKUP(A387,Vortex!F$5:J$302,2,FALSE)),"",VLOOKUP(A387,Vortex!F$5:J$302,2,FALSE)))</f>
        <v/>
      </c>
      <c r="P387" s="51">
        <f>IF(B387="",0,IF(ISNA(_xlfn.XLOOKUP(A387,Vortex!F$5:F$302,Vortex!M$5:M$302)),0,_xlfn.XLOOKUP(A387,Vortex!F$5:F$302,Vortex!M$5:M$302)))</f>
        <v>0</v>
      </c>
      <c r="Q387" s="51">
        <f t="shared" si="53"/>
        <v>0</v>
      </c>
      <c r="R387" s="51" t="str">
        <f t="shared" si="54"/>
        <v/>
      </c>
      <c r="S387" s="51" t="str">
        <f t="shared" si="55"/>
        <v/>
      </c>
      <c r="T387" s="51" t="str">
        <f t="shared" si="56"/>
        <v/>
      </c>
      <c r="U387" s="51" t="str">
        <f t="shared" si="57"/>
        <v/>
      </c>
    </row>
    <row r="388" spans="1:21">
      <c r="A388" s="51" t="str">
        <f>IF(Declarations!B16=0,"",Declarations!B16)</f>
        <v/>
      </c>
      <c r="B388" s="161" t="str">
        <f>IF(ISNA(VLOOKUP(A388,Declarations!B$6:C$293,2,FALSE)),"",IF(VLOOKUP(A388,Declarations!B$6:C$293,2,FALSE)="","",VLOOKUP(A388,Declarations!B$6:C$293,2,FALSE)))</f>
        <v/>
      </c>
      <c r="C388" s="161" t="str">
        <f>IF(ISNA(VLOOKUP(A388,Declarations!B$6:F$293,5,FALSE)),"",IF(VLOOKUP(A388,Declarations!B$6:F$293,5,FALSE)="","",VLOOKUP(A388,Declarations!B$6:F$293,5,FALSE)))</f>
        <v/>
      </c>
      <c r="D388" s="161" t="str">
        <f>IF(ISNA(VLOOKUP(A388,Declarations!B$6:F$293,4,FALSE)),"",IF(VLOOKUP(A388,Declarations!B$6:F$293,4,FALSE)="","",VLOOKUP(A388,Declarations!B$6:F$293,4,FALSE)))</f>
        <v/>
      </c>
      <c r="E388" s="161" t="str">
        <f>IF(ISNA(VLOOKUP(A388,Declarations!B$6:D$293,3,FALSE)),"",IF(VLOOKUP(A388,Declarations!B$6:D$293,3,FALSE)="","",VLOOKUP(A388,Declarations!B$6:D$293,3,FALSE)))</f>
        <v/>
      </c>
      <c r="F388" s="51" t="str">
        <f>IF(B388="","",IF(ISNA(VLOOKUP(A388,'75m'!F$5:G$302,2,FALSE)),"",VLOOKUP(A388,'75m'!F$5:G$302,2,FALSE)))</f>
        <v/>
      </c>
      <c r="G388" s="51">
        <f>IF(B388="",0,IF(ISNA(_xlfn.XLOOKUP(A388,'75m'!F$5:F$302,'75m'!M$5:M$302)),0,_xlfn.XLOOKUP(A388,'75m'!F$5:F$302,'75m'!M$5:M$302)))</f>
        <v>0</v>
      </c>
      <c r="H388" s="51" t="str">
        <f>IF(B388="","",IF(ISNA(VLOOKUP(A388,'75m'!F$5:K$302,5,FALSE)),"",VLOOKUP(A388,'75m'!F$5:K$302,5,FALSE)))</f>
        <v/>
      </c>
      <c r="I388" s="53">
        <f>IF(B388="",0,IF(ISNA(VLOOKUP(A388,'600m'!F$5:J$302,2,FALSE)),0,VLOOKUP(A388,'600m'!F$5:J$302,2,FALSE)))</f>
        <v>0</v>
      </c>
      <c r="J388" s="51">
        <f>IF(B388="",0,IF(ISNA(_xlfn.XLOOKUP(A388,'600m'!F$5:F$302,'600m'!M$5:M$302)),0,_xlfn.XLOOKUP(A388,'600m'!F$5:F$302,'600m'!M$5:M$302)))</f>
        <v>0</v>
      </c>
      <c r="K388" s="51" t="str">
        <f>IF(B388="","",IF(ISNA(VLOOKUP(A388,'600m'!F$5:K$302,5,FALSE)),"",VLOOKUP(A388,'600m'!F$5:K$302,5,FALSE)))</f>
        <v/>
      </c>
      <c r="L388" s="51" t="str">
        <f>IF(B388="","",IF(ISNA(VLOOKUP(A388,LongJump!F$5:G$302,2,FALSE)),"",VLOOKUP(A388,LongJump!F$5:G$302,2,FALSE)))</f>
        <v/>
      </c>
      <c r="M388" s="51">
        <f>IF(B388="",0,IF(ISNA(_xlfn.XLOOKUP(A388,LongJump!F$5:F$302,LongJump!M$5:M$302)),0,_xlfn.XLOOKUP(A388,LongJump!F$5:F$302,LongJump!M$5:M$302)))</f>
        <v>0</v>
      </c>
      <c r="N388" s="51">
        <f>IF(B388="",0,IF(ISNA(VLOOKUP(A388,LongJump!F$5:K$302,5,FALSE)),0,VLOOKUP(A388,LongJump!F$5:K$302,5,FALSE)))</f>
        <v>0</v>
      </c>
      <c r="O388" s="51" t="str">
        <f>IF(B388="","",IF(ISNA(VLOOKUP(A388,Vortex!F$5:J$302,2,FALSE)),"",VLOOKUP(A388,Vortex!F$5:J$302,2,FALSE)))</f>
        <v/>
      </c>
      <c r="P388" s="51">
        <f>IF(B388="",0,IF(ISNA(_xlfn.XLOOKUP(A388,Vortex!F$5:F$302,Vortex!M$5:M$302)),0,_xlfn.XLOOKUP(A388,Vortex!F$5:F$302,Vortex!M$5:M$302)))</f>
        <v>0</v>
      </c>
      <c r="Q388" s="51">
        <f t="shared" si="53"/>
        <v>0</v>
      </c>
      <c r="R388" s="51" t="str">
        <f t="shared" si="54"/>
        <v/>
      </c>
      <c r="S388" s="51" t="str">
        <f t="shared" si="55"/>
        <v/>
      </c>
      <c r="T388" s="51" t="str">
        <f t="shared" si="56"/>
        <v/>
      </c>
      <c r="U388" s="51" t="str">
        <f t="shared" si="57"/>
        <v/>
      </c>
    </row>
    <row r="389" spans="1:21">
      <c r="A389" s="51" t="str">
        <f>IF(Declarations!B17=0,"",Declarations!B17)</f>
        <v/>
      </c>
      <c r="B389" s="161" t="str">
        <f>IF(ISNA(VLOOKUP(A389,Declarations!B$6:C$293,2,FALSE)),"",IF(VLOOKUP(A389,Declarations!B$6:C$293,2,FALSE)="","",VLOOKUP(A389,Declarations!B$6:C$293,2,FALSE)))</f>
        <v/>
      </c>
      <c r="C389" s="161" t="str">
        <f>IF(ISNA(VLOOKUP(A389,Declarations!B$6:F$293,5,FALSE)),"",IF(VLOOKUP(A389,Declarations!B$6:F$293,5,FALSE)="","",VLOOKUP(A389,Declarations!B$6:F$293,5,FALSE)))</f>
        <v/>
      </c>
      <c r="D389" s="161" t="str">
        <f>IF(ISNA(VLOOKUP(A389,Declarations!B$6:F$293,4,FALSE)),"",IF(VLOOKUP(A389,Declarations!B$6:F$293,4,FALSE)="","",VLOOKUP(A389,Declarations!B$6:F$293,4,FALSE)))</f>
        <v/>
      </c>
      <c r="E389" s="161" t="str">
        <f>IF(ISNA(VLOOKUP(A389,Declarations!B$6:D$293,3,FALSE)),"",IF(VLOOKUP(A389,Declarations!B$6:D$293,3,FALSE)="","",VLOOKUP(A389,Declarations!B$6:D$293,3,FALSE)))</f>
        <v/>
      </c>
      <c r="F389" s="51" t="str">
        <f>IF(B389="","",IF(ISNA(VLOOKUP(A389,'75m'!F$5:G$302,2,FALSE)),"",VLOOKUP(A389,'75m'!F$5:G$302,2,FALSE)))</f>
        <v/>
      </c>
      <c r="G389" s="51">
        <f>IF(B389="",0,IF(ISNA(_xlfn.XLOOKUP(A389,'75m'!F$5:F$302,'75m'!M$5:M$302)),0,_xlfn.XLOOKUP(A389,'75m'!F$5:F$302,'75m'!M$5:M$302)))</f>
        <v>0</v>
      </c>
      <c r="H389" s="51" t="str">
        <f>IF(B389="","",IF(ISNA(VLOOKUP(A389,'75m'!F$5:K$302,5,FALSE)),"",VLOOKUP(A389,'75m'!F$5:K$302,5,FALSE)))</f>
        <v/>
      </c>
      <c r="I389" s="53">
        <f>IF(B389="",0,IF(ISNA(VLOOKUP(A389,'600m'!F$5:J$302,2,FALSE)),0,VLOOKUP(A389,'600m'!F$5:J$302,2,FALSE)))</f>
        <v>0</v>
      </c>
      <c r="J389" s="51">
        <f>IF(B389="",0,IF(ISNA(_xlfn.XLOOKUP(A389,'600m'!F$5:F$302,'600m'!M$5:M$302)),0,_xlfn.XLOOKUP(A389,'600m'!F$5:F$302,'600m'!M$5:M$302)))</f>
        <v>0</v>
      </c>
      <c r="K389" s="51" t="str">
        <f>IF(B389="","",IF(ISNA(VLOOKUP(A389,'600m'!F$5:K$302,5,FALSE)),"",VLOOKUP(A389,'600m'!F$5:K$302,5,FALSE)))</f>
        <v/>
      </c>
      <c r="L389" s="51" t="str">
        <f>IF(B389="","",IF(ISNA(VLOOKUP(A389,LongJump!F$5:G$302,2,FALSE)),"",VLOOKUP(A389,LongJump!F$5:G$302,2,FALSE)))</f>
        <v/>
      </c>
      <c r="M389" s="51">
        <f>IF(B389="",0,IF(ISNA(_xlfn.XLOOKUP(A389,LongJump!F$5:F$302,LongJump!M$5:M$302)),0,_xlfn.XLOOKUP(A389,LongJump!F$5:F$302,LongJump!M$5:M$302)))</f>
        <v>0</v>
      </c>
      <c r="N389" s="51">
        <f>IF(B389="",0,IF(ISNA(VLOOKUP(A389,LongJump!F$5:K$302,5,FALSE)),0,VLOOKUP(A389,LongJump!F$5:K$302,5,FALSE)))</f>
        <v>0</v>
      </c>
      <c r="O389" s="51" t="str">
        <f>IF(B389="","",IF(ISNA(VLOOKUP(A389,Vortex!F$5:J$302,2,FALSE)),"",VLOOKUP(A389,Vortex!F$5:J$302,2,FALSE)))</f>
        <v/>
      </c>
      <c r="P389" s="51">
        <f>IF(B389="",0,IF(ISNA(_xlfn.XLOOKUP(A389,Vortex!F$5:F$302,Vortex!M$5:M$302)),0,_xlfn.XLOOKUP(A389,Vortex!F$5:F$302,Vortex!M$5:M$302)))</f>
        <v>0</v>
      </c>
      <c r="Q389" s="51">
        <f t="shared" si="53"/>
        <v>0</v>
      </c>
      <c r="R389" s="51" t="str">
        <f t="shared" si="54"/>
        <v/>
      </c>
      <c r="S389" s="51" t="str">
        <f t="shared" si="55"/>
        <v/>
      </c>
      <c r="T389" s="51" t="str">
        <f t="shared" si="56"/>
        <v/>
      </c>
      <c r="U389" s="51" t="str">
        <f t="shared" si="57"/>
        <v/>
      </c>
    </row>
    <row r="390" spans="1:21">
      <c r="A390" s="51" t="str">
        <f>IF(Declarations!B18=0,"",Declarations!B18)</f>
        <v/>
      </c>
      <c r="B390" s="161" t="str">
        <f>IF(ISNA(VLOOKUP(A390,Declarations!B$6:C$293,2,FALSE)),"",IF(VLOOKUP(A390,Declarations!B$6:C$293,2,FALSE)="","",VLOOKUP(A390,Declarations!B$6:C$293,2,FALSE)))</f>
        <v/>
      </c>
      <c r="C390" s="161" t="str">
        <f>IF(ISNA(VLOOKUP(A390,Declarations!B$6:F$293,5,FALSE)),"",IF(VLOOKUP(A390,Declarations!B$6:F$293,5,FALSE)="","",VLOOKUP(A390,Declarations!B$6:F$293,5,FALSE)))</f>
        <v/>
      </c>
      <c r="D390" s="161" t="str">
        <f>IF(ISNA(VLOOKUP(A390,Declarations!B$6:F$293,4,FALSE)),"",IF(VLOOKUP(A390,Declarations!B$6:F$293,4,FALSE)="","",VLOOKUP(A390,Declarations!B$6:F$293,4,FALSE)))</f>
        <v/>
      </c>
      <c r="E390" s="161" t="str">
        <f>IF(ISNA(VLOOKUP(A390,Declarations!B$6:D$293,3,FALSE)),"",IF(VLOOKUP(A390,Declarations!B$6:D$293,3,FALSE)="","",VLOOKUP(A390,Declarations!B$6:D$293,3,FALSE)))</f>
        <v/>
      </c>
      <c r="F390" s="51" t="str">
        <f>IF(B390="","",IF(ISNA(VLOOKUP(A390,'75m'!F$5:G$302,2,FALSE)),"",VLOOKUP(A390,'75m'!F$5:G$302,2,FALSE)))</f>
        <v/>
      </c>
      <c r="G390" s="51">
        <f>IF(B390="",0,IF(ISNA(_xlfn.XLOOKUP(A390,'75m'!F$5:F$302,'75m'!M$5:M$302)),0,_xlfn.XLOOKUP(A390,'75m'!F$5:F$302,'75m'!M$5:M$302)))</f>
        <v>0</v>
      </c>
      <c r="H390" s="51" t="str">
        <f>IF(B390="","",IF(ISNA(VLOOKUP(A390,'75m'!F$5:K$302,5,FALSE)),"",VLOOKUP(A390,'75m'!F$5:K$302,5,FALSE)))</f>
        <v/>
      </c>
      <c r="I390" s="53">
        <f>IF(B390="",0,IF(ISNA(VLOOKUP(A390,'600m'!F$5:J$302,2,FALSE)),0,VLOOKUP(A390,'600m'!F$5:J$302,2,FALSE)))</f>
        <v>0</v>
      </c>
      <c r="J390" s="51">
        <f>IF(B390="",0,IF(ISNA(_xlfn.XLOOKUP(A390,'600m'!F$5:F$302,'600m'!M$5:M$302)),0,_xlfn.XLOOKUP(A390,'600m'!F$5:F$302,'600m'!M$5:M$302)))</f>
        <v>0</v>
      </c>
      <c r="K390" s="51" t="str">
        <f>IF(B390="","",IF(ISNA(VLOOKUP(A390,'600m'!F$5:K$302,5,FALSE)),"",VLOOKUP(A390,'600m'!F$5:K$302,5,FALSE)))</f>
        <v/>
      </c>
      <c r="L390" s="51" t="str">
        <f>IF(B390="","",IF(ISNA(VLOOKUP(A390,LongJump!F$5:G$302,2,FALSE)),"",VLOOKUP(A390,LongJump!F$5:G$302,2,FALSE)))</f>
        <v/>
      </c>
      <c r="M390" s="51">
        <f>IF(B390="",0,IF(ISNA(_xlfn.XLOOKUP(A390,LongJump!F$5:F$302,LongJump!M$5:M$302)),0,_xlfn.XLOOKUP(A390,LongJump!F$5:F$302,LongJump!M$5:M$302)))</f>
        <v>0</v>
      </c>
      <c r="N390" s="51">
        <f>IF(B390="",0,IF(ISNA(VLOOKUP(A390,LongJump!F$5:K$302,5,FALSE)),0,VLOOKUP(A390,LongJump!F$5:K$302,5,FALSE)))</f>
        <v>0</v>
      </c>
      <c r="O390" s="51" t="str">
        <f>IF(B390="","",IF(ISNA(VLOOKUP(A390,Vortex!F$5:J$302,2,FALSE)),"",VLOOKUP(A390,Vortex!F$5:J$302,2,FALSE)))</f>
        <v/>
      </c>
      <c r="P390" s="51">
        <f>IF(B390="",0,IF(ISNA(_xlfn.XLOOKUP(A390,Vortex!F$5:F$302,Vortex!M$5:M$302)),0,_xlfn.XLOOKUP(A390,Vortex!F$5:F$302,Vortex!M$5:M$302)))</f>
        <v>0</v>
      </c>
      <c r="Q390" s="51">
        <f t="shared" si="53"/>
        <v>0</v>
      </c>
      <c r="R390" s="51" t="str">
        <f t="shared" si="54"/>
        <v/>
      </c>
      <c r="S390" s="51" t="str">
        <f t="shared" si="55"/>
        <v/>
      </c>
      <c r="T390" s="51" t="str">
        <f t="shared" si="56"/>
        <v/>
      </c>
      <c r="U390" s="51" t="str">
        <f t="shared" si="57"/>
        <v/>
      </c>
    </row>
    <row r="391" spans="1:21">
      <c r="A391" s="51" t="str">
        <f>IF(Declarations!B19=0,"",Declarations!B19)</f>
        <v/>
      </c>
      <c r="B391" s="161" t="str">
        <f>IF(ISNA(VLOOKUP(A391,Declarations!B$6:C$293,2,FALSE)),"",IF(VLOOKUP(A391,Declarations!B$6:C$293,2,FALSE)="","",VLOOKUP(A391,Declarations!B$6:C$293,2,FALSE)))</f>
        <v/>
      </c>
      <c r="C391" s="161" t="str">
        <f>IF(ISNA(VLOOKUP(A391,Declarations!B$6:F$293,5,FALSE)),"",IF(VLOOKUP(A391,Declarations!B$6:F$293,5,FALSE)="","",VLOOKUP(A391,Declarations!B$6:F$293,5,FALSE)))</f>
        <v/>
      </c>
      <c r="D391" s="161" t="str">
        <f>IF(ISNA(VLOOKUP(A391,Declarations!B$6:F$293,4,FALSE)),"",IF(VLOOKUP(A391,Declarations!B$6:F$293,4,FALSE)="","",VLOOKUP(A391,Declarations!B$6:F$293,4,FALSE)))</f>
        <v/>
      </c>
      <c r="E391" s="161" t="str">
        <f>IF(ISNA(VLOOKUP(A391,Declarations!B$6:D$293,3,FALSE)),"",IF(VLOOKUP(A391,Declarations!B$6:D$293,3,FALSE)="","",VLOOKUP(A391,Declarations!B$6:D$293,3,FALSE)))</f>
        <v/>
      </c>
      <c r="F391" s="51" t="str">
        <f>IF(B391="","",IF(ISNA(VLOOKUP(A391,'75m'!F$5:G$302,2,FALSE)),"",VLOOKUP(A391,'75m'!F$5:G$302,2,FALSE)))</f>
        <v/>
      </c>
      <c r="G391" s="51">
        <f>IF(B391="",0,IF(ISNA(_xlfn.XLOOKUP(A391,'75m'!F$5:F$302,'75m'!M$5:M$302)),0,_xlfn.XLOOKUP(A391,'75m'!F$5:F$302,'75m'!M$5:M$302)))</f>
        <v>0</v>
      </c>
      <c r="H391" s="51" t="str">
        <f>IF(B391="","",IF(ISNA(VLOOKUP(A391,'75m'!F$5:K$302,5,FALSE)),"",VLOOKUP(A391,'75m'!F$5:K$302,5,FALSE)))</f>
        <v/>
      </c>
      <c r="I391" s="53">
        <f>IF(B391="",0,IF(ISNA(VLOOKUP(A391,'600m'!F$5:J$302,2,FALSE)),0,VLOOKUP(A391,'600m'!F$5:J$302,2,FALSE)))</f>
        <v>0</v>
      </c>
      <c r="J391" s="51">
        <f>IF(B391="",0,IF(ISNA(_xlfn.XLOOKUP(A391,'600m'!F$5:F$302,'600m'!M$5:M$302)),0,_xlfn.XLOOKUP(A391,'600m'!F$5:F$302,'600m'!M$5:M$302)))</f>
        <v>0</v>
      </c>
      <c r="K391" s="51" t="str">
        <f>IF(B391="","",IF(ISNA(VLOOKUP(A391,'600m'!F$5:K$302,5,FALSE)),"",VLOOKUP(A391,'600m'!F$5:K$302,5,FALSE)))</f>
        <v/>
      </c>
      <c r="L391" s="51" t="str">
        <f>IF(B391="","",IF(ISNA(VLOOKUP(A391,LongJump!F$5:G$302,2,FALSE)),"",VLOOKUP(A391,LongJump!F$5:G$302,2,FALSE)))</f>
        <v/>
      </c>
      <c r="M391" s="51">
        <f>IF(B391="",0,IF(ISNA(_xlfn.XLOOKUP(A391,LongJump!F$5:F$302,LongJump!M$5:M$302)),0,_xlfn.XLOOKUP(A391,LongJump!F$5:F$302,LongJump!M$5:M$302)))</f>
        <v>0</v>
      </c>
      <c r="N391" s="51">
        <f>IF(B391="",0,IF(ISNA(VLOOKUP(A391,LongJump!F$5:K$302,5,FALSE)),0,VLOOKUP(A391,LongJump!F$5:K$302,5,FALSE)))</f>
        <v>0</v>
      </c>
      <c r="O391" s="51" t="str">
        <f>IF(B391="","",IF(ISNA(VLOOKUP(A391,Vortex!F$5:J$302,2,FALSE)),"",VLOOKUP(A391,Vortex!F$5:J$302,2,FALSE)))</f>
        <v/>
      </c>
      <c r="P391" s="51">
        <f>IF(B391="",0,IF(ISNA(_xlfn.XLOOKUP(A391,Vortex!F$5:F$302,Vortex!M$5:M$302)),0,_xlfn.XLOOKUP(A391,Vortex!F$5:F$302,Vortex!M$5:M$302)))</f>
        <v>0</v>
      </c>
      <c r="Q391" s="51">
        <f t="shared" si="53"/>
        <v>0</v>
      </c>
      <c r="R391" s="51" t="str">
        <f t="shared" si="54"/>
        <v/>
      </c>
      <c r="S391" s="51" t="str">
        <f t="shared" si="55"/>
        <v/>
      </c>
      <c r="T391" s="51" t="str">
        <f t="shared" si="56"/>
        <v/>
      </c>
      <c r="U391" s="51" t="str">
        <f t="shared" si="57"/>
        <v/>
      </c>
    </row>
    <row r="392" spans="1:21">
      <c r="A392" s="51" t="str">
        <f>IF(Declarations!B20=0,"",Declarations!B20)</f>
        <v/>
      </c>
      <c r="B392" s="161" t="str">
        <f>IF(ISNA(VLOOKUP(A392,Declarations!B$6:C$293,2,FALSE)),"",IF(VLOOKUP(A392,Declarations!B$6:C$293,2,FALSE)="","",VLOOKUP(A392,Declarations!B$6:C$293,2,FALSE)))</f>
        <v/>
      </c>
      <c r="C392" s="161" t="str">
        <f>IF(ISNA(VLOOKUP(A392,Declarations!B$6:F$293,5,FALSE)),"",IF(VLOOKUP(A392,Declarations!B$6:F$293,5,FALSE)="","",VLOOKUP(A392,Declarations!B$6:F$293,5,FALSE)))</f>
        <v/>
      </c>
      <c r="D392" s="161" t="str">
        <f>IF(ISNA(VLOOKUP(A392,Declarations!B$6:F$293,4,FALSE)),"",IF(VLOOKUP(A392,Declarations!B$6:F$293,4,FALSE)="","",VLOOKUP(A392,Declarations!B$6:F$293,4,FALSE)))</f>
        <v/>
      </c>
      <c r="E392" s="161" t="str">
        <f>IF(ISNA(VLOOKUP(A392,Declarations!B$6:D$293,3,FALSE)),"",IF(VLOOKUP(A392,Declarations!B$6:D$293,3,FALSE)="","",VLOOKUP(A392,Declarations!B$6:D$293,3,FALSE)))</f>
        <v/>
      </c>
      <c r="F392" s="51" t="str">
        <f>IF(B392="","",IF(ISNA(VLOOKUP(A392,'75m'!F$5:G$302,2,FALSE)),"",VLOOKUP(A392,'75m'!F$5:G$302,2,FALSE)))</f>
        <v/>
      </c>
      <c r="G392" s="51">
        <f>IF(B392="",0,IF(ISNA(_xlfn.XLOOKUP(A392,'75m'!F$5:F$302,'75m'!M$5:M$302)),0,_xlfn.XLOOKUP(A392,'75m'!F$5:F$302,'75m'!M$5:M$302)))</f>
        <v>0</v>
      </c>
      <c r="H392" s="51" t="str">
        <f>IF(B392="","",IF(ISNA(VLOOKUP(A392,'75m'!F$5:K$302,5,FALSE)),"",VLOOKUP(A392,'75m'!F$5:K$302,5,FALSE)))</f>
        <v/>
      </c>
      <c r="I392" s="53">
        <f>IF(B392="",0,IF(ISNA(VLOOKUP(A392,'600m'!F$5:J$302,2,FALSE)),0,VLOOKUP(A392,'600m'!F$5:J$302,2,FALSE)))</f>
        <v>0</v>
      </c>
      <c r="J392" s="51">
        <f>IF(B392="",0,IF(ISNA(_xlfn.XLOOKUP(A392,'600m'!F$5:F$302,'600m'!M$5:M$302)),0,_xlfn.XLOOKUP(A392,'600m'!F$5:F$302,'600m'!M$5:M$302)))</f>
        <v>0</v>
      </c>
      <c r="K392" s="51" t="str">
        <f>IF(B392="","",IF(ISNA(VLOOKUP(A392,'600m'!F$5:K$302,5,FALSE)),"",VLOOKUP(A392,'600m'!F$5:K$302,5,FALSE)))</f>
        <v/>
      </c>
      <c r="L392" s="51" t="str">
        <f>IF(B392="","",IF(ISNA(VLOOKUP(A392,LongJump!F$5:G$302,2,FALSE)),"",VLOOKUP(A392,LongJump!F$5:G$302,2,FALSE)))</f>
        <v/>
      </c>
      <c r="M392" s="51">
        <f>IF(B392="",0,IF(ISNA(_xlfn.XLOOKUP(A392,LongJump!F$5:F$302,LongJump!M$5:M$302)),0,_xlfn.XLOOKUP(A392,LongJump!F$5:F$302,LongJump!M$5:M$302)))</f>
        <v>0</v>
      </c>
      <c r="N392" s="51">
        <f>IF(B392="",0,IF(ISNA(VLOOKUP(A392,LongJump!F$5:K$302,5,FALSE)),0,VLOOKUP(A392,LongJump!F$5:K$302,5,FALSE)))</f>
        <v>0</v>
      </c>
      <c r="O392" s="51" t="str">
        <f>IF(B392="","",IF(ISNA(VLOOKUP(A392,Vortex!F$5:J$302,2,FALSE)),"",VLOOKUP(A392,Vortex!F$5:J$302,2,FALSE)))</f>
        <v/>
      </c>
      <c r="P392" s="51">
        <f>IF(B392="",0,IF(ISNA(_xlfn.XLOOKUP(A392,Vortex!F$5:F$302,Vortex!M$5:M$302)),0,_xlfn.XLOOKUP(A392,Vortex!F$5:F$302,Vortex!M$5:M$302)))</f>
        <v>0</v>
      </c>
      <c r="Q392" s="51">
        <f t="shared" si="53"/>
        <v>0</v>
      </c>
      <c r="R392" s="51" t="str">
        <f t="shared" si="54"/>
        <v/>
      </c>
      <c r="S392" s="51" t="str">
        <f t="shared" si="55"/>
        <v/>
      </c>
      <c r="T392" s="51" t="str">
        <f t="shared" si="56"/>
        <v/>
      </c>
      <c r="U392" s="51" t="str">
        <f t="shared" si="57"/>
        <v/>
      </c>
    </row>
    <row r="393" spans="1:21">
      <c r="A393" s="51" t="str">
        <f>IF(Declarations!B21=0,"",Declarations!B21)</f>
        <v/>
      </c>
      <c r="B393" s="161" t="str">
        <f>IF(ISNA(VLOOKUP(A393,Declarations!B$6:C$293,2,FALSE)),"",IF(VLOOKUP(A393,Declarations!B$6:C$293,2,FALSE)="","",VLOOKUP(A393,Declarations!B$6:C$293,2,FALSE)))</f>
        <v/>
      </c>
      <c r="C393" s="161" t="str">
        <f>IF(ISNA(VLOOKUP(A393,Declarations!B$6:F$293,5,FALSE)),"",IF(VLOOKUP(A393,Declarations!B$6:F$293,5,FALSE)="","",VLOOKUP(A393,Declarations!B$6:F$293,5,FALSE)))</f>
        <v/>
      </c>
      <c r="D393" s="161" t="str">
        <f>IF(ISNA(VLOOKUP(A393,Declarations!B$6:F$293,4,FALSE)),"",IF(VLOOKUP(A393,Declarations!B$6:F$293,4,FALSE)="","",VLOOKUP(A393,Declarations!B$6:F$293,4,FALSE)))</f>
        <v/>
      </c>
      <c r="E393" s="161" t="str">
        <f>IF(ISNA(VLOOKUP(A393,Declarations!B$6:D$293,3,FALSE)),"",IF(VLOOKUP(A393,Declarations!B$6:D$293,3,FALSE)="","",VLOOKUP(A393,Declarations!B$6:D$293,3,FALSE)))</f>
        <v/>
      </c>
      <c r="F393" s="51" t="str">
        <f>IF(B393="","",IF(ISNA(VLOOKUP(A393,'75m'!F$5:G$302,2,FALSE)),"",VLOOKUP(A393,'75m'!F$5:G$302,2,FALSE)))</f>
        <v/>
      </c>
      <c r="G393" s="51">
        <f>IF(B393="",0,IF(ISNA(_xlfn.XLOOKUP(A393,'75m'!F$5:F$302,'75m'!M$5:M$302)),0,_xlfn.XLOOKUP(A393,'75m'!F$5:F$302,'75m'!M$5:M$302)))</f>
        <v>0</v>
      </c>
      <c r="H393" s="51" t="str">
        <f>IF(B393="","",IF(ISNA(VLOOKUP(A393,'75m'!F$5:K$302,5,FALSE)),"",VLOOKUP(A393,'75m'!F$5:K$302,5,FALSE)))</f>
        <v/>
      </c>
      <c r="I393" s="53">
        <f>IF(B393="",0,IF(ISNA(VLOOKUP(A393,'600m'!F$5:J$302,2,FALSE)),0,VLOOKUP(A393,'600m'!F$5:J$302,2,FALSE)))</f>
        <v>0</v>
      </c>
      <c r="J393" s="51">
        <f>IF(B393="",0,IF(ISNA(_xlfn.XLOOKUP(A393,'600m'!F$5:F$302,'600m'!M$5:M$302)),0,_xlfn.XLOOKUP(A393,'600m'!F$5:F$302,'600m'!M$5:M$302)))</f>
        <v>0</v>
      </c>
      <c r="K393" s="51" t="str">
        <f>IF(B393="","",IF(ISNA(VLOOKUP(A393,'600m'!F$5:K$302,5,FALSE)),"",VLOOKUP(A393,'600m'!F$5:K$302,5,FALSE)))</f>
        <v/>
      </c>
      <c r="L393" s="51" t="str">
        <f>IF(B393="","",IF(ISNA(VLOOKUP(A393,LongJump!F$5:G$302,2,FALSE)),"",VLOOKUP(A393,LongJump!F$5:G$302,2,FALSE)))</f>
        <v/>
      </c>
      <c r="M393" s="51">
        <f>IF(B393="",0,IF(ISNA(_xlfn.XLOOKUP(A393,LongJump!F$5:F$302,LongJump!M$5:M$302)),0,_xlfn.XLOOKUP(A393,LongJump!F$5:F$302,LongJump!M$5:M$302)))</f>
        <v>0</v>
      </c>
      <c r="N393" s="51">
        <f>IF(B393="",0,IF(ISNA(VLOOKUP(A393,LongJump!F$5:K$302,5,FALSE)),0,VLOOKUP(A393,LongJump!F$5:K$302,5,FALSE)))</f>
        <v>0</v>
      </c>
      <c r="O393" s="51" t="str">
        <f>IF(B393="","",IF(ISNA(VLOOKUP(A393,Vortex!F$5:J$302,2,FALSE)),"",VLOOKUP(A393,Vortex!F$5:J$302,2,FALSE)))</f>
        <v/>
      </c>
      <c r="P393" s="51">
        <f>IF(B393="",0,IF(ISNA(_xlfn.XLOOKUP(A393,Vortex!F$5:F$302,Vortex!M$5:M$302)),0,_xlfn.XLOOKUP(A393,Vortex!F$5:F$302,Vortex!M$5:M$302)))</f>
        <v>0</v>
      </c>
      <c r="Q393" s="51">
        <f t="shared" si="53"/>
        <v>0</v>
      </c>
      <c r="R393" s="51" t="str">
        <f t="shared" si="54"/>
        <v/>
      </c>
      <c r="S393" s="51" t="str">
        <f t="shared" si="55"/>
        <v/>
      </c>
      <c r="T393" s="51" t="str">
        <f t="shared" si="56"/>
        <v/>
      </c>
      <c r="U393" s="51" t="str">
        <f t="shared" si="57"/>
        <v/>
      </c>
    </row>
    <row r="394" spans="1:21">
      <c r="A394" s="51" t="str">
        <f>IF(Declarations!B22=0,"",Declarations!B22)</f>
        <v/>
      </c>
      <c r="B394" s="161" t="str">
        <f>IF(ISNA(VLOOKUP(A394,Declarations!B$6:C$293,2,FALSE)),"",IF(VLOOKUP(A394,Declarations!B$6:C$293,2,FALSE)="","",VLOOKUP(A394,Declarations!B$6:C$293,2,FALSE)))</f>
        <v/>
      </c>
      <c r="C394" s="161" t="str">
        <f>IF(ISNA(VLOOKUP(A394,Declarations!B$6:F$293,5,FALSE)),"",IF(VLOOKUP(A394,Declarations!B$6:F$293,5,FALSE)="","",VLOOKUP(A394,Declarations!B$6:F$293,5,FALSE)))</f>
        <v/>
      </c>
      <c r="D394" s="161" t="str">
        <f>IF(ISNA(VLOOKUP(A394,Declarations!B$6:F$293,4,FALSE)),"",IF(VLOOKUP(A394,Declarations!B$6:F$293,4,FALSE)="","",VLOOKUP(A394,Declarations!B$6:F$293,4,FALSE)))</f>
        <v/>
      </c>
      <c r="E394" s="161" t="str">
        <f>IF(ISNA(VLOOKUP(A394,Declarations!B$6:D$293,3,FALSE)),"",IF(VLOOKUP(A394,Declarations!B$6:D$293,3,FALSE)="","",VLOOKUP(A394,Declarations!B$6:D$293,3,FALSE)))</f>
        <v/>
      </c>
      <c r="F394" s="51" t="str">
        <f>IF(B394="","",IF(ISNA(VLOOKUP(A394,'75m'!F$5:G$302,2,FALSE)),"",VLOOKUP(A394,'75m'!F$5:G$302,2,FALSE)))</f>
        <v/>
      </c>
      <c r="G394" s="51">
        <f>IF(B394="",0,IF(ISNA(_xlfn.XLOOKUP(A394,'75m'!F$5:F$302,'75m'!M$5:M$302)),0,_xlfn.XLOOKUP(A394,'75m'!F$5:F$302,'75m'!M$5:M$302)))</f>
        <v>0</v>
      </c>
      <c r="H394" s="51" t="str">
        <f>IF(B394="","",IF(ISNA(VLOOKUP(A394,'75m'!F$5:K$302,5,FALSE)),"",VLOOKUP(A394,'75m'!F$5:K$302,5,FALSE)))</f>
        <v/>
      </c>
      <c r="I394" s="53">
        <f>IF(B394="",0,IF(ISNA(VLOOKUP(A394,'600m'!F$5:J$302,2,FALSE)),0,VLOOKUP(A394,'600m'!F$5:J$302,2,FALSE)))</f>
        <v>0</v>
      </c>
      <c r="J394" s="51">
        <f>IF(B394="",0,IF(ISNA(_xlfn.XLOOKUP(A394,'600m'!F$5:F$302,'600m'!M$5:M$302)),0,_xlfn.XLOOKUP(A394,'600m'!F$5:F$302,'600m'!M$5:M$302)))</f>
        <v>0</v>
      </c>
      <c r="K394" s="51" t="str">
        <f>IF(B394="","",IF(ISNA(VLOOKUP(A394,'600m'!F$5:K$302,5,FALSE)),"",VLOOKUP(A394,'600m'!F$5:K$302,5,FALSE)))</f>
        <v/>
      </c>
      <c r="L394" s="51" t="str">
        <f>IF(B394="","",IF(ISNA(VLOOKUP(A394,LongJump!F$5:G$302,2,FALSE)),"",VLOOKUP(A394,LongJump!F$5:G$302,2,FALSE)))</f>
        <v/>
      </c>
      <c r="M394" s="51">
        <f>IF(B394="",0,IF(ISNA(_xlfn.XLOOKUP(A394,LongJump!F$5:F$302,LongJump!M$5:M$302)),0,_xlfn.XLOOKUP(A394,LongJump!F$5:F$302,LongJump!M$5:M$302)))</f>
        <v>0</v>
      </c>
      <c r="N394" s="51">
        <f>IF(B394="",0,IF(ISNA(VLOOKUP(A394,LongJump!F$5:K$302,5,FALSE)),0,VLOOKUP(A394,LongJump!F$5:K$302,5,FALSE)))</f>
        <v>0</v>
      </c>
      <c r="O394" s="51" t="str">
        <f>IF(B394="","",IF(ISNA(VLOOKUP(A394,Vortex!F$5:J$302,2,FALSE)),"",VLOOKUP(A394,Vortex!F$5:J$302,2,FALSE)))</f>
        <v/>
      </c>
      <c r="P394" s="51">
        <f>IF(B394="",0,IF(ISNA(_xlfn.XLOOKUP(A394,Vortex!F$5:F$302,Vortex!M$5:M$302)),0,_xlfn.XLOOKUP(A394,Vortex!F$5:F$302,Vortex!M$5:M$302)))</f>
        <v>0</v>
      </c>
      <c r="Q394" s="51">
        <f t="shared" si="53"/>
        <v>0</v>
      </c>
      <c r="R394" s="51" t="str">
        <f t="shared" si="54"/>
        <v/>
      </c>
      <c r="S394" s="51" t="str">
        <f t="shared" si="55"/>
        <v/>
      </c>
      <c r="T394" s="51" t="str">
        <f t="shared" si="56"/>
        <v/>
      </c>
      <c r="U394" s="51" t="str">
        <f t="shared" si="57"/>
        <v/>
      </c>
    </row>
    <row r="395" spans="1:21">
      <c r="A395" s="51" t="str">
        <f>IF(Declarations!B23=0,"",Declarations!B23)</f>
        <v/>
      </c>
      <c r="B395" s="161" t="str">
        <f>IF(ISNA(VLOOKUP(A395,Declarations!B$6:C$293,2,FALSE)),"",IF(VLOOKUP(A395,Declarations!B$6:C$293,2,FALSE)="","",VLOOKUP(A395,Declarations!B$6:C$293,2,FALSE)))</f>
        <v/>
      </c>
      <c r="C395" s="161" t="str">
        <f>IF(ISNA(VLOOKUP(A395,Declarations!B$6:F$293,5,FALSE)),"",IF(VLOOKUP(A395,Declarations!B$6:F$293,5,FALSE)="","",VLOOKUP(A395,Declarations!B$6:F$293,5,FALSE)))</f>
        <v/>
      </c>
      <c r="D395" s="161" t="str">
        <f>IF(ISNA(VLOOKUP(A395,Declarations!B$6:F$293,4,FALSE)),"",IF(VLOOKUP(A395,Declarations!B$6:F$293,4,FALSE)="","",VLOOKUP(A395,Declarations!B$6:F$293,4,FALSE)))</f>
        <v/>
      </c>
      <c r="E395" s="161" t="str">
        <f>IF(ISNA(VLOOKUP(A395,Declarations!B$6:D$293,3,FALSE)),"",IF(VLOOKUP(A395,Declarations!B$6:D$293,3,FALSE)="","",VLOOKUP(A395,Declarations!B$6:D$293,3,FALSE)))</f>
        <v/>
      </c>
      <c r="F395" s="51" t="str">
        <f>IF(B395="","",IF(ISNA(VLOOKUP(A395,'75m'!F$5:G$302,2,FALSE)),"",VLOOKUP(A395,'75m'!F$5:G$302,2,FALSE)))</f>
        <v/>
      </c>
      <c r="G395" s="51">
        <f>IF(B395="",0,IF(ISNA(_xlfn.XLOOKUP(A395,'75m'!F$5:F$302,'75m'!M$5:M$302)),0,_xlfn.XLOOKUP(A395,'75m'!F$5:F$302,'75m'!M$5:M$302)))</f>
        <v>0</v>
      </c>
      <c r="H395" s="51" t="str">
        <f>IF(B395="","",IF(ISNA(VLOOKUP(A395,'75m'!F$5:K$302,5,FALSE)),"",VLOOKUP(A395,'75m'!F$5:K$302,5,FALSE)))</f>
        <v/>
      </c>
      <c r="I395" s="53">
        <f>IF(B395="",0,IF(ISNA(VLOOKUP(A395,'600m'!F$5:J$302,2,FALSE)),0,VLOOKUP(A395,'600m'!F$5:J$302,2,FALSE)))</f>
        <v>0</v>
      </c>
      <c r="J395" s="51">
        <f>IF(B395="",0,IF(ISNA(_xlfn.XLOOKUP(A395,'600m'!F$5:F$302,'600m'!M$5:M$302)),0,_xlfn.XLOOKUP(A395,'600m'!F$5:F$302,'600m'!M$5:M$302)))</f>
        <v>0</v>
      </c>
      <c r="K395" s="51" t="str">
        <f>IF(B395="","",IF(ISNA(VLOOKUP(A395,'600m'!F$5:K$302,5,FALSE)),"",VLOOKUP(A395,'600m'!F$5:K$302,5,FALSE)))</f>
        <v/>
      </c>
      <c r="L395" s="51" t="str">
        <f>IF(B395="","",IF(ISNA(VLOOKUP(A395,LongJump!F$5:G$302,2,FALSE)),"",VLOOKUP(A395,LongJump!F$5:G$302,2,FALSE)))</f>
        <v/>
      </c>
      <c r="M395" s="51">
        <f>IF(B395="",0,IF(ISNA(_xlfn.XLOOKUP(A395,LongJump!F$5:F$302,LongJump!M$5:M$302)),0,_xlfn.XLOOKUP(A395,LongJump!F$5:F$302,LongJump!M$5:M$302)))</f>
        <v>0</v>
      </c>
      <c r="N395" s="51">
        <f>IF(B395="",0,IF(ISNA(VLOOKUP(A395,LongJump!F$5:K$302,5,FALSE)),0,VLOOKUP(A395,LongJump!F$5:K$302,5,FALSE)))</f>
        <v>0</v>
      </c>
      <c r="O395" s="51" t="str">
        <f>IF(B395="","",IF(ISNA(VLOOKUP(A395,Vortex!F$5:J$302,2,FALSE)),"",VLOOKUP(A395,Vortex!F$5:J$302,2,FALSE)))</f>
        <v/>
      </c>
      <c r="P395" s="51">
        <f>IF(B395="",0,IF(ISNA(_xlfn.XLOOKUP(A395,Vortex!F$5:F$302,Vortex!M$5:M$302)),0,_xlfn.XLOOKUP(A395,Vortex!F$5:F$302,Vortex!M$5:M$302)))</f>
        <v>0</v>
      </c>
      <c r="Q395" s="51">
        <f t="shared" si="53"/>
        <v>0</v>
      </c>
      <c r="R395" s="51" t="str">
        <f t="shared" si="54"/>
        <v/>
      </c>
      <c r="S395" s="51" t="str">
        <f t="shared" si="55"/>
        <v/>
      </c>
      <c r="T395" s="51" t="str">
        <f t="shared" si="56"/>
        <v/>
      </c>
      <c r="U395" s="51" t="str">
        <f t="shared" si="57"/>
        <v/>
      </c>
    </row>
    <row r="396" spans="1:21">
      <c r="A396" s="51" t="str">
        <f>IF(Declarations!B24=0,"",Declarations!B24)</f>
        <v/>
      </c>
      <c r="B396" s="161" t="str">
        <f>IF(ISNA(VLOOKUP(A396,Declarations!B$6:C$293,2,FALSE)),"",IF(VLOOKUP(A396,Declarations!B$6:C$293,2,FALSE)="","",VLOOKUP(A396,Declarations!B$6:C$293,2,FALSE)))</f>
        <v/>
      </c>
      <c r="C396" s="161" t="str">
        <f>IF(ISNA(VLOOKUP(A396,Declarations!B$6:F$293,5,FALSE)),"",IF(VLOOKUP(A396,Declarations!B$6:F$293,5,FALSE)="","",VLOOKUP(A396,Declarations!B$6:F$293,5,FALSE)))</f>
        <v/>
      </c>
      <c r="D396" s="161" t="str">
        <f>IF(ISNA(VLOOKUP(A396,Declarations!B$6:F$293,4,FALSE)),"",IF(VLOOKUP(A396,Declarations!B$6:F$293,4,FALSE)="","",VLOOKUP(A396,Declarations!B$6:F$293,4,FALSE)))</f>
        <v/>
      </c>
      <c r="E396" s="161" t="str">
        <f>IF(ISNA(VLOOKUP(A396,Declarations!B$6:D$293,3,FALSE)),"",IF(VLOOKUP(A396,Declarations!B$6:D$293,3,FALSE)="","",VLOOKUP(A396,Declarations!B$6:D$293,3,FALSE)))</f>
        <v/>
      </c>
      <c r="F396" s="51" t="str">
        <f>IF(B396="","",IF(ISNA(VLOOKUP(A396,'75m'!F$5:G$302,2,FALSE)),"",VLOOKUP(A396,'75m'!F$5:G$302,2,FALSE)))</f>
        <v/>
      </c>
      <c r="G396" s="51">
        <f>IF(B396="",0,IF(ISNA(_xlfn.XLOOKUP(A396,'75m'!F$5:F$302,'75m'!M$5:M$302)),0,_xlfn.XLOOKUP(A396,'75m'!F$5:F$302,'75m'!M$5:M$302)))</f>
        <v>0</v>
      </c>
      <c r="H396" s="51" t="str">
        <f>IF(B396="","",IF(ISNA(VLOOKUP(A396,'75m'!F$5:K$302,5,FALSE)),"",VLOOKUP(A396,'75m'!F$5:K$302,5,FALSE)))</f>
        <v/>
      </c>
      <c r="I396" s="53">
        <f>IF(B396="",0,IF(ISNA(VLOOKUP(A396,'600m'!F$5:J$302,2,FALSE)),0,VLOOKUP(A396,'600m'!F$5:J$302,2,FALSE)))</f>
        <v>0</v>
      </c>
      <c r="J396" s="51">
        <f>IF(B396="",0,IF(ISNA(_xlfn.XLOOKUP(A396,'600m'!F$5:F$302,'600m'!M$5:M$302)),0,_xlfn.XLOOKUP(A396,'600m'!F$5:F$302,'600m'!M$5:M$302)))</f>
        <v>0</v>
      </c>
      <c r="K396" s="51" t="str">
        <f>IF(B396="","",IF(ISNA(VLOOKUP(A396,'600m'!F$5:K$302,5,FALSE)),"",VLOOKUP(A396,'600m'!F$5:K$302,5,FALSE)))</f>
        <v/>
      </c>
      <c r="L396" s="51" t="str">
        <f>IF(B396="","",IF(ISNA(VLOOKUP(A396,LongJump!F$5:G$302,2,FALSE)),"",VLOOKUP(A396,LongJump!F$5:G$302,2,FALSE)))</f>
        <v/>
      </c>
      <c r="M396" s="51">
        <f>IF(B396="",0,IF(ISNA(_xlfn.XLOOKUP(A396,LongJump!F$5:F$302,LongJump!M$5:M$302)),0,_xlfn.XLOOKUP(A396,LongJump!F$5:F$302,LongJump!M$5:M$302)))</f>
        <v>0</v>
      </c>
      <c r="N396" s="51">
        <f>IF(B396="",0,IF(ISNA(VLOOKUP(A396,LongJump!F$5:K$302,5,FALSE)),0,VLOOKUP(A396,LongJump!F$5:K$302,5,FALSE)))</f>
        <v>0</v>
      </c>
      <c r="O396" s="51" t="str">
        <f>IF(B396="","",IF(ISNA(VLOOKUP(A396,Vortex!F$5:J$302,2,FALSE)),"",VLOOKUP(A396,Vortex!F$5:J$302,2,FALSE)))</f>
        <v/>
      </c>
      <c r="P396" s="51">
        <f>IF(B396="",0,IF(ISNA(_xlfn.XLOOKUP(A396,Vortex!F$5:F$302,Vortex!M$5:M$302)),0,_xlfn.XLOOKUP(A396,Vortex!F$5:F$302,Vortex!M$5:M$302)))</f>
        <v>0</v>
      </c>
      <c r="Q396" s="51">
        <f t="shared" si="53"/>
        <v>0</v>
      </c>
      <c r="R396" s="51" t="str">
        <f t="shared" si="54"/>
        <v/>
      </c>
      <c r="S396" s="51" t="str">
        <f t="shared" si="55"/>
        <v/>
      </c>
      <c r="T396" s="51" t="str">
        <f t="shared" si="56"/>
        <v/>
      </c>
      <c r="U396" s="51" t="str">
        <f t="shared" si="57"/>
        <v/>
      </c>
    </row>
    <row r="397" spans="1:21">
      <c r="A397" s="51" t="str">
        <f>IF(Declarations!B25=0,"",Declarations!B25)</f>
        <v/>
      </c>
      <c r="B397" s="161" t="str">
        <f>IF(ISNA(VLOOKUP(A397,Declarations!B$6:C$293,2,FALSE)),"",IF(VLOOKUP(A397,Declarations!B$6:C$293,2,FALSE)="","",VLOOKUP(A397,Declarations!B$6:C$293,2,FALSE)))</f>
        <v/>
      </c>
      <c r="C397" s="161" t="str">
        <f>IF(ISNA(VLOOKUP(A397,Declarations!B$6:F$293,5,FALSE)),"",IF(VLOOKUP(A397,Declarations!B$6:F$293,5,FALSE)="","",VLOOKUP(A397,Declarations!B$6:F$293,5,FALSE)))</f>
        <v/>
      </c>
      <c r="D397" s="161" t="str">
        <f>IF(ISNA(VLOOKUP(A397,Declarations!B$6:F$293,4,FALSE)),"",IF(VLOOKUP(A397,Declarations!B$6:F$293,4,FALSE)="","",VLOOKUP(A397,Declarations!B$6:F$293,4,FALSE)))</f>
        <v/>
      </c>
      <c r="E397" s="161" t="str">
        <f>IF(ISNA(VLOOKUP(A397,Declarations!B$6:D$293,3,FALSE)),"",IF(VLOOKUP(A397,Declarations!B$6:D$293,3,FALSE)="","",VLOOKUP(A397,Declarations!B$6:D$293,3,FALSE)))</f>
        <v/>
      </c>
      <c r="F397" s="51" t="str">
        <f>IF(B397="","",IF(ISNA(VLOOKUP(A397,'75m'!F$5:G$302,2,FALSE)),"",VLOOKUP(A397,'75m'!F$5:G$302,2,FALSE)))</f>
        <v/>
      </c>
      <c r="G397" s="51">
        <f>IF(B397="",0,IF(ISNA(_xlfn.XLOOKUP(A397,'75m'!F$5:F$302,'75m'!M$5:M$302)),0,_xlfn.XLOOKUP(A397,'75m'!F$5:F$302,'75m'!M$5:M$302)))</f>
        <v>0</v>
      </c>
      <c r="H397" s="51" t="str">
        <f>IF(B397="","",IF(ISNA(VLOOKUP(A397,'75m'!F$5:K$302,5,FALSE)),"",VLOOKUP(A397,'75m'!F$5:K$302,5,FALSE)))</f>
        <v/>
      </c>
      <c r="I397" s="53">
        <f>IF(B397="",0,IF(ISNA(VLOOKUP(A397,'600m'!F$5:J$302,2,FALSE)),0,VLOOKUP(A397,'600m'!F$5:J$302,2,FALSE)))</f>
        <v>0</v>
      </c>
      <c r="J397" s="51">
        <f>IF(B397="",0,IF(ISNA(_xlfn.XLOOKUP(A397,'600m'!F$5:F$302,'600m'!M$5:M$302)),0,_xlfn.XLOOKUP(A397,'600m'!F$5:F$302,'600m'!M$5:M$302)))</f>
        <v>0</v>
      </c>
      <c r="K397" s="51" t="str">
        <f>IF(B397="","",IF(ISNA(VLOOKUP(A397,'600m'!F$5:K$302,5,FALSE)),"",VLOOKUP(A397,'600m'!F$5:K$302,5,FALSE)))</f>
        <v/>
      </c>
      <c r="L397" s="51" t="str">
        <f>IF(B397="","",IF(ISNA(VLOOKUP(A397,LongJump!F$5:G$302,2,FALSE)),"",VLOOKUP(A397,LongJump!F$5:G$302,2,FALSE)))</f>
        <v/>
      </c>
      <c r="M397" s="51">
        <f>IF(B397="",0,IF(ISNA(_xlfn.XLOOKUP(A397,LongJump!F$5:F$302,LongJump!M$5:M$302)),0,_xlfn.XLOOKUP(A397,LongJump!F$5:F$302,LongJump!M$5:M$302)))</f>
        <v>0</v>
      </c>
      <c r="N397" s="51">
        <f>IF(B397="",0,IF(ISNA(VLOOKUP(A397,LongJump!F$5:K$302,5,FALSE)),0,VLOOKUP(A397,LongJump!F$5:K$302,5,FALSE)))</f>
        <v>0</v>
      </c>
      <c r="O397" s="51" t="str">
        <f>IF(B397="","",IF(ISNA(VLOOKUP(A397,Vortex!F$5:J$302,2,FALSE)),"",VLOOKUP(A397,Vortex!F$5:J$302,2,FALSE)))</f>
        <v/>
      </c>
      <c r="P397" s="51">
        <f>IF(B397="",0,IF(ISNA(_xlfn.XLOOKUP(A397,Vortex!F$5:F$302,Vortex!M$5:M$302)),0,_xlfn.XLOOKUP(A397,Vortex!F$5:F$302,Vortex!M$5:M$302)))</f>
        <v>0</v>
      </c>
      <c r="Q397" s="51">
        <f t="shared" si="53"/>
        <v>0</v>
      </c>
      <c r="R397" s="51" t="str">
        <f t="shared" si="54"/>
        <v/>
      </c>
      <c r="S397" s="51" t="str">
        <f t="shared" si="55"/>
        <v/>
      </c>
      <c r="T397" s="51" t="str">
        <f t="shared" si="56"/>
        <v/>
      </c>
      <c r="U397" s="51" t="str">
        <f t="shared" si="57"/>
        <v/>
      </c>
    </row>
    <row r="398" spans="1:21">
      <c r="A398" s="51" t="str">
        <f>IF(Declarations!B26=0,"",Declarations!B26)</f>
        <v/>
      </c>
      <c r="B398" s="161" t="str">
        <f>IF(ISNA(VLOOKUP(A398,Declarations!B$6:C$293,2,FALSE)),"",IF(VLOOKUP(A398,Declarations!B$6:C$293,2,FALSE)="","",VLOOKUP(A398,Declarations!B$6:C$293,2,FALSE)))</f>
        <v/>
      </c>
      <c r="C398" s="161" t="str">
        <f>IF(ISNA(VLOOKUP(A398,Declarations!B$6:F$293,5,FALSE)),"",IF(VLOOKUP(A398,Declarations!B$6:F$293,5,FALSE)="","",VLOOKUP(A398,Declarations!B$6:F$293,5,FALSE)))</f>
        <v/>
      </c>
      <c r="D398" s="161" t="str">
        <f>IF(ISNA(VLOOKUP(A398,Declarations!B$6:F$293,4,FALSE)),"",IF(VLOOKUP(A398,Declarations!B$6:F$293,4,FALSE)="","",VLOOKUP(A398,Declarations!B$6:F$293,4,FALSE)))</f>
        <v/>
      </c>
      <c r="E398" s="161" t="str">
        <f>IF(ISNA(VLOOKUP(A398,Declarations!B$6:D$293,3,FALSE)),"",IF(VLOOKUP(A398,Declarations!B$6:D$293,3,FALSE)="","",VLOOKUP(A398,Declarations!B$6:D$293,3,FALSE)))</f>
        <v/>
      </c>
      <c r="F398" s="51" t="str">
        <f>IF(B398="","",IF(ISNA(VLOOKUP(A398,'75m'!F$5:G$302,2,FALSE)),"",VLOOKUP(A398,'75m'!F$5:G$302,2,FALSE)))</f>
        <v/>
      </c>
      <c r="G398" s="51">
        <f>IF(B398="",0,IF(ISNA(_xlfn.XLOOKUP(A398,'75m'!F$5:F$302,'75m'!M$5:M$302)),0,_xlfn.XLOOKUP(A398,'75m'!F$5:F$302,'75m'!M$5:M$302)))</f>
        <v>0</v>
      </c>
      <c r="H398" s="51" t="str">
        <f>IF(B398="","",IF(ISNA(VLOOKUP(A398,'75m'!F$5:K$302,5,FALSE)),"",VLOOKUP(A398,'75m'!F$5:K$302,5,FALSE)))</f>
        <v/>
      </c>
      <c r="I398" s="53">
        <f>IF(B398="",0,IF(ISNA(VLOOKUP(A398,'600m'!F$5:J$302,2,FALSE)),0,VLOOKUP(A398,'600m'!F$5:J$302,2,FALSE)))</f>
        <v>0</v>
      </c>
      <c r="J398" s="51">
        <f>IF(B398="",0,IF(ISNA(_xlfn.XLOOKUP(A398,'600m'!F$5:F$302,'600m'!M$5:M$302)),0,_xlfn.XLOOKUP(A398,'600m'!F$5:F$302,'600m'!M$5:M$302)))</f>
        <v>0</v>
      </c>
      <c r="K398" s="51" t="str">
        <f>IF(B398="","",IF(ISNA(VLOOKUP(A398,'600m'!F$5:K$302,5,FALSE)),"",VLOOKUP(A398,'600m'!F$5:K$302,5,FALSE)))</f>
        <v/>
      </c>
      <c r="L398" s="51" t="str">
        <f>IF(B398="","",IF(ISNA(VLOOKUP(A398,LongJump!F$5:G$302,2,FALSE)),"",VLOOKUP(A398,LongJump!F$5:G$302,2,FALSE)))</f>
        <v/>
      </c>
      <c r="M398" s="51">
        <f>IF(B398="",0,IF(ISNA(_xlfn.XLOOKUP(A398,LongJump!F$5:F$302,LongJump!M$5:M$302)),0,_xlfn.XLOOKUP(A398,LongJump!F$5:F$302,LongJump!M$5:M$302)))</f>
        <v>0</v>
      </c>
      <c r="N398" s="51">
        <f>IF(B398="",0,IF(ISNA(VLOOKUP(A398,LongJump!F$5:K$302,5,FALSE)),0,VLOOKUP(A398,LongJump!F$5:K$302,5,FALSE)))</f>
        <v>0</v>
      </c>
      <c r="O398" s="51" t="str">
        <f>IF(B398="","",IF(ISNA(VLOOKUP(A398,Vortex!F$5:J$302,2,FALSE)),"",VLOOKUP(A398,Vortex!F$5:J$302,2,FALSE)))</f>
        <v/>
      </c>
      <c r="P398" s="51">
        <f>IF(B398="",0,IF(ISNA(_xlfn.XLOOKUP(A398,Vortex!F$5:F$302,Vortex!M$5:M$302)),0,_xlfn.XLOOKUP(A398,Vortex!F$5:F$302,Vortex!M$5:M$302)))</f>
        <v>0</v>
      </c>
      <c r="Q398" s="51">
        <f t="shared" si="53"/>
        <v>0</v>
      </c>
      <c r="R398" s="51" t="str">
        <f t="shared" si="54"/>
        <v/>
      </c>
      <c r="S398" s="51" t="str">
        <f t="shared" si="55"/>
        <v/>
      </c>
      <c r="T398" s="51" t="str">
        <f t="shared" si="56"/>
        <v/>
      </c>
      <c r="U398" s="51" t="str">
        <f t="shared" si="57"/>
        <v/>
      </c>
    </row>
    <row r="399" spans="1:21">
      <c r="A399" s="51" t="str">
        <f>IF(Declarations!B27=0,"",Declarations!B27)</f>
        <v/>
      </c>
      <c r="B399" s="161" t="str">
        <f>IF(ISNA(VLOOKUP(A399,Declarations!B$6:C$293,2,FALSE)),"",IF(VLOOKUP(A399,Declarations!B$6:C$293,2,FALSE)="","",VLOOKUP(A399,Declarations!B$6:C$293,2,FALSE)))</f>
        <v/>
      </c>
      <c r="C399" s="161" t="str">
        <f>IF(ISNA(VLOOKUP(A399,Declarations!B$6:F$293,5,FALSE)),"",IF(VLOOKUP(A399,Declarations!B$6:F$293,5,FALSE)="","",VLOOKUP(A399,Declarations!B$6:F$293,5,FALSE)))</f>
        <v/>
      </c>
      <c r="D399" s="161" t="str">
        <f>IF(ISNA(VLOOKUP(A399,Declarations!B$6:F$293,4,FALSE)),"",IF(VLOOKUP(A399,Declarations!B$6:F$293,4,FALSE)="","",VLOOKUP(A399,Declarations!B$6:F$293,4,FALSE)))</f>
        <v/>
      </c>
      <c r="E399" s="161" t="str">
        <f>IF(ISNA(VLOOKUP(A399,Declarations!B$6:D$293,3,FALSE)),"",IF(VLOOKUP(A399,Declarations!B$6:D$293,3,FALSE)="","",VLOOKUP(A399,Declarations!B$6:D$293,3,FALSE)))</f>
        <v/>
      </c>
      <c r="F399" s="51" t="str">
        <f>IF(B399="","",IF(ISNA(VLOOKUP(A399,'75m'!F$5:G$302,2,FALSE)),"",VLOOKUP(A399,'75m'!F$5:G$302,2,FALSE)))</f>
        <v/>
      </c>
      <c r="G399" s="51">
        <f>IF(B399="",0,IF(ISNA(_xlfn.XLOOKUP(A399,'75m'!F$5:F$302,'75m'!M$5:M$302)),0,_xlfn.XLOOKUP(A399,'75m'!F$5:F$302,'75m'!M$5:M$302)))</f>
        <v>0</v>
      </c>
      <c r="H399" s="51" t="str">
        <f>IF(B399="","",IF(ISNA(VLOOKUP(A399,'75m'!F$5:K$302,5,FALSE)),"",VLOOKUP(A399,'75m'!F$5:K$302,5,FALSE)))</f>
        <v/>
      </c>
      <c r="I399" s="53">
        <f>IF(B399="",0,IF(ISNA(VLOOKUP(A399,'600m'!F$5:J$302,2,FALSE)),0,VLOOKUP(A399,'600m'!F$5:J$302,2,FALSE)))</f>
        <v>0</v>
      </c>
      <c r="J399" s="51">
        <f>IF(B399="",0,IF(ISNA(_xlfn.XLOOKUP(A399,'600m'!F$5:F$302,'600m'!M$5:M$302)),0,_xlfn.XLOOKUP(A399,'600m'!F$5:F$302,'600m'!M$5:M$302)))</f>
        <v>0</v>
      </c>
      <c r="K399" s="51" t="str">
        <f>IF(B399="","",IF(ISNA(VLOOKUP(A399,'600m'!F$5:K$302,5,FALSE)),"",VLOOKUP(A399,'600m'!F$5:K$302,5,FALSE)))</f>
        <v/>
      </c>
      <c r="L399" s="51" t="str">
        <f>IF(B399="","",IF(ISNA(VLOOKUP(A399,LongJump!F$5:G$302,2,FALSE)),"",VLOOKUP(A399,LongJump!F$5:G$302,2,FALSE)))</f>
        <v/>
      </c>
      <c r="M399" s="51">
        <f>IF(B399="",0,IF(ISNA(_xlfn.XLOOKUP(A399,LongJump!F$5:F$302,LongJump!M$5:M$302)),0,_xlfn.XLOOKUP(A399,LongJump!F$5:F$302,LongJump!M$5:M$302)))</f>
        <v>0</v>
      </c>
      <c r="N399" s="51">
        <f>IF(B399="",0,IF(ISNA(VLOOKUP(A399,LongJump!F$5:K$302,5,FALSE)),0,VLOOKUP(A399,LongJump!F$5:K$302,5,FALSE)))</f>
        <v>0</v>
      </c>
      <c r="O399" s="51" t="str">
        <f>IF(B399="","",IF(ISNA(VLOOKUP(A399,Vortex!F$5:J$302,2,FALSE)),"",VLOOKUP(A399,Vortex!F$5:J$302,2,FALSE)))</f>
        <v/>
      </c>
      <c r="P399" s="51">
        <f>IF(B399="",0,IF(ISNA(_xlfn.XLOOKUP(A399,Vortex!F$5:F$302,Vortex!M$5:M$302)),0,_xlfn.XLOOKUP(A399,Vortex!F$5:F$302,Vortex!M$5:M$302)))</f>
        <v>0</v>
      </c>
      <c r="Q399" s="51">
        <f t="shared" si="53"/>
        <v>0</v>
      </c>
      <c r="R399" s="51" t="str">
        <f t="shared" si="54"/>
        <v/>
      </c>
      <c r="S399" s="51" t="str">
        <f t="shared" si="55"/>
        <v/>
      </c>
      <c r="T399" s="51" t="str">
        <f t="shared" si="56"/>
        <v/>
      </c>
      <c r="U399" s="51" t="str">
        <f t="shared" si="57"/>
        <v/>
      </c>
    </row>
    <row r="400" spans="1:21">
      <c r="A400" s="51" t="str">
        <f>IF(Declarations!B28=0,"",Declarations!B28)</f>
        <v/>
      </c>
      <c r="B400" s="161" t="str">
        <f>IF(ISNA(VLOOKUP(A400,Declarations!B$6:C$293,2,FALSE)),"",IF(VLOOKUP(A400,Declarations!B$6:C$293,2,FALSE)="","",VLOOKUP(A400,Declarations!B$6:C$293,2,FALSE)))</f>
        <v/>
      </c>
      <c r="C400" s="161" t="str">
        <f>IF(ISNA(VLOOKUP(A400,Declarations!B$6:F$293,5,FALSE)),"",IF(VLOOKUP(A400,Declarations!B$6:F$293,5,FALSE)="","",VLOOKUP(A400,Declarations!B$6:F$293,5,FALSE)))</f>
        <v/>
      </c>
      <c r="D400" s="161" t="str">
        <f>IF(ISNA(VLOOKUP(A400,Declarations!B$6:F$293,4,FALSE)),"",IF(VLOOKUP(A400,Declarations!B$6:F$293,4,FALSE)="","",VLOOKUP(A400,Declarations!B$6:F$293,4,FALSE)))</f>
        <v/>
      </c>
      <c r="E400" s="161" t="str">
        <f>IF(ISNA(VLOOKUP(A400,Declarations!B$6:D$293,3,FALSE)),"",IF(VLOOKUP(A400,Declarations!B$6:D$293,3,FALSE)="","",VLOOKUP(A400,Declarations!B$6:D$293,3,FALSE)))</f>
        <v/>
      </c>
      <c r="F400" s="51" t="str">
        <f>IF(B400="","",IF(ISNA(VLOOKUP(A400,'75m'!F$5:G$302,2,FALSE)),"",VLOOKUP(A400,'75m'!F$5:G$302,2,FALSE)))</f>
        <v/>
      </c>
      <c r="G400" s="51">
        <f>IF(B400="",0,IF(ISNA(_xlfn.XLOOKUP(A400,'75m'!F$5:F$302,'75m'!M$5:M$302)),0,_xlfn.XLOOKUP(A400,'75m'!F$5:F$302,'75m'!M$5:M$302)))</f>
        <v>0</v>
      </c>
      <c r="H400" s="51" t="str">
        <f>IF(B400="","",IF(ISNA(VLOOKUP(A400,'75m'!F$5:K$302,5,FALSE)),"",VLOOKUP(A400,'75m'!F$5:K$302,5,FALSE)))</f>
        <v/>
      </c>
      <c r="I400" s="53">
        <f>IF(B400="",0,IF(ISNA(VLOOKUP(A400,'600m'!F$5:J$302,2,FALSE)),0,VLOOKUP(A400,'600m'!F$5:J$302,2,FALSE)))</f>
        <v>0</v>
      </c>
      <c r="J400" s="51">
        <f>IF(B400="",0,IF(ISNA(_xlfn.XLOOKUP(A400,'600m'!F$5:F$302,'600m'!M$5:M$302)),0,_xlfn.XLOOKUP(A400,'600m'!F$5:F$302,'600m'!M$5:M$302)))</f>
        <v>0</v>
      </c>
      <c r="K400" s="51" t="str">
        <f>IF(B400="","",IF(ISNA(VLOOKUP(A400,'600m'!F$5:K$302,5,FALSE)),"",VLOOKUP(A400,'600m'!F$5:K$302,5,FALSE)))</f>
        <v/>
      </c>
      <c r="L400" s="51" t="str">
        <f>IF(B400="","",IF(ISNA(VLOOKUP(A400,LongJump!F$5:G$302,2,FALSE)),"",VLOOKUP(A400,LongJump!F$5:G$302,2,FALSE)))</f>
        <v/>
      </c>
      <c r="M400" s="51">
        <f>IF(B400="",0,IF(ISNA(_xlfn.XLOOKUP(A400,LongJump!F$5:F$302,LongJump!M$5:M$302)),0,_xlfn.XLOOKUP(A400,LongJump!F$5:F$302,LongJump!M$5:M$302)))</f>
        <v>0</v>
      </c>
      <c r="N400" s="51">
        <f>IF(B400="",0,IF(ISNA(VLOOKUP(A400,LongJump!F$5:K$302,5,FALSE)),0,VLOOKUP(A400,LongJump!F$5:K$302,5,FALSE)))</f>
        <v>0</v>
      </c>
      <c r="O400" s="51" t="str">
        <f>IF(B400="","",IF(ISNA(VLOOKUP(A400,Vortex!F$5:J$302,2,FALSE)),"",VLOOKUP(A400,Vortex!F$5:J$302,2,FALSE)))</f>
        <v/>
      </c>
      <c r="P400" s="51">
        <f>IF(B400="",0,IF(ISNA(_xlfn.XLOOKUP(A400,Vortex!F$5:F$302,Vortex!M$5:M$302)),0,_xlfn.XLOOKUP(A400,Vortex!F$5:F$302,Vortex!M$5:M$302)))</f>
        <v>0</v>
      </c>
      <c r="Q400" s="51">
        <f t="shared" si="53"/>
        <v>0</v>
      </c>
      <c r="R400" s="51" t="str">
        <f t="shared" si="54"/>
        <v/>
      </c>
      <c r="S400" s="51" t="str">
        <f t="shared" si="55"/>
        <v/>
      </c>
      <c r="T400" s="51" t="str">
        <f t="shared" si="56"/>
        <v/>
      </c>
      <c r="U400" s="51" t="str">
        <f t="shared" si="57"/>
        <v/>
      </c>
    </row>
    <row r="401" spans="1:25">
      <c r="A401" s="51" t="str">
        <f>IF(Declarations!B29=0,"",Declarations!B29)</f>
        <v/>
      </c>
      <c r="B401" s="161" t="str">
        <f>IF(ISNA(VLOOKUP(A401,Declarations!B$6:C$293,2,FALSE)),"",IF(VLOOKUP(A401,Declarations!B$6:C$293,2,FALSE)="","",VLOOKUP(A401,Declarations!B$6:C$293,2,FALSE)))</f>
        <v/>
      </c>
      <c r="C401" s="161" t="str">
        <f>IF(ISNA(VLOOKUP(A401,Declarations!B$6:F$293,5,FALSE)),"",IF(VLOOKUP(A401,Declarations!B$6:F$293,5,FALSE)="","",VLOOKUP(A401,Declarations!B$6:F$293,5,FALSE)))</f>
        <v/>
      </c>
      <c r="D401" s="161" t="str">
        <f>IF(ISNA(VLOOKUP(A401,Declarations!B$6:F$293,4,FALSE)),"",IF(VLOOKUP(A401,Declarations!B$6:F$293,4,FALSE)="","",VLOOKUP(A401,Declarations!B$6:F$293,4,FALSE)))</f>
        <v/>
      </c>
      <c r="E401" s="161" t="str">
        <f>IF(ISNA(VLOOKUP(A401,Declarations!B$6:D$293,3,FALSE)),"",IF(VLOOKUP(A401,Declarations!B$6:D$293,3,FALSE)="","",VLOOKUP(A401,Declarations!B$6:D$293,3,FALSE)))</f>
        <v/>
      </c>
      <c r="F401" s="51" t="str">
        <f>IF(B401="","",IF(ISNA(VLOOKUP(A401,'75m'!F$5:G$302,2,FALSE)),"",VLOOKUP(A401,'75m'!F$5:G$302,2,FALSE)))</f>
        <v/>
      </c>
      <c r="G401" s="51">
        <f>IF(B401="",0,IF(ISNA(_xlfn.XLOOKUP(A401,'75m'!F$5:F$302,'75m'!M$5:M$302)),0,_xlfn.XLOOKUP(A401,'75m'!F$5:F$302,'75m'!M$5:M$302)))</f>
        <v>0</v>
      </c>
      <c r="H401" s="51" t="str">
        <f>IF(B401="","",IF(ISNA(VLOOKUP(A401,'75m'!F$5:K$302,5,FALSE)),"",VLOOKUP(A401,'75m'!F$5:K$302,5,FALSE)))</f>
        <v/>
      </c>
      <c r="I401" s="53">
        <f>IF(B401="",0,IF(ISNA(VLOOKUP(A401,'600m'!F$5:J$302,2,FALSE)),0,VLOOKUP(A401,'600m'!F$5:J$302,2,FALSE)))</f>
        <v>0</v>
      </c>
      <c r="J401" s="51">
        <f>IF(B401="",0,IF(ISNA(_xlfn.XLOOKUP(A401,'600m'!F$5:F$302,'600m'!M$5:M$302)),0,_xlfn.XLOOKUP(A401,'600m'!F$5:F$302,'600m'!M$5:M$302)))</f>
        <v>0</v>
      </c>
      <c r="K401" s="51" t="str">
        <f>IF(B401="","",IF(ISNA(VLOOKUP(A401,'600m'!F$5:K$302,5,FALSE)),"",VLOOKUP(A401,'600m'!F$5:K$302,5,FALSE)))</f>
        <v/>
      </c>
      <c r="L401" s="51" t="str">
        <f>IF(B401="","",IF(ISNA(VLOOKUP(A401,LongJump!F$5:G$302,2,FALSE)),"",VLOOKUP(A401,LongJump!F$5:G$302,2,FALSE)))</f>
        <v/>
      </c>
      <c r="M401" s="51">
        <f>IF(B401="",0,IF(ISNA(_xlfn.XLOOKUP(A401,LongJump!F$5:F$302,LongJump!M$5:M$302)),0,_xlfn.XLOOKUP(A401,LongJump!F$5:F$302,LongJump!M$5:M$302)))</f>
        <v>0</v>
      </c>
      <c r="N401" s="51">
        <f>IF(B401="",0,IF(ISNA(VLOOKUP(A401,LongJump!F$5:K$302,5,FALSE)),0,VLOOKUP(A401,LongJump!F$5:K$302,5,FALSE)))</f>
        <v>0</v>
      </c>
      <c r="O401" s="51" t="str">
        <f>IF(B401="","",IF(ISNA(VLOOKUP(A401,Vortex!F$5:J$302,2,FALSE)),"",VLOOKUP(A401,Vortex!F$5:J$302,2,FALSE)))</f>
        <v/>
      </c>
      <c r="P401" s="51">
        <f>IF(B401="",0,IF(ISNA(_xlfn.XLOOKUP(A401,Vortex!F$5:F$302,Vortex!M$5:M$302)),0,_xlfn.XLOOKUP(A401,Vortex!F$5:F$302,Vortex!M$5:M$302)))</f>
        <v>0</v>
      </c>
      <c r="Q401" s="51">
        <f t="shared" si="53"/>
        <v>0</v>
      </c>
      <c r="R401" s="51" t="str">
        <f t="shared" si="54"/>
        <v/>
      </c>
      <c r="S401" s="51" t="str">
        <f t="shared" si="55"/>
        <v/>
      </c>
      <c r="T401" s="51" t="str">
        <f t="shared" si="56"/>
        <v/>
      </c>
      <c r="U401" s="51" t="str">
        <f t="shared" si="57"/>
        <v/>
      </c>
    </row>
    <row r="402" spans="1:25">
      <c r="A402" s="51" t="str">
        <f>IF(Declarations!B30=0,"",Declarations!B30)</f>
        <v/>
      </c>
      <c r="B402" s="161" t="str">
        <f>IF(ISNA(VLOOKUP(A402,Declarations!B$6:C$293,2,FALSE)),"",IF(VLOOKUP(A402,Declarations!B$6:C$293,2,FALSE)="","",VLOOKUP(A402,Declarations!B$6:C$293,2,FALSE)))</f>
        <v/>
      </c>
      <c r="C402" s="161" t="str">
        <f>IF(ISNA(VLOOKUP(A402,Declarations!B$6:F$293,5,FALSE)),"",IF(VLOOKUP(A402,Declarations!B$6:F$293,5,FALSE)="","",VLOOKUP(A402,Declarations!B$6:F$293,5,FALSE)))</f>
        <v/>
      </c>
      <c r="D402" s="161" t="str">
        <f>IF(ISNA(VLOOKUP(A402,Declarations!B$6:F$293,4,FALSE)),"",IF(VLOOKUP(A402,Declarations!B$6:F$293,4,FALSE)="","",VLOOKUP(A402,Declarations!B$6:F$293,4,FALSE)))</f>
        <v/>
      </c>
      <c r="E402" s="161" t="str">
        <f>IF(ISNA(VLOOKUP(A402,Declarations!B$6:D$293,3,FALSE)),"",IF(VLOOKUP(A402,Declarations!B$6:D$293,3,FALSE)="","",VLOOKUP(A402,Declarations!B$6:D$293,3,FALSE)))</f>
        <v/>
      </c>
      <c r="F402" s="51" t="str">
        <f>IF(B402="","",IF(ISNA(VLOOKUP(A402,'75m'!F$5:G$302,2,FALSE)),"",VLOOKUP(A402,'75m'!F$5:G$302,2,FALSE)))</f>
        <v/>
      </c>
      <c r="G402" s="51">
        <f>IF(B402="",0,IF(ISNA(_xlfn.XLOOKUP(A402,'75m'!F$5:F$302,'75m'!M$5:M$302)),0,_xlfn.XLOOKUP(A402,'75m'!F$5:F$302,'75m'!M$5:M$302)))</f>
        <v>0</v>
      </c>
      <c r="H402" s="51" t="str">
        <f>IF(B402="","",IF(ISNA(VLOOKUP(A402,'75m'!F$5:K$302,5,FALSE)),"",VLOOKUP(A402,'75m'!F$5:K$302,5,FALSE)))</f>
        <v/>
      </c>
      <c r="I402" s="53">
        <f>IF(B402="",0,IF(ISNA(VLOOKUP(A402,'600m'!F$5:J$302,2,FALSE)),0,VLOOKUP(A402,'600m'!F$5:J$302,2,FALSE)))</f>
        <v>0</v>
      </c>
      <c r="J402" s="51">
        <f>IF(B402="",0,IF(ISNA(_xlfn.XLOOKUP(A402,'600m'!F$5:F$302,'600m'!M$5:M$302)),0,_xlfn.XLOOKUP(A402,'600m'!F$5:F$302,'600m'!M$5:M$302)))</f>
        <v>0</v>
      </c>
      <c r="K402" s="51" t="str">
        <f>IF(B402="","",IF(ISNA(VLOOKUP(A402,'600m'!F$5:K$302,5,FALSE)),"",VLOOKUP(A402,'600m'!F$5:K$302,5,FALSE)))</f>
        <v/>
      </c>
      <c r="L402" s="51" t="str">
        <f>IF(B402="","",IF(ISNA(VLOOKUP(A402,LongJump!F$5:G$302,2,FALSE)),"",VLOOKUP(A402,LongJump!F$5:G$302,2,FALSE)))</f>
        <v/>
      </c>
      <c r="M402" s="51">
        <f>IF(B402="",0,IF(ISNA(_xlfn.XLOOKUP(A402,LongJump!F$5:F$302,LongJump!M$5:M$302)),0,_xlfn.XLOOKUP(A402,LongJump!F$5:F$302,LongJump!M$5:M$302)))</f>
        <v>0</v>
      </c>
      <c r="N402" s="51">
        <f>IF(B402="",0,IF(ISNA(VLOOKUP(A402,LongJump!F$5:K$302,5,FALSE)),0,VLOOKUP(A402,LongJump!F$5:K$302,5,FALSE)))</f>
        <v>0</v>
      </c>
      <c r="O402" s="51" t="str">
        <f>IF(B402="","",IF(ISNA(VLOOKUP(A402,Vortex!F$5:J$302,2,FALSE)),"",VLOOKUP(A402,Vortex!F$5:J$302,2,FALSE)))</f>
        <v/>
      </c>
      <c r="P402" s="51">
        <f>IF(B402="",0,IF(ISNA(_xlfn.XLOOKUP(A402,Vortex!F$5:F$302,Vortex!M$5:M$302)),0,_xlfn.XLOOKUP(A402,Vortex!F$5:F$302,Vortex!M$5:M$302)))</f>
        <v>0</v>
      </c>
      <c r="Q402" s="51">
        <f t="shared" si="53"/>
        <v>0</v>
      </c>
      <c r="R402" s="51" t="str">
        <f t="shared" si="54"/>
        <v/>
      </c>
      <c r="S402" s="51" t="str">
        <f t="shared" si="55"/>
        <v/>
      </c>
      <c r="T402" s="51" t="str">
        <f t="shared" si="56"/>
        <v/>
      </c>
      <c r="U402" s="51" t="str">
        <f t="shared" si="57"/>
        <v/>
      </c>
    </row>
    <row r="403" spans="1:25">
      <c r="A403" s="51" t="str">
        <f>IF(Declarations!B31=0,"",Declarations!B31)</f>
        <v/>
      </c>
      <c r="B403" s="161" t="str">
        <f>IF(ISNA(VLOOKUP(A403,Declarations!B$6:C$293,2,FALSE)),"",IF(VLOOKUP(A403,Declarations!B$6:C$293,2,FALSE)="","",VLOOKUP(A403,Declarations!B$6:C$293,2,FALSE)))</f>
        <v/>
      </c>
      <c r="C403" s="161" t="str">
        <f>IF(ISNA(VLOOKUP(A403,Declarations!B$6:F$293,5,FALSE)),"",IF(VLOOKUP(A403,Declarations!B$6:F$293,5,FALSE)="","",VLOOKUP(A403,Declarations!B$6:F$293,5,FALSE)))</f>
        <v/>
      </c>
      <c r="D403" s="161" t="str">
        <f>IF(ISNA(VLOOKUP(A403,Declarations!B$6:F$293,4,FALSE)),"",IF(VLOOKUP(A403,Declarations!B$6:F$293,4,FALSE)="","",VLOOKUP(A403,Declarations!B$6:F$293,4,FALSE)))</f>
        <v/>
      </c>
      <c r="E403" s="161" t="str">
        <f>IF(ISNA(VLOOKUP(A403,Declarations!B$6:D$293,3,FALSE)),"",IF(VLOOKUP(A403,Declarations!B$6:D$293,3,FALSE)="","",VLOOKUP(A403,Declarations!B$6:D$293,3,FALSE)))</f>
        <v/>
      </c>
      <c r="F403" s="51" t="str">
        <f>IF(B403="","",IF(ISNA(VLOOKUP(A403,'75m'!F$5:G$302,2,FALSE)),"",VLOOKUP(A403,'75m'!F$5:G$302,2,FALSE)))</f>
        <v/>
      </c>
      <c r="G403" s="51">
        <f>IF(B403="",0,IF(ISNA(_xlfn.XLOOKUP(A403,'75m'!F$5:F$302,'75m'!M$5:M$302)),0,_xlfn.XLOOKUP(A403,'75m'!F$5:F$302,'75m'!M$5:M$302)))</f>
        <v>0</v>
      </c>
      <c r="H403" s="51" t="str">
        <f>IF(B403="","",IF(ISNA(VLOOKUP(A403,'75m'!F$5:K$302,5,FALSE)),"",VLOOKUP(A403,'75m'!F$5:K$302,5,FALSE)))</f>
        <v/>
      </c>
      <c r="I403" s="53">
        <f>IF(B403="",0,IF(ISNA(VLOOKUP(A403,'600m'!F$5:J$302,2,FALSE)),0,VLOOKUP(A403,'600m'!F$5:J$302,2,FALSE)))</f>
        <v>0</v>
      </c>
      <c r="J403" s="51">
        <f>IF(B403="",0,IF(ISNA(_xlfn.XLOOKUP(A403,'600m'!F$5:F$302,'600m'!M$5:M$302)),0,_xlfn.XLOOKUP(A403,'600m'!F$5:F$302,'600m'!M$5:M$302)))</f>
        <v>0</v>
      </c>
      <c r="K403" s="51" t="str">
        <f>IF(B403="","",IF(ISNA(VLOOKUP(A403,'600m'!F$5:K$302,5,FALSE)),"",VLOOKUP(A403,'600m'!F$5:K$302,5,FALSE)))</f>
        <v/>
      </c>
      <c r="L403" s="51" t="str">
        <f>IF(B403="","",IF(ISNA(VLOOKUP(A403,LongJump!F$5:G$302,2,FALSE)),"",VLOOKUP(A403,LongJump!F$5:G$302,2,FALSE)))</f>
        <v/>
      </c>
      <c r="M403" s="51">
        <f>IF(B403="",0,IF(ISNA(_xlfn.XLOOKUP(A403,LongJump!F$5:F$302,LongJump!M$5:M$302)),0,_xlfn.XLOOKUP(A403,LongJump!F$5:F$302,LongJump!M$5:M$302)))</f>
        <v>0</v>
      </c>
      <c r="N403" s="51">
        <f>IF(B403="",0,IF(ISNA(VLOOKUP(A403,LongJump!F$5:K$302,5,FALSE)),0,VLOOKUP(A403,LongJump!F$5:K$302,5,FALSE)))</f>
        <v>0</v>
      </c>
      <c r="O403" s="51" t="str">
        <f>IF(B403="","",IF(ISNA(VLOOKUP(A403,Vortex!F$5:J$302,2,FALSE)),"",VLOOKUP(A403,Vortex!F$5:J$302,2,FALSE)))</f>
        <v/>
      </c>
      <c r="P403" s="51">
        <f>IF(B403="",0,IF(ISNA(_xlfn.XLOOKUP(A403,Vortex!F$5:F$302,Vortex!M$5:M$302)),0,_xlfn.XLOOKUP(A403,Vortex!F$5:F$302,Vortex!M$5:M$302)))</f>
        <v>0</v>
      </c>
      <c r="Q403" s="51">
        <f t="shared" si="53"/>
        <v>0</v>
      </c>
      <c r="R403" s="51" t="str">
        <f t="shared" si="54"/>
        <v/>
      </c>
      <c r="S403" s="51" t="str">
        <f t="shared" si="55"/>
        <v/>
      </c>
      <c r="T403" s="51" t="str">
        <f t="shared" si="56"/>
        <v/>
      </c>
      <c r="U403" s="51" t="str">
        <f t="shared" si="57"/>
        <v/>
      </c>
    </row>
    <row r="404" spans="1:25">
      <c r="A404" s="51" t="str">
        <f>IF(Declarations!B32=0,"",Declarations!B32)</f>
        <v/>
      </c>
      <c r="B404" s="161" t="str">
        <f>IF(ISNA(VLOOKUP(A404,Declarations!B$6:C$293,2,FALSE)),"",IF(VLOOKUP(A404,Declarations!B$6:C$293,2,FALSE)="","",VLOOKUP(A404,Declarations!B$6:C$293,2,FALSE)))</f>
        <v/>
      </c>
      <c r="C404" s="161" t="str">
        <f>IF(ISNA(VLOOKUP(A404,Declarations!B$6:F$293,5,FALSE)),"",IF(VLOOKUP(A404,Declarations!B$6:F$293,5,FALSE)="","",VLOOKUP(A404,Declarations!B$6:F$293,5,FALSE)))</f>
        <v/>
      </c>
      <c r="D404" s="161" t="str">
        <f>IF(ISNA(VLOOKUP(A404,Declarations!B$6:F$293,4,FALSE)),"",IF(VLOOKUP(A404,Declarations!B$6:F$293,4,FALSE)="","",VLOOKUP(A404,Declarations!B$6:F$293,4,FALSE)))</f>
        <v/>
      </c>
      <c r="E404" s="161" t="str">
        <f>IF(ISNA(VLOOKUP(A404,Declarations!B$6:D$293,3,FALSE)),"",IF(VLOOKUP(A404,Declarations!B$6:D$293,3,FALSE)="","",VLOOKUP(A404,Declarations!B$6:D$293,3,FALSE)))</f>
        <v/>
      </c>
      <c r="F404" s="51" t="str">
        <f>IF(B404="","",IF(ISNA(VLOOKUP(A404,'75m'!F$5:G$302,2,FALSE)),"",VLOOKUP(A404,'75m'!F$5:G$302,2,FALSE)))</f>
        <v/>
      </c>
      <c r="G404" s="51">
        <f>IF(B404="",0,IF(ISNA(_xlfn.XLOOKUP(A404,'75m'!F$5:F$302,'75m'!M$5:M$302)),0,_xlfn.XLOOKUP(A404,'75m'!F$5:F$302,'75m'!M$5:M$302)))</f>
        <v>0</v>
      </c>
      <c r="H404" s="51" t="str">
        <f>IF(B404="","",IF(ISNA(VLOOKUP(A404,'75m'!F$5:K$302,5,FALSE)),"",VLOOKUP(A404,'75m'!F$5:K$302,5,FALSE)))</f>
        <v/>
      </c>
      <c r="I404" s="53">
        <f>IF(B404="",0,IF(ISNA(VLOOKUP(A404,'600m'!F$5:J$302,2,FALSE)),0,VLOOKUP(A404,'600m'!F$5:J$302,2,FALSE)))</f>
        <v>0</v>
      </c>
      <c r="J404" s="51">
        <f>IF(B404="",0,IF(ISNA(_xlfn.XLOOKUP(A404,'600m'!F$5:F$302,'600m'!M$5:M$302)),0,_xlfn.XLOOKUP(A404,'600m'!F$5:F$302,'600m'!M$5:M$302)))</f>
        <v>0</v>
      </c>
      <c r="K404" s="51" t="str">
        <f>IF(B404="","",IF(ISNA(VLOOKUP(A404,'600m'!F$5:K$302,5,FALSE)),"",VLOOKUP(A404,'600m'!F$5:K$302,5,FALSE)))</f>
        <v/>
      </c>
      <c r="L404" s="51" t="str">
        <f>IF(B404="","",IF(ISNA(VLOOKUP(A404,LongJump!F$5:G$302,2,FALSE)),"",VLOOKUP(A404,LongJump!F$5:G$302,2,FALSE)))</f>
        <v/>
      </c>
      <c r="M404" s="51">
        <f>IF(B404="",0,IF(ISNA(_xlfn.XLOOKUP(A404,LongJump!F$5:F$302,LongJump!M$5:M$302)),0,_xlfn.XLOOKUP(A404,LongJump!F$5:F$302,LongJump!M$5:M$302)))</f>
        <v>0</v>
      </c>
      <c r="N404" s="51">
        <f>IF(B404="",0,IF(ISNA(VLOOKUP(A404,LongJump!F$5:K$302,5,FALSE)),0,VLOOKUP(A404,LongJump!F$5:K$302,5,FALSE)))</f>
        <v>0</v>
      </c>
      <c r="O404" s="51" t="str">
        <f>IF(B404="","",IF(ISNA(VLOOKUP(A404,Vortex!F$5:J$302,2,FALSE)),"",VLOOKUP(A404,Vortex!F$5:J$302,2,FALSE)))</f>
        <v/>
      </c>
      <c r="P404" s="51">
        <f>IF(B404="",0,IF(ISNA(_xlfn.XLOOKUP(A404,Vortex!F$5:F$302,Vortex!M$5:M$302)),0,_xlfn.XLOOKUP(A404,Vortex!F$5:F$302,Vortex!M$5:M$302)))</f>
        <v>0</v>
      </c>
      <c r="Q404" s="51">
        <f t="shared" si="53"/>
        <v>0</v>
      </c>
      <c r="R404" s="51" t="str">
        <f t="shared" si="54"/>
        <v/>
      </c>
      <c r="S404" s="51" t="str">
        <f t="shared" si="55"/>
        <v/>
      </c>
      <c r="T404" s="51" t="str">
        <f t="shared" si="56"/>
        <v/>
      </c>
      <c r="U404" s="51" t="str">
        <f t="shared" si="57"/>
        <v/>
      </c>
    </row>
    <row r="405" spans="1:25">
      <c r="A405" s="51" t="str">
        <f>IF(Declarations!B33=0,"",Declarations!B33)</f>
        <v/>
      </c>
      <c r="B405" s="161" t="str">
        <f>IF(ISNA(VLOOKUP(A405,Declarations!B$6:C$293,2,FALSE)),"",IF(VLOOKUP(A405,Declarations!B$6:C$293,2,FALSE)="","",VLOOKUP(A405,Declarations!B$6:C$293,2,FALSE)))</f>
        <v/>
      </c>
      <c r="C405" s="161" t="str">
        <f>IF(ISNA(VLOOKUP(A405,Declarations!B$6:F$293,5,FALSE)),"",IF(VLOOKUP(A405,Declarations!B$6:F$293,5,FALSE)="","",VLOOKUP(A405,Declarations!B$6:F$293,5,FALSE)))</f>
        <v/>
      </c>
      <c r="D405" s="161" t="str">
        <f>IF(ISNA(VLOOKUP(A405,Declarations!B$6:F$293,4,FALSE)),"",IF(VLOOKUP(A405,Declarations!B$6:F$293,4,FALSE)="","",VLOOKUP(A405,Declarations!B$6:F$293,4,FALSE)))</f>
        <v/>
      </c>
      <c r="E405" s="161" t="str">
        <f>IF(ISNA(VLOOKUP(A405,Declarations!B$6:D$293,3,FALSE)),"",IF(VLOOKUP(A405,Declarations!B$6:D$293,3,FALSE)="","",VLOOKUP(A405,Declarations!B$6:D$293,3,FALSE)))</f>
        <v/>
      </c>
      <c r="F405" s="51" t="str">
        <f>IF(B405="","",IF(ISNA(VLOOKUP(A405,'75m'!F$5:G$302,2,FALSE)),"",VLOOKUP(A405,'75m'!F$5:G$302,2,FALSE)))</f>
        <v/>
      </c>
      <c r="G405" s="51">
        <f>IF(B405="",0,IF(ISNA(_xlfn.XLOOKUP(A405,'75m'!F$5:F$302,'75m'!M$5:M$302)),0,_xlfn.XLOOKUP(A405,'75m'!F$5:F$302,'75m'!M$5:M$302)))</f>
        <v>0</v>
      </c>
      <c r="H405" s="51" t="str">
        <f>IF(B405="","",IF(ISNA(VLOOKUP(A405,'75m'!F$5:K$302,5,FALSE)),"",VLOOKUP(A405,'75m'!F$5:K$302,5,FALSE)))</f>
        <v/>
      </c>
      <c r="I405" s="53">
        <f>IF(B405="",0,IF(ISNA(VLOOKUP(A405,'600m'!F$5:J$302,2,FALSE)),0,VLOOKUP(A405,'600m'!F$5:J$302,2,FALSE)))</f>
        <v>0</v>
      </c>
      <c r="J405" s="51">
        <f>IF(B405="",0,IF(ISNA(_xlfn.XLOOKUP(A405,'600m'!F$5:F$302,'600m'!M$5:M$302)),0,_xlfn.XLOOKUP(A405,'600m'!F$5:F$302,'600m'!M$5:M$302)))</f>
        <v>0</v>
      </c>
      <c r="K405" s="51" t="str">
        <f>IF(B405="","",IF(ISNA(VLOOKUP(A405,'600m'!F$5:K$302,5,FALSE)),"",VLOOKUP(A405,'600m'!F$5:K$302,5,FALSE)))</f>
        <v/>
      </c>
      <c r="L405" s="51" t="str">
        <f>IF(B405="","",IF(ISNA(VLOOKUP(A405,LongJump!F$5:G$302,2,FALSE)),"",VLOOKUP(A405,LongJump!F$5:G$302,2,FALSE)))</f>
        <v/>
      </c>
      <c r="M405" s="51">
        <f>IF(B405="",0,IF(ISNA(_xlfn.XLOOKUP(A405,LongJump!F$5:F$302,LongJump!M$5:M$302)),0,_xlfn.XLOOKUP(A405,LongJump!F$5:F$302,LongJump!M$5:M$302)))</f>
        <v>0</v>
      </c>
      <c r="N405" s="51">
        <f>IF(B405="",0,IF(ISNA(VLOOKUP(A405,LongJump!F$5:K$302,5,FALSE)),0,VLOOKUP(A405,LongJump!F$5:K$302,5,FALSE)))</f>
        <v>0</v>
      </c>
      <c r="O405" s="51" t="str">
        <f>IF(B405="","",IF(ISNA(VLOOKUP(A405,Vortex!F$5:J$302,2,FALSE)),"",VLOOKUP(A405,Vortex!F$5:J$302,2,FALSE)))</f>
        <v/>
      </c>
      <c r="P405" s="51">
        <f>IF(B405="",0,IF(ISNA(_xlfn.XLOOKUP(A405,Vortex!F$5:F$302,Vortex!M$5:M$302)),0,_xlfn.XLOOKUP(A405,Vortex!F$5:F$302,Vortex!M$5:M$302)))</f>
        <v>0</v>
      </c>
      <c r="Q405" s="51">
        <f t="shared" si="53"/>
        <v>0</v>
      </c>
      <c r="R405" s="51" t="str">
        <f t="shared" si="54"/>
        <v/>
      </c>
      <c r="S405" s="51" t="str">
        <f t="shared" si="55"/>
        <v/>
      </c>
      <c r="T405" s="51" t="str">
        <f t="shared" si="56"/>
        <v/>
      </c>
      <c r="U405" s="51" t="str">
        <f t="shared" si="57"/>
        <v/>
      </c>
    </row>
    <row r="406" spans="1:25">
      <c r="A406" s="51" t="str">
        <f>IF(Declarations!B34=0,"",Declarations!B34)</f>
        <v/>
      </c>
      <c r="B406" s="161" t="str">
        <f>IF(ISNA(VLOOKUP(A406,Declarations!B$6:C$293,2,FALSE)),"",IF(VLOOKUP(A406,Declarations!B$6:C$293,2,FALSE)="","",VLOOKUP(A406,Declarations!B$6:C$293,2,FALSE)))</f>
        <v/>
      </c>
      <c r="C406" s="161" t="str">
        <f>IF(ISNA(VLOOKUP(A406,Declarations!B$6:F$293,5,FALSE)),"",IF(VLOOKUP(A406,Declarations!B$6:F$293,5,FALSE)="","",VLOOKUP(A406,Declarations!B$6:F$293,5,FALSE)))</f>
        <v/>
      </c>
      <c r="D406" s="161" t="str">
        <f>IF(ISNA(VLOOKUP(A406,Declarations!B$6:F$293,4,FALSE)),"",IF(VLOOKUP(A406,Declarations!B$6:F$293,4,FALSE)="","",VLOOKUP(A406,Declarations!B$6:F$293,4,FALSE)))</f>
        <v/>
      </c>
      <c r="E406" s="161" t="str">
        <f>IF(ISNA(VLOOKUP(A406,Declarations!B$6:D$293,3,FALSE)),"",IF(VLOOKUP(A406,Declarations!B$6:D$293,3,FALSE)="","",VLOOKUP(A406,Declarations!B$6:D$293,3,FALSE)))</f>
        <v/>
      </c>
      <c r="F406" s="51" t="str">
        <f>IF(B406="","",IF(ISNA(VLOOKUP(A406,'75m'!F$5:G$302,2,FALSE)),"",VLOOKUP(A406,'75m'!F$5:G$302,2,FALSE)))</f>
        <v/>
      </c>
      <c r="G406" s="51">
        <f>IF(B406="",0,IF(ISNA(_xlfn.XLOOKUP(A406,'75m'!F$5:F$302,'75m'!M$5:M$302)),0,_xlfn.XLOOKUP(A406,'75m'!F$5:F$302,'75m'!M$5:M$302)))</f>
        <v>0</v>
      </c>
      <c r="H406" s="51" t="str">
        <f>IF(B406="","",IF(ISNA(VLOOKUP(A406,'75m'!F$5:K$302,5,FALSE)),"",VLOOKUP(A406,'75m'!F$5:K$302,5,FALSE)))</f>
        <v/>
      </c>
      <c r="I406" s="53">
        <f>IF(B406="",0,IF(ISNA(VLOOKUP(A406,'600m'!F$5:J$302,2,FALSE)),0,VLOOKUP(A406,'600m'!F$5:J$302,2,FALSE)))</f>
        <v>0</v>
      </c>
      <c r="J406" s="51">
        <f>IF(B406="",0,IF(ISNA(_xlfn.XLOOKUP(A406,'600m'!F$5:F$302,'600m'!M$5:M$302)),0,_xlfn.XLOOKUP(A406,'600m'!F$5:F$302,'600m'!M$5:M$302)))</f>
        <v>0</v>
      </c>
      <c r="K406" s="51" t="str">
        <f>IF(B406="","",IF(ISNA(VLOOKUP(A406,'600m'!F$5:K$302,5,FALSE)),"",VLOOKUP(A406,'600m'!F$5:K$302,5,FALSE)))</f>
        <v/>
      </c>
      <c r="L406" s="51" t="str">
        <f>IF(B406="","",IF(ISNA(VLOOKUP(A406,LongJump!F$5:G$302,2,FALSE)),"",VLOOKUP(A406,LongJump!F$5:G$302,2,FALSE)))</f>
        <v/>
      </c>
      <c r="M406" s="51">
        <f>IF(B406="",0,IF(ISNA(_xlfn.XLOOKUP(A406,LongJump!F$5:F$302,LongJump!M$5:M$302)),0,_xlfn.XLOOKUP(A406,LongJump!F$5:F$302,LongJump!M$5:M$302)))</f>
        <v>0</v>
      </c>
      <c r="N406" s="51">
        <f>IF(B406="",0,IF(ISNA(VLOOKUP(A406,LongJump!F$5:K$302,5,FALSE)),0,VLOOKUP(A406,LongJump!F$5:K$302,5,FALSE)))</f>
        <v>0</v>
      </c>
      <c r="O406" s="51" t="str">
        <f>IF(B406="","",IF(ISNA(VLOOKUP(A406,Vortex!F$5:J$302,2,FALSE)),"",VLOOKUP(A406,Vortex!F$5:J$302,2,FALSE)))</f>
        <v/>
      </c>
      <c r="P406" s="51">
        <f>IF(B406="",0,IF(ISNA(_xlfn.XLOOKUP(A406,Vortex!F$5:F$302,Vortex!M$5:M$302)),0,_xlfn.XLOOKUP(A406,Vortex!F$5:F$302,Vortex!M$5:M$302)))</f>
        <v>0</v>
      </c>
      <c r="Q406" s="51">
        <f t="shared" si="53"/>
        <v>0</v>
      </c>
      <c r="R406" s="51" t="str">
        <f t="shared" si="54"/>
        <v/>
      </c>
      <c r="S406" s="51" t="str">
        <f t="shared" si="55"/>
        <v/>
      </c>
      <c r="T406" s="51" t="str">
        <f t="shared" si="56"/>
        <v/>
      </c>
      <c r="U406" s="51" t="str">
        <f t="shared" si="57"/>
        <v/>
      </c>
    </row>
    <row r="407" spans="1:25" ht="25">
      <c r="A407" s="51" t="str">
        <f>IF(Declarations!B35=0,"",Declarations!B35)</f>
        <v/>
      </c>
      <c r="B407" s="161" t="str">
        <f>IF(ISNA(VLOOKUP(A407,Declarations!B$6:C$293,2,FALSE)),"",IF(VLOOKUP(A407,Declarations!B$6:C$293,2,FALSE)="","",VLOOKUP(A407,Declarations!B$6:C$293,2,FALSE)))</f>
        <v/>
      </c>
      <c r="C407" s="161" t="str">
        <f>IF(ISNA(VLOOKUP(A407,Declarations!B$6:F$293,5,FALSE)),"",IF(VLOOKUP(A407,Declarations!B$6:F$293,5,FALSE)="","",VLOOKUP(A407,Declarations!B$6:F$293,5,FALSE)))</f>
        <v/>
      </c>
      <c r="D407" s="161" t="str">
        <f>IF(ISNA(VLOOKUP(A407,Declarations!B$6:F$293,4,FALSE)),"",IF(VLOOKUP(A407,Declarations!B$6:F$293,4,FALSE)="","",VLOOKUP(A407,Declarations!B$6:F$293,4,FALSE)))</f>
        <v/>
      </c>
      <c r="E407" s="161" t="str">
        <f>IF(ISNA(VLOOKUP(A407,Declarations!B$6:D$293,3,FALSE)),"",IF(VLOOKUP(A407,Declarations!B$6:D$293,3,FALSE)="","",VLOOKUP(A407,Declarations!B$6:D$293,3,FALSE)))</f>
        <v/>
      </c>
      <c r="F407" s="51" t="str">
        <f>IF(B407="","",IF(ISNA(VLOOKUP(A407,'75m'!F$5:G$302,2,FALSE)),"",VLOOKUP(A407,'75m'!F$5:G$302,2,FALSE)))</f>
        <v/>
      </c>
      <c r="G407" s="51">
        <f>IF(B407="",0,IF(ISNA(_xlfn.XLOOKUP(A407,'75m'!F$5:F$302,'75m'!M$5:M$302)),0,_xlfn.XLOOKUP(A407,'75m'!F$5:F$302,'75m'!M$5:M$302)))</f>
        <v>0</v>
      </c>
      <c r="H407" s="51" t="str">
        <f>IF(B407="","",IF(ISNA(VLOOKUP(A407,'75m'!F$5:K$302,5,FALSE)),"",VLOOKUP(A407,'75m'!F$5:K$302,5,FALSE)))</f>
        <v/>
      </c>
      <c r="I407" s="53">
        <f>IF(B407="",0,IF(ISNA(VLOOKUP(A407,'600m'!F$5:J$302,2,FALSE)),0,VLOOKUP(A407,'600m'!F$5:J$302,2,FALSE)))</f>
        <v>0</v>
      </c>
      <c r="J407" s="51">
        <f>IF(B407="",0,IF(ISNA(_xlfn.XLOOKUP(A407,'600m'!F$5:F$302,'600m'!M$5:M$302)),0,_xlfn.XLOOKUP(A407,'600m'!F$5:F$302,'600m'!M$5:M$302)))</f>
        <v>0</v>
      </c>
      <c r="K407" s="51" t="str">
        <f>IF(B407="","",IF(ISNA(VLOOKUP(A407,'600m'!F$5:K$302,5,FALSE)),"",VLOOKUP(A407,'600m'!F$5:K$302,5,FALSE)))</f>
        <v/>
      </c>
      <c r="L407" s="51" t="str">
        <f>IF(B407="","",IF(ISNA(VLOOKUP(A407,LongJump!F$5:G$302,2,FALSE)),"",VLOOKUP(A407,LongJump!F$5:G$302,2,FALSE)))</f>
        <v/>
      </c>
      <c r="M407" s="51">
        <f>IF(B407="",0,IF(ISNA(_xlfn.XLOOKUP(A407,LongJump!F$5:F$302,LongJump!M$5:M$302)),0,_xlfn.XLOOKUP(A407,LongJump!F$5:F$302,LongJump!M$5:M$302)))</f>
        <v>0</v>
      </c>
      <c r="N407" s="51">
        <f>IF(B407="",0,IF(ISNA(VLOOKUP(A407,LongJump!F$5:K$302,5,FALSE)),0,VLOOKUP(A407,LongJump!F$5:K$302,5,FALSE)))</f>
        <v>0</v>
      </c>
      <c r="O407" s="51" t="str">
        <f>IF(B407="","",IF(ISNA(VLOOKUP(A407,Vortex!F$5:J$302,2,FALSE)),"",VLOOKUP(A407,Vortex!F$5:J$302,2,FALSE)))</f>
        <v/>
      </c>
      <c r="P407" s="51">
        <f>IF(B407="",0,IF(ISNA(_xlfn.XLOOKUP(A407,Vortex!F$5:F$302,Vortex!M$5:M$302)),0,_xlfn.XLOOKUP(A407,Vortex!F$5:F$302,Vortex!M$5:M$302)))</f>
        <v>0</v>
      </c>
      <c r="Q407" s="51">
        <f t="shared" si="53"/>
        <v>0</v>
      </c>
      <c r="R407" s="51" t="str">
        <f t="shared" si="54"/>
        <v/>
      </c>
      <c r="S407" s="51" t="str">
        <f t="shared" si="55"/>
        <v/>
      </c>
      <c r="T407" s="51" t="str">
        <f t="shared" si="56"/>
        <v/>
      </c>
      <c r="U407" s="51" t="str">
        <f t="shared" si="57"/>
        <v/>
      </c>
      <c r="V407" s="16"/>
      <c r="W407" s="16"/>
      <c r="X407" s="16"/>
    </row>
    <row r="408" spans="1:25">
      <c r="A408" s="51" t="str">
        <f>IF(Declarations!B36=0,"",Declarations!B36)</f>
        <v/>
      </c>
      <c r="B408" s="161" t="str">
        <f>IF(ISNA(VLOOKUP(A408,Declarations!B$6:C$293,2,FALSE)),"",IF(VLOOKUP(A408,Declarations!B$6:C$293,2,FALSE)="","",VLOOKUP(A408,Declarations!B$6:C$293,2,FALSE)))</f>
        <v/>
      </c>
      <c r="C408" s="161" t="str">
        <f>IF(ISNA(VLOOKUP(A408,Declarations!B$6:F$293,5,FALSE)),"",IF(VLOOKUP(A408,Declarations!B$6:F$293,5,FALSE)="","",VLOOKUP(A408,Declarations!B$6:F$293,5,FALSE)))</f>
        <v/>
      </c>
      <c r="D408" s="161" t="str">
        <f>IF(ISNA(VLOOKUP(A408,Declarations!B$6:F$293,4,FALSE)),"",IF(VLOOKUP(A408,Declarations!B$6:F$293,4,FALSE)="","",VLOOKUP(A408,Declarations!B$6:F$293,4,FALSE)))</f>
        <v/>
      </c>
      <c r="E408" s="161" t="str">
        <f>IF(ISNA(VLOOKUP(A408,Declarations!B$6:D$293,3,FALSE)),"",IF(VLOOKUP(A408,Declarations!B$6:D$293,3,FALSE)="","",VLOOKUP(A408,Declarations!B$6:D$293,3,FALSE)))</f>
        <v/>
      </c>
      <c r="F408" s="51" t="str">
        <f>IF(B408="","",IF(ISNA(VLOOKUP(A408,'75m'!F$5:G$302,2,FALSE)),"",VLOOKUP(A408,'75m'!F$5:G$302,2,FALSE)))</f>
        <v/>
      </c>
      <c r="G408" s="51">
        <f>IF(B408="",0,IF(ISNA(_xlfn.XLOOKUP(A408,'75m'!F$5:F$302,'75m'!M$5:M$302)),0,_xlfn.XLOOKUP(A408,'75m'!F$5:F$302,'75m'!M$5:M$302)))</f>
        <v>0</v>
      </c>
      <c r="H408" s="51" t="str">
        <f>IF(B408="","",IF(ISNA(VLOOKUP(A408,'75m'!F$5:K$302,5,FALSE)),"",VLOOKUP(A408,'75m'!F$5:K$302,5,FALSE)))</f>
        <v/>
      </c>
      <c r="I408" s="53">
        <f>IF(B408="",0,IF(ISNA(VLOOKUP(A408,'600m'!F$5:J$302,2,FALSE)),0,VLOOKUP(A408,'600m'!F$5:J$302,2,FALSE)))</f>
        <v>0</v>
      </c>
      <c r="J408" s="51">
        <f>IF(B408="",0,IF(ISNA(_xlfn.XLOOKUP(A408,'600m'!F$5:F$302,'600m'!M$5:M$302)),0,_xlfn.XLOOKUP(A408,'600m'!F$5:F$302,'600m'!M$5:M$302)))</f>
        <v>0</v>
      </c>
      <c r="K408" s="51" t="str">
        <f>IF(B408="","",IF(ISNA(VLOOKUP(A408,'600m'!F$5:K$302,5,FALSE)),"",VLOOKUP(A408,'600m'!F$5:K$302,5,FALSE)))</f>
        <v/>
      </c>
      <c r="L408" s="51" t="str">
        <f>IF(B408="","",IF(ISNA(VLOOKUP(A408,LongJump!F$5:G$302,2,FALSE)),"",VLOOKUP(A408,LongJump!F$5:G$302,2,FALSE)))</f>
        <v/>
      </c>
      <c r="M408" s="51">
        <f>IF(B408="",0,IF(ISNA(_xlfn.XLOOKUP(A408,LongJump!F$5:F$302,LongJump!M$5:M$302)),0,_xlfn.XLOOKUP(A408,LongJump!F$5:F$302,LongJump!M$5:M$302)))</f>
        <v>0</v>
      </c>
      <c r="N408" s="51">
        <f>IF(B408="",0,IF(ISNA(VLOOKUP(A408,LongJump!F$5:K$302,5,FALSE)),0,VLOOKUP(A408,LongJump!F$5:K$302,5,FALSE)))</f>
        <v>0</v>
      </c>
      <c r="O408" s="51" t="str">
        <f>IF(B408="","",IF(ISNA(VLOOKUP(A408,Vortex!F$5:J$302,2,FALSE)),"",VLOOKUP(A408,Vortex!F$5:J$302,2,FALSE)))</f>
        <v/>
      </c>
      <c r="P408" s="51">
        <f>IF(B408="",0,IF(ISNA(_xlfn.XLOOKUP(A408,Vortex!F$5:F$302,Vortex!M$5:M$302)),0,_xlfn.XLOOKUP(A408,Vortex!F$5:F$302,Vortex!M$5:M$302)))</f>
        <v>0</v>
      </c>
      <c r="Q408" s="51">
        <f t="shared" si="53"/>
        <v>0</v>
      </c>
      <c r="R408" s="51" t="str">
        <f t="shared" si="54"/>
        <v/>
      </c>
      <c r="S408" s="51" t="str">
        <f t="shared" si="55"/>
        <v/>
      </c>
      <c r="T408" s="51" t="str">
        <f t="shared" si="56"/>
        <v/>
      </c>
      <c r="U408" s="51" t="str">
        <f t="shared" si="57"/>
        <v/>
      </c>
    </row>
    <row r="409" spans="1:25">
      <c r="A409" s="51" t="str">
        <f>IF(Declarations!B37=0,"",Declarations!B37)</f>
        <v/>
      </c>
      <c r="B409" s="161" t="str">
        <f>IF(ISNA(VLOOKUP(A409,Declarations!B$6:C$293,2,FALSE)),"",IF(VLOOKUP(A409,Declarations!B$6:C$293,2,FALSE)="","",VLOOKUP(A409,Declarations!B$6:C$293,2,FALSE)))</f>
        <v/>
      </c>
      <c r="C409" s="161" t="str">
        <f>IF(ISNA(VLOOKUP(A409,Declarations!B$6:F$293,5,FALSE)),"",IF(VLOOKUP(A409,Declarations!B$6:F$293,5,FALSE)="","",VLOOKUP(A409,Declarations!B$6:F$293,5,FALSE)))</f>
        <v/>
      </c>
      <c r="D409" s="161" t="str">
        <f>IF(ISNA(VLOOKUP(A409,Declarations!B$6:F$293,4,FALSE)),"",IF(VLOOKUP(A409,Declarations!B$6:F$293,4,FALSE)="","",VLOOKUP(A409,Declarations!B$6:F$293,4,FALSE)))</f>
        <v/>
      </c>
      <c r="E409" s="161" t="str">
        <f>IF(ISNA(VLOOKUP(A409,Declarations!B$6:D$293,3,FALSE)),"",IF(VLOOKUP(A409,Declarations!B$6:D$293,3,FALSE)="","",VLOOKUP(A409,Declarations!B$6:D$293,3,FALSE)))</f>
        <v/>
      </c>
      <c r="F409" s="51" t="str">
        <f>IF(B409="","",IF(ISNA(VLOOKUP(A409,'75m'!F$5:G$302,2,FALSE)),"",VLOOKUP(A409,'75m'!F$5:G$302,2,FALSE)))</f>
        <v/>
      </c>
      <c r="G409" s="51">
        <f>IF(B409="",0,IF(ISNA(_xlfn.XLOOKUP(A409,'75m'!F$5:F$302,'75m'!M$5:M$302)),0,_xlfn.XLOOKUP(A409,'75m'!F$5:F$302,'75m'!M$5:M$302)))</f>
        <v>0</v>
      </c>
      <c r="H409" s="51" t="str">
        <f>IF(B409="","",IF(ISNA(VLOOKUP(A409,'75m'!F$5:K$302,5,FALSE)),"",VLOOKUP(A409,'75m'!F$5:K$302,5,FALSE)))</f>
        <v/>
      </c>
      <c r="I409" s="53">
        <f>IF(B409="",0,IF(ISNA(VLOOKUP(A409,'600m'!F$5:J$302,2,FALSE)),0,VLOOKUP(A409,'600m'!F$5:J$302,2,FALSE)))</f>
        <v>0</v>
      </c>
      <c r="J409" s="51">
        <f>IF(B409="",0,IF(ISNA(_xlfn.XLOOKUP(A409,'600m'!F$5:F$302,'600m'!M$5:M$302)),0,_xlfn.XLOOKUP(A409,'600m'!F$5:F$302,'600m'!M$5:M$302)))</f>
        <v>0</v>
      </c>
      <c r="K409" s="51" t="str">
        <f>IF(B409="","",IF(ISNA(VLOOKUP(A409,'600m'!F$5:K$302,5,FALSE)),"",VLOOKUP(A409,'600m'!F$5:K$302,5,FALSE)))</f>
        <v/>
      </c>
      <c r="L409" s="51" t="str">
        <f>IF(B409="","",IF(ISNA(VLOOKUP(A409,LongJump!F$5:G$302,2,FALSE)),"",VLOOKUP(A409,LongJump!F$5:G$302,2,FALSE)))</f>
        <v/>
      </c>
      <c r="M409" s="51">
        <f>IF(B409="",0,IF(ISNA(_xlfn.XLOOKUP(A409,LongJump!F$5:F$302,LongJump!M$5:M$302)),0,_xlfn.XLOOKUP(A409,LongJump!F$5:F$302,LongJump!M$5:M$302)))</f>
        <v>0</v>
      </c>
      <c r="N409" s="51">
        <f>IF(B409="",0,IF(ISNA(VLOOKUP(A409,LongJump!F$5:K$302,5,FALSE)),0,VLOOKUP(A409,LongJump!F$5:K$302,5,FALSE)))</f>
        <v>0</v>
      </c>
      <c r="O409" s="51" t="str">
        <f>IF(B409="","",IF(ISNA(VLOOKUP(A409,Vortex!F$5:J$302,2,FALSE)),"",VLOOKUP(A409,Vortex!F$5:J$302,2,FALSE)))</f>
        <v/>
      </c>
      <c r="P409" s="51">
        <f>IF(B409="",0,IF(ISNA(_xlfn.XLOOKUP(A409,Vortex!F$5:F$302,Vortex!M$5:M$302)),0,_xlfn.XLOOKUP(A409,Vortex!F$5:F$302,Vortex!M$5:M$302)))</f>
        <v>0</v>
      </c>
      <c r="Q409" s="51">
        <f t="shared" si="53"/>
        <v>0</v>
      </c>
      <c r="R409" s="51" t="str">
        <f t="shared" si="54"/>
        <v/>
      </c>
      <c r="S409" s="51" t="str">
        <f t="shared" si="55"/>
        <v/>
      </c>
      <c r="T409" s="51" t="str">
        <f t="shared" si="56"/>
        <v/>
      </c>
      <c r="U409" s="51" t="str">
        <f t="shared" si="57"/>
        <v/>
      </c>
    </row>
    <row r="410" spans="1:25">
      <c r="A410" s="51" t="str">
        <f>IF(Declarations!B38=0,"",Declarations!B38)</f>
        <v/>
      </c>
      <c r="B410" s="161" t="str">
        <f>IF(ISNA(VLOOKUP(A410,Declarations!B$6:C$293,2,FALSE)),"",IF(VLOOKUP(A410,Declarations!B$6:C$293,2,FALSE)="","",VLOOKUP(A410,Declarations!B$6:C$293,2,FALSE)))</f>
        <v/>
      </c>
      <c r="C410" s="161" t="str">
        <f>IF(ISNA(VLOOKUP(A410,Declarations!B$6:F$293,5,FALSE)),"",IF(VLOOKUP(A410,Declarations!B$6:F$293,5,FALSE)="","",VLOOKUP(A410,Declarations!B$6:F$293,5,FALSE)))</f>
        <v/>
      </c>
      <c r="D410" s="161" t="str">
        <f>IF(ISNA(VLOOKUP(A410,Declarations!B$6:F$293,4,FALSE)),"",IF(VLOOKUP(A410,Declarations!B$6:F$293,4,FALSE)="","",VLOOKUP(A410,Declarations!B$6:F$293,4,FALSE)))</f>
        <v/>
      </c>
      <c r="E410" s="161" t="str">
        <f>IF(ISNA(VLOOKUP(A410,Declarations!B$6:D$293,3,FALSE)),"",IF(VLOOKUP(A410,Declarations!B$6:D$293,3,FALSE)="","",VLOOKUP(A410,Declarations!B$6:D$293,3,FALSE)))</f>
        <v/>
      </c>
      <c r="F410" s="51" t="str">
        <f>IF(B410="","",IF(ISNA(VLOOKUP(A410,'75m'!F$5:G$302,2,FALSE)),"",VLOOKUP(A410,'75m'!F$5:G$302,2,FALSE)))</f>
        <v/>
      </c>
      <c r="G410" s="51">
        <f>IF(B410="",0,IF(ISNA(_xlfn.XLOOKUP(A410,'75m'!F$5:F$302,'75m'!M$5:M$302)),0,_xlfn.XLOOKUP(A410,'75m'!F$5:F$302,'75m'!M$5:M$302)))</f>
        <v>0</v>
      </c>
      <c r="H410" s="51" t="str">
        <f>IF(B410="","",IF(ISNA(VLOOKUP(A410,'75m'!F$5:K$302,5,FALSE)),"",VLOOKUP(A410,'75m'!F$5:K$302,5,FALSE)))</f>
        <v/>
      </c>
      <c r="I410" s="53">
        <f>IF(B410="",0,IF(ISNA(VLOOKUP(A410,'600m'!F$5:J$302,2,FALSE)),0,VLOOKUP(A410,'600m'!F$5:J$302,2,FALSE)))</f>
        <v>0</v>
      </c>
      <c r="J410" s="51">
        <f>IF(B410="",0,IF(ISNA(_xlfn.XLOOKUP(A410,'600m'!F$5:F$302,'600m'!M$5:M$302)),0,_xlfn.XLOOKUP(A410,'600m'!F$5:F$302,'600m'!M$5:M$302)))</f>
        <v>0</v>
      </c>
      <c r="K410" s="51" t="str">
        <f>IF(B410="","",IF(ISNA(VLOOKUP(A410,'600m'!F$5:K$302,5,FALSE)),"",VLOOKUP(A410,'600m'!F$5:K$302,5,FALSE)))</f>
        <v/>
      </c>
      <c r="L410" s="51" t="str">
        <f>IF(B410="","",IF(ISNA(VLOOKUP(A410,LongJump!F$5:G$302,2,FALSE)),"",VLOOKUP(A410,LongJump!F$5:G$302,2,FALSE)))</f>
        <v/>
      </c>
      <c r="M410" s="51">
        <f>IF(B410="",0,IF(ISNA(_xlfn.XLOOKUP(A410,LongJump!F$5:F$302,LongJump!M$5:M$302)),0,_xlfn.XLOOKUP(A410,LongJump!F$5:F$302,LongJump!M$5:M$302)))</f>
        <v>0</v>
      </c>
      <c r="N410" s="51">
        <f>IF(B410="",0,IF(ISNA(VLOOKUP(A410,LongJump!F$5:K$302,5,FALSE)),0,VLOOKUP(A410,LongJump!F$5:K$302,5,FALSE)))</f>
        <v>0</v>
      </c>
      <c r="O410" s="51" t="str">
        <f>IF(B410="","",IF(ISNA(VLOOKUP(A410,Vortex!F$5:J$302,2,FALSE)),"",VLOOKUP(A410,Vortex!F$5:J$302,2,FALSE)))</f>
        <v/>
      </c>
      <c r="P410" s="51">
        <f>IF(B410="",0,IF(ISNA(_xlfn.XLOOKUP(A410,Vortex!F$5:F$302,Vortex!M$5:M$302)),0,_xlfn.XLOOKUP(A410,Vortex!F$5:F$302,Vortex!M$5:M$302)))</f>
        <v>0</v>
      </c>
      <c r="Q410" s="51">
        <f t="shared" si="53"/>
        <v>0</v>
      </c>
      <c r="R410" s="51" t="str">
        <f t="shared" si="54"/>
        <v/>
      </c>
      <c r="S410" s="51" t="str">
        <f t="shared" si="55"/>
        <v/>
      </c>
      <c r="T410" s="51" t="str">
        <f t="shared" si="56"/>
        <v/>
      </c>
      <c r="U410" s="51" t="str">
        <f t="shared" si="57"/>
        <v/>
      </c>
    </row>
    <row r="411" spans="1:25" ht="25">
      <c r="A411" s="51" t="str">
        <f>IF(Declarations!B39=0,"",Declarations!B39)</f>
        <v/>
      </c>
      <c r="B411" s="161" t="str">
        <f>IF(ISNA(VLOOKUP(A411,Declarations!B$6:C$293,2,FALSE)),"",IF(VLOOKUP(A411,Declarations!B$6:C$293,2,FALSE)="","",VLOOKUP(A411,Declarations!B$6:C$293,2,FALSE)))</f>
        <v/>
      </c>
      <c r="C411" s="161" t="str">
        <f>IF(ISNA(VLOOKUP(A411,Declarations!B$6:F$293,5,FALSE)),"",IF(VLOOKUP(A411,Declarations!B$6:F$293,5,FALSE)="","",VLOOKUP(A411,Declarations!B$6:F$293,5,FALSE)))</f>
        <v/>
      </c>
      <c r="D411" s="161" t="str">
        <f>IF(ISNA(VLOOKUP(A411,Declarations!B$6:F$293,4,FALSE)),"",IF(VLOOKUP(A411,Declarations!B$6:F$293,4,FALSE)="","",VLOOKUP(A411,Declarations!B$6:F$293,4,FALSE)))</f>
        <v/>
      </c>
      <c r="E411" s="161" t="str">
        <f>IF(ISNA(VLOOKUP(A411,Declarations!B$6:D$293,3,FALSE)),"",IF(VLOOKUP(A411,Declarations!B$6:D$293,3,FALSE)="","",VLOOKUP(A411,Declarations!B$6:D$293,3,FALSE)))</f>
        <v/>
      </c>
      <c r="F411" s="51" t="str">
        <f>IF(B411="","",IF(ISNA(VLOOKUP(A411,'75m'!F$5:G$302,2,FALSE)),"",VLOOKUP(A411,'75m'!F$5:G$302,2,FALSE)))</f>
        <v/>
      </c>
      <c r="G411" s="51">
        <f>IF(B411="",0,IF(ISNA(_xlfn.XLOOKUP(A411,'75m'!F$5:F$302,'75m'!M$5:M$302)),0,_xlfn.XLOOKUP(A411,'75m'!F$5:F$302,'75m'!M$5:M$302)))</f>
        <v>0</v>
      </c>
      <c r="H411" s="51" t="str">
        <f>IF(B411="","",IF(ISNA(VLOOKUP(A411,'75m'!F$5:K$302,5,FALSE)),"",VLOOKUP(A411,'75m'!F$5:K$302,5,FALSE)))</f>
        <v/>
      </c>
      <c r="I411" s="53">
        <f>IF(B411="",0,IF(ISNA(VLOOKUP(A411,'600m'!F$5:J$302,2,FALSE)),0,VLOOKUP(A411,'600m'!F$5:J$302,2,FALSE)))</f>
        <v>0</v>
      </c>
      <c r="J411" s="51">
        <f>IF(B411="",0,IF(ISNA(_xlfn.XLOOKUP(A411,'600m'!F$5:F$302,'600m'!M$5:M$302)),0,_xlfn.XLOOKUP(A411,'600m'!F$5:F$302,'600m'!M$5:M$302)))</f>
        <v>0</v>
      </c>
      <c r="K411" s="51" t="str">
        <f>IF(B411="","",IF(ISNA(VLOOKUP(A411,'600m'!F$5:K$302,5,FALSE)),"",VLOOKUP(A411,'600m'!F$5:K$302,5,FALSE)))</f>
        <v/>
      </c>
      <c r="L411" s="51" t="str">
        <f>IF(B411="","",IF(ISNA(VLOOKUP(A411,LongJump!F$5:G$302,2,FALSE)),"",VLOOKUP(A411,LongJump!F$5:G$302,2,FALSE)))</f>
        <v/>
      </c>
      <c r="M411" s="51">
        <f>IF(B411="",0,IF(ISNA(_xlfn.XLOOKUP(A411,LongJump!F$5:F$302,LongJump!M$5:M$302)),0,_xlfn.XLOOKUP(A411,LongJump!F$5:F$302,LongJump!M$5:M$302)))</f>
        <v>0</v>
      </c>
      <c r="N411" s="51">
        <f>IF(B411="",0,IF(ISNA(VLOOKUP(A411,LongJump!F$5:K$302,5,FALSE)),0,VLOOKUP(A411,LongJump!F$5:K$302,5,FALSE)))</f>
        <v>0</v>
      </c>
      <c r="O411" s="51" t="str">
        <f>IF(B411="","",IF(ISNA(VLOOKUP(A411,Vortex!F$5:J$302,2,FALSE)),"",VLOOKUP(A411,Vortex!F$5:J$302,2,FALSE)))</f>
        <v/>
      </c>
      <c r="P411" s="51">
        <f>IF(B411="",0,IF(ISNA(_xlfn.XLOOKUP(A411,Vortex!F$5:F$302,Vortex!M$5:M$302)),0,_xlfn.XLOOKUP(A411,Vortex!F$5:F$302,Vortex!M$5:M$302)))</f>
        <v>0</v>
      </c>
      <c r="Q411" s="51">
        <f t="shared" si="53"/>
        <v>0</v>
      </c>
      <c r="R411" s="51" t="str">
        <f t="shared" si="54"/>
        <v/>
      </c>
      <c r="S411" s="51" t="str">
        <f t="shared" si="55"/>
        <v/>
      </c>
      <c r="T411" s="51" t="str">
        <f t="shared" si="56"/>
        <v/>
      </c>
      <c r="U411" s="51" t="str">
        <f t="shared" si="57"/>
        <v/>
      </c>
      <c r="Y411" s="16"/>
    </row>
    <row r="412" spans="1:25">
      <c r="A412" s="51" t="str">
        <f>IF(Declarations!B40=0,"",Declarations!B40)</f>
        <v/>
      </c>
      <c r="B412" s="161" t="str">
        <f>IF(ISNA(VLOOKUP(A412,Declarations!B$6:C$293,2,FALSE)),"",IF(VLOOKUP(A412,Declarations!B$6:C$293,2,FALSE)="","",VLOOKUP(A412,Declarations!B$6:C$293,2,FALSE)))</f>
        <v/>
      </c>
      <c r="C412" s="161" t="str">
        <f>IF(ISNA(VLOOKUP(A412,Declarations!B$6:F$293,5,FALSE)),"",IF(VLOOKUP(A412,Declarations!B$6:F$293,5,FALSE)="","",VLOOKUP(A412,Declarations!B$6:F$293,5,FALSE)))</f>
        <v/>
      </c>
      <c r="D412" s="161" t="str">
        <f>IF(ISNA(VLOOKUP(A412,Declarations!B$6:F$293,4,FALSE)),"",IF(VLOOKUP(A412,Declarations!B$6:F$293,4,FALSE)="","",VLOOKUP(A412,Declarations!B$6:F$293,4,FALSE)))</f>
        <v/>
      </c>
      <c r="E412" s="161" t="str">
        <f>IF(ISNA(VLOOKUP(A412,Declarations!B$6:D$293,3,FALSE)),"",IF(VLOOKUP(A412,Declarations!B$6:D$293,3,FALSE)="","",VLOOKUP(A412,Declarations!B$6:D$293,3,FALSE)))</f>
        <v/>
      </c>
      <c r="F412" s="51" t="str">
        <f>IF(B412="","",IF(ISNA(VLOOKUP(A412,'75m'!F$5:G$302,2,FALSE)),"",VLOOKUP(A412,'75m'!F$5:G$302,2,FALSE)))</f>
        <v/>
      </c>
      <c r="G412" s="51">
        <f>IF(B412="",0,IF(ISNA(_xlfn.XLOOKUP(A412,'75m'!F$5:F$302,'75m'!M$5:M$302)),0,_xlfn.XLOOKUP(A412,'75m'!F$5:F$302,'75m'!M$5:M$302)))</f>
        <v>0</v>
      </c>
      <c r="H412" s="51" t="str">
        <f>IF(B412="","",IF(ISNA(VLOOKUP(A412,'75m'!F$5:K$302,5,FALSE)),"",VLOOKUP(A412,'75m'!F$5:K$302,5,FALSE)))</f>
        <v/>
      </c>
      <c r="I412" s="53">
        <f>IF(B412="",0,IF(ISNA(VLOOKUP(A412,'600m'!F$5:J$302,2,FALSE)),0,VLOOKUP(A412,'600m'!F$5:J$302,2,FALSE)))</f>
        <v>0</v>
      </c>
      <c r="J412" s="51">
        <f>IF(B412="",0,IF(ISNA(_xlfn.XLOOKUP(A412,'600m'!F$5:F$302,'600m'!M$5:M$302)),0,_xlfn.XLOOKUP(A412,'600m'!F$5:F$302,'600m'!M$5:M$302)))</f>
        <v>0</v>
      </c>
      <c r="K412" s="51" t="str">
        <f>IF(B412="","",IF(ISNA(VLOOKUP(A412,'600m'!F$5:K$302,5,FALSE)),"",VLOOKUP(A412,'600m'!F$5:K$302,5,FALSE)))</f>
        <v/>
      </c>
      <c r="L412" s="51" t="str">
        <f>IF(B412="","",IF(ISNA(VLOOKUP(A412,LongJump!F$5:G$302,2,FALSE)),"",VLOOKUP(A412,LongJump!F$5:G$302,2,FALSE)))</f>
        <v/>
      </c>
      <c r="M412" s="51">
        <f>IF(B412="",0,IF(ISNA(_xlfn.XLOOKUP(A412,LongJump!F$5:F$302,LongJump!M$5:M$302)),0,_xlfn.XLOOKUP(A412,LongJump!F$5:F$302,LongJump!M$5:M$302)))</f>
        <v>0</v>
      </c>
      <c r="N412" s="51">
        <f>IF(B412="",0,IF(ISNA(VLOOKUP(A412,LongJump!F$5:K$302,5,FALSE)),0,VLOOKUP(A412,LongJump!F$5:K$302,5,FALSE)))</f>
        <v>0</v>
      </c>
      <c r="O412" s="51" t="str">
        <f>IF(B412="","",IF(ISNA(VLOOKUP(A412,Vortex!F$5:J$302,2,FALSE)),"",VLOOKUP(A412,Vortex!F$5:J$302,2,FALSE)))</f>
        <v/>
      </c>
      <c r="P412" s="51">
        <f>IF(B412="",0,IF(ISNA(_xlfn.XLOOKUP(A412,Vortex!F$5:F$302,Vortex!M$5:M$302)),0,_xlfn.XLOOKUP(A412,Vortex!F$5:F$302,Vortex!M$5:M$302)))</f>
        <v>0</v>
      </c>
      <c r="Q412" s="51">
        <f t="shared" si="53"/>
        <v>0</v>
      </c>
      <c r="R412" s="51" t="str">
        <f t="shared" si="54"/>
        <v/>
      </c>
      <c r="S412" s="51" t="str">
        <f t="shared" si="55"/>
        <v/>
      </c>
      <c r="T412" s="51" t="str">
        <f t="shared" si="56"/>
        <v/>
      </c>
      <c r="U412" s="51" t="str">
        <f t="shared" si="57"/>
        <v/>
      </c>
    </row>
    <row r="413" spans="1:25">
      <c r="A413" s="51" t="str">
        <f>IF(Declarations!B41=0,"",Declarations!B41)</f>
        <v/>
      </c>
      <c r="B413" s="161" t="str">
        <f>IF(ISNA(VLOOKUP(A413,Declarations!B$6:C$293,2,FALSE)),"",IF(VLOOKUP(A413,Declarations!B$6:C$293,2,FALSE)="","",VLOOKUP(A413,Declarations!B$6:C$293,2,FALSE)))</f>
        <v/>
      </c>
      <c r="C413" s="161" t="str">
        <f>IF(ISNA(VLOOKUP(A413,Declarations!B$6:F$293,5,FALSE)),"",IF(VLOOKUP(A413,Declarations!B$6:F$293,5,FALSE)="","",VLOOKUP(A413,Declarations!B$6:F$293,5,FALSE)))</f>
        <v/>
      </c>
      <c r="D413" s="161" t="str">
        <f>IF(ISNA(VLOOKUP(A413,Declarations!B$6:F$293,4,FALSE)),"",IF(VLOOKUP(A413,Declarations!B$6:F$293,4,FALSE)="","",VLOOKUP(A413,Declarations!B$6:F$293,4,FALSE)))</f>
        <v/>
      </c>
      <c r="E413" s="161" t="str">
        <f>IF(ISNA(VLOOKUP(A413,Declarations!B$6:D$293,3,FALSE)),"",IF(VLOOKUP(A413,Declarations!B$6:D$293,3,FALSE)="","",VLOOKUP(A413,Declarations!B$6:D$293,3,FALSE)))</f>
        <v/>
      </c>
      <c r="F413" s="51" t="str">
        <f>IF(B413="","",IF(ISNA(VLOOKUP(A413,'75m'!F$5:G$302,2,FALSE)),"",VLOOKUP(A413,'75m'!F$5:G$302,2,FALSE)))</f>
        <v/>
      </c>
      <c r="G413" s="51">
        <f>IF(B413="",0,IF(ISNA(_xlfn.XLOOKUP(A413,'75m'!F$5:F$302,'75m'!M$5:M$302)),0,_xlfn.XLOOKUP(A413,'75m'!F$5:F$302,'75m'!M$5:M$302)))</f>
        <v>0</v>
      </c>
      <c r="H413" s="51" t="str">
        <f>IF(B413="","",IF(ISNA(VLOOKUP(A413,'75m'!F$5:K$302,5,FALSE)),"",VLOOKUP(A413,'75m'!F$5:K$302,5,FALSE)))</f>
        <v/>
      </c>
      <c r="I413" s="53">
        <f>IF(B413="",0,IF(ISNA(VLOOKUP(A413,'600m'!F$5:J$302,2,FALSE)),0,VLOOKUP(A413,'600m'!F$5:J$302,2,FALSE)))</f>
        <v>0</v>
      </c>
      <c r="J413" s="51">
        <f>IF(B413="",0,IF(ISNA(_xlfn.XLOOKUP(A413,'600m'!F$5:F$302,'600m'!M$5:M$302)),0,_xlfn.XLOOKUP(A413,'600m'!F$5:F$302,'600m'!M$5:M$302)))</f>
        <v>0</v>
      </c>
      <c r="K413" s="51" t="str">
        <f>IF(B413="","",IF(ISNA(VLOOKUP(A413,'600m'!F$5:K$302,5,FALSE)),"",VLOOKUP(A413,'600m'!F$5:K$302,5,FALSE)))</f>
        <v/>
      </c>
      <c r="L413" s="51" t="str">
        <f>IF(B413="","",IF(ISNA(VLOOKUP(A413,LongJump!F$5:G$302,2,FALSE)),"",VLOOKUP(A413,LongJump!F$5:G$302,2,FALSE)))</f>
        <v/>
      </c>
      <c r="M413" s="51">
        <f>IF(B413="",0,IF(ISNA(_xlfn.XLOOKUP(A413,LongJump!F$5:F$302,LongJump!M$5:M$302)),0,_xlfn.XLOOKUP(A413,LongJump!F$5:F$302,LongJump!M$5:M$302)))</f>
        <v>0</v>
      </c>
      <c r="N413" s="51">
        <f>IF(B413="",0,IF(ISNA(VLOOKUP(A413,LongJump!F$5:K$302,5,FALSE)),0,VLOOKUP(A413,LongJump!F$5:K$302,5,FALSE)))</f>
        <v>0</v>
      </c>
      <c r="O413" s="51" t="str">
        <f>IF(B413="","",IF(ISNA(VLOOKUP(A413,Vortex!F$5:J$302,2,FALSE)),"",VLOOKUP(A413,Vortex!F$5:J$302,2,FALSE)))</f>
        <v/>
      </c>
      <c r="P413" s="51">
        <f>IF(B413="",0,IF(ISNA(_xlfn.XLOOKUP(A413,Vortex!F$5:F$302,Vortex!M$5:M$302)),0,_xlfn.XLOOKUP(A413,Vortex!F$5:F$302,Vortex!M$5:M$302)))</f>
        <v>0</v>
      </c>
      <c r="Q413" s="51">
        <f t="shared" si="53"/>
        <v>0</v>
      </c>
      <c r="R413" s="51" t="str">
        <f t="shared" si="54"/>
        <v/>
      </c>
      <c r="S413" s="51" t="str">
        <f t="shared" si="55"/>
        <v/>
      </c>
      <c r="T413" s="51" t="str">
        <f t="shared" si="56"/>
        <v/>
      </c>
      <c r="U413" s="51" t="str">
        <f t="shared" si="57"/>
        <v/>
      </c>
    </row>
    <row r="414" spans="1:25">
      <c r="A414" s="51" t="str">
        <f>IF(Declarations!B42=0,"",Declarations!B42)</f>
        <v/>
      </c>
      <c r="B414" s="161" t="str">
        <f>IF(ISNA(VLOOKUP(A414,Declarations!B$6:C$293,2,FALSE)),"",IF(VLOOKUP(A414,Declarations!B$6:C$293,2,FALSE)="","",VLOOKUP(A414,Declarations!B$6:C$293,2,FALSE)))</f>
        <v/>
      </c>
      <c r="C414" s="161" t="str">
        <f>IF(ISNA(VLOOKUP(A414,Declarations!B$6:F$293,5,FALSE)),"",IF(VLOOKUP(A414,Declarations!B$6:F$293,5,FALSE)="","",VLOOKUP(A414,Declarations!B$6:F$293,5,FALSE)))</f>
        <v/>
      </c>
      <c r="D414" s="161" t="str">
        <f>IF(ISNA(VLOOKUP(A414,Declarations!B$6:F$293,4,FALSE)),"",IF(VLOOKUP(A414,Declarations!B$6:F$293,4,FALSE)="","",VLOOKUP(A414,Declarations!B$6:F$293,4,FALSE)))</f>
        <v/>
      </c>
      <c r="E414" s="161" t="str">
        <f>IF(ISNA(VLOOKUP(A414,Declarations!B$6:D$293,3,FALSE)),"",IF(VLOOKUP(A414,Declarations!B$6:D$293,3,FALSE)="","",VLOOKUP(A414,Declarations!B$6:D$293,3,FALSE)))</f>
        <v/>
      </c>
      <c r="F414" s="51" t="str">
        <f>IF(B414="","",IF(ISNA(VLOOKUP(A414,'75m'!F$5:G$302,2,FALSE)),"",VLOOKUP(A414,'75m'!F$5:G$302,2,FALSE)))</f>
        <v/>
      </c>
      <c r="G414" s="51">
        <f>IF(B414="",0,IF(ISNA(_xlfn.XLOOKUP(A414,'75m'!F$5:F$302,'75m'!M$5:M$302)),0,_xlfn.XLOOKUP(A414,'75m'!F$5:F$302,'75m'!M$5:M$302)))</f>
        <v>0</v>
      </c>
      <c r="H414" s="51" t="str">
        <f>IF(B414="","",IF(ISNA(VLOOKUP(A414,'75m'!F$5:K$302,5,FALSE)),"",VLOOKUP(A414,'75m'!F$5:K$302,5,FALSE)))</f>
        <v/>
      </c>
      <c r="I414" s="53">
        <f>IF(B414="",0,IF(ISNA(VLOOKUP(A414,'600m'!F$5:J$302,2,FALSE)),0,VLOOKUP(A414,'600m'!F$5:J$302,2,FALSE)))</f>
        <v>0</v>
      </c>
      <c r="J414" s="51">
        <f>IF(B414="",0,IF(ISNA(_xlfn.XLOOKUP(A414,'600m'!F$5:F$302,'600m'!M$5:M$302)),0,_xlfn.XLOOKUP(A414,'600m'!F$5:F$302,'600m'!M$5:M$302)))</f>
        <v>0</v>
      </c>
      <c r="K414" s="51" t="str">
        <f>IF(B414="","",IF(ISNA(VLOOKUP(A414,'600m'!F$5:K$302,5,FALSE)),"",VLOOKUP(A414,'600m'!F$5:K$302,5,FALSE)))</f>
        <v/>
      </c>
      <c r="L414" s="51" t="str">
        <f>IF(B414="","",IF(ISNA(VLOOKUP(A414,LongJump!F$5:G$302,2,FALSE)),"",VLOOKUP(A414,LongJump!F$5:G$302,2,FALSE)))</f>
        <v/>
      </c>
      <c r="M414" s="51">
        <f>IF(B414="",0,IF(ISNA(_xlfn.XLOOKUP(A414,LongJump!F$5:F$302,LongJump!M$5:M$302)),0,_xlfn.XLOOKUP(A414,LongJump!F$5:F$302,LongJump!M$5:M$302)))</f>
        <v>0</v>
      </c>
      <c r="N414" s="51">
        <f>IF(B414="",0,IF(ISNA(VLOOKUP(A414,LongJump!F$5:K$302,5,FALSE)),0,VLOOKUP(A414,LongJump!F$5:K$302,5,FALSE)))</f>
        <v>0</v>
      </c>
      <c r="O414" s="51" t="str">
        <f>IF(B414="","",IF(ISNA(VLOOKUP(A414,Vortex!F$5:J$302,2,FALSE)),"",VLOOKUP(A414,Vortex!F$5:J$302,2,FALSE)))</f>
        <v/>
      </c>
      <c r="P414" s="51">
        <f>IF(B414="",0,IF(ISNA(_xlfn.XLOOKUP(A414,Vortex!F$5:F$302,Vortex!M$5:M$302)),0,_xlfn.XLOOKUP(A414,Vortex!F$5:F$302,Vortex!M$5:M$302)))</f>
        <v>0</v>
      </c>
      <c r="Q414" s="51">
        <f t="shared" si="53"/>
        <v>0</v>
      </c>
      <c r="R414" s="51" t="str">
        <f t="shared" si="54"/>
        <v/>
      </c>
      <c r="S414" s="51" t="str">
        <f t="shared" si="55"/>
        <v/>
      </c>
      <c r="T414" s="51" t="str">
        <f t="shared" si="56"/>
        <v/>
      </c>
      <c r="U414" s="51" t="str">
        <f t="shared" si="57"/>
        <v/>
      </c>
    </row>
    <row r="415" spans="1:25">
      <c r="A415" s="51" t="str">
        <f>IF(Declarations!B43=0,"",Declarations!B43)</f>
        <v/>
      </c>
      <c r="B415" s="161" t="str">
        <f>IF(ISNA(VLOOKUP(A415,Declarations!B$6:C$293,2,FALSE)),"",IF(VLOOKUP(A415,Declarations!B$6:C$293,2,FALSE)="","",VLOOKUP(A415,Declarations!B$6:C$293,2,FALSE)))</f>
        <v/>
      </c>
      <c r="C415" s="161" t="str">
        <f>IF(ISNA(VLOOKUP(A415,Declarations!B$6:F$293,5,FALSE)),"",IF(VLOOKUP(A415,Declarations!B$6:F$293,5,FALSE)="","",VLOOKUP(A415,Declarations!B$6:F$293,5,FALSE)))</f>
        <v/>
      </c>
      <c r="D415" s="161" t="str">
        <f>IF(ISNA(VLOOKUP(A415,Declarations!B$6:F$293,4,FALSE)),"",IF(VLOOKUP(A415,Declarations!B$6:F$293,4,FALSE)="","",VLOOKUP(A415,Declarations!B$6:F$293,4,FALSE)))</f>
        <v/>
      </c>
      <c r="E415" s="161" t="str">
        <f>IF(ISNA(VLOOKUP(A415,Declarations!B$6:D$293,3,FALSE)),"",IF(VLOOKUP(A415,Declarations!B$6:D$293,3,FALSE)="","",VLOOKUP(A415,Declarations!B$6:D$293,3,FALSE)))</f>
        <v/>
      </c>
      <c r="F415" s="51" t="str">
        <f>IF(B415="","",IF(ISNA(VLOOKUP(A415,'75m'!F$5:G$302,2,FALSE)),"",VLOOKUP(A415,'75m'!F$5:G$302,2,FALSE)))</f>
        <v/>
      </c>
      <c r="G415" s="51">
        <f>IF(B415="",0,IF(ISNA(_xlfn.XLOOKUP(A415,'75m'!F$5:F$302,'75m'!M$5:M$302)),0,_xlfn.XLOOKUP(A415,'75m'!F$5:F$302,'75m'!M$5:M$302)))</f>
        <v>0</v>
      </c>
      <c r="H415" s="51" t="str">
        <f>IF(B415="","",IF(ISNA(VLOOKUP(A415,'75m'!F$5:K$302,5,FALSE)),"",VLOOKUP(A415,'75m'!F$5:K$302,5,FALSE)))</f>
        <v/>
      </c>
      <c r="I415" s="53">
        <f>IF(B415="",0,IF(ISNA(VLOOKUP(A415,'600m'!F$5:J$302,2,FALSE)),0,VLOOKUP(A415,'600m'!F$5:J$302,2,FALSE)))</f>
        <v>0</v>
      </c>
      <c r="J415" s="51">
        <f>IF(B415="",0,IF(ISNA(_xlfn.XLOOKUP(A415,'600m'!F$5:F$302,'600m'!M$5:M$302)),0,_xlfn.XLOOKUP(A415,'600m'!F$5:F$302,'600m'!M$5:M$302)))</f>
        <v>0</v>
      </c>
      <c r="K415" s="51" t="str">
        <f>IF(B415="","",IF(ISNA(VLOOKUP(A415,'600m'!F$5:K$302,5,FALSE)),"",VLOOKUP(A415,'600m'!F$5:K$302,5,FALSE)))</f>
        <v/>
      </c>
      <c r="L415" s="51" t="str">
        <f>IF(B415="","",IF(ISNA(VLOOKUP(A415,LongJump!F$5:G$302,2,FALSE)),"",VLOOKUP(A415,LongJump!F$5:G$302,2,FALSE)))</f>
        <v/>
      </c>
      <c r="M415" s="51">
        <f>IF(B415="",0,IF(ISNA(_xlfn.XLOOKUP(A415,LongJump!F$5:F$302,LongJump!M$5:M$302)),0,_xlfn.XLOOKUP(A415,LongJump!F$5:F$302,LongJump!M$5:M$302)))</f>
        <v>0</v>
      </c>
      <c r="N415" s="51">
        <f>IF(B415="",0,IF(ISNA(VLOOKUP(A415,LongJump!F$5:K$302,5,FALSE)),0,VLOOKUP(A415,LongJump!F$5:K$302,5,FALSE)))</f>
        <v>0</v>
      </c>
      <c r="O415" s="51" t="str">
        <f>IF(B415="","",IF(ISNA(VLOOKUP(A415,Vortex!F$5:J$302,2,FALSE)),"",VLOOKUP(A415,Vortex!F$5:J$302,2,FALSE)))</f>
        <v/>
      </c>
      <c r="P415" s="51">
        <f>IF(B415="",0,IF(ISNA(_xlfn.XLOOKUP(A415,Vortex!F$5:F$302,Vortex!M$5:M$302)),0,_xlfn.XLOOKUP(A415,Vortex!F$5:F$302,Vortex!M$5:M$302)))</f>
        <v>0</v>
      </c>
      <c r="Q415" s="51">
        <f t="shared" si="53"/>
        <v>0</v>
      </c>
      <c r="R415" s="51" t="str">
        <f t="shared" si="54"/>
        <v/>
      </c>
      <c r="S415" s="51" t="str">
        <f t="shared" si="55"/>
        <v/>
      </c>
      <c r="T415" s="51" t="str">
        <f t="shared" si="56"/>
        <v/>
      </c>
      <c r="U415" s="51" t="str">
        <f t="shared" si="57"/>
        <v/>
      </c>
    </row>
    <row r="416" spans="1:25">
      <c r="A416" s="51" t="str">
        <f>IF(Declarations!B44=0,"",Declarations!B44)</f>
        <v/>
      </c>
      <c r="B416" s="161" t="str">
        <f>IF(ISNA(VLOOKUP(A416,Declarations!B$6:C$293,2,FALSE)),"",IF(VLOOKUP(A416,Declarations!B$6:C$293,2,FALSE)="","",VLOOKUP(A416,Declarations!B$6:C$293,2,FALSE)))</f>
        <v/>
      </c>
      <c r="C416" s="161" t="str">
        <f>IF(ISNA(VLOOKUP(A416,Declarations!B$6:F$293,5,FALSE)),"",IF(VLOOKUP(A416,Declarations!B$6:F$293,5,FALSE)="","",VLOOKUP(A416,Declarations!B$6:F$293,5,FALSE)))</f>
        <v/>
      </c>
      <c r="D416" s="161" t="str">
        <f>IF(ISNA(VLOOKUP(A416,Declarations!B$6:F$293,4,FALSE)),"",IF(VLOOKUP(A416,Declarations!B$6:F$293,4,FALSE)="","",VLOOKUP(A416,Declarations!B$6:F$293,4,FALSE)))</f>
        <v/>
      </c>
      <c r="E416" s="161" t="str">
        <f>IF(ISNA(VLOOKUP(A416,Declarations!B$6:D$293,3,FALSE)),"",IF(VLOOKUP(A416,Declarations!B$6:D$293,3,FALSE)="","",VLOOKUP(A416,Declarations!B$6:D$293,3,FALSE)))</f>
        <v/>
      </c>
      <c r="F416" s="51" t="str">
        <f>IF(B416="","",IF(ISNA(VLOOKUP(A416,'75m'!F$5:G$302,2,FALSE)),"",VLOOKUP(A416,'75m'!F$5:G$302,2,FALSE)))</f>
        <v/>
      </c>
      <c r="G416" s="51">
        <f>IF(B416="",0,IF(ISNA(_xlfn.XLOOKUP(A416,'75m'!F$5:F$302,'75m'!M$5:M$302)),0,_xlfn.XLOOKUP(A416,'75m'!F$5:F$302,'75m'!M$5:M$302)))</f>
        <v>0</v>
      </c>
      <c r="H416" s="51" t="str">
        <f>IF(B416="","",IF(ISNA(VLOOKUP(A416,'75m'!F$5:K$302,5,FALSE)),"",VLOOKUP(A416,'75m'!F$5:K$302,5,FALSE)))</f>
        <v/>
      </c>
      <c r="I416" s="53">
        <f>IF(B416="",0,IF(ISNA(VLOOKUP(A416,'600m'!F$5:J$302,2,FALSE)),0,VLOOKUP(A416,'600m'!F$5:J$302,2,FALSE)))</f>
        <v>0</v>
      </c>
      <c r="J416" s="51">
        <f>IF(B416="",0,IF(ISNA(_xlfn.XLOOKUP(A416,'600m'!F$5:F$302,'600m'!M$5:M$302)),0,_xlfn.XLOOKUP(A416,'600m'!F$5:F$302,'600m'!M$5:M$302)))</f>
        <v>0</v>
      </c>
      <c r="K416" s="51" t="str">
        <f>IF(B416="","",IF(ISNA(VLOOKUP(A416,'600m'!F$5:K$302,5,FALSE)),"",VLOOKUP(A416,'600m'!F$5:K$302,5,FALSE)))</f>
        <v/>
      </c>
      <c r="L416" s="51" t="str">
        <f>IF(B416="","",IF(ISNA(VLOOKUP(A416,LongJump!F$5:G$302,2,FALSE)),"",VLOOKUP(A416,LongJump!F$5:G$302,2,FALSE)))</f>
        <v/>
      </c>
      <c r="M416" s="51">
        <f>IF(B416="",0,IF(ISNA(_xlfn.XLOOKUP(A416,LongJump!F$5:F$302,LongJump!M$5:M$302)),0,_xlfn.XLOOKUP(A416,LongJump!F$5:F$302,LongJump!M$5:M$302)))</f>
        <v>0</v>
      </c>
      <c r="N416" s="51">
        <f>IF(B416="",0,IF(ISNA(VLOOKUP(A416,LongJump!F$5:K$302,5,FALSE)),0,VLOOKUP(A416,LongJump!F$5:K$302,5,FALSE)))</f>
        <v>0</v>
      </c>
      <c r="O416" s="51" t="str">
        <f>IF(B416="","",IF(ISNA(VLOOKUP(A416,Vortex!F$5:J$302,2,FALSE)),"",VLOOKUP(A416,Vortex!F$5:J$302,2,FALSE)))</f>
        <v/>
      </c>
      <c r="P416" s="51">
        <f>IF(B416="",0,IF(ISNA(_xlfn.XLOOKUP(A416,Vortex!F$5:F$302,Vortex!M$5:M$302)),0,_xlfn.XLOOKUP(A416,Vortex!F$5:F$302,Vortex!M$5:M$302)))</f>
        <v>0</v>
      </c>
      <c r="Q416" s="51">
        <f t="shared" si="53"/>
        <v>0</v>
      </c>
      <c r="R416" s="51" t="str">
        <f t="shared" si="54"/>
        <v/>
      </c>
      <c r="S416" s="51" t="str">
        <f t="shared" si="55"/>
        <v/>
      </c>
      <c r="T416" s="51" t="str">
        <f t="shared" si="56"/>
        <v/>
      </c>
      <c r="U416" s="51" t="str">
        <f t="shared" si="57"/>
        <v/>
      </c>
    </row>
    <row r="417" spans="1:21">
      <c r="A417" s="51" t="str">
        <f>IF(Declarations!B45=0,"",Declarations!B45)</f>
        <v/>
      </c>
      <c r="B417" s="161" t="str">
        <f>IF(ISNA(VLOOKUP(A417,Declarations!B$6:C$293,2,FALSE)),"",IF(VLOOKUP(A417,Declarations!B$6:C$293,2,FALSE)="","",VLOOKUP(A417,Declarations!B$6:C$293,2,FALSE)))</f>
        <v/>
      </c>
      <c r="C417" s="161" t="str">
        <f>IF(ISNA(VLOOKUP(A417,Declarations!B$6:F$293,5,FALSE)),"",IF(VLOOKUP(A417,Declarations!B$6:F$293,5,FALSE)="","",VLOOKUP(A417,Declarations!B$6:F$293,5,FALSE)))</f>
        <v/>
      </c>
      <c r="D417" s="161" t="str">
        <f>IF(ISNA(VLOOKUP(A417,Declarations!B$6:F$293,4,FALSE)),"",IF(VLOOKUP(A417,Declarations!B$6:F$293,4,FALSE)="","",VLOOKUP(A417,Declarations!B$6:F$293,4,FALSE)))</f>
        <v/>
      </c>
      <c r="E417" s="161" t="str">
        <f>IF(ISNA(VLOOKUP(A417,Declarations!B$6:D$293,3,FALSE)),"",IF(VLOOKUP(A417,Declarations!B$6:D$293,3,FALSE)="","",VLOOKUP(A417,Declarations!B$6:D$293,3,FALSE)))</f>
        <v/>
      </c>
      <c r="F417" s="51" t="str">
        <f>IF(B417="","",IF(ISNA(VLOOKUP(A417,'75m'!F$5:G$302,2,FALSE)),"",VLOOKUP(A417,'75m'!F$5:G$302,2,FALSE)))</f>
        <v/>
      </c>
      <c r="G417" s="51">
        <f>IF(B417="",0,IF(ISNA(_xlfn.XLOOKUP(A417,'75m'!F$5:F$302,'75m'!M$5:M$302)),0,_xlfn.XLOOKUP(A417,'75m'!F$5:F$302,'75m'!M$5:M$302)))</f>
        <v>0</v>
      </c>
      <c r="H417" s="51" t="str">
        <f>IF(B417="","",IF(ISNA(VLOOKUP(A417,'75m'!F$5:K$302,5,FALSE)),"",VLOOKUP(A417,'75m'!F$5:K$302,5,FALSE)))</f>
        <v/>
      </c>
      <c r="I417" s="53">
        <f>IF(B417="",0,IF(ISNA(VLOOKUP(A417,'600m'!F$5:J$302,2,FALSE)),0,VLOOKUP(A417,'600m'!F$5:J$302,2,FALSE)))</f>
        <v>0</v>
      </c>
      <c r="J417" s="51">
        <f>IF(B417="",0,IF(ISNA(_xlfn.XLOOKUP(A417,'600m'!F$5:F$302,'600m'!M$5:M$302)),0,_xlfn.XLOOKUP(A417,'600m'!F$5:F$302,'600m'!M$5:M$302)))</f>
        <v>0</v>
      </c>
      <c r="K417" s="51" t="str">
        <f>IF(B417="","",IF(ISNA(VLOOKUP(A417,'600m'!F$5:K$302,5,FALSE)),"",VLOOKUP(A417,'600m'!F$5:K$302,5,FALSE)))</f>
        <v/>
      </c>
      <c r="L417" s="51" t="str">
        <f>IF(B417="","",IF(ISNA(VLOOKUP(A417,LongJump!F$5:G$302,2,FALSE)),"",VLOOKUP(A417,LongJump!F$5:G$302,2,FALSE)))</f>
        <v/>
      </c>
      <c r="M417" s="51">
        <f>IF(B417="",0,IF(ISNA(_xlfn.XLOOKUP(A417,LongJump!F$5:F$302,LongJump!M$5:M$302)),0,_xlfn.XLOOKUP(A417,LongJump!F$5:F$302,LongJump!M$5:M$302)))</f>
        <v>0</v>
      </c>
      <c r="N417" s="51">
        <f>IF(B417="",0,IF(ISNA(VLOOKUP(A417,LongJump!F$5:K$302,5,FALSE)),0,VLOOKUP(A417,LongJump!F$5:K$302,5,FALSE)))</f>
        <v>0</v>
      </c>
      <c r="O417" s="51" t="str">
        <f>IF(B417="","",IF(ISNA(VLOOKUP(A417,Vortex!F$5:J$302,2,FALSE)),"",VLOOKUP(A417,Vortex!F$5:J$302,2,FALSE)))</f>
        <v/>
      </c>
      <c r="P417" s="51">
        <f>IF(B417="",0,IF(ISNA(_xlfn.XLOOKUP(A417,Vortex!F$5:F$302,Vortex!M$5:M$302)),0,_xlfn.XLOOKUP(A417,Vortex!F$5:F$302,Vortex!M$5:M$302)))</f>
        <v>0</v>
      </c>
      <c r="Q417" s="51">
        <f t="shared" si="53"/>
        <v>0</v>
      </c>
      <c r="R417" s="51" t="str">
        <f t="shared" si="54"/>
        <v/>
      </c>
      <c r="S417" s="51" t="str">
        <f t="shared" si="55"/>
        <v/>
      </c>
      <c r="T417" s="51" t="str">
        <f t="shared" si="56"/>
        <v/>
      </c>
      <c r="U417" s="51" t="str">
        <f t="shared" si="57"/>
        <v/>
      </c>
    </row>
    <row r="418" spans="1:21">
      <c r="A418" s="51" t="str">
        <f>IF(Declarations!B46=0,"",Declarations!B46)</f>
        <v/>
      </c>
      <c r="B418" s="161" t="str">
        <f>IF(ISNA(VLOOKUP(A418,Declarations!B$6:C$293,2,FALSE)),"",IF(VLOOKUP(A418,Declarations!B$6:C$293,2,FALSE)="","",VLOOKUP(A418,Declarations!B$6:C$293,2,FALSE)))</f>
        <v/>
      </c>
      <c r="C418" s="161" t="str">
        <f>IF(ISNA(VLOOKUP(A418,Declarations!B$6:F$293,5,FALSE)),"",IF(VLOOKUP(A418,Declarations!B$6:F$293,5,FALSE)="","",VLOOKUP(A418,Declarations!B$6:F$293,5,FALSE)))</f>
        <v/>
      </c>
      <c r="D418" s="161" t="str">
        <f>IF(ISNA(VLOOKUP(A418,Declarations!B$6:F$293,4,FALSE)),"",IF(VLOOKUP(A418,Declarations!B$6:F$293,4,FALSE)="","",VLOOKUP(A418,Declarations!B$6:F$293,4,FALSE)))</f>
        <v/>
      </c>
      <c r="E418" s="161" t="str">
        <f>IF(ISNA(VLOOKUP(A418,Declarations!B$6:D$293,3,FALSE)),"",IF(VLOOKUP(A418,Declarations!B$6:D$293,3,FALSE)="","",VLOOKUP(A418,Declarations!B$6:D$293,3,FALSE)))</f>
        <v/>
      </c>
      <c r="F418" s="51" t="str">
        <f>IF(B418="","",IF(ISNA(VLOOKUP(A418,'75m'!F$5:G$302,2,FALSE)),"",VLOOKUP(A418,'75m'!F$5:G$302,2,FALSE)))</f>
        <v/>
      </c>
      <c r="G418" s="51">
        <f>IF(B418="",0,IF(ISNA(_xlfn.XLOOKUP(A418,'75m'!F$5:F$302,'75m'!M$5:M$302)),0,_xlfn.XLOOKUP(A418,'75m'!F$5:F$302,'75m'!M$5:M$302)))</f>
        <v>0</v>
      </c>
      <c r="H418" s="51" t="str">
        <f>IF(B418="","",IF(ISNA(VLOOKUP(A418,'75m'!F$5:K$302,5,FALSE)),"",VLOOKUP(A418,'75m'!F$5:K$302,5,FALSE)))</f>
        <v/>
      </c>
      <c r="I418" s="53">
        <f>IF(B418="",0,IF(ISNA(VLOOKUP(A418,'600m'!F$5:J$302,2,FALSE)),0,VLOOKUP(A418,'600m'!F$5:J$302,2,FALSE)))</f>
        <v>0</v>
      </c>
      <c r="J418" s="51">
        <f>IF(B418="",0,IF(ISNA(_xlfn.XLOOKUP(A418,'600m'!F$5:F$302,'600m'!M$5:M$302)),0,_xlfn.XLOOKUP(A418,'600m'!F$5:F$302,'600m'!M$5:M$302)))</f>
        <v>0</v>
      </c>
      <c r="K418" s="51" t="str">
        <f>IF(B418="","",IF(ISNA(VLOOKUP(A418,'600m'!F$5:K$302,5,FALSE)),"",VLOOKUP(A418,'600m'!F$5:K$302,5,FALSE)))</f>
        <v/>
      </c>
      <c r="L418" s="51" t="str">
        <f>IF(B418="","",IF(ISNA(VLOOKUP(A418,LongJump!F$5:G$302,2,FALSE)),"",VLOOKUP(A418,LongJump!F$5:G$302,2,FALSE)))</f>
        <v/>
      </c>
      <c r="M418" s="51">
        <f>IF(B418="",0,IF(ISNA(_xlfn.XLOOKUP(A418,LongJump!F$5:F$302,LongJump!M$5:M$302)),0,_xlfn.XLOOKUP(A418,LongJump!F$5:F$302,LongJump!M$5:M$302)))</f>
        <v>0</v>
      </c>
      <c r="N418" s="51">
        <f>IF(B418="",0,IF(ISNA(VLOOKUP(A418,LongJump!F$5:K$302,5,FALSE)),0,VLOOKUP(A418,LongJump!F$5:K$302,5,FALSE)))</f>
        <v>0</v>
      </c>
      <c r="O418" s="51" t="str">
        <f>IF(B418="","",IF(ISNA(VLOOKUP(A418,Vortex!F$5:J$302,2,FALSE)),"",VLOOKUP(A418,Vortex!F$5:J$302,2,FALSE)))</f>
        <v/>
      </c>
      <c r="P418" s="51">
        <f>IF(B418="",0,IF(ISNA(_xlfn.XLOOKUP(A418,Vortex!F$5:F$302,Vortex!M$5:M$302)),0,_xlfn.XLOOKUP(A418,Vortex!F$5:F$302,Vortex!M$5:M$302)))</f>
        <v>0</v>
      </c>
      <c r="Q418" s="51">
        <f t="shared" si="53"/>
        <v>0</v>
      </c>
      <c r="R418" s="51" t="str">
        <f t="shared" si="54"/>
        <v/>
      </c>
      <c r="S418" s="51" t="str">
        <f t="shared" si="55"/>
        <v/>
      </c>
      <c r="T418" s="51" t="str">
        <f t="shared" si="56"/>
        <v/>
      </c>
      <c r="U418" s="51" t="str">
        <f t="shared" si="57"/>
        <v/>
      </c>
    </row>
    <row r="419" spans="1:21">
      <c r="A419" s="51" t="str">
        <f>IF(Declarations!B47=0,"",Declarations!B47)</f>
        <v/>
      </c>
      <c r="B419" s="161" t="str">
        <f>IF(ISNA(VLOOKUP(A419,Declarations!B$6:C$293,2,FALSE)),"",IF(VLOOKUP(A419,Declarations!B$6:C$293,2,FALSE)="","",VLOOKUP(A419,Declarations!B$6:C$293,2,FALSE)))</f>
        <v/>
      </c>
      <c r="C419" s="161" t="str">
        <f>IF(ISNA(VLOOKUP(A419,Declarations!B$6:F$293,5,FALSE)),"",IF(VLOOKUP(A419,Declarations!B$6:F$293,5,FALSE)="","",VLOOKUP(A419,Declarations!B$6:F$293,5,FALSE)))</f>
        <v/>
      </c>
      <c r="D419" s="161" t="str">
        <f>IF(ISNA(VLOOKUP(A419,Declarations!B$6:F$293,4,FALSE)),"",IF(VLOOKUP(A419,Declarations!B$6:F$293,4,FALSE)="","",VLOOKUP(A419,Declarations!B$6:F$293,4,FALSE)))</f>
        <v/>
      </c>
      <c r="E419" s="161" t="str">
        <f>IF(ISNA(VLOOKUP(A419,Declarations!B$6:D$293,3,FALSE)),"",IF(VLOOKUP(A419,Declarations!B$6:D$293,3,FALSE)="","",VLOOKUP(A419,Declarations!B$6:D$293,3,FALSE)))</f>
        <v/>
      </c>
      <c r="F419" s="51" t="str">
        <f>IF(B419="","",IF(ISNA(VLOOKUP(A419,'75m'!F$5:G$302,2,FALSE)),"",VLOOKUP(A419,'75m'!F$5:G$302,2,FALSE)))</f>
        <v/>
      </c>
      <c r="G419" s="51">
        <f>IF(B419="",0,IF(ISNA(_xlfn.XLOOKUP(A419,'75m'!F$5:F$302,'75m'!M$5:M$302)),0,_xlfn.XLOOKUP(A419,'75m'!F$5:F$302,'75m'!M$5:M$302)))</f>
        <v>0</v>
      </c>
      <c r="H419" s="51" t="str">
        <f>IF(B419="","",IF(ISNA(VLOOKUP(A419,'75m'!F$5:K$302,5,FALSE)),"",VLOOKUP(A419,'75m'!F$5:K$302,5,FALSE)))</f>
        <v/>
      </c>
      <c r="I419" s="53">
        <f>IF(B419="",0,IF(ISNA(VLOOKUP(A419,'600m'!F$5:J$302,2,FALSE)),0,VLOOKUP(A419,'600m'!F$5:J$302,2,FALSE)))</f>
        <v>0</v>
      </c>
      <c r="J419" s="51">
        <f>IF(B419="",0,IF(ISNA(_xlfn.XLOOKUP(A419,'600m'!F$5:F$302,'600m'!M$5:M$302)),0,_xlfn.XLOOKUP(A419,'600m'!F$5:F$302,'600m'!M$5:M$302)))</f>
        <v>0</v>
      </c>
      <c r="K419" s="51" t="str">
        <f>IF(B419="","",IF(ISNA(VLOOKUP(A419,'600m'!F$5:K$302,5,FALSE)),"",VLOOKUP(A419,'600m'!F$5:K$302,5,FALSE)))</f>
        <v/>
      </c>
      <c r="L419" s="51" t="str">
        <f>IF(B419="","",IF(ISNA(VLOOKUP(A419,LongJump!F$5:G$302,2,FALSE)),"",VLOOKUP(A419,LongJump!F$5:G$302,2,FALSE)))</f>
        <v/>
      </c>
      <c r="M419" s="51">
        <f>IF(B419="",0,IF(ISNA(_xlfn.XLOOKUP(A419,LongJump!F$5:F$302,LongJump!M$5:M$302)),0,_xlfn.XLOOKUP(A419,LongJump!F$5:F$302,LongJump!M$5:M$302)))</f>
        <v>0</v>
      </c>
      <c r="N419" s="51">
        <f>IF(B419="",0,IF(ISNA(VLOOKUP(A419,LongJump!F$5:K$302,5,FALSE)),0,VLOOKUP(A419,LongJump!F$5:K$302,5,FALSE)))</f>
        <v>0</v>
      </c>
      <c r="O419" s="51" t="str">
        <f>IF(B419="","",IF(ISNA(VLOOKUP(A419,Vortex!F$5:J$302,2,FALSE)),"",VLOOKUP(A419,Vortex!F$5:J$302,2,FALSE)))</f>
        <v/>
      </c>
      <c r="P419" s="51">
        <f>IF(B419="",0,IF(ISNA(_xlfn.XLOOKUP(A419,Vortex!F$5:F$302,Vortex!M$5:M$302)),0,_xlfn.XLOOKUP(A419,Vortex!F$5:F$302,Vortex!M$5:M$302)))</f>
        <v>0</v>
      </c>
      <c r="Q419" s="51">
        <f t="shared" si="53"/>
        <v>0</v>
      </c>
      <c r="R419" s="51" t="str">
        <f t="shared" si="54"/>
        <v/>
      </c>
      <c r="S419" s="51" t="str">
        <f t="shared" si="55"/>
        <v/>
      </c>
      <c r="T419" s="51" t="str">
        <f t="shared" si="56"/>
        <v/>
      </c>
      <c r="U419" s="51" t="str">
        <f t="shared" si="57"/>
        <v/>
      </c>
    </row>
    <row r="420" spans="1:21">
      <c r="A420" s="51" t="str">
        <f>IF(Declarations!B48=0,"",Declarations!B48)</f>
        <v/>
      </c>
      <c r="B420" s="161" t="str">
        <f>IF(ISNA(VLOOKUP(A420,Declarations!B$6:C$293,2,FALSE)),"",IF(VLOOKUP(A420,Declarations!B$6:C$293,2,FALSE)="","",VLOOKUP(A420,Declarations!B$6:C$293,2,FALSE)))</f>
        <v/>
      </c>
      <c r="C420" s="161" t="str">
        <f>IF(ISNA(VLOOKUP(A420,Declarations!B$6:F$293,5,FALSE)),"",IF(VLOOKUP(A420,Declarations!B$6:F$293,5,FALSE)="","",VLOOKUP(A420,Declarations!B$6:F$293,5,FALSE)))</f>
        <v/>
      </c>
      <c r="D420" s="161" t="str">
        <f>IF(ISNA(VLOOKUP(A420,Declarations!B$6:F$293,4,FALSE)),"",IF(VLOOKUP(A420,Declarations!B$6:F$293,4,FALSE)="","",VLOOKUP(A420,Declarations!B$6:F$293,4,FALSE)))</f>
        <v/>
      </c>
      <c r="E420" s="161" t="str">
        <f>IF(ISNA(VLOOKUP(A420,Declarations!B$6:D$293,3,FALSE)),"",IF(VLOOKUP(A420,Declarations!B$6:D$293,3,FALSE)="","",VLOOKUP(A420,Declarations!B$6:D$293,3,FALSE)))</f>
        <v/>
      </c>
      <c r="F420" s="51" t="str">
        <f>IF(B420="","",IF(ISNA(VLOOKUP(A420,'75m'!F$5:G$302,2,FALSE)),"",VLOOKUP(A420,'75m'!F$5:G$302,2,FALSE)))</f>
        <v/>
      </c>
      <c r="G420" s="51">
        <f>IF(B420="",0,IF(ISNA(_xlfn.XLOOKUP(A420,'75m'!F$5:F$302,'75m'!M$5:M$302)),0,_xlfn.XLOOKUP(A420,'75m'!F$5:F$302,'75m'!M$5:M$302)))</f>
        <v>0</v>
      </c>
      <c r="H420" s="51" t="str">
        <f>IF(B420="","",IF(ISNA(VLOOKUP(A420,'75m'!F$5:K$302,5,FALSE)),"",VLOOKUP(A420,'75m'!F$5:K$302,5,FALSE)))</f>
        <v/>
      </c>
      <c r="I420" s="53">
        <f>IF(B420="",0,IF(ISNA(VLOOKUP(A420,'600m'!F$5:J$302,2,FALSE)),0,VLOOKUP(A420,'600m'!F$5:J$302,2,FALSE)))</f>
        <v>0</v>
      </c>
      <c r="J420" s="51">
        <f>IF(B420="",0,IF(ISNA(_xlfn.XLOOKUP(A420,'600m'!F$5:F$302,'600m'!M$5:M$302)),0,_xlfn.XLOOKUP(A420,'600m'!F$5:F$302,'600m'!M$5:M$302)))</f>
        <v>0</v>
      </c>
      <c r="K420" s="51" t="str">
        <f>IF(B420="","",IF(ISNA(VLOOKUP(A420,'600m'!F$5:K$302,5,FALSE)),"",VLOOKUP(A420,'600m'!F$5:K$302,5,FALSE)))</f>
        <v/>
      </c>
      <c r="L420" s="51" t="str">
        <f>IF(B420="","",IF(ISNA(VLOOKUP(A420,LongJump!F$5:G$302,2,FALSE)),"",VLOOKUP(A420,LongJump!F$5:G$302,2,FALSE)))</f>
        <v/>
      </c>
      <c r="M420" s="51">
        <f>IF(B420="",0,IF(ISNA(_xlfn.XLOOKUP(A420,LongJump!F$5:F$302,LongJump!M$5:M$302)),0,_xlfn.XLOOKUP(A420,LongJump!F$5:F$302,LongJump!M$5:M$302)))</f>
        <v>0</v>
      </c>
      <c r="N420" s="51">
        <f>IF(B420="",0,IF(ISNA(VLOOKUP(A420,LongJump!F$5:K$302,5,FALSE)),0,VLOOKUP(A420,LongJump!F$5:K$302,5,FALSE)))</f>
        <v>0</v>
      </c>
      <c r="O420" s="51" t="str">
        <f>IF(B420="","",IF(ISNA(VLOOKUP(A420,Vortex!F$5:J$302,2,FALSE)),"",VLOOKUP(A420,Vortex!F$5:J$302,2,FALSE)))</f>
        <v/>
      </c>
      <c r="P420" s="51">
        <f>IF(B420="",0,IF(ISNA(_xlfn.XLOOKUP(A420,Vortex!F$5:F$302,Vortex!M$5:M$302)),0,_xlfn.XLOOKUP(A420,Vortex!F$5:F$302,Vortex!M$5:M$302)))</f>
        <v>0</v>
      </c>
      <c r="Q420" s="51">
        <f t="shared" si="53"/>
        <v>0</v>
      </c>
      <c r="R420" s="51" t="str">
        <f t="shared" si="54"/>
        <v/>
      </c>
      <c r="S420" s="51" t="str">
        <f t="shared" si="55"/>
        <v/>
      </c>
      <c r="T420" s="51" t="str">
        <f t="shared" si="56"/>
        <v/>
      </c>
      <c r="U420" s="51" t="str">
        <f t="shared" si="57"/>
        <v/>
      </c>
    </row>
    <row r="421" spans="1:21">
      <c r="A421" s="51" t="str">
        <f>IF(Declarations!B49=0,"",Declarations!B49)</f>
        <v/>
      </c>
      <c r="B421" s="161" t="str">
        <f>IF(ISNA(VLOOKUP(A421,Declarations!B$6:C$293,2,FALSE)),"",IF(VLOOKUP(A421,Declarations!B$6:C$293,2,FALSE)="","",VLOOKUP(A421,Declarations!B$6:C$293,2,FALSE)))</f>
        <v/>
      </c>
      <c r="C421" s="161" t="str">
        <f>IF(ISNA(VLOOKUP(A421,Declarations!B$6:F$293,5,FALSE)),"",IF(VLOOKUP(A421,Declarations!B$6:F$293,5,FALSE)="","",VLOOKUP(A421,Declarations!B$6:F$293,5,FALSE)))</f>
        <v/>
      </c>
      <c r="D421" s="161" t="str">
        <f>IF(ISNA(VLOOKUP(A421,Declarations!B$6:F$293,4,FALSE)),"",IF(VLOOKUP(A421,Declarations!B$6:F$293,4,FALSE)="","",VLOOKUP(A421,Declarations!B$6:F$293,4,FALSE)))</f>
        <v/>
      </c>
      <c r="E421" s="161" t="str">
        <f>IF(ISNA(VLOOKUP(A421,Declarations!B$6:D$293,3,FALSE)),"",IF(VLOOKUP(A421,Declarations!B$6:D$293,3,FALSE)="","",VLOOKUP(A421,Declarations!B$6:D$293,3,FALSE)))</f>
        <v/>
      </c>
      <c r="F421" s="51" t="str">
        <f>IF(B421="","",IF(ISNA(VLOOKUP(A421,'75m'!F$5:G$302,2,FALSE)),"",VLOOKUP(A421,'75m'!F$5:G$302,2,FALSE)))</f>
        <v/>
      </c>
      <c r="G421" s="51">
        <f>IF(B421="",0,IF(ISNA(_xlfn.XLOOKUP(A421,'75m'!F$5:F$302,'75m'!M$5:M$302)),0,_xlfn.XLOOKUP(A421,'75m'!F$5:F$302,'75m'!M$5:M$302)))</f>
        <v>0</v>
      </c>
      <c r="H421" s="51" t="str">
        <f>IF(B421="","",IF(ISNA(VLOOKUP(A421,'75m'!F$5:K$302,5,FALSE)),"",VLOOKUP(A421,'75m'!F$5:K$302,5,FALSE)))</f>
        <v/>
      </c>
      <c r="I421" s="53">
        <f>IF(B421="",0,IF(ISNA(VLOOKUP(A421,'600m'!F$5:J$302,2,FALSE)),0,VLOOKUP(A421,'600m'!F$5:J$302,2,FALSE)))</f>
        <v>0</v>
      </c>
      <c r="J421" s="51">
        <f>IF(B421="",0,IF(ISNA(_xlfn.XLOOKUP(A421,'600m'!F$5:F$302,'600m'!M$5:M$302)),0,_xlfn.XLOOKUP(A421,'600m'!F$5:F$302,'600m'!M$5:M$302)))</f>
        <v>0</v>
      </c>
      <c r="K421" s="51" t="str">
        <f>IF(B421="","",IF(ISNA(VLOOKUP(A421,'600m'!F$5:K$302,5,FALSE)),"",VLOOKUP(A421,'600m'!F$5:K$302,5,FALSE)))</f>
        <v/>
      </c>
      <c r="L421" s="51" t="str">
        <f>IF(B421="","",IF(ISNA(VLOOKUP(A421,LongJump!F$5:G$302,2,FALSE)),"",VLOOKUP(A421,LongJump!F$5:G$302,2,FALSE)))</f>
        <v/>
      </c>
      <c r="M421" s="51">
        <f>IF(B421="",0,IF(ISNA(_xlfn.XLOOKUP(A421,LongJump!F$5:F$302,LongJump!M$5:M$302)),0,_xlfn.XLOOKUP(A421,LongJump!F$5:F$302,LongJump!M$5:M$302)))</f>
        <v>0</v>
      </c>
      <c r="N421" s="51">
        <f>IF(B421="",0,IF(ISNA(VLOOKUP(A421,LongJump!F$5:K$302,5,FALSE)),0,VLOOKUP(A421,LongJump!F$5:K$302,5,FALSE)))</f>
        <v>0</v>
      </c>
      <c r="O421" s="51" t="str">
        <f>IF(B421="","",IF(ISNA(VLOOKUP(A421,Vortex!F$5:J$302,2,FALSE)),"",VLOOKUP(A421,Vortex!F$5:J$302,2,FALSE)))</f>
        <v/>
      </c>
      <c r="P421" s="51">
        <f>IF(B421="",0,IF(ISNA(_xlfn.XLOOKUP(A421,Vortex!F$5:F$302,Vortex!M$5:M$302)),0,_xlfn.XLOOKUP(A421,Vortex!F$5:F$302,Vortex!M$5:M$302)))</f>
        <v>0</v>
      </c>
      <c r="Q421" s="51">
        <f t="shared" si="53"/>
        <v>0</v>
      </c>
      <c r="R421" s="51" t="str">
        <f t="shared" si="54"/>
        <v/>
      </c>
      <c r="S421" s="51" t="str">
        <f t="shared" si="55"/>
        <v/>
      </c>
      <c r="T421" s="51" t="str">
        <f t="shared" si="56"/>
        <v/>
      </c>
      <c r="U421" s="51" t="str">
        <f t="shared" si="57"/>
        <v/>
      </c>
    </row>
    <row r="422" spans="1:21">
      <c r="A422" s="51" t="str">
        <f>IF(Declarations!B50=0,"",Declarations!B50)</f>
        <v/>
      </c>
      <c r="B422" s="161" t="str">
        <f>IF(ISNA(VLOOKUP(A422,Declarations!B$6:C$293,2,FALSE)),"",IF(VLOOKUP(A422,Declarations!B$6:C$293,2,FALSE)="","",VLOOKUP(A422,Declarations!B$6:C$293,2,FALSE)))</f>
        <v/>
      </c>
      <c r="C422" s="161" t="str">
        <f>IF(ISNA(VLOOKUP(A422,Declarations!B$6:F$293,5,FALSE)),"",IF(VLOOKUP(A422,Declarations!B$6:F$293,5,FALSE)="","",VLOOKUP(A422,Declarations!B$6:F$293,5,FALSE)))</f>
        <v/>
      </c>
      <c r="D422" s="161" t="str">
        <f>IF(ISNA(VLOOKUP(A422,Declarations!B$6:F$293,4,FALSE)),"",IF(VLOOKUP(A422,Declarations!B$6:F$293,4,FALSE)="","",VLOOKUP(A422,Declarations!B$6:F$293,4,FALSE)))</f>
        <v/>
      </c>
      <c r="E422" s="161" t="str">
        <f>IF(ISNA(VLOOKUP(A422,Declarations!B$6:D$293,3,FALSE)),"",IF(VLOOKUP(A422,Declarations!B$6:D$293,3,FALSE)="","",VLOOKUP(A422,Declarations!B$6:D$293,3,FALSE)))</f>
        <v/>
      </c>
      <c r="F422" s="51" t="str">
        <f>IF(B422="","",IF(ISNA(VLOOKUP(A422,'75m'!F$5:G$302,2,FALSE)),"",VLOOKUP(A422,'75m'!F$5:G$302,2,FALSE)))</f>
        <v/>
      </c>
      <c r="G422" s="51">
        <f>IF(B422="",0,IF(ISNA(_xlfn.XLOOKUP(A422,'75m'!F$5:F$302,'75m'!M$5:M$302)),0,_xlfn.XLOOKUP(A422,'75m'!F$5:F$302,'75m'!M$5:M$302)))</f>
        <v>0</v>
      </c>
      <c r="H422" s="51" t="str">
        <f>IF(B422="","",IF(ISNA(VLOOKUP(A422,'75m'!F$5:K$302,5,FALSE)),"",VLOOKUP(A422,'75m'!F$5:K$302,5,FALSE)))</f>
        <v/>
      </c>
      <c r="I422" s="53">
        <f>IF(B422="",0,IF(ISNA(VLOOKUP(A422,'600m'!F$5:J$302,2,FALSE)),0,VLOOKUP(A422,'600m'!F$5:J$302,2,FALSE)))</f>
        <v>0</v>
      </c>
      <c r="J422" s="51">
        <f>IF(B422="",0,IF(ISNA(_xlfn.XLOOKUP(A422,'600m'!F$5:F$302,'600m'!M$5:M$302)),0,_xlfn.XLOOKUP(A422,'600m'!F$5:F$302,'600m'!M$5:M$302)))</f>
        <v>0</v>
      </c>
      <c r="K422" s="51" t="str">
        <f>IF(B422="","",IF(ISNA(VLOOKUP(A422,'600m'!F$5:K$302,5,FALSE)),"",VLOOKUP(A422,'600m'!F$5:K$302,5,FALSE)))</f>
        <v/>
      </c>
      <c r="L422" s="51" t="str">
        <f>IF(B422="","",IF(ISNA(VLOOKUP(A422,LongJump!F$5:G$302,2,FALSE)),"",VLOOKUP(A422,LongJump!F$5:G$302,2,FALSE)))</f>
        <v/>
      </c>
      <c r="M422" s="51">
        <f>IF(B422="",0,IF(ISNA(_xlfn.XLOOKUP(A422,LongJump!F$5:F$302,LongJump!M$5:M$302)),0,_xlfn.XLOOKUP(A422,LongJump!F$5:F$302,LongJump!M$5:M$302)))</f>
        <v>0</v>
      </c>
      <c r="N422" s="51">
        <f>IF(B422="",0,IF(ISNA(VLOOKUP(A422,LongJump!F$5:K$302,5,FALSE)),0,VLOOKUP(A422,LongJump!F$5:K$302,5,FALSE)))</f>
        <v>0</v>
      </c>
      <c r="O422" s="51" t="str">
        <f>IF(B422="","",IF(ISNA(VLOOKUP(A422,Vortex!F$5:J$302,2,FALSE)),"",VLOOKUP(A422,Vortex!F$5:J$302,2,FALSE)))</f>
        <v/>
      </c>
      <c r="P422" s="51">
        <f>IF(B422="",0,IF(ISNA(_xlfn.XLOOKUP(A422,Vortex!F$5:F$302,Vortex!M$5:M$302)),0,_xlfn.XLOOKUP(A422,Vortex!F$5:F$302,Vortex!M$5:M$302)))</f>
        <v>0</v>
      </c>
      <c r="Q422" s="51">
        <f t="shared" si="53"/>
        <v>0</v>
      </c>
      <c r="R422" s="51" t="str">
        <f t="shared" si="54"/>
        <v/>
      </c>
      <c r="S422" s="51" t="str">
        <f t="shared" si="55"/>
        <v/>
      </c>
      <c r="T422" s="51" t="str">
        <f t="shared" si="56"/>
        <v/>
      </c>
      <c r="U422" s="51" t="str">
        <f t="shared" si="57"/>
        <v/>
      </c>
    </row>
    <row r="423" spans="1:21">
      <c r="A423" s="51" t="str">
        <f>IF(Declarations!B51=0,"",Declarations!B51)</f>
        <v/>
      </c>
      <c r="B423" s="161" t="str">
        <f>IF(ISNA(VLOOKUP(A423,Declarations!B$6:C$293,2,FALSE)),"",IF(VLOOKUP(A423,Declarations!B$6:C$293,2,FALSE)="","",VLOOKUP(A423,Declarations!B$6:C$293,2,FALSE)))</f>
        <v/>
      </c>
      <c r="C423" s="161" t="str">
        <f>IF(ISNA(VLOOKUP(A423,Declarations!B$6:F$293,5,FALSE)),"",IF(VLOOKUP(A423,Declarations!B$6:F$293,5,FALSE)="","",VLOOKUP(A423,Declarations!B$6:F$293,5,FALSE)))</f>
        <v/>
      </c>
      <c r="D423" s="161" t="str">
        <f>IF(ISNA(VLOOKUP(A423,Declarations!B$6:F$293,4,FALSE)),"",IF(VLOOKUP(A423,Declarations!B$6:F$293,4,FALSE)="","",VLOOKUP(A423,Declarations!B$6:F$293,4,FALSE)))</f>
        <v/>
      </c>
      <c r="E423" s="161" t="str">
        <f>IF(ISNA(VLOOKUP(A423,Declarations!B$6:D$293,3,FALSE)),"",IF(VLOOKUP(A423,Declarations!B$6:D$293,3,FALSE)="","",VLOOKUP(A423,Declarations!B$6:D$293,3,FALSE)))</f>
        <v/>
      </c>
      <c r="F423" s="51" t="str">
        <f>IF(B423="","",IF(ISNA(VLOOKUP(A423,'75m'!F$5:G$302,2,FALSE)),"",VLOOKUP(A423,'75m'!F$5:G$302,2,FALSE)))</f>
        <v/>
      </c>
      <c r="G423" s="51">
        <f>IF(B423="",0,IF(ISNA(_xlfn.XLOOKUP(A423,'75m'!F$5:F$302,'75m'!M$5:M$302)),0,_xlfn.XLOOKUP(A423,'75m'!F$5:F$302,'75m'!M$5:M$302)))</f>
        <v>0</v>
      </c>
      <c r="H423" s="51" t="str">
        <f>IF(B423="","",IF(ISNA(VLOOKUP(A423,'75m'!F$5:K$302,5,FALSE)),"",VLOOKUP(A423,'75m'!F$5:K$302,5,FALSE)))</f>
        <v/>
      </c>
      <c r="I423" s="53">
        <f>IF(B423="",0,IF(ISNA(VLOOKUP(A423,'600m'!F$5:J$302,2,FALSE)),0,VLOOKUP(A423,'600m'!F$5:J$302,2,FALSE)))</f>
        <v>0</v>
      </c>
      <c r="J423" s="51">
        <f>IF(B423="",0,IF(ISNA(_xlfn.XLOOKUP(A423,'600m'!F$5:F$302,'600m'!M$5:M$302)),0,_xlfn.XLOOKUP(A423,'600m'!F$5:F$302,'600m'!M$5:M$302)))</f>
        <v>0</v>
      </c>
      <c r="K423" s="51" t="str">
        <f>IF(B423="","",IF(ISNA(VLOOKUP(A423,'600m'!F$5:K$302,5,FALSE)),"",VLOOKUP(A423,'600m'!F$5:K$302,5,FALSE)))</f>
        <v/>
      </c>
      <c r="L423" s="51" t="str">
        <f>IF(B423="","",IF(ISNA(VLOOKUP(A423,LongJump!F$5:G$302,2,FALSE)),"",VLOOKUP(A423,LongJump!F$5:G$302,2,FALSE)))</f>
        <v/>
      </c>
      <c r="M423" s="51">
        <f>IF(B423="",0,IF(ISNA(_xlfn.XLOOKUP(A423,LongJump!F$5:F$302,LongJump!M$5:M$302)),0,_xlfn.XLOOKUP(A423,LongJump!F$5:F$302,LongJump!M$5:M$302)))</f>
        <v>0</v>
      </c>
      <c r="N423" s="51">
        <f>IF(B423="",0,IF(ISNA(VLOOKUP(A423,LongJump!F$5:K$302,5,FALSE)),0,VLOOKUP(A423,LongJump!F$5:K$302,5,FALSE)))</f>
        <v>0</v>
      </c>
      <c r="O423" s="51" t="str">
        <f>IF(B423="","",IF(ISNA(VLOOKUP(A423,Vortex!F$5:J$302,2,FALSE)),"",VLOOKUP(A423,Vortex!F$5:J$302,2,FALSE)))</f>
        <v/>
      </c>
      <c r="P423" s="51">
        <f>IF(B423="",0,IF(ISNA(_xlfn.XLOOKUP(A423,Vortex!F$5:F$302,Vortex!M$5:M$302)),0,_xlfn.XLOOKUP(A423,Vortex!F$5:F$302,Vortex!M$5:M$302)))</f>
        <v>0</v>
      </c>
      <c r="Q423" s="51">
        <f t="shared" si="53"/>
        <v>0</v>
      </c>
      <c r="R423" s="51" t="str">
        <f t="shared" si="54"/>
        <v/>
      </c>
      <c r="S423" s="51" t="str">
        <f t="shared" si="55"/>
        <v/>
      </c>
      <c r="T423" s="51" t="str">
        <f t="shared" si="56"/>
        <v/>
      </c>
      <c r="U423" s="51" t="str">
        <f t="shared" si="57"/>
        <v/>
      </c>
    </row>
    <row r="424" spans="1:21">
      <c r="A424" s="51" t="str">
        <f>IF(Declarations!B52=0,"",Declarations!B52)</f>
        <v/>
      </c>
      <c r="B424" s="161" t="str">
        <f>IF(ISNA(VLOOKUP(A424,Declarations!B$6:C$293,2,FALSE)),"",IF(VLOOKUP(A424,Declarations!B$6:C$293,2,FALSE)="","",VLOOKUP(A424,Declarations!B$6:C$293,2,FALSE)))</f>
        <v/>
      </c>
      <c r="C424" s="161" t="str">
        <f>IF(ISNA(VLOOKUP(A424,Declarations!B$6:F$293,5,FALSE)),"",IF(VLOOKUP(A424,Declarations!B$6:F$293,5,FALSE)="","",VLOOKUP(A424,Declarations!B$6:F$293,5,FALSE)))</f>
        <v/>
      </c>
      <c r="D424" s="161" t="str">
        <f>IF(ISNA(VLOOKUP(A424,Declarations!B$6:F$293,4,FALSE)),"",IF(VLOOKUP(A424,Declarations!B$6:F$293,4,FALSE)="","",VLOOKUP(A424,Declarations!B$6:F$293,4,FALSE)))</f>
        <v/>
      </c>
      <c r="E424" s="161" t="str">
        <f>IF(ISNA(VLOOKUP(A424,Declarations!B$6:D$293,3,FALSE)),"",IF(VLOOKUP(A424,Declarations!B$6:D$293,3,FALSE)="","",VLOOKUP(A424,Declarations!B$6:D$293,3,FALSE)))</f>
        <v/>
      </c>
      <c r="F424" s="51" t="str">
        <f>IF(B424="","",IF(ISNA(VLOOKUP(A424,'75m'!F$5:G$302,2,FALSE)),"",VLOOKUP(A424,'75m'!F$5:G$302,2,FALSE)))</f>
        <v/>
      </c>
      <c r="G424" s="51">
        <f>IF(B424="",0,IF(ISNA(_xlfn.XLOOKUP(A424,'75m'!F$5:F$302,'75m'!M$5:M$302)),0,_xlfn.XLOOKUP(A424,'75m'!F$5:F$302,'75m'!M$5:M$302)))</f>
        <v>0</v>
      </c>
      <c r="H424" s="51" t="str">
        <f>IF(B424="","",IF(ISNA(VLOOKUP(A424,'75m'!F$5:K$302,5,FALSE)),"",VLOOKUP(A424,'75m'!F$5:K$302,5,FALSE)))</f>
        <v/>
      </c>
      <c r="I424" s="53">
        <f>IF(B424="",0,IF(ISNA(VLOOKUP(A424,'600m'!F$5:J$302,2,FALSE)),0,VLOOKUP(A424,'600m'!F$5:J$302,2,FALSE)))</f>
        <v>0</v>
      </c>
      <c r="J424" s="51">
        <f>IF(B424="",0,IF(ISNA(_xlfn.XLOOKUP(A424,'600m'!F$5:F$302,'600m'!M$5:M$302)),0,_xlfn.XLOOKUP(A424,'600m'!F$5:F$302,'600m'!M$5:M$302)))</f>
        <v>0</v>
      </c>
      <c r="K424" s="51" t="str">
        <f>IF(B424="","",IF(ISNA(VLOOKUP(A424,'600m'!F$5:K$302,5,FALSE)),"",VLOOKUP(A424,'600m'!F$5:K$302,5,FALSE)))</f>
        <v/>
      </c>
      <c r="L424" s="51" t="str">
        <f>IF(B424="","",IF(ISNA(VLOOKUP(A424,LongJump!F$5:G$302,2,FALSE)),"",VLOOKUP(A424,LongJump!F$5:G$302,2,FALSE)))</f>
        <v/>
      </c>
      <c r="M424" s="51">
        <f>IF(B424="",0,IF(ISNA(_xlfn.XLOOKUP(A424,LongJump!F$5:F$302,LongJump!M$5:M$302)),0,_xlfn.XLOOKUP(A424,LongJump!F$5:F$302,LongJump!M$5:M$302)))</f>
        <v>0</v>
      </c>
      <c r="N424" s="51">
        <f>IF(B424="",0,IF(ISNA(VLOOKUP(A424,LongJump!F$5:K$302,5,FALSE)),0,VLOOKUP(A424,LongJump!F$5:K$302,5,FALSE)))</f>
        <v>0</v>
      </c>
      <c r="O424" s="51" t="str">
        <f>IF(B424="","",IF(ISNA(VLOOKUP(A424,Vortex!F$5:J$302,2,FALSE)),"",VLOOKUP(A424,Vortex!F$5:J$302,2,FALSE)))</f>
        <v/>
      </c>
      <c r="P424" s="51">
        <f>IF(B424="",0,IF(ISNA(_xlfn.XLOOKUP(A424,Vortex!F$5:F$302,Vortex!M$5:M$302)),0,_xlfn.XLOOKUP(A424,Vortex!F$5:F$302,Vortex!M$5:M$302)))</f>
        <v>0</v>
      </c>
      <c r="Q424" s="51">
        <f t="shared" si="53"/>
        <v>0</v>
      </c>
      <c r="R424" s="51" t="str">
        <f t="shared" si="54"/>
        <v/>
      </c>
      <c r="S424" s="51" t="str">
        <f t="shared" si="55"/>
        <v/>
      </c>
      <c r="T424" s="51" t="str">
        <f t="shared" si="56"/>
        <v/>
      </c>
      <c r="U424" s="51" t="str">
        <f t="shared" si="57"/>
        <v/>
      </c>
    </row>
    <row r="425" spans="1:21">
      <c r="A425" s="51" t="str">
        <f>IF(Declarations!B53=0,"",Declarations!B53)</f>
        <v/>
      </c>
      <c r="B425" s="161" t="str">
        <f>IF(ISNA(VLOOKUP(A425,Declarations!B$6:C$293,2,FALSE)),"",IF(VLOOKUP(A425,Declarations!B$6:C$293,2,FALSE)="","",VLOOKUP(A425,Declarations!B$6:C$293,2,FALSE)))</f>
        <v/>
      </c>
      <c r="C425" s="161" t="str">
        <f>IF(ISNA(VLOOKUP(A425,Declarations!B$6:F$293,5,FALSE)),"",IF(VLOOKUP(A425,Declarations!B$6:F$293,5,FALSE)="","",VLOOKUP(A425,Declarations!B$6:F$293,5,FALSE)))</f>
        <v/>
      </c>
      <c r="D425" s="161" t="str">
        <f>IF(ISNA(VLOOKUP(A425,Declarations!B$6:F$293,4,FALSE)),"",IF(VLOOKUP(A425,Declarations!B$6:F$293,4,FALSE)="","",VLOOKUP(A425,Declarations!B$6:F$293,4,FALSE)))</f>
        <v/>
      </c>
      <c r="E425" s="161" t="str">
        <f>IF(ISNA(VLOOKUP(A425,Declarations!B$6:D$293,3,FALSE)),"",IF(VLOOKUP(A425,Declarations!B$6:D$293,3,FALSE)="","",VLOOKUP(A425,Declarations!B$6:D$293,3,FALSE)))</f>
        <v/>
      </c>
      <c r="F425" s="51" t="str">
        <f>IF(B425="","",IF(ISNA(VLOOKUP(A425,'75m'!F$5:G$302,2,FALSE)),"",VLOOKUP(A425,'75m'!F$5:G$302,2,FALSE)))</f>
        <v/>
      </c>
      <c r="G425" s="51">
        <f>IF(B425="",0,IF(ISNA(_xlfn.XLOOKUP(A425,'75m'!F$5:F$302,'75m'!M$5:M$302)),0,_xlfn.XLOOKUP(A425,'75m'!F$5:F$302,'75m'!M$5:M$302)))</f>
        <v>0</v>
      </c>
      <c r="H425" s="51" t="str">
        <f>IF(B425="","",IF(ISNA(VLOOKUP(A425,'75m'!F$5:K$302,5,FALSE)),"",VLOOKUP(A425,'75m'!F$5:K$302,5,FALSE)))</f>
        <v/>
      </c>
      <c r="I425" s="53">
        <f>IF(B425="",0,IF(ISNA(VLOOKUP(A425,'600m'!F$5:J$302,2,FALSE)),0,VLOOKUP(A425,'600m'!F$5:J$302,2,FALSE)))</f>
        <v>0</v>
      </c>
      <c r="J425" s="51">
        <f>IF(B425="",0,IF(ISNA(_xlfn.XLOOKUP(A425,'600m'!F$5:F$302,'600m'!M$5:M$302)),0,_xlfn.XLOOKUP(A425,'600m'!F$5:F$302,'600m'!M$5:M$302)))</f>
        <v>0</v>
      </c>
      <c r="K425" s="51" t="str">
        <f>IF(B425="","",IF(ISNA(VLOOKUP(A425,'600m'!F$5:K$302,5,FALSE)),"",VLOOKUP(A425,'600m'!F$5:K$302,5,FALSE)))</f>
        <v/>
      </c>
      <c r="L425" s="51" t="str">
        <f>IF(B425="","",IF(ISNA(VLOOKUP(A425,LongJump!F$5:G$302,2,FALSE)),"",VLOOKUP(A425,LongJump!F$5:G$302,2,FALSE)))</f>
        <v/>
      </c>
      <c r="M425" s="51">
        <f>IF(B425="",0,IF(ISNA(_xlfn.XLOOKUP(A425,LongJump!F$5:F$302,LongJump!M$5:M$302)),0,_xlfn.XLOOKUP(A425,LongJump!F$5:F$302,LongJump!M$5:M$302)))</f>
        <v>0</v>
      </c>
      <c r="N425" s="51">
        <f>IF(B425="",0,IF(ISNA(VLOOKUP(A425,LongJump!F$5:K$302,5,FALSE)),0,VLOOKUP(A425,LongJump!F$5:K$302,5,FALSE)))</f>
        <v>0</v>
      </c>
      <c r="O425" s="51" t="str">
        <f>IF(B425="","",IF(ISNA(VLOOKUP(A425,Vortex!F$5:J$302,2,FALSE)),"",VLOOKUP(A425,Vortex!F$5:J$302,2,FALSE)))</f>
        <v/>
      </c>
      <c r="P425" s="51">
        <f>IF(B425="",0,IF(ISNA(_xlfn.XLOOKUP(A425,Vortex!F$5:F$302,Vortex!M$5:M$302)),0,_xlfn.XLOOKUP(A425,Vortex!F$5:F$302,Vortex!M$5:M$302)))</f>
        <v>0</v>
      </c>
      <c r="Q425" s="51">
        <f t="shared" si="53"/>
        <v>0</v>
      </c>
      <c r="R425" s="51" t="str">
        <f t="shared" si="54"/>
        <v/>
      </c>
      <c r="S425" s="51" t="str">
        <f t="shared" si="55"/>
        <v/>
      </c>
      <c r="T425" s="51" t="str">
        <f t="shared" si="56"/>
        <v/>
      </c>
      <c r="U425" s="51" t="str">
        <f t="shared" si="57"/>
        <v/>
      </c>
    </row>
    <row r="426" spans="1:21">
      <c r="A426" s="51" t="str">
        <f>IF(Declarations!B54=0,"",Declarations!B54)</f>
        <v/>
      </c>
      <c r="B426" s="161" t="str">
        <f>IF(ISNA(VLOOKUP(A426,Declarations!B$6:C$293,2,FALSE)),"",IF(VLOOKUP(A426,Declarations!B$6:C$293,2,FALSE)="","",VLOOKUP(A426,Declarations!B$6:C$293,2,FALSE)))</f>
        <v/>
      </c>
      <c r="C426" s="161" t="str">
        <f>IF(ISNA(VLOOKUP(A426,Declarations!B$6:F$293,5,FALSE)),"",IF(VLOOKUP(A426,Declarations!B$6:F$293,5,FALSE)="","",VLOOKUP(A426,Declarations!B$6:F$293,5,FALSE)))</f>
        <v/>
      </c>
      <c r="D426" s="161" t="str">
        <f>IF(ISNA(VLOOKUP(A426,Declarations!B$6:F$293,4,FALSE)),"",IF(VLOOKUP(A426,Declarations!B$6:F$293,4,FALSE)="","",VLOOKUP(A426,Declarations!B$6:F$293,4,FALSE)))</f>
        <v/>
      </c>
      <c r="E426" s="161" t="str">
        <f>IF(ISNA(VLOOKUP(A426,Declarations!B$6:D$293,3,FALSE)),"",IF(VLOOKUP(A426,Declarations!B$6:D$293,3,FALSE)="","",VLOOKUP(A426,Declarations!B$6:D$293,3,FALSE)))</f>
        <v/>
      </c>
      <c r="F426" s="51" t="str">
        <f>IF(B426="","",IF(ISNA(VLOOKUP(A426,'75m'!F$5:G$302,2,FALSE)),"",VLOOKUP(A426,'75m'!F$5:G$302,2,FALSE)))</f>
        <v/>
      </c>
      <c r="G426" s="51">
        <f>IF(B426="",0,IF(ISNA(_xlfn.XLOOKUP(A426,'75m'!F$5:F$302,'75m'!M$5:M$302)),0,_xlfn.XLOOKUP(A426,'75m'!F$5:F$302,'75m'!M$5:M$302)))</f>
        <v>0</v>
      </c>
      <c r="H426" s="51" t="str">
        <f>IF(B426="","",IF(ISNA(VLOOKUP(A426,'75m'!F$5:K$302,5,FALSE)),"",VLOOKUP(A426,'75m'!F$5:K$302,5,FALSE)))</f>
        <v/>
      </c>
      <c r="I426" s="53">
        <f>IF(B426="",0,IF(ISNA(VLOOKUP(A426,'600m'!F$5:J$302,2,FALSE)),0,VLOOKUP(A426,'600m'!F$5:J$302,2,FALSE)))</f>
        <v>0</v>
      </c>
      <c r="J426" s="51">
        <f>IF(B426="",0,IF(ISNA(_xlfn.XLOOKUP(A426,'600m'!F$5:F$302,'600m'!M$5:M$302)),0,_xlfn.XLOOKUP(A426,'600m'!F$5:F$302,'600m'!M$5:M$302)))</f>
        <v>0</v>
      </c>
      <c r="K426" s="51" t="str">
        <f>IF(B426="","",IF(ISNA(VLOOKUP(A426,'600m'!F$5:K$302,5,FALSE)),"",VLOOKUP(A426,'600m'!F$5:K$302,5,FALSE)))</f>
        <v/>
      </c>
      <c r="L426" s="51" t="str">
        <f>IF(B426="","",IF(ISNA(VLOOKUP(A426,LongJump!F$5:G$302,2,FALSE)),"",VLOOKUP(A426,LongJump!F$5:G$302,2,FALSE)))</f>
        <v/>
      </c>
      <c r="M426" s="51">
        <f>IF(B426="",0,IF(ISNA(_xlfn.XLOOKUP(A426,LongJump!F$5:F$302,LongJump!M$5:M$302)),0,_xlfn.XLOOKUP(A426,LongJump!F$5:F$302,LongJump!M$5:M$302)))</f>
        <v>0</v>
      </c>
      <c r="N426" s="51">
        <f>IF(B426="",0,IF(ISNA(VLOOKUP(A426,LongJump!F$5:K$302,5,FALSE)),0,VLOOKUP(A426,LongJump!F$5:K$302,5,FALSE)))</f>
        <v>0</v>
      </c>
      <c r="O426" s="51" t="str">
        <f>IF(B426="","",IF(ISNA(VLOOKUP(A426,Vortex!F$5:J$302,2,FALSE)),"",VLOOKUP(A426,Vortex!F$5:J$302,2,FALSE)))</f>
        <v/>
      </c>
      <c r="P426" s="51">
        <f>IF(B426="",0,IF(ISNA(_xlfn.XLOOKUP(A426,Vortex!F$5:F$302,Vortex!M$5:M$302)),0,_xlfn.XLOOKUP(A426,Vortex!F$5:F$302,Vortex!M$5:M$302)))</f>
        <v>0</v>
      </c>
      <c r="Q426" s="51">
        <f t="shared" si="53"/>
        <v>0</v>
      </c>
      <c r="R426" s="51" t="str">
        <f t="shared" si="54"/>
        <v/>
      </c>
      <c r="S426" s="51" t="str">
        <f t="shared" si="55"/>
        <v/>
      </c>
      <c r="T426" s="51" t="str">
        <f t="shared" si="56"/>
        <v/>
      </c>
      <c r="U426" s="51" t="str">
        <f t="shared" si="57"/>
        <v/>
      </c>
    </row>
    <row r="427" spans="1:21">
      <c r="A427" s="51" t="str">
        <f>IF(Declarations!B55=0,"",Declarations!B55)</f>
        <v/>
      </c>
      <c r="B427" s="161" t="str">
        <f>IF(ISNA(VLOOKUP(A427,Declarations!B$6:C$293,2,FALSE)),"",IF(VLOOKUP(A427,Declarations!B$6:C$293,2,FALSE)="","",VLOOKUP(A427,Declarations!B$6:C$293,2,FALSE)))</f>
        <v/>
      </c>
      <c r="C427" s="161" t="str">
        <f>IF(ISNA(VLOOKUP(A427,Declarations!B$6:F$293,5,FALSE)),"",IF(VLOOKUP(A427,Declarations!B$6:F$293,5,FALSE)="","",VLOOKUP(A427,Declarations!B$6:F$293,5,FALSE)))</f>
        <v/>
      </c>
      <c r="D427" s="161" t="str">
        <f>IF(ISNA(VLOOKUP(A427,Declarations!B$6:F$293,4,FALSE)),"",IF(VLOOKUP(A427,Declarations!B$6:F$293,4,FALSE)="","",VLOOKUP(A427,Declarations!B$6:F$293,4,FALSE)))</f>
        <v/>
      </c>
      <c r="E427" s="161" t="str">
        <f>IF(ISNA(VLOOKUP(A427,Declarations!B$6:D$293,3,FALSE)),"",IF(VLOOKUP(A427,Declarations!B$6:D$293,3,FALSE)="","",VLOOKUP(A427,Declarations!B$6:D$293,3,FALSE)))</f>
        <v/>
      </c>
      <c r="F427" s="51" t="str">
        <f>IF(B427="","",IF(ISNA(VLOOKUP(A427,'75m'!F$5:G$302,2,FALSE)),"",VLOOKUP(A427,'75m'!F$5:G$302,2,FALSE)))</f>
        <v/>
      </c>
      <c r="G427" s="51">
        <f>IF(B427="",0,IF(ISNA(_xlfn.XLOOKUP(A427,'75m'!F$5:F$302,'75m'!M$5:M$302)),0,_xlfn.XLOOKUP(A427,'75m'!F$5:F$302,'75m'!M$5:M$302)))</f>
        <v>0</v>
      </c>
      <c r="H427" s="51" t="str">
        <f>IF(B427="","",IF(ISNA(VLOOKUP(A427,'75m'!F$5:K$302,5,FALSE)),"",VLOOKUP(A427,'75m'!F$5:K$302,5,FALSE)))</f>
        <v/>
      </c>
      <c r="I427" s="53">
        <f>IF(B427="",0,IF(ISNA(VLOOKUP(A427,'600m'!F$5:J$302,2,FALSE)),0,VLOOKUP(A427,'600m'!F$5:J$302,2,FALSE)))</f>
        <v>0</v>
      </c>
      <c r="J427" s="51">
        <f>IF(B427="",0,IF(ISNA(_xlfn.XLOOKUP(A427,'600m'!F$5:F$302,'600m'!M$5:M$302)),0,_xlfn.XLOOKUP(A427,'600m'!F$5:F$302,'600m'!M$5:M$302)))</f>
        <v>0</v>
      </c>
      <c r="K427" s="51" t="str">
        <f>IF(B427="","",IF(ISNA(VLOOKUP(A427,'600m'!F$5:K$302,5,FALSE)),"",VLOOKUP(A427,'600m'!F$5:K$302,5,FALSE)))</f>
        <v/>
      </c>
      <c r="L427" s="51" t="str">
        <f>IF(B427="","",IF(ISNA(VLOOKUP(A427,LongJump!F$5:G$302,2,FALSE)),"",VLOOKUP(A427,LongJump!F$5:G$302,2,FALSE)))</f>
        <v/>
      </c>
      <c r="M427" s="51">
        <f>IF(B427="",0,IF(ISNA(_xlfn.XLOOKUP(A427,LongJump!F$5:F$302,LongJump!M$5:M$302)),0,_xlfn.XLOOKUP(A427,LongJump!F$5:F$302,LongJump!M$5:M$302)))</f>
        <v>0</v>
      </c>
      <c r="N427" s="51">
        <f>IF(B427="",0,IF(ISNA(VLOOKUP(A427,LongJump!F$5:K$302,5,FALSE)),0,VLOOKUP(A427,LongJump!F$5:K$302,5,FALSE)))</f>
        <v>0</v>
      </c>
      <c r="O427" s="51" t="str">
        <f>IF(B427="","",IF(ISNA(VLOOKUP(A427,Vortex!F$5:J$302,2,FALSE)),"",VLOOKUP(A427,Vortex!F$5:J$302,2,FALSE)))</f>
        <v/>
      </c>
      <c r="P427" s="51">
        <f>IF(B427="",0,IF(ISNA(_xlfn.XLOOKUP(A427,Vortex!F$5:F$302,Vortex!M$5:M$302)),0,_xlfn.XLOOKUP(A427,Vortex!F$5:F$302,Vortex!M$5:M$302)))</f>
        <v>0</v>
      </c>
      <c r="Q427" s="51">
        <f t="shared" si="53"/>
        <v>0</v>
      </c>
      <c r="R427" s="51" t="str">
        <f t="shared" si="54"/>
        <v/>
      </c>
      <c r="S427" s="51" t="str">
        <f t="shared" si="55"/>
        <v/>
      </c>
      <c r="T427" s="51" t="str">
        <f t="shared" si="56"/>
        <v/>
      </c>
      <c r="U427" s="51" t="str">
        <f t="shared" si="57"/>
        <v/>
      </c>
    </row>
    <row r="428" spans="1:21">
      <c r="A428" s="51" t="str">
        <f>IF(Declarations!B56=0,"",Declarations!B56)</f>
        <v/>
      </c>
      <c r="B428" s="161" t="str">
        <f>IF(ISNA(VLOOKUP(A428,Declarations!B$6:C$293,2,FALSE)),"",IF(VLOOKUP(A428,Declarations!B$6:C$293,2,FALSE)="","",VLOOKUP(A428,Declarations!B$6:C$293,2,FALSE)))</f>
        <v/>
      </c>
      <c r="C428" s="161" t="str">
        <f>IF(ISNA(VLOOKUP(A428,Declarations!B$6:F$293,5,FALSE)),"",IF(VLOOKUP(A428,Declarations!B$6:F$293,5,FALSE)="","",VLOOKUP(A428,Declarations!B$6:F$293,5,FALSE)))</f>
        <v/>
      </c>
      <c r="D428" s="161" t="str">
        <f>IF(ISNA(VLOOKUP(A428,Declarations!B$6:F$293,4,FALSE)),"",IF(VLOOKUP(A428,Declarations!B$6:F$293,4,FALSE)="","",VLOOKUP(A428,Declarations!B$6:F$293,4,FALSE)))</f>
        <v/>
      </c>
      <c r="E428" s="161" t="str">
        <f>IF(ISNA(VLOOKUP(A428,Declarations!B$6:D$293,3,FALSE)),"",IF(VLOOKUP(A428,Declarations!B$6:D$293,3,FALSE)="","",VLOOKUP(A428,Declarations!B$6:D$293,3,FALSE)))</f>
        <v/>
      </c>
      <c r="F428" s="51" t="str">
        <f>IF(B428="","",IF(ISNA(VLOOKUP(A428,'75m'!F$5:G$302,2,FALSE)),"",VLOOKUP(A428,'75m'!F$5:G$302,2,FALSE)))</f>
        <v/>
      </c>
      <c r="G428" s="51">
        <f>IF(B428="",0,IF(ISNA(_xlfn.XLOOKUP(A428,'75m'!F$5:F$302,'75m'!M$5:M$302)),0,_xlfn.XLOOKUP(A428,'75m'!F$5:F$302,'75m'!M$5:M$302)))</f>
        <v>0</v>
      </c>
      <c r="H428" s="51" t="str">
        <f>IF(B428="","",IF(ISNA(VLOOKUP(A428,'75m'!F$5:K$302,5,FALSE)),"",VLOOKUP(A428,'75m'!F$5:K$302,5,FALSE)))</f>
        <v/>
      </c>
      <c r="I428" s="53">
        <f>IF(B428="",0,IF(ISNA(VLOOKUP(A428,'600m'!F$5:J$302,2,FALSE)),0,VLOOKUP(A428,'600m'!F$5:J$302,2,FALSE)))</f>
        <v>0</v>
      </c>
      <c r="J428" s="51">
        <f>IF(B428="",0,IF(ISNA(_xlfn.XLOOKUP(A428,'600m'!F$5:F$302,'600m'!M$5:M$302)),0,_xlfn.XLOOKUP(A428,'600m'!F$5:F$302,'600m'!M$5:M$302)))</f>
        <v>0</v>
      </c>
      <c r="K428" s="51" t="str">
        <f>IF(B428="","",IF(ISNA(VLOOKUP(A428,'600m'!F$5:K$302,5,FALSE)),"",VLOOKUP(A428,'600m'!F$5:K$302,5,FALSE)))</f>
        <v/>
      </c>
      <c r="L428" s="51" t="str">
        <f>IF(B428="","",IF(ISNA(VLOOKUP(A428,LongJump!F$5:G$302,2,FALSE)),"",VLOOKUP(A428,LongJump!F$5:G$302,2,FALSE)))</f>
        <v/>
      </c>
      <c r="M428" s="51">
        <f>IF(B428="",0,IF(ISNA(_xlfn.XLOOKUP(A428,LongJump!F$5:F$302,LongJump!M$5:M$302)),0,_xlfn.XLOOKUP(A428,LongJump!F$5:F$302,LongJump!M$5:M$302)))</f>
        <v>0</v>
      </c>
      <c r="N428" s="51">
        <f>IF(B428="",0,IF(ISNA(VLOOKUP(A428,LongJump!F$5:K$302,5,FALSE)),0,VLOOKUP(A428,LongJump!F$5:K$302,5,FALSE)))</f>
        <v>0</v>
      </c>
      <c r="O428" s="51" t="str">
        <f>IF(B428="","",IF(ISNA(VLOOKUP(A428,Vortex!F$5:J$302,2,FALSE)),"",VLOOKUP(A428,Vortex!F$5:J$302,2,FALSE)))</f>
        <v/>
      </c>
      <c r="P428" s="51">
        <f>IF(B428="",0,IF(ISNA(_xlfn.XLOOKUP(A428,Vortex!F$5:F$302,Vortex!M$5:M$302)),0,_xlfn.XLOOKUP(A428,Vortex!F$5:F$302,Vortex!M$5:M$302)))</f>
        <v>0</v>
      </c>
      <c r="Q428" s="51">
        <f t="shared" si="53"/>
        <v>0</v>
      </c>
      <c r="R428" s="51" t="str">
        <f t="shared" si="54"/>
        <v/>
      </c>
      <c r="S428" s="51" t="str">
        <f t="shared" si="55"/>
        <v/>
      </c>
      <c r="T428" s="51" t="str">
        <f t="shared" si="56"/>
        <v/>
      </c>
      <c r="U428" s="51" t="str">
        <f t="shared" si="57"/>
        <v/>
      </c>
    </row>
    <row r="429" spans="1:21">
      <c r="A429" s="51" t="str">
        <f>IF(Declarations!B57=0,"",Declarations!B57)</f>
        <v/>
      </c>
      <c r="B429" s="161" t="str">
        <f>IF(ISNA(VLOOKUP(A429,Declarations!B$6:C$293,2,FALSE)),"",IF(VLOOKUP(A429,Declarations!B$6:C$293,2,FALSE)="","",VLOOKUP(A429,Declarations!B$6:C$293,2,FALSE)))</f>
        <v/>
      </c>
      <c r="C429" s="161" t="str">
        <f>IF(ISNA(VLOOKUP(A429,Declarations!B$6:F$293,5,FALSE)),"",IF(VLOOKUP(A429,Declarations!B$6:F$293,5,FALSE)="","",VLOOKUP(A429,Declarations!B$6:F$293,5,FALSE)))</f>
        <v/>
      </c>
      <c r="D429" s="161" t="str">
        <f>IF(ISNA(VLOOKUP(A429,Declarations!B$6:F$293,4,FALSE)),"",IF(VLOOKUP(A429,Declarations!B$6:F$293,4,FALSE)="","",VLOOKUP(A429,Declarations!B$6:F$293,4,FALSE)))</f>
        <v/>
      </c>
      <c r="E429" s="161" t="str">
        <f>IF(ISNA(VLOOKUP(A429,Declarations!B$6:D$293,3,FALSE)),"",IF(VLOOKUP(A429,Declarations!B$6:D$293,3,FALSE)="","",VLOOKUP(A429,Declarations!B$6:D$293,3,FALSE)))</f>
        <v/>
      </c>
      <c r="F429" s="51" t="str">
        <f>IF(B429="","",IF(ISNA(VLOOKUP(A429,'75m'!F$5:G$302,2,FALSE)),"",VLOOKUP(A429,'75m'!F$5:G$302,2,FALSE)))</f>
        <v/>
      </c>
      <c r="G429" s="51">
        <f>IF(B429="",0,IF(ISNA(_xlfn.XLOOKUP(A429,'75m'!F$5:F$302,'75m'!M$5:M$302)),0,_xlfn.XLOOKUP(A429,'75m'!F$5:F$302,'75m'!M$5:M$302)))</f>
        <v>0</v>
      </c>
      <c r="H429" s="51" t="str">
        <f>IF(B429="","",IF(ISNA(VLOOKUP(A429,'75m'!F$5:K$302,5,FALSE)),"",VLOOKUP(A429,'75m'!F$5:K$302,5,FALSE)))</f>
        <v/>
      </c>
      <c r="I429" s="53">
        <f>IF(B429="",0,IF(ISNA(VLOOKUP(A429,'600m'!F$5:J$302,2,FALSE)),0,VLOOKUP(A429,'600m'!F$5:J$302,2,FALSE)))</f>
        <v>0</v>
      </c>
      <c r="J429" s="51">
        <f>IF(B429="",0,IF(ISNA(_xlfn.XLOOKUP(A429,'600m'!F$5:F$302,'600m'!M$5:M$302)),0,_xlfn.XLOOKUP(A429,'600m'!F$5:F$302,'600m'!M$5:M$302)))</f>
        <v>0</v>
      </c>
      <c r="K429" s="51" t="str">
        <f>IF(B429="","",IF(ISNA(VLOOKUP(A429,'600m'!F$5:K$302,5,FALSE)),"",VLOOKUP(A429,'600m'!F$5:K$302,5,FALSE)))</f>
        <v/>
      </c>
      <c r="L429" s="51" t="str">
        <f>IF(B429="","",IF(ISNA(VLOOKUP(A429,LongJump!F$5:G$302,2,FALSE)),"",VLOOKUP(A429,LongJump!F$5:G$302,2,FALSE)))</f>
        <v/>
      </c>
      <c r="M429" s="51">
        <f>IF(B429="",0,IF(ISNA(_xlfn.XLOOKUP(A429,LongJump!F$5:F$302,LongJump!M$5:M$302)),0,_xlfn.XLOOKUP(A429,LongJump!F$5:F$302,LongJump!M$5:M$302)))</f>
        <v>0</v>
      </c>
      <c r="N429" s="51">
        <f>IF(B429="",0,IF(ISNA(VLOOKUP(A429,LongJump!F$5:K$302,5,FALSE)),0,VLOOKUP(A429,LongJump!F$5:K$302,5,FALSE)))</f>
        <v>0</v>
      </c>
      <c r="O429" s="51" t="str">
        <f>IF(B429="","",IF(ISNA(VLOOKUP(A429,Vortex!F$5:J$302,2,FALSE)),"",VLOOKUP(A429,Vortex!F$5:J$302,2,FALSE)))</f>
        <v/>
      </c>
      <c r="P429" s="51">
        <f>IF(B429="",0,IF(ISNA(_xlfn.XLOOKUP(A429,Vortex!F$5:F$302,Vortex!M$5:M$302)),0,_xlfn.XLOOKUP(A429,Vortex!F$5:F$302,Vortex!M$5:M$302)))</f>
        <v>0</v>
      </c>
      <c r="Q429" s="51">
        <f t="shared" si="53"/>
        <v>0</v>
      </c>
      <c r="R429" s="51" t="str">
        <f t="shared" si="54"/>
        <v/>
      </c>
      <c r="S429" s="51" t="str">
        <f t="shared" si="55"/>
        <v/>
      </c>
      <c r="T429" s="51" t="str">
        <f t="shared" si="56"/>
        <v/>
      </c>
      <c r="U429" s="51" t="str">
        <f t="shared" si="57"/>
        <v/>
      </c>
    </row>
    <row r="430" spans="1:21">
      <c r="A430" s="51" t="str">
        <f>IF(Declarations!B58=0,"",Declarations!B58)</f>
        <v/>
      </c>
      <c r="B430" s="161" t="str">
        <f>IF(ISNA(VLOOKUP(A430,Declarations!B$6:C$293,2,FALSE)),"",IF(VLOOKUP(A430,Declarations!B$6:C$293,2,FALSE)="","",VLOOKUP(A430,Declarations!B$6:C$293,2,FALSE)))</f>
        <v/>
      </c>
      <c r="C430" s="161" t="str">
        <f>IF(ISNA(VLOOKUP(A430,Declarations!B$6:F$293,5,FALSE)),"",IF(VLOOKUP(A430,Declarations!B$6:F$293,5,FALSE)="","",VLOOKUP(A430,Declarations!B$6:F$293,5,FALSE)))</f>
        <v/>
      </c>
      <c r="D430" s="161" t="str">
        <f>IF(ISNA(VLOOKUP(A430,Declarations!B$6:F$293,4,FALSE)),"",IF(VLOOKUP(A430,Declarations!B$6:F$293,4,FALSE)="","",VLOOKUP(A430,Declarations!B$6:F$293,4,FALSE)))</f>
        <v/>
      </c>
      <c r="E430" s="161" t="str">
        <f>IF(ISNA(VLOOKUP(A430,Declarations!B$6:D$293,3,FALSE)),"",IF(VLOOKUP(A430,Declarations!B$6:D$293,3,FALSE)="","",VLOOKUP(A430,Declarations!B$6:D$293,3,FALSE)))</f>
        <v/>
      </c>
      <c r="F430" s="51" t="str">
        <f>IF(B430="","",IF(ISNA(VLOOKUP(A430,'75m'!F$5:G$302,2,FALSE)),"",VLOOKUP(A430,'75m'!F$5:G$302,2,FALSE)))</f>
        <v/>
      </c>
      <c r="G430" s="51">
        <f>IF(B430="",0,IF(ISNA(_xlfn.XLOOKUP(A430,'75m'!F$5:F$302,'75m'!M$5:M$302)),0,_xlfn.XLOOKUP(A430,'75m'!F$5:F$302,'75m'!M$5:M$302)))</f>
        <v>0</v>
      </c>
      <c r="H430" s="51" t="str">
        <f>IF(B430="","",IF(ISNA(VLOOKUP(A430,'75m'!F$5:K$302,5,FALSE)),"",VLOOKUP(A430,'75m'!F$5:K$302,5,FALSE)))</f>
        <v/>
      </c>
      <c r="I430" s="53">
        <f>IF(B430="",0,IF(ISNA(VLOOKUP(A430,'600m'!F$5:J$302,2,FALSE)),0,VLOOKUP(A430,'600m'!F$5:J$302,2,FALSE)))</f>
        <v>0</v>
      </c>
      <c r="J430" s="51">
        <f>IF(B430="",0,IF(ISNA(_xlfn.XLOOKUP(A430,'600m'!F$5:F$302,'600m'!M$5:M$302)),0,_xlfn.XLOOKUP(A430,'600m'!F$5:F$302,'600m'!M$5:M$302)))</f>
        <v>0</v>
      </c>
      <c r="K430" s="51" t="str">
        <f>IF(B430="","",IF(ISNA(VLOOKUP(A430,'600m'!F$5:K$302,5,FALSE)),"",VLOOKUP(A430,'600m'!F$5:K$302,5,FALSE)))</f>
        <v/>
      </c>
      <c r="L430" s="51" t="str">
        <f>IF(B430="","",IF(ISNA(VLOOKUP(A430,LongJump!F$5:G$302,2,FALSE)),"",VLOOKUP(A430,LongJump!F$5:G$302,2,FALSE)))</f>
        <v/>
      </c>
      <c r="M430" s="51">
        <f>IF(B430="",0,IF(ISNA(_xlfn.XLOOKUP(A430,LongJump!F$5:F$302,LongJump!M$5:M$302)),0,_xlfn.XLOOKUP(A430,LongJump!F$5:F$302,LongJump!M$5:M$302)))</f>
        <v>0</v>
      </c>
      <c r="N430" s="51">
        <f>IF(B430="",0,IF(ISNA(VLOOKUP(A430,LongJump!F$5:K$302,5,FALSE)),0,VLOOKUP(A430,LongJump!F$5:K$302,5,FALSE)))</f>
        <v>0</v>
      </c>
      <c r="O430" s="51" t="str">
        <f>IF(B430="","",IF(ISNA(VLOOKUP(A430,Vortex!F$5:J$302,2,FALSE)),"",VLOOKUP(A430,Vortex!F$5:J$302,2,FALSE)))</f>
        <v/>
      </c>
      <c r="P430" s="51">
        <f>IF(B430="",0,IF(ISNA(_xlfn.XLOOKUP(A430,Vortex!F$5:F$302,Vortex!M$5:M$302)),0,_xlfn.XLOOKUP(A430,Vortex!F$5:F$302,Vortex!M$5:M$302)))</f>
        <v>0</v>
      </c>
      <c r="Q430" s="51">
        <f t="shared" si="53"/>
        <v>0</v>
      </c>
      <c r="R430" s="51" t="str">
        <f t="shared" si="54"/>
        <v/>
      </c>
      <c r="S430" s="51" t="str">
        <f t="shared" si="55"/>
        <v/>
      </c>
      <c r="T430" s="51" t="str">
        <f t="shared" si="56"/>
        <v/>
      </c>
      <c r="U430" s="51" t="str">
        <f t="shared" si="57"/>
        <v/>
      </c>
    </row>
    <row r="431" spans="1:21">
      <c r="A431" s="51" t="str">
        <f>IF(Declarations!B59=0,"",Declarations!B59)</f>
        <v/>
      </c>
      <c r="B431" s="161" t="str">
        <f>IF(ISNA(VLOOKUP(A431,Declarations!B$6:C$293,2,FALSE)),"",IF(VLOOKUP(A431,Declarations!B$6:C$293,2,FALSE)="","",VLOOKUP(A431,Declarations!B$6:C$293,2,FALSE)))</f>
        <v/>
      </c>
      <c r="C431" s="161" t="str">
        <f>IF(ISNA(VLOOKUP(A431,Declarations!B$6:F$293,5,FALSE)),"",IF(VLOOKUP(A431,Declarations!B$6:F$293,5,FALSE)="","",VLOOKUP(A431,Declarations!B$6:F$293,5,FALSE)))</f>
        <v/>
      </c>
      <c r="D431" s="161" t="str">
        <f>IF(ISNA(VLOOKUP(A431,Declarations!B$6:F$293,4,FALSE)),"",IF(VLOOKUP(A431,Declarations!B$6:F$293,4,FALSE)="","",VLOOKUP(A431,Declarations!B$6:F$293,4,FALSE)))</f>
        <v/>
      </c>
      <c r="E431" s="161" t="str">
        <f>IF(ISNA(VLOOKUP(A431,Declarations!B$6:D$293,3,FALSE)),"",IF(VLOOKUP(A431,Declarations!B$6:D$293,3,FALSE)="","",VLOOKUP(A431,Declarations!B$6:D$293,3,FALSE)))</f>
        <v/>
      </c>
      <c r="F431" s="51" t="str">
        <f>IF(B431="","",IF(ISNA(VLOOKUP(A431,'75m'!F$5:G$302,2,FALSE)),"",VLOOKUP(A431,'75m'!F$5:G$302,2,FALSE)))</f>
        <v/>
      </c>
      <c r="G431" s="51">
        <f>IF(B431="",0,IF(ISNA(_xlfn.XLOOKUP(A431,'75m'!F$5:F$302,'75m'!M$5:M$302)),0,_xlfn.XLOOKUP(A431,'75m'!F$5:F$302,'75m'!M$5:M$302)))</f>
        <v>0</v>
      </c>
      <c r="H431" s="51" t="str">
        <f>IF(B431="","",IF(ISNA(VLOOKUP(A431,'75m'!F$5:K$302,5,FALSE)),"",VLOOKUP(A431,'75m'!F$5:K$302,5,FALSE)))</f>
        <v/>
      </c>
      <c r="I431" s="53">
        <f>IF(B431="",0,IF(ISNA(VLOOKUP(A431,'600m'!F$5:J$302,2,FALSE)),0,VLOOKUP(A431,'600m'!F$5:J$302,2,FALSE)))</f>
        <v>0</v>
      </c>
      <c r="J431" s="51">
        <f>IF(B431="",0,IF(ISNA(_xlfn.XLOOKUP(A431,'600m'!F$5:F$302,'600m'!M$5:M$302)),0,_xlfn.XLOOKUP(A431,'600m'!F$5:F$302,'600m'!M$5:M$302)))</f>
        <v>0</v>
      </c>
      <c r="K431" s="51" t="str">
        <f>IF(B431="","",IF(ISNA(VLOOKUP(A431,'600m'!F$5:K$302,5,FALSE)),"",VLOOKUP(A431,'600m'!F$5:K$302,5,FALSE)))</f>
        <v/>
      </c>
      <c r="L431" s="51" t="str">
        <f>IF(B431="","",IF(ISNA(VLOOKUP(A431,LongJump!F$5:G$302,2,FALSE)),"",VLOOKUP(A431,LongJump!F$5:G$302,2,FALSE)))</f>
        <v/>
      </c>
      <c r="M431" s="51">
        <f>IF(B431="",0,IF(ISNA(_xlfn.XLOOKUP(A431,LongJump!F$5:F$302,LongJump!M$5:M$302)),0,_xlfn.XLOOKUP(A431,LongJump!F$5:F$302,LongJump!M$5:M$302)))</f>
        <v>0</v>
      </c>
      <c r="N431" s="51">
        <f>IF(B431="",0,IF(ISNA(VLOOKUP(A431,LongJump!F$5:K$302,5,FALSE)),0,VLOOKUP(A431,LongJump!F$5:K$302,5,FALSE)))</f>
        <v>0</v>
      </c>
      <c r="O431" s="51" t="str">
        <f>IF(B431="","",IF(ISNA(VLOOKUP(A431,Vortex!F$5:J$302,2,FALSE)),"",VLOOKUP(A431,Vortex!F$5:J$302,2,FALSE)))</f>
        <v/>
      </c>
      <c r="P431" s="51">
        <f>IF(B431="",0,IF(ISNA(_xlfn.XLOOKUP(A431,Vortex!F$5:F$302,Vortex!M$5:M$302)),0,_xlfn.XLOOKUP(A431,Vortex!F$5:F$302,Vortex!M$5:M$302)))</f>
        <v>0</v>
      </c>
      <c r="Q431" s="51">
        <f t="shared" si="53"/>
        <v>0</v>
      </c>
      <c r="R431" s="51" t="str">
        <f t="shared" si="54"/>
        <v/>
      </c>
      <c r="S431" s="51" t="str">
        <f t="shared" si="55"/>
        <v/>
      </c>
      <c r="T431" s="51" t="str">
        <f t="shared" si="56"/>
        <v/>
      </c>
      <c r="U431" s="51" t="str">
        <f t="shared" si="57"/>
        <v/>
      </c>
    </row>
    <row r="432" spans="1:21">
      <c r="A432" s="51" t="str">
        <f>IF(Declarations!B60=0,"",Declarations!B60)</f>
        <v/>
      </c>
      <c r="B432" s="161" t="str">
        <f>IF(ISNA(VLOOKUP(A432,Declarations!B$6:C$293,2,FALSE)),"",IF(VLOOKUP(A432,Declarations!B$6:C$293,2,FALSE)="","",VLOOKUP(A432,Declarations!B$6:C$293,2,FALSE)))</f>
        <v/>
      </c>
      <c r="C432" s="161" t="str">
        <f>IF(ISNA(VLOOKUP(A432,Declarations!B$6:F$293,5,FALSE)),"",IF(VLOOKUP(A432,Declarations!B$6:F$293,5,FALSE)="","",VLOOKUP(A432,Declarations!B$6:F$293,5,FALSE)))</f>
        <v/>
      </c>
      <c r="D432" s="161" t="str">
        <f>IF(ISNA(VLOOKUP(A432,Declarations!B$6:F$293,4,FALSE)),"",IF(VLOOKUP(A432,Declarations!B$6:F$293,4,FALSE)="","",VLOOKUP(A432,Declarations!B$6:F$293,4,FALSE)))</f>
        <v/>
      </c>
      <c r="E432" s="161" t="str">
        <f>IF(ISNA(VLOOKUP(A432,Declarations!B$6:D$293,3,FALSE)),"",IF(VLOOKUP(A432,Declarations!B$6:D$293,3,FALSE)="","",VLOOKUP(A432,Declarations!B$6:D$293,3,FALSE)))</f>
        <v/>
      </c>
      <c r="F432" s="51" t="str">
        <f>IF(B432="","",IF(ISNA(VLOOKUP(A432,'75m'!F$5:G$302,2,FALSE)),"",VLOOKUP(A432,'75m'!F$5:G$302,2,FALSE)))</f>
        <v/>
      </c>
      <c r="G432" s="51">
        <f>IF(B432="",0,IF(ISNA(_xlfn.XLOOKUP(A432,'75m'!F$5:F$302,'75m'!M$5:M$302)),0,_xlfn.XLOOKUP(A432,'75m'!F$5:F$302,'75m'!M$5:M$302)))</f>
        <v>0</v>
      </c>
      <c r="H432" s="51" t="str">
        <f>IF(B432="","",IF(ISNA(VLOOKUP(A432,'75m'!F$5:K$302,5,FALSE)),"",VLOOKUP(A432,'75m'!F$5:K$302,5,FALSE)))</f>
        <v/>
      </c>
      <c r="I432" s="53">
        <f>IF(B432="",0,IF(ISNA(VLOOKUP(A432,'600m'!F$5:J$302,2,FALSE)),0,VLOOKUP(A432,'600m'!F$5:J$302,2,FALSE)))</f>
        <v>0</v>
      </c>
      <c r="J432" s="51">
        <f>IF(B432="",0,IF(ISNA(_xlfn.XLOOKUP(A432,'600m'!F$5:F$302,'600m'!M$5:M$302)),0,_xlfn.XLOOKUP(A432,'600m'!F$5:F$302,'600m'!M$5:M$302)))</f>
        <v>0</v>
      </c>
      <c r="K432" s="51" t="str">
        <f>IF(B432="","",IF(ISNA(VLOOKUP(A432,'600m'!F$5:K$302,5,FALSE)),"",VLOOKUP(A432,'600m'!F$5:K$302,5,FALSE)))</f>
        <v/>
      </c>
      <c r="L432" s="51" t="str">
        <f>IF(B432="","",IF(ISNA(VLOOKUP(A432,LongJump!F$5:G$302,2,FALSE)),"",VLOOKUP(A432,LongJump!F$5:G$302,2,FALSE)))</f>
        <v/>
      </c>
      <c r="M432" s="51">
        <f>IF(B432="",0,IF(ISNA(_xlfn.XLOOKUP(A432,LongJump!F$5:F$302,LongJump!M$5:M$302)),0,_xlfn.XLOOKUP(A432,LongJump!F$5:F$302,LongJump!M$5:M$302)))</f>
        <v>0</v>
      </c>
      <c r="N432" s="51">
        <f>IF(B432="",0,IF(ISNA(VLOOKUP(A432,LongJump!F$5:K$302,5,FALSE)),0,VLOOKUP(A432,LongJump!F$5:K$302,5,FALSE)))</f>
        <v>0</v>
      </c>
      <c r="O432" s="51" t="str">
        <f>IF(B432="","",IF(ISNA(VLOOKUP(A432,Vortex!F$5:J$302,2,FALSE)),"",VLOOKUP(A432,Vortex!F$5:J$302,2,FALSE)))</f>
        <v/>
      </c>
      <c r="P432" s="51">
        <f>IF(B432="",0,IF(ISNA(_xlfn.XLOOKUP(A432,Vortex!F$5:F$302,Vortex!M$5:M$302)),0,_xlfn.XLOOKUP(A432,Vortex!F$5:F$302,Vortex!M$5:M$302)))</f>
        <v>0</v>
      </c>
      <c r="Q432" s="51">
        <f t="shared" si="53"/>
        <v>0</v>
      </c>
      <c r="R432" s="51" t="str">
        <f t="shared" si="54"/>
        <v/>
      </c>
      <c r="S432" s="51" t="str">
        <f t="shared" si="55"/>
        <v/>
      </c>
      <c r="T432" s="51" t="str">
        <f t="shared" si="56"/>
        <v/>
      </c>
      <c r="U432" s="51" t="str">
        <f t="shared" si="57"/>
        <v/>
      </c>
    </row>
    <row r="433" spans="1:21">
      <c r="A433" s="51" t="str">
        <f>IF(Declarations!B61=0,"",Declarations!B61)</f>
        <v/>
      </c>
      <c r="B433" s="161" t="str">
        <f>IF(ISNA(VLOOKUP(A433,Declarations!B$6:C$293,2,FALSE)),"",IF(VLOOKUP(A433,Declarations!B$6:C$293,2,FALSE)="","",VLOOKUP(A433,Declarations!B$6:C$293,2,FALSE)))</f>
        <v/>
      </c>
      <c r="C433" s="161" t="str">
        <f>IF(ISNA(VLOOKUP(A433,Declarations!B$6:F$293,5,FALSE)),"",IF(VLOOKUP(A433,Declarations!B$6:F$293,5,FALSE)="","",VLOOKUP(A433,Declarations!B$6:F$293,5,FALSE)))</f>
        <v/>
      </c>
      <c r="D433" s="161" t="str">
        <f>IF(ISNA(VLOOKUP(A433,Declarations!B$6:F$293,4,FALSE)),"",IF(VLOOKUP(A433,Declarations!B$6:F$293,4,FALSE)="","",VLOOKUP(A433,Declarations!B$6:F$293,4,FALSE)))</f>
        <v/>
      </c>
      <c r="E433" s="161" t="str">
        <f>IF(ISNA(VLOOKUP(A433,Declarations!B$6:D$293,3,FALSE)),"",IF(VLOOKUP(A433,Declarations!B$6:D$293,3,FALSE)="","",VLOOKUP(A433,Declarations!B$6:D$293,3,FALSE)))</f>
        <v/>
      </c>
      <c r="F433" s="51" t="str">
        <f>IF(B433="","",IF(ISNA(VLOOKUP(A433,'75m'!F$5:G$302,2,FALSE)),"",VLOOKUP(A433,'75m'!F$5:G$302,2,FALSE)))</f>
        <v/>
      </c>
      <c r="G433" s="51">
        <f>IF(B433="",0,IF(ISNA(_xlfn.XLOOKUP(A433,'75m'!F$5:F$302,'75m'!M$5:M$302)),0,_xlfn.XLOOKUP(A433,'75m'!F$5:F$302,'75m'!M$5:M$302)))</f>
        <v>0</v>
      </c>
      <c r="H433" s="51" t="str">
        <f>IF(B433="","",IF(ISNA(VLOOKUP(A433,'75m'!F$5:K$302,5,FALSE)),"",VLOOKUP(A433,'75m'!F$5:K$302,5,FALSE)))</f>
        <v/>
      </c>
      <c r="I433" s="53">
        <f>IF(B433="",0,IF(ISNA(VLOOKUP(A433,'600m'!F$5:J$302,2,FALSE)),0,VLOOKUP(A433,'600m'!F$5:J$302,2,FALSE)))</f>
        <v>0</v>
      </c>
      <c r="J433" s="51">
        <f>IF(B433="",0,IF(ISNA(_xlfn.XLOOKUP(A433,'600m'!F$5:F$302,'600m'!M$5:M$302)),0,_xlfn.XLOOKUP(A433,'600m'!F$5:F$302,'600m'!M$5:M$302)))</f>
        <v>0</v>
      </c>
      <c r="K433" s="51" t="str">
        <f>IF(B433="","",IF(ISNA(VLOOKUP(A433,'600m'!F$5:K$302,5,FALSE)),"",VLOOKUP(A433,'600m'!F$5:K$302,5,FALSE)))</f>
        <v/>
      </c>
      <c r="L433" s="51" t="str">
        <f>IF(B433="","",IF(ISNA(VLOOKUP(A433,LongJump!F$5:G$302,2,FALSE)),"",VLOOKUP(A433,LongJump!F$5:G$302,2,FALSE)))</f>
        <v/>
      </c>
      <c r="M433" s="51">
        <f>IF(B433="",0,IF(ISNA(_xlfn.XLOOKUP(A433,LongJump!F$5:F$302,LongJump!M$5:M$302)),0,_xlfn.XLOOKUP(A433,LongJump!F$5:F$302,LongJump!M$5:M$302)))</f>
        <v>0</v>
      </c>
      <c r="N433" s="51">
        <f>IF(B433="",0,IF(ISNA(VLOOKUP(A433,LongJump!F$5:K$302,5,FALSE)),0,VLOOKUP(A433,LongJump!F$5:K$302,5,FALSE)))</f>
        <v>0</v>
      </c>
      <c r="O433" s="51" t="str">
        <f>IF(B433="","",IF(ISNA(VLOOKUP(A433,Vortex!F$5:J$302,2,FALSE)),"",VLOOKUP(A433,Vortex!F$5:J$302,2,FALSE)))</f>
        <v/>
      </c>
      <c r="P433" s="51">
        <f>IF(B433="",0,IF(ISNA(_xlfn.XLOOKUP(A433,Vortex!F$5:F$302,Vortex!M$5:M$302)),0,_xlfn.XLOOKUP(A433,Vortex!F$5:F$302,Vortex!M$5:M$302)))</f>
        <v>0</v>
      </c>
      <c r="Q433" s="51">
        <f t="shared" si="53"/>
        <v>0</v>
      </c>
      <c r="R433" s="51" t="str">
        <f t="shared" si="54"/>
        <v/>
      </c>
      <c r="S433" s="51" t="str">
        <f t="shared" si="55"/>
        <v/>
      </c>
      <c r="T433" s="51" t="str">
        <f t="shared" si="56"/>
        <v/>
      </c>
      <c r="U433" s="51" t="str">
        <f t="shared" si="57"/>
        <v/>
      </c>
    </row>
    <row r="434" spans="1:21">
      <c r="A434" s="51" t="str">
        <f>IF(Declarations!B62=0,"",Declarations!B62)</f>
        <v/>
      </c>
      <c r="B434" s="161" t="str">
        <f>IF(ISNA(VLOOKUP(A434,Declarations!B$6:C$293,2,FALSE)),"",IF(VLOOKUP(A434,Declarations!B$6:C$293,2,FALSE)="","",VLOOKUP(A434,Declarations!B$6:C$293,2,FALSE)))</f>
        <v/>
      </c>
      <c r="C434" s="161" t="str">
        <f>IF(ISNA(VLOOKUP(A434,Declarations!B$6:F$293,5,FALSE)),"",IF(VLOOKUP(A434,Declarations!B$6:F$293,5,FALSE)="","",VLOOKUP(A434,Declarations!B$6:F$293,5,FALSE)))</f>
        <v/>
      </c>
      <c r="D434" s="161" t="str">
        <f>IF(ISNA(VLOOKUP(A434,Declarations!B$6:F$293,4,FALSE)),"",IF(VLOOKUP(A434,Declarations!B$6:F$293,4,FALSE)="","",VLOOKUP(A434,Declarations!B$6:F$293,4,FALSE)))</f>
        <v/>
      </c>
      <c r="E434" s="161" t="str">
        <f>IF(ISNA(VLOOKUP(A434,Declarations!B$6:D$293,3,FALSE)),"",IF(VLOOKUP(A434,Declarations!B$6:D$293,3,FALSE)="","",VLOOKUP(A434,Declarations!B$6:D$293,3,FALSE)))</f>
        <v/>
      </c>
      <c r="F434" s="51" t="str">
        <f>IF(B434="","",IF(ISNA(VLOOKUP(A434,'75m'!F$5:G$302,2,FALSE)),"",VLOOKUP(A434,'75m'!F$5:G$302,2,FALSE)))</f>
        <v/>
      </c>
      <c r="G434" s="51">
        <f>IF(B434="",0,IF(ISNA(_xlfn.XLOOKUP(A434,'75m'!F$5:F$302,'75m'!M$5:M$302)),0,_xlfn.XLOOKUP(A434,'75m'!F$5:F$302,'75m'!M$5:M$302)))</f>
        <v>0</v>
      </c>
      <c r="H434" s="51" t="str">
        <f>IF(B434="","",IF(ISNA(VLOOKUP(A434,'75m'!F$5:K$302,5,FALSE)),"",VLOOKUP(A434,'75m'!F$5:K$302,5,FALSE)))</f>
        <v/>
      </c>
      <c r="I434" s="53">
        <f>IF(B434="",0,IF(ISNA(VLOOKUP(A434,'600m'!F$5:J$302,2,FALSE)),0,VLOOKUP(A434,'600m'!F$5:J$302,2,FALSE)))</f>
        <v>0</v>
      </c>
      <c r="J434" s="51">
        <f>IF(B434="",0,IF(ISNA(_xlfn.XLOOKUP(A434,'600m'!F$5:F$302,'600m'!M$5:M$302)),0,_xlfn.XLOOKUP(A434,'600m'!F$5:F$302,'600m'!M$5:M$302)))</f>
        <v>0</v>
      </c>
      <c r="K434" s="51" t="str">
        <f>IF(B434="","",IF(ISNA(VLOOKUP(A434,'600m'!F$5:K$302,5,FALSE)),"",VLOOKUP(A434,'600m'!F$5:K$302,5,FALSE)))</f>
        <v/>
      </c>
      <c r="L434" s="51" t="str">
        <f>IF(B434="","",IF(ISNA(VLOOKUP(A434,LongJump!F$5:G$302,2,FALSE)),"",VLOOKUP(A434,LongJump!F$5:G$302,2,FALSE)))</f>
        <v/>
      </c>
      <c r="M434" s="51">
        <f>IF(B434="",0,IF(ISNA(_xlfn.XLOOKUP(A434,LongJump!F$5:F$302,LongJump!M$5:M$302)),0,_xlfn.XLOOKUP(A434,LongJump!F$5:F$302,LongJump!M$5:M$302)))</f>
        <v>0</v>
      </c>
      <c r="N434" s="51">
        <f>IF(B434="",0,IF(ISNA(VLOOKUP(A434,LongJump!F$5:K$302,5,FALSE)),0,VLOOKUP(A434,LongJump!F$5:K$302,5,FALSE)))</f>
        <v>0</v>
      </c>
      <c r="O434" s="51" t="str">
        <f>IF(B434="","",IF(ISNA(VLOOKUP(A434,Vortex!F$5:J$302,2,FALSE)),"",VLOOKUP(A434,Vortex!F$5:J$302,2,FALSE)))</f>
        <v/>
      </c>
      <c r="P434" s="51">
        <f>IF(B434="",0,IF(ISNA(_xlfn.XLOOKUP(A434,Vortex!F$5:F$302,Vortex!M$5:M$302)),0,_xlfn.XLOOKUP(A434,Vortex!F$5:F$302,Vortex!M$5:M$302)))</f>
        <v>0</v>
      </c>
      <c r="Q434" s="51">
        <f t="shared" si="53"/>
        <v>0</v>
      </c>
      <c r="R434" s="51" t="str">
        <f t="shared" si="54"/>
        <v/>
      </c>
      <c r="S434" s="51" t="str">
        <f t="shared" si="55"/>
        <v/>
      </c>
      <c r="T434" s="51" t="str">
        <f t="shared" si="56"/>
        <v/>
      </c>
      <c r="U434" s="51" t="str">
        <f t="shared" si="57"/>
        <v/>
      </c>
    </row>
    <row r="435" spans="1:21">
      <c r="A435" s="51" t="str">
        <f>IF(Declarations!B63=0,"",Declarations!B63)</f>
        <v/>
      </c>
      <c r="B435" s="161" t="str">
        <f>IF(ISNA(VLOOKUP(A435,Declarations!B$6:C$293,2,FALSE)),"",IF(VLOOKUP(A435,Declarations!B$6:C$293,2,FALSE)="","",VLOOKUP(A435,Declarations!B$6:C$293,2,FALSE)))</f>
        <v/>
      </c>
      <c r="C435" s="161" t="str">
        <f>IF(ISNA(VLOOKUP(A435,Declarations!B$6:F$293,5,FALSE)),"",IF(VLOOKUP(A435,Declarations!B$6:F$293,5,FALSE)="","",VLOOKUP(A435,Declarations!B$6:F$293,5,FALSE)))</f>
        <v/>
      </c>
      <c r="D435" s="161" t="str">
        <f>IF(ISNA(VLOOKUP(A435,Declarations!B$6:F$293,4,FALSE)),"",IF(VLOOKUP(A435,Declarations!B$6:F$293,4,FALSE)="","",VLOOKUP(A435,Declarations!B$6:F$293,4,FALSE)))</f>
        <v/>
      </c>
      <c r="E435" s="161" t="str">
        <f>IF(ISNA(VLOOKUP(A435,Declarations!B$6:D$293,3,FALSE)),"",IF(VLOOKUP(A435,Declarations!B$6:D$293,3,FALSE)="","",VLOOKUP(A435,Declarations!B$6:D$293,3,FALSE)))</f>
        <v/>
      </c>
      <c r="F435" s="51" t="str">
        <f>IF(B435="","",IF(ISNA(VLOOKUP(A435,'75m'!F$5:G$302,2,FALSE)),"",VLOOKUP(A435,'75m'!F$5:G$302,2,FALSE)))</f>
        <v/>
      </c>
      <c r="G435" s="51">
        <f>IF(B435="",0,IF(ISNA(_xlfn.XLOOKUP(A435,'75m'!F$5:F$302,'75m'!M$5:M$302)),0,_xlfn.XLOOKUP(A435,'75m'!F$5:F$302,'75m'!M$5:M$302)))</f>
        <v>0</v>
      </c>
      <c r="H435" s="51" t="str">
        <f>IF(B435="","",IF(ISNA(VLOOKUP(A435,'75m'!F$5:K$302,5,FALSE)),"",VLOOKUP(A435,'75m'!F$5:K$302,5,FALSE)))</f>
        <v/>
      </c>
      <c r="I435" s="53">
        <f>IF(B435="",0,IF(ISNA(VLOOKUP(A435,'600m'!F$5:J$302,2,FALSE)),0,VLOOKUP(A435,'600m'!F$5:J$302,2,FALSE)))</f>
        <v>0</v>
      </c>
      <c r="J435" s="51">
        <f>IF(B435="",0,IF(ISNA(_xlfn.XLOOKUP(A435,'600m'!F$5:F$302,'600m'!M$5:M$302)),0,_xlfn.XLOOKUP(A435,'600m'!F$5:F$302,'600m'!M$5:M$302)))</f>
        <v>0</v>
      </c>
      <c r="K435" s="51" t="str">
        <f>IF(B435="","",IF(ISNA(VLOOKUP(A435,'600m'!F$5:K$302,5,FALSE)),"",VLOOKUP(A435,'600m'!F$5:K$302,5,FALSE)))</f>
        <v/>
      </c>
      <c r="L435" s="51" t="str">
        <f>IF(B435="","",IF(ISNA(VLOOKUP(A435,LongJump!F$5:G$302,2,FALSE)),"",VLOOKUP(A435,LongJump!F$5:G$302,2,FALSE)))</f>
        <v/>
      </c>
      <c r="M435" s="51">
        <f>IF(B435="",0,IF(ISNA(_xlfn.XLOOKUP(A435,LongJump!F$5:F$302,LongJump!M$5:M$302)),0,_xlfn.XLOOKUP(A435,LongJump!F$5:F$302,LongJump!M$5:M$302)))</f>
        <v>0</v>
      </c>
      <c r="N435" s="51">
        <f>IF(B435="",0,IF(ISNA(VLOOKUP(A435,LongJump!F$5:K$302,5,FALSE)),0,VLOOKUP(A435,LongJump!F$5:K$302,5,FALSE)))</f>
        <v>0</v>
      </c>
      <c r="O435" s="51" t="str">
        <f>IF(B435="","",IF(ISNA(VLOOKUP(A435,Vortex!F$5:J$302,2,FALSE)),"",VLOOKUP(A435,Vortex!F$5:J$302,2,FALSE)))</f>
        <v/>
      </c>
      <c r="P435" s="51">
        <f>IF(B435="",0,IF(ISNA(_xlfn.XLOOKUP(A435,Vortex!F$5:F$302,Vortex!M$5:M$302)),0,_xlfn.XLOOKUP(A435,Vortex!F$5:F$302,Vortex!M$5:M$302)))</f>
        <v>0</v>
      </c>
      <c r="Q435" s="51">
        <f t="shared" si="53"/>
        <v>0</v>
      </c>
      <c r="R435" s="51" t="str">
        <f t="shared" si="54"/>
        <v/>
      </c>
      <c r="S435" s="51" t="str">
        <f t="shared" si="55"/>
        <v/>
      </c>
      <c r="T435" s="51" t="str">
        <f t="shared" si="56"/>
        <v/>
      </c>
      <c r="U435" s="51" t="str">
        <f t="shared" si="57"/>
        <v/>
      </c>
    </row>
    <row r="436" spans="1:21">
      <c r="A436" s="51" t="str">
        <f>IF(Declarations!B64=0,"",Declarations!B64)</f>
        <v/>
      </c>
      <c r="B436" s="161" t="str">
        <f>IF(ISNA(VLOOKUP(A436,Declarations!B$6:C$293,2,FALSE)),"",IF(VLOOKUP(A436,Declarations!B$6:C$293,2,FALSE)="","",VLOOKUP(A436,Declarations!B$6:C$293,2,FALSE)))</f>
        <v/>
      </c>
      <c r="C436" s="161" t="str">
        <f>IF(ISNA(VLOOKUP(A436,Declarations!B$6:F$293,5,FALSE)),"",IF(VLOOKUP(A436,Declarations!B$6:F$293,5,FALSE)="","",VLOOKUP(A436,Declarations!B$6:F$293,5,FALSE)))</f>
        <v/>
      </c>
      <c r="D436" s="161" t="str">
        <f>IF(ISNA(VLOOKUP(A436,Declarations!B$6:F$293,4,FALSE)),"",IF(VLOOKUP(A436,Declarations!B$6:F$293,4,FALSE)="","",VLOOKUP(A436,Declarations!B$6:F$293,4,FALSE)))</f>
        <v/>
      </c>
      <c r="E436" s="161" t="str">
        <f>IF(ISNA(VLOOKUP(A436,Declarations!B$6:D$293,3,FALSE)),"",IF(VLOOKUP(A436,Declarations!B$6:D$293,3,FALSE)="","",VLOOKUP(A436,Declarations!B$6:D$293,3,FALSE)))</f>
        <v/>
      </c>
      <c r="F436" s="51" t="str">
        <f>IF(B436="","",IF(ISNA(VLOOKUP(A436,'75m'!F$5:G$302,2,FALSE)),"",VLOOKUP(A436,'75m'!F$5:G$302,2,FALSE)))</f>
        <v/>
      </c>
      <c r="G436" s="51">
        <f>IF(B436="",0,IF(ISNA(_xlfn.XLOOKUP(A436,'75m'!F$5:F$302,'75m'!M$5:M$302)),0,_xlfn.XLOOKUP(A436,'75m'!F$5:F$302,'75m'!M$5:M$302)))</f>
        <v>0</v>
      </c>
      <c r="H436" s="51" t="str">
        <f>IF(B436="","",IF(ISNA(VLOOKUP(A436,'75m'!F$5:K$302,5,FALSE)),"",VLOOKUP(A436,'75m'!F$5:K$302,5,FALSE)))</f>
        <v/>
      </c>
      <c r="I436" s="53">
        <f>IF(B436="",0,IF(ISNA(VLOOKUP(A436,'600m'!F$5:J$302,2,FALSE)),0,VLOOKUP(A436,'600m'!F$5:J$302,2,FALSE)))</f>
        <v>0</v>
      </c>
      <c r="J436" s="51">
        <f>IF(B436="",0,IF(ISNA(_xlfn.XLOOKUP(A436,'600m'!F$5:F$302,'600m'!M$5:M$302)),0,_xlfn.XLOOKUP(A436,'600m'!F$5:F$302,'600m'!M$5:M$302)))</f>
        <v>0</v>
      </c>
      <c r="K436" s="51" t="str">
        <f>IF(B436="","",IF(ISNA(VLOOKUP(A436,'600m'!F$5:K$302,5,FALSE)),"",VLOOKUP(A436,'600m'!F$5:K$302,5,FALSE)))</f>
        <v/>
      </c>
      <c r="L436" s="51" t="str">
        <f>IF(B436="","",IF(ISNA(VLOOKUP(A436,LongJump!F$5:G$302,2,FALSE)),"",VLOOKUP(A436,LongJump!F$5:G$302,2,FALSE)))</f>
        <v/>
      </c>
      <c r="M436" s="51">
        <f>IF(B436="",0,IF(ISNA(_xlfn.XLOOKUP(A436,LongJump!F$5:F$302,LongJump!M$5:M$302)),0,_xlfn.XLOOKUP(A436,LongJump!F$5:F$302,LongJump!M$5:M$302)))</f>
        <v>0</v>
      </c>
      <c r="N436" s="51">
        <f>IF(B436="",0,IF(ISNA(VLOOKUP(A436,LongJump!F$5:K$302,5,FALSE)),0,VLOOKUP(A436,LongJump!F$5:K$302,5,FALSE)))</f>
        <v>0</v>
      </c>
      <c r="O436" s="51" t="str">
        <f>IF(B436="","",IF(ISNA(VLOOKUP(A436,Vortex!F$5:J$302,2,FALSE)),"",VLOOKUP(A436,Vortex!F$5:J$302,2,FALSE)))</f>
        <v/>
      </c>
      <c r="P436" s="51">
        <f>IF(B436="",0,IF(ISNA(_xlfn.XLOOKUP(A436,Vortex!F$5:F$302,Vortex!M$5:M$302)),0,_xlfn.XLOOKUP(A436,Vortex!F$5:F$302,Vortex!M$5:M$302)))</f>
        <v>0</v>
      </c>
      <c r="Q436" s="51">
        <f t="shared" si="53"/>
        <v>0</v>
      </c>
      <c r="R436" s="51" t="str">
        <f t="shared" si="54"/>
        <v/>
      </c>
      <c r="S436" s="51" t="str">
        <f t="shared" si="55"/>
        <v/>
      </c>
      <c r="T436" s="51" t="str">
        <f t="shared" si="56"/>
        <v/>
      </c>
      <c r="U436" s="51" t="str">
        <f t="shared" si="57"/>
        <v/>
      </c>
    </row>
    <row r="437" spans="1:21">
      <c r="A437" s="51" t="str">
        <f>IF(Declarations!B65=0,"",Declarations!B65)</f>
        <v/>
      </c>
      <c r="B437" s="161" t="str">
        <f>IF(ISNA(VLOOKUP(A437,Declarations!B$6:C$293,2,FALSE)),"",IF(VLOOKUP(A437,Declarations!B$6:C$293,2,FALSE)="","",VLOOKUP(A437,Declarations!B$6:C$293,2,FALSE)))</f>
        <v/>
      </c>
      <c r="C437" s="161" t="str">
        <f>IF(ISNA(VLOOKUP(A437,Declarations!B$6:F$293,5,FALSE)),"",IF(VLOOKUP(A437,Declarations!B$6:F$293,5,FALSE)="","",VLOOKUP(A437,Declarations!B$6:F$293,5,FALSE)))</f>
        <v/>
      </c>
      <c r="D437" s="161" t="str">
        <f>IF(ISNA(VLOOKUP(A437,Declarations!B$6:F$293,4,FALSE)),"",IF(VLOOKUP(A437,Declarations!B$6:F$293,4,FALSE)="","",VLOOKUP(A437,Declarations!B$6:F$293,4,FALSE)))</f>
        <v/>
      </c>
      <c r="E437" s="161" t="str">
        <f>IF(ISNA(VLOOKUP(A437,Declarations!B$6:D$293,3,FALSE)),"",IF(VLOOKUP(A437,Declarations!B$6:D$293,3,FALSE)="","",VLOOKUP(A437,Declarations!B$6:D$293,3,FALSE)))</f>
        <v/>
      </c>
      <c r="F437" s="51" t="str">
        <f>IF(B437="","",IF(ISNA(VLOOKUP(A437,'75m'!F$5:G$302,2,FALSE)),"",VLOOKUP(A437,'75m'!F$5:G$302,2,FALSE)))</f>
        <v/>
      </c>
      <c r="G437" s="51">
        <f>IF(B437="",0,IF(ISNA(_xlfn.XLOOKUP(A437,'75m'!F$5:F$302,'75m'!M$5:M$302)),0,_xlfn.XLOOKUP(A437,'75m'!F$5:F$302,'75m'!M$5:M$302)))</f>
        <v>0</v>
      </c>
      <c r="H437" s="51" t="str">
        <f>IF(B437="","",IF(ISNA(VLOOKUP(A437,'75m'!F$5:K$302,5,FALSE)),"",VLOOKUP(A437,'75m'!F$5:K$302,5,FALSE)))</f>
        <v/>
      </c>
      <c r="I437" s="53">
        <f>IF(B437="",0,IF(ISNA(VLOOKUP(A437,'600m'!F$5:J$302,2,FALSE)),0,VLOOKUP(A437,'600m'!F$5:J$302,2,FALSE)))</f>
        <v>0</v>
      </c>
      <c r="J437" s="51">
        <f>IF(B437="",0,IF(ISNA(_xlfn.XLOOKUP(A437,'600m'!F$5:F$302,'600m'!M$5:M$302)),0,_xlfn.XLOOKUP(A437,'600m'!F$5:F$302,'600m'!M$5:M$302)))</f>
        <v>0</v>
      </c>
      <c r="K437" s="51" t="str">
        <f>IF(B437="","",IF(ISNA(VLOOKUP(A437,'600m'!F$5:K$302,5,FALSE)),"",VLOOKUP(A437,'600m'!F$5:K$302,5,FALSE)))</f>
        <v/>
      </c>
      <c r="L437" s="51" t="str">
        <f>IF(B437="","",IF(ISNA(VLOOKUP(A437,LongJump!F$5:G$302,2,FALSE)),"",VLOOKUP(A437,LongJump!F$5:G$302,2,FALSE)))</f>
        <v/>
      </c>
      <c r="M437" s="51">
        <f>IF(B437="",0,IF(ISNA(_xlfn.XLOOKUP(A437,LongJump!F$5:F$302,LongJump!M$5:M$302)),0,_xlfn.XLOOKUP(A437,LongJump!F$5:F$302,LongJump!M$5:M$302)))</f>
        <v>0</v>
      </c>
      <c r="N437" s="51">
        <f>IF(B437="",0,IF(ISNA(VLOOKUP(A437,LongJump!F$5:K$302,5,FALSE)),0,VLOOKUP(A437,LongJump!F$5:K$302,5,FALSE)))</f>
        <v>0</v>
      </c>
      <c r="O437" s="51" t="str">
        <f>IF(B437="","",IF(ISNA(VLOOKUP(A437,Vortex!F$5:J$302,2,FALSE)),"",VLOOKUP(A437,Vortex!F$5:J$302,2,FALSE)))</f>
        <v/>
      </c>
      <c r="P437" s="51">
        <f>IF(B437="",0,IF(ISNA(_xlfn.XLOOKUP(A437,Vortex!F$5:F$302,Vortex!M$5:M$302)),0,_xlfn.XLOOKUP(A437,Vortex!F$5:F$302,Vortex!M$5:M$302)))</f>
        <v>0</v>
      </c>
      <c r="Q437" s="51">
        <f t="shared" si="53"/>
        <v>0</v>
      </c>
      <c r="R437" s="51" t="str">
        <f t="shared" si="54"/>
        <v/>
      </c>
      <c r="S437" s="51" t="str">
        <f t="shared" si="55"/>
        <v/>
      </c>
      <c r="T437" s="51" t="str">
        <f t="shared" si="56"/>
        <v/>
      </c>
      <c r="U437" s="51" t="str">
        <f t="shared" si="57"/>
        <v/>
      </c>
    </row>
    <row r="438" spans="1:21">
      <c r="A438" s="51" t="str">
        <f>IF(Declarations!B66=0,"",Declarations!B66)</f>
        <v/>
      </c>
      <c r="B438" s="161" t="str">
        <f>IF(ISNA(VLOOKUP(A438,Declarations!B$6:C$293,2,FALSE)),"",IF(VLOOKUP(A438,Declarations!B$6:C$293,2,FALSE)="","",VLOOKUP(A438,Declarations!B$6:C$293,2,FALSE)))</f>
        <v/>
      </c>
      <c r="C438" s="161" t="str">
        <f>IF(ISNA(VLOOKUP(A438,Declarations!B$6:F$293,5,FALSE)),"",IF(VLOOKUP(A438,Declarations!B$6:F$293,5,FALSE)="","",VLOOKUP(A438,Declarations!B$6:F$293,5,FALSE)))</f>
        <v/>
      </c>
      <c r="D438" s="161" t="str">
        <f>IF(ISNA(VLOOKUP(A438,Declarations!B$6:F$293,4,FALSE)),"",IF(VLOOKUP(A438,Declarations!B$6:F$293,4,FALSE)="","",VLOOKUP(A438,Declarations!B$6:F$293,4,FALSE)))</f>
        <v/>
      </c>
      <c r="E438" s="161" t="str">
        <f>IF(ISNA(VLOOKUP(A438,Declarations!B$6:D$293,3,FALSE)),"",IF(VLOOKUP(A438,Declarations!B$6:D$293,3,FALSE)="","",VLOOKUP(A438,Declarations!B$6:D$293,3,FALSE)))</f>
        <v/>
      </c>
      <c r="F438" s="51" t="str">
        <f>IF(B438="","",IF(ISNA(VLOOKUP(A438,'75m'!F$5:G$302,2,FALSE)),"",VLOOKUP(A438,'75m'!F$5:G$302,2,FALSE)))</f>
        <v/>
      </c>
      <c r="G438" s="51">
        <f>IF(B438="",0,IF(ISNA(_xlfn.XLOOKUP(A438,'75m'!F$5:F$302,'75m'!M$5:M$302)),0,_xlfn.XLOOKUP(A438,'75m'!F$5:F$302,'75m'!M$5:M$302)))</f>
        <v>0</v>
      </c>
      <c r="H438" s="51" t="str">
        <f>IF(B438="","",IF(ISNA(VLOOKUP(A438,'75m'!F$5:K$302,5,FALSE)),"",VLOOKUP(A438,'75m'!F$5:K$302,5,FALSE)))</f>
        <v/>
      </c>
      <c r="I438" s="53">
        <f>IF(B438="",0,IF(ISNA(VLOOKUP(A438,'600m'!F$5:J$302,2,FALSE)),0,VLOOKUP(A438,'600m'!F$5:J$302,2,FALSE)))</f>
        <v>0</v>
      </c>
      <c r="J438" s="51">
        <f>IF(B438="",0,IF(ISNA(_xlfn.XLOOKUP(A438,'600m'!F$5:F$302,'600m'!M$5:M$302)),0,_xlfn.XLOOKUP(A438,'600m'!F$5:F$302,'600m'!M$5:M$302)))</f>
        <v>0</v>
      </c>
      <c r="K438" s="51" t="str">
        <f>IF(B438="","",IF(ISNA(VLOOKUP(A438,'600m'!F$5:K$302,5,FALSE)),"",VLOOKUP(A438,'600m'!F$5:K$302,5,FALSE)))</f>
        <v/>
      </c>
      <c r="L438" s="51" t="str">
        <f>IF(B438="","",IF(ISNA(VLOOKUP(A438,LongJump!F$5:G$302,2,FALSE)),"",VLOOKUP(A438,LongJump!F$5:G$302,2,FALSE)))</f>
        <v/>
      </c>
      <c r="M438" s="51">
        <f>IF(B438="",0,IF(ISNA(_xlfn.XLOOKUP(A438,LongJump!F$5:F$302,LongJump!M$5:M$302)),0,_xlfn.XLOOKUP(A438,LongJump!F$5:F$302,LongJump!M$5:M$302)))</f>
        <v>0</v>
      </c>
      <c r="N438" s="51">
        <f>IF(B438="",0,IF(ISNA(VLOOKUP(A438,LongJump!F$5:K$302,5,FALSE)),0,VLOOKUP(A438,LongJump!F$5:K$302,5,FALSE)))</f>
        <v>0</v>
      </c>
      <c r="O438" s="51" t="str">
        <f>IF(B438="","",IF(ISNA(VLOOKUP(A438,Vortex!F$5:J$302,2,FALSE)),"",VLOOKUP(A438,Vortex!F$5:J$302,2,FALSE)))</f>
        <v/>
      </c>
      <c r="P438" s="51">
        <f>IF(B438="",0,IF(ISNA(_xlfn.XLOOKUP(A438,Vortex!F$5:F$302,Vortex!M$5:M$302)),0,_xlfn.XLOOKUP(A438,Vortex!F$5:F$302,Vortex!M$5:M$302)))</f>
        <v>0</v>
      </c>
      <c r="Q438" s="51">
        <f t="shared" si="53"/>
        <v>0</v>
      </c>
      <c r="R438" s="51" t="str">
        <f t="shared" si="54"/>
        <v/>
      </c>
      <c r="S438" s="51" t="str">
        <f t="shared" si="55"/>
        <v/>
      </c>
      <c r="T438" s="51" t="str">
        <f t="shared" si="56"/>
        <v/>
      </c>
      <c r="U438" s="51" t="str">
        <f t="shared" si="57"/>
        <v/>
      </c>
    </row>
    <row r="439" spans="1:21">
      <c r="A439" s="51" t="str">
        <f>IF(Declarations!B67=0,"",Declarations!B67)</f>
        <v/>
      </c>
      <c r="B439" s="161" t="str">
        <f>IF(ISNA(VLOOKUP(A439,Declarations!B$6:C$293,2,FALSE)),"",IF(VLOOKUP(A439,Declarations!B$6:C$293,2,FALSE)="","",VLOOKUP(A439,Declarations!B$6:C$293,2,FALSE)))</f>
        <v/>
      </c>
      <c r="C439" s="161" t="str">
        <f>IF(ISNA(VLOOKUP(A439,Declarations!B$6:F$293,5,FALSE)),"",IF(VLOOKUP(A439,Declarations!B$6:F$293,5,FALSE)="","",VLOOKUP(A439,Declarations!B$6:F$293,5,FALSE)))</f>
        <v/>
      </c>
      <c r="D439" s="161" t="str">
        <f>IF(ISNA(VLOOKUP(A439,Declarations!B$6:F$293,4,FALSE)),"",IF(VLOOKUP(A439,Declarations!B$6:F$293,4,FALSE)="","",VLOOKUP(A439,Declarations!B$6:F$293,4,FALSE)))</f>
        <v/>
      </c>
      <c r="E439" s="161" t="str">
        <f>IF(ISNA(VLOOKUP(A439,Declarations!B$6:D$293,3,FALSE)),"",IF(VLOOKUP(A439,Declarations!B$6:D$293,3,FALSE)="","",VLOOKUP(A439,Declarations!B$6:D$293,3,FALSE)))</f>
        <v/>
      </c>
      <c r="F439" s="51" t="str">
        <f>IF(B439="","",IF(ISNA(VLOOKUP(A439,'75m'!F$5:G$302,2,FALSE)),"",VLOOKUP(A439,'75m'!F$5:G$302,2,FALSE)))</f>
        <v/>
      </c>
      <c r="G439" s="51">
        <f>IF(B439="",0,IF(ISNA(_xlfn.XLOOKUP(A439,'75m'!F$5:F$302,'75m'!M$5:M$302)),0,_xlfn.XLOOKUP(A439,'75m'!F$5:F$302,'75m'!M$5:M$302)))</f>
        <v>0</v>
      </c>
      <c r="H439" s="51" t="str">
        <f>IF(B439="","",IF(ISNA(VLOOKUP(A439,'75m'!F$5:K$302,5,FALSE)),"",VLOOKUP(A439,'75m'!F$5:K$302,5,FALSE)))</f>
        <v/>
      </c>
      <c r="I439" s="53">
        <f>IF(B439="",0,IF(ISNA(VLOOKUP(A439,'600m'!F$5:J$302,2,FALSE)),0,VLOOKUP(A439,'600m'!F$5:J$302,2,FALSE)))</f>
        <v>0</v>
      </c>
      <c r="J439" s="51">
        <f>IF(B439="",0,IF(ISNA(_xlfn.XLOOKUP(A439,'600m'!F$5:F$302,'600m'!M$5:M$302)),0,_xlfn.XLOOKUP(A439,'600m'!F$5:F$302,'600m'!M$5:M$302)))</f>
        <v>0</v>
      </c>
      <c r="K439" s="51" t="str">
        <f>IF(B439="","",IF(ISNA(VLOOKUP(A439,'600m'!F$5:K$302,5,FALSE)),"",VLOOKUP(A439,'600m'!F$5:K$302,5,FALSE)))</f>
        <v/>
      </c>
      <c r="L439" s="51" t="str">
        <f>IF(B439="","",IF(ISNA(VLOOKUP(A439,LongJump!F$5:G$302,2,FALSE)),"",VLOOKUP(A439,LongJump!F$5:G$302,2,FALSE)))</f>
        <v/>
      </c>
      <c r="M439" s="51">
        <f>IF(B439="",0,IF(ISNA(_xlfn.XLOOKUP(A439,LongJump!F$5:F$302,LongJump!M$5:M$302)),0,_xlfn.XLOOKUP(A439,LongJump!F$5:F$302,LongJump!M$5:M$302)))</f>
        <v>0</v>
      </c>
      <c r="N439" s="51">
        <f>IF(B439="",0,IF(ISNA(VLOOKUP(A439,LongJump!F$5:K$302,5,FALSE)),0,VLOOKUP(A439,LongJump!F$5:K$302,5,FALSE)))</f>
        <v>0</v>
      </c>
      <c r="O439" s="51" t="str">
        <f>IF(B439="","",IF(ISNA(VLOOKUP(A439,Vortex!F$5:J$302,2,FALSE)),"",VLOOKUP(A439,Vortex!F$5:J$302,2,FALSE)))</f>
        <v/>
      </c>
      <c r="P439" s="51">
        <f>IF(B439="",0,IF(ISNA(_xlfn.XLOOKUP(A439,Vortex!F$5:F$302,Vortex!M$5:M$302)),0,_xlfn.XLOOKUP(A439,Vortex!F$5:F$302,Vortex!M$5:M$302)))</f>
        <v>0</v>
      </c>
      <c r="Q439" s="51">
        <f t="shared" si="53"/>
        <v>0</v>
      </c>
      <c r="R439" s="51" t="str">
        <f t="shared" si="54"/>
        <v/>
      </c>
      <c r="S439" s="51" t="str">
        <f t="shared" si="55"/>
        <v/>
      </c>
      <c r="T439" s="51" t="str">
        <f t="shared" si="56"/>
        <v/>
      </c>
      <c r="U439" s="51" t="str">
        <f t="shared" si="57"/>
        <v/>
      </c>
    </row>
    <row r="440" spans="1:21">
      <c r="A440" s="51" t="str">
        <f>IF(Declarations!B68=0,"",Declarations!B68)</f>
        <v/>
      </c>
      <c r="B440" s="161" t="str">
        <f>IF(ISNA(VLOOKUP(A440,Declarations!B$6:C$293,2,FALSE)),"",IF(VLOOKUP(A440,Declarations!B$6:C$293,2,FALSE)="","",VLOOKUP(A440,Declarations!B$6:C$293,2,FALSE)))</f>
        <v/>
      </c>
      <c r="C440" s="161" t="str">
        <f>IF(ISNA(VLOOKUP(A440,Declarations!B$6:F$293,5,FALSE)),"",IF(VLOOKUP(A440,Declarations!B$6:F$293,5,FALSE)="","",VLOOKUP(A440,Declarations!B$6:F$293,5,FALSE)))</f>
        <v/>
      </c>
      <c r="D440" s="161" t="str">
        <f>IF(ISNA(VLOOKUP(A440,Declarations!B$6:F$293,4,FALSE)),"",IF(VLOOKUP(A440,Declarations!B$6:F$293,4,FALSE)="","",VLOOKUP(A440,Declarations!B$6:F$293,4,FALSE)))</f>
        <v/>
      </c>
      <c r="E440" s="161" t="str">
        <f>IF(ISNA(VLOOKUP(A440,Declarations!B$6:D$293,3,FALSE)),"",IF(VLOOKUP(A440,Declarations!B$6:D$293,3,FALSE)="","",VLOOKUP(A440,Declarations!B$6:D$293,3,FALSE)))</f>
        <v/>
      </c>
      <c r="F440" s="51" t="str">
        <f>IF(B440="","",IF(ISNA(VLOOKUP(A440,'75m'!F$5:G$302,2,FALSE)),"",VLOOKUP(A440,'75m'!F$5:G$302,2,FALSE)))</f>
        <v/>
      </c>
      <c r="G440" s="51">
        <f>IF(B440="",0,IF(ISNA(_xlfn.XLOOKUP(A440,'75m'!F$5:F$302,'75m'!M$5:M$302)),0,_xlfn.XLOOKUP(A440,'75m'!F$5:F$302,'75m'!M$5:M$302)))</f>
        <v>0</v>
      </c>
      <c r="H440" s="51" t="str">
        <f>IF(B440="","",IF(ISNA(VLOOKUP(A440,'75m'!F$5:K$302,5,FALSE)),"",VLOOKUP(A440,'75m'!F$5:K$302,5,FALSE)))</f>
        <v/>
      </c>
      <c r="I440" s="53">
        <f>IF(B440="",0,IF(ISNA(VLOOKUP(A440,'600m'!F$5:J$302,2,FALSE)),0,VLOOKUP(A440,'600m'!F$5:J$302,2,FALSE)))</f>
        <v>0</v>
      </c>
      <c r="J440" s="51">
        <f>IF(B440="",0,IF(ISNA(_xlfn.XLOOKUP(A440,'600m'!F$5:F$302,'600m'!M$5:M$302)),0,_xlfn.XLOOKUP(A440,'600m'!F$5:F$302,'600m'!M$5:M$302)))</f>
        <v>0</v>
      </c>
      <c r="K440" s="51" t="str">
        <f>IF(B440="","",IF(ISNA(VLOOKUP(A440,'600m'!F$5:K$302,5,FALSE)),"",VLOOKUP(A440,'600m'!F$5:K$302,5,FALSE)))</f>
        <v/>
      </c>
      <c r="L440" s="51" t="str">
        <f>IF(B440="","",IF(ISNA(VLOOKUP(A440,LongJump!F$5:G$302,2,FALSE)),"",VLOOKUP(A440,LongJump!F$5:G$302,2,FALSE)))</f>
        <v/>
      </c>
      <c r="M440" s="51">
        <f>IF(B440="",0,IF(ISNA(_xlfn.XLOOKUP(A440,LongJump!F$5:F$302,LongJump!M$5:M$302)),0,_xlfn.XLOOKUP(A440,LongJump!F$5:F$302,LongJump!M$5:M$302)))</f>
        <v>0</v>
      </c>
      <c r="N440" s="51">
        <f>IF(B440="",0,IF(ISNA(VLOOKUP(A440,LongJump!F$5:K$302,5,FALSE)),0,VLOOKUP(A440,LongJump!F$5:K$302,5,FALSE)))</f>
        <v>0</v>
      </c>
      <c r="O440" s="51" t="str">
        <f>IF(B440="","",IF(ISNA(VLOOKUP(A440,Vortex!F$5:J$302,2,FALSE)),"",VLOOKUP(A440,Vortex!F$5:J$302,2,FALSE)))</f>
        <v/>
      </c>
      <c r="P440" s="51">
        <f>IF(B440="",0,IF(ISNA(_xlfn.XLOOKUP(A440,Vortex!F$5:F$302,Vortex!M$5:M$302)),0,_xlfn.XLOOKUP(A440,Vortex!F$5:F$302,Vortex!M$5:M$302)))</f>
        <v>0</v>
      </c>
      <c r="Q440" s="51">
        <f t="shared" si="53"/>
        <v>0</v>
      </c>
      <c r="R440" s="51" t="str">
        <f t="shared" si="54"/>
        <v/>
      </c>
      <c r="S440" s="51" t="str">
        <f t="shared" si="55"/>
        <v/>
      </c>
      <c r="T440" s="51" t="str">
        <f t="shared" si="56"/>
        <v/>
      </c>
      <c r="U440" s="51" t="str">
        <f t="shared" si="57"/>
        <v/>
      </c>
    </row>
    <row r="441" spans="1:21">
      <c r="A441" s="51" t="str">
        <f>IF(Declarations!B69=0,"",Declarations!B69)</f>
        <v/>
      </c>
      <c r="B441" s="161" t="str">
        <f>IF(ISNA(VLOOKUP(A441,Declarations!B$6:C$293,2,FALSE)),"",IF(VLOOKUP(A441,Declarations!B$6:C$293,2,FALSE)="","",VLOOKUP(A441,Declarations!B$6:C$293,2,FALSE)))</f>
        <v/>
      </c>
      <c r="C441" s="161" t="str">
        <f>IF(ISNA(VLOOKUP(A441,Declarations!B$6:F$293,5,FALSE)),"",IF(VLOOKUP(A441,Declarations!B$6:F$293,5,FALSE)="","",VLOOKUP(A441,Declarations!B$6:F$293,5,FALSE)))</f>
        <v/>
      </c>
      <c r="D441" s="161" t="str">
        <f>IF(ISNA(VLOOKUP(A441,Declarations!B$6:F$293,4,FALSE)),"",IF(VLOOKUP(A441,Declarations!B$6:F$293,4,FALSE)="","",VLOOKUP(A441,Declarations!B$6:F$293,4,FALSE)))</f>
        <v/>
      </c>
      <c r="E441" s="161" t="str">
        <f>IF(ISNA(VLOOKUP(A441,Declarations!B$6:D$293,3,FALSE)),"",IF(VLOOKUP(A441,Declarations!B$6:D$293,3,FALSE)="","",VLOOKUP(A441,Declarations!B$6:D$293,3,FALSE)))</f>
        <v/>
      </c>
      <c r="F441" s="51" t="str">
        <f>IF(B441="","",IF(ISNA(VLOOKUP(A441,'75m'!F$5:G$302,2,FALSE)),"",VLOOKUP(A441,'75m'!F$5:G$302,2,FALSE)))</f>
        <v/>
      </c>
      <c r="G441" s="51">
        <f>IF(B441="",0,IF(ISNA(_xlfn.XLOOKUP(A441,'75m'!F$5:F$302,'75m'!M$5:M$302)),0,_xlfn.XLOOKUP(A441,'75m'!F$5:F$302,'75m'!M$5:M$302)))</f>
        <v>0</v>
      </c>
      <c r="H441" s="51" t="str">
        <f>IF(B441="","",IF(ISNA(VLOOKUP(A441,'75m'!F$5:K$302,5,FALSE)),"",VLOOKUP(A441,'75m'!F$5:K$302,5,FALSE)))</f>
        <v/>
      </c>
      <c r="I441" s="53">
        <f>IF(B441="",0,IF(ISNA(VLOOKUP(A441,'600m'!F$5:J$302,2,FALSE)),0,VLOOKUP(A441,'600m'!F$5:J$302,2,FALSE)))</f>
        <v>0</v>
      </c>
      <c r="J441" s="51">
        <f>IF(B441="",0,IF(ISNA(_xlfn.XLOOKUP(A441,'600m'!F$5:F$302,'600m'!M$5:M$302)),0,_xlfn.XLOOKUP(A441,'600m'!F$5:F$302,'600m'!M$5:M$302)))</f>
        <v>0</v>
      </c>
      <c r="K441" s="51" t="str">
        <f>IF(B441="","",IF(ISNA(VLOOKUP(A441,'600m'!F$5:K$302,5,FALSE)),"",VLOOKUP(A441,'600m'!F$5:K$302,5,FALSE)))</f>
        <v/>
      </c>
      <c r="L441" s="51" t="str">
        <f>IF(B441="","",IF(ISNA(VLOOKUP(A441,LongJump!F$5:G$302,2,FALSE)),"",VLOOKUP(A441,LongJump!F$5:G$302,2,FALSE)))</f>
        <v/>
      </c>
      <c r="M441" s="51">
        <f>IF(B441="",0,IF(ISNA(_xlfn.XLOOKUP(A441,LongJump!F$5:F$302,LongJump!M$5:M$302)),0,_xlfn.XLOOKUP(A441,LongJump!F$5:F$302,LongJump!M$5:M$302)))</f>
        <v>0</v>
      </c>
      <c r="N441" s="51">
        <f>IF(B441="",0,IF(ISNA(VLOOKUP(A441,LongJump!F$5:K$302,5,FALSE)),0,VLOOKUP(A441,LongJump!F$5:K$302,5,FALSE)))</f>
        <v>0</v>
      </c>
      <c r="O441" s="51" t="str">
        <f>IF(B441="","",IF(ISNA(VLOOKUP(A441,Vortex!F$5:J$302,2,FALSE)),"",VLOOKUP(A441,Vortex!F$5:J$302,2,FALSE)))</f>
        <v/>
      </c>
      <c r="P441" s="51">
        <f>IF(B441="",0,IF(ISNA(_xlfn.XLOOKUP(A441,Vortex!F$5:F$302,Vortex!M$5:M$302)),0,_xlfn.XLOOKUP(A441,Vortex!F$5:F$302,Vortex!M$5:M$302)))</f>
        <v>0</v>
      </c>
      <c r="Q441" s="51">
        <f t="shared" si="53"/>
        <v>0</v>
      </c>
      <c r="R441" s="51" t="str">
        <f t="shared" si="54"/>
        <v/>
      </c>
      <c r="S441" s="51" t="str">
        <f t="shared" si="55"/>
        <v/>
      </c>
      <c r="T441" s="51" t="str">
        <f t="shared" si="56"/>
        <v/>
      </c>
      <c r="U441" s="51" t="str">
        <f t="shared" si="57"/>
        <v/>
      </c>
    </row>
    <row r="442" spans="1:21">
      <c r="A442" s="51" t="str">
        <f>IF(Declarations!B70=0,"",Declarations!B70)</f>
        <v/>
      </c>
      <c r="B442" s="161" t="str">
        <f>IF(ISNA(VLOOKUP(A442,Declarations!B$6:C$293,2,FALSE)),"",IF(VLOOKUP(A442,Declarations!B$6:C$293,2,FALSE)="","",VLOOKUP(A442,Declarations!B$6:C$293,2,FALSE)))</f>
        <v/>
      </c>
      <c r="C442" s="161" t="str">
        <f>IF(ISNA(VLOOKUP(A442,Declarations!B$6:F$293,5,FALSE)),"",IF(VLOOKUP(A442,Declarations!B$6:F$293,5,FALSE)="","",VLOOKUP(A442,Declarations!B$6:F$293,5,FALSE)))</f>
        <v/>
      </c>
      <c r="D442" s="161" t="str">
        <f>IF(ISNA(VLOOKUP(A442,Declarations!B$6:F$293,4,FALSE)),"",IF(VLOOKUP(A442,Declarations!B$6:F$293,4,FALSE)="","",VLOOKUP(A442,Declarations!B$6:F$293,4,FALSE)))</f>
        <v/>
      </c>
      <c r="E442" s="161" t="str">
        <f>IF(ISNA(VLOOKUP(A442,Declarations!B$6:D$293,3,FALSE)),"",IF(VLOOKUP(A442,Declarations!B$6:D$293,3,FALSE)="","",VLOOKUP(A442,Declarations!B$6:D$293,3,FALSE)))</f>
        <v/>
      </c>
      <c r="F442" s="51" t="str">
        <f>IF(B442="","",IF(ISNA(VLOOKUP(A442,'75m'!F$5:G$302,2,FALSE)),"",VLOOKUP(A442,'75m'!F$5:G$302,2,FALSE)))</f>
        <v/>
      </c>
      <c r="G442" s="51">
        <f>IF(B442="",0,IF(ISNA(_xlfn.XLOOKUP(A442,'75m'!F$5:F$302,'75m'!M$5:M$302)),0,_xlfn.XLOOKUP(A442,'75m'!F$5:F$302,'75m'!M$5:M$302)))</f>
        <v>0</v>
      </c>
      <c r="H442" s="51" t="str">
        <f>IF(B442="","",IF(ISNA(VLOOKUP(A442,'75m'!F$5:K$302,5,FALSE)),"",VLOOKUP(A442,'75m'!F$5:K$302,5,FALSE)))</f>
        <v/>
      </c>
      <c r="I442" s="53">
        <f>IF(B442="",0,IF(ISNA(VLOOKUP(A442,'600m'!F$5:J$302,2,FALSE)),0,VLOOKUP(A442,'600m'!F$5:J$302,2,FALSE)))</f>
        <v>0</v>
      </c>
      <c r="J442" s="51">
        <f>IF(B442="",0,IF(ISNA(_xlfn.XLOOKUP(A442,'600m'!F$5:F$302,'600m'!M$5:M$302)),0,_xlfn.XLOOKUP(A442,'600m'!F$5:F$302,'600m'!M$5:M$302)))</f>
        <v>0</v>
      </c>
      <c r="K442" s="51" t="str">
        <f>IF(B442="","",IF(ISNA(VLOOKUP(A442,'600m'!F$5:K$302,5,FALSE)),"",VLOOKUP(A442,'600m'!F$5:K$302,5,FALSE)))</f>
        <v/>
      </c>
      <c r="L442" s="51" t="str">
        <f>IF(B442="","",IF(ISNA(VLOOKUP(A442,LongJump!F$5:G$302,2,FALSE)),"",VLOOKUP(A442,LongJump!F$5:G$302,2,FALSE)))</f>
        <v/>
      </c>
      <c r="M442" s="51">
        <f>IF(B442="",0,IF(ISNA(_xlfn.XLOOKUP(A442,LongJump!F$5:F$302,LongJump!M$5:M$302)),0,_xlfn.XLOOKUP(A442,LongJump!F$5:F$302,LongJump!M$5:M$302)))</f>
        <v>0</v>
      </c>
      <c r="N442" s="51">
        <f>IF(B442="",0,IF(ISNA(VLOOKUP(A442,LongJump!F$5:K$302,5,FALSE)),0,VLOOKUP(A442,LongJump!F$5:K$302,5,FALSE)))</f>
        <v>0</v>
      </c>
      <c r="O442" s="51" t="str">
        <f>IF(B442="","",IF(ISNA(VLOOKUP(A442,Vortex!F$5:J$302,2,FALSE)),"",VLOOKUP(A442,Vortex!F$5:J$302,2,FALSE)))</f>
        <v/>
      </c>
      <c r="P442" s="51">
        <f>IF(B442="",0,IF(ISNA(_xlfn.XLOOKUP(A442,Vortex!F$5:F$302,Vortex!M$5:M$302)),0,_xlfn.XLOOKUP(A442,Vortex!F$5:F$302,Vortex!M$5:M$302)))</f>
        <v>0</v>
      </c>
      <c r="Q442" s="51">
        <f t="shared" si="53"/>
        <v>0</v>
      </c>
      <c r="R442" s="51" t="str">
        <f t="shared" si="54"/>
        <v/>
      </c>
      <c r="S442" s="51" t="str">
        <f t="shared" si="55"/>
        <v/>
      </c>
      <c r="T442" s="51" t="str">
        <f t="shared" si="56"/>
        <v/>
      </c>
      <c r="U442" s="51" t="str">
        <f t="shared" si="57"/>
        <v/>
      </c>
    </row>
    <row r="443" spans="1:21">
      <c r="A443" s="51" t="str">
        <f>IF(Declarations!B71=0,"",Declarations!B71)</f>
        <v/>
      </c>
      <c r="B443" s="161" t="str">
        <f>IF(ISNA(VLOOKUP(A443,Declarations!B$6:C$293,2,FALSE)),"",IF(VLOOKUP(A443,Declarations!B$6:C$293,2,FALSE)="","",VLOOKUP(A443,Declarations!B$6:C$293,2,FALSE)))</f>
        <v/>
      </c>
      <c r="C443" s="161" t="str">
        <f>IF(ISNA(VLOOKUP(A443,Declarations!B$6:F$293,5,FALSE)),"",IF(VLOOKUP(A443,Declarations!B$6:F$293,5,FALSE)="","",VLOOKUP(A443,Declarations!B$6:F$293,5,FALSE)))</f>
        <v/>
      </c>
      <c r="D443" s="161" t="str">
        <f>IF(ISNA(VLOOKUP(A443,Declarations!B$6:F$293,4,FALSE)),"",IF(VLOOKUP(A443,Declarations!B$6:F$293,4,FALSE)="","",VLOOKUP(A443,Declarations!B$6:F$293,4,FALSE)))</f>
        <v/>
      </c>
      <c r="E443" s="161" t="str">
        <f>IF(ISNA(VLOOKUP(A443,Declarations!B$6:D$293,3,FALSE)),"",IF(VLOOKUP(A443,Declarations!B$6:D$293,3,FALSE)="","",VLOOKUP(A443,Declarations!B$6:D$293,3,FALSE)))</f>
        <v/>
      </c>
      <c r="F443" s="51" t="str">
        <f>IF(B443="","",IF(ISNA(VLOOKUP(A443,'75m'!F$5:G$302,2,FALSE)),"",VLOOKUP(A443,'75m'!F$5:G$302,2,FALSE)))</f>
        <v/>
      </c>
      <c r="G443" s="51">
        <f>IF(B443="",0,IF(ISNA(_xlfn.XLOOKUP(A443,'75m'!F$5:F$302,'75m'!M$5:M$302)),0,_xlfn.XLOOKUP(A443,'75m'!F$5:F$302,'75m'!M$5:M$302)))</f>
        <v>0</v>
      </c>
      <c r="H443" s="51" t="str">
        <f>IF(B443="","",IF(ISNA(VLOOKUP(A443,'75m'!F$5:K$302,5,FALSE)),"",VLOOKUP(A443,'75m'!F$5:K$302,5,FALSE)))</f>
        <v/>
      </c>
      <c r="I443" s="53">
        <f>IF(B443="",0,IF(ISNA(VLOOKUP(A443,'600m'!F$5:J$302,2,FALSE)),0,VLOOKUP(A443,'600m'!F$5:J$302,2,FALSE)))</f>
        <v>0</v>
      </c>
      <c r="J443" s="51">
        <f>IF(B443="",0,IF(ISNA(_xlfn.XLOOKUP(A443,'600m'!F$5:F$302,'600m'!M$5:M$302)),0,_xlfn.XLOOKUP(A443,'600m'!F$5:F$302,'600m'!M$5:M$302)))</f>
        <v>0</v>
      </c>
      <c r="K443" s="51" t="str">
        <f>IF(B443="","",IF(ISNA(VLOOKUP(A443,'600m'!F$5:K$302,5,FALSE)),"",VLOOKUP(A443,'600m'!F$5:K$302,5,FALSE)))</f>
        <v/>
      </c>
      <c r="L443" s="51" t="str">
        <f>IF(B443="","",IF(ISNA(VLOOKUP(A443,LongJump!F$5:G$302,2,FALSE)),"",VLOOKUP(A443,LongJump!F$5:G$302,2,FALSE)))</f>
        <v/>
      </c>
      <c r="M443" s="51">
        <f>IF(B443="",0,IF(ISNA(_xlfn.XLOOKUP(A443,LongJump!F$5:F$302,LongJump!M$5:M$302)),0,_xlfn.XLOOKUP(A443,LongJump!F$5:F$302,LongJump!M$5:M$302)))</f>
        <v>0</v>
      </c>
      <c r="N443" s="51">
        <f>IF(B443="",0,IF(ISNA(VLOOKUP(A443,LongJump!F$5:K$302,5,FALSE)),0,VLOOKUP(A443,LongJump!F$5:K$302,5,FALSE)))</f>
        <v>0</v>
      </c>
      <c r="O443" s="51" t="str">
        <f>IF(B443="","",IF(ISNA(VLOOKUP(A443,Vortex!F$5:J$302,2,FALSE)),"",VLOOKUP(A443,Vortex!F$5:J$302,2,FALSE)))</f>
        <v/>
      </c>
      <c r="P443" s="51">
        <f>IF(B443="",0,IF(ISNA(_xlfn.XLOOKUP(A443,Vortex!F$5:F$302,Vortex!M$5:M$302)),0,_xlfn.XLOOKUP(A443,Vortex!F$5:F$302,Vortex!M$5:M$302)))</f>
        <v>0</v>
      </c>
      <c r="Q443" s="51">
        <f t="shared" ref="Q443:Q506" si="58">G443+J443+M443+P443</f>
        <v>0</v>
      </c>
      <c r="R443" s="51" t="str">
        <f t="shared" ref="R443:R506" si="59">IF(OR($Q443=0,$E443&lt;&gt;"U10"),"",COUNTIFS($C$378:$C$665, $C443, $D$378:$D$665, $D443, $E$378:$E$665, $E443, $Q$378:$Q$665,"&gt;"&amp;$Q443)+1)</f>
        <v/>
      </c>
      <c r="S443" s="51" t="str">
        <f t="shared" ref="S443:S506" si="60">IF(OR($Q443=0,$E443&lt;&gt;"U12"),"",COUNTIFS($C$378:$C$665, $C443, $D$378:$D$665, $D443, $E$378:$E$665, $E443, $Q$378:$Q$665,"&gt;"&amp;$Q443)+1)</f>
        <v/>
      </c>
      <c r="T443" s="51" t="str">
        <f t="shared" ref="T443:T506" si="61">IF(OR($Q443=0,$E443&lt;&gt;"U10"),"",COUNTIFS($D$378:$D$665, $D443,$E$378:$E$665,$E443,$Q$378:$Q$665,"&gt;"&amp;$Q443)+1)</f>
        <v/>
      </c>
      <c r="U443" s="51" t="str">
        <f t="shared" ref="U443:U506" si="62">IF(OR($Q443=0,$E443&lt;&gt;"U12"),"",COUNTIFS($D$378:$D$665, $D443,$E$378:$E$665,$E443,$Q$378:$Q$665,"&gt;"&amp;$Q443)+1)</f>
        <v/>
      </c>
    </row>
    <row r="444" spans="1:21">
      <c r="A444" s="51" t="str">
        <f>IF(Declarations!B72=0,"",Declarations!B72)</f>
        <v/>
      </c>
      <c r="B444" s="161" t="str">
        <f>IF(ISNA(VLOOKUP(A444,Declarations!B$6:C$293,2,FALSE)),"",IF(VLOOKUP(A444,Declarations!B$6:C$293,2,FALSE)="","",VLOOKUP(A444,Declarations!B$6:C$293,2,FALSE)))</f>
        <v/>
      </c>
      <c r="C444" s="161" t="str">
        <f>IF(ISNA(VLOOKUP(A444,Declarations!B$6:F$293,5,FALSE)),"",IF(VLOOKUP(A444,Declarations!B$6:F$293,5,FALSE)="","",VLOOKUP(A444,Declarations!B$6:F$293,5,FALSE)))</f>
        <v/>
      </c>
      <c r="D444" s="161" t="str">
        <f>IF(ISNA(VLOOKUP(A444,Declarations!B$6:F$293,4,FALSE)),"",IF(VLOOKUP(A444,Declarations!B$6:F$293,4,FALSE)="","",VLOOKUP(A444,Declarations!B$6:F$293,4,FALSE)))</f>
        <v/>
      </c>
      <c r="E444" s="161" t="str">
        <f>IF(ISNA(VLOOKUP(A444,Declarations!B$6:D$293,3,FALSE)),"",IF(VLOOKUP(A444,Declarations!B$6:D$293,3,FALSE)="","",VLOOKUP(A444,Declarations!B$6:D$293,3,FALSE)))</f>
        <v/>
      </c>
      <c r="F444" s="51" t="str">
        <f>IF(B444="","",IF(ISNA(VLOOKUP(A444,'75m'!F$5:G$302,2,FALSE)),"",VLOOKUP(A444,'75m'!F$5:G$302,2,FALSE)))</f>
        <v/>
      </c>
      <c r="G444" s="51">
        <f>IF(B444="",0,IF(ISNA(_xlfn.XLOOKUP(A444,'75m'!F$5:F$302,'75m'!M$5:M$302)),0,_xlfn.XLOOKUP(A444,'75m'!F$5:F$302,'75m'!M$5:M$302)))</f>
        <v>0</v>
      </c>
      <c r="H444" s="51" t="str">
        <f>IF(B444="","",IF(ISNA(VLOOKUP(A444,'75m'!F$5:K$302,5,FALSE)),"",VLOOKUP(A444,'75m'!F$5:K$302,5,FALSE)))</f>
        <v/>
      </c>
      <c r="I444" s="53">
        <f>IF(B444="",0,IF(ISNA(VLOOKUP(A444,'600m'!F$5:J$302,2,FALSE)),0,VLOOKUP(A444,'600m'!F$5:J$302,2,FALSE)))</f>
        <v>0</v>
      </c>
      <c r="J444" s="51">
        <f>IF(B444="",0,IF(ISNA(_xlfn.XLOOKUP(A444,'600m'!F$5:F$302,'600m'!M$5:M$302)),0,_xlfn.XLOOKUP(A444,'600m'!F$5:F$302,'600m'!M$5:M$302)))</f>
        <v>0</v>
      </c>
      <c r="K444" s="51" t="str">
        <f>IF(B444="","",IF(ISNA(VLOOKUP(A444,'600m'!F$5:K$302,5,FALSE)),"",VLOOKUP(A444,'600m'!F$5:K$302,5,FALSE)))</f>
        <v/>
      </c>
      <c r="L444" s="51" t="str">
        <f>IF(B444="","",IF(ISNA(VLOOKUP(A444,LongJump!F$5:G$302,2,FALSE)),"",VLOOKUP(A444,LongJump!F$5:G$302,2,FALSE)))</f>
        <v/>
      </c>
      <c r="M444" s="51">
        <f>IF(B444="",0,IF(ISNA(_xlfn.XLOOKUP(A444,LongJump!F$5:F$302,LongJump!M$5:M$302)),0,_xlfn.XLOOKUP(A444,LongJump!F$5:F$302,LongJump!M$5:M$302)))</f>
        <v>0</v>
      </c>
      <c r="N444" s="51">
        <f>IF(B444="",0,IF(ISNA(VLOOKUP(A444,LongJump!F$5:K$302,5,FALSE)),0,VLOOKUP(A444,LongJump!F$5:K$302,5,FALSE)))</f>
        <v>0</v>
      </c>
      <c r="O444" s="51" t="str">
        <f>IF(B444="","",IF(ISNA(VLOOKUP(A444,Vortex!F$5:J$302,2,FALSE)),"",VLOOKUP(A444,Vortex!F$5:J$302,2,FALSE)))</f>
        <v/>
      </c>
      <c r="P444" s="51">
        <f>IF(B444="",0,IF(ISNA(_xlfn.XLOOKUP(A444,Vortex!F$5:F$302,Vortex!M$5:M$302)),0,_xlfn.XLOOKUP(A444,Vortex!F$5:F$302,Vortex!M$5:M$302)))</f>
        <v>0</v>
      </c>
      <c r="Q444" s="51">
        <f t="shared" si="58"/>
        <v>0</v>
      </c>
      <c r="R444" s="51" t="str">
        <f t="shared" si="59"/>
        <v/>
      </c>
      <c r="S444" s="51" t="str">
        <f t="shared" si="60"/>
        <v/>
      </c>
      <c r="T444" s="51" t="str">
        <f t="shared" si="61"/>
        <v/>
      </c>
      <c r="U444" s="51" t="str">
        <f t="shared" si="62"/>
        <v/>
      </c>
    </row>
    <row r="445" spans="1:21">
      <c r="A445" s="51" t="str">
        <f>IF(Declarations!B73=0,"",Declarations!B73)</f>
        <v/>
      </c>
      <c r="B445" s="161" t="str">
        <f>IF(ISNA(VLOOKUP(A445,Declarations!B$6:C$293,2,FALSE)),"",IF(VLOOKUP(A445,Declarations!B$6:C$293,2,FALSE)="","",VLOOKUP(A445,Declarations!B$6:C$293,2,FALSE)))</f>
        <v/>
      </c>
      <c r="C445" s="161" t="str">
        <f>IF(ISNA(VLOOKUP(A445,Declarations!B$6:F$293,5,FALSE)),"",IF(VLOOKUP(A445,Declarations!B$6:F$293,5,FALSE)="","",VLOOKUP(A445,Declarations!B$6:F$293,5,FALSE)))</f>
        <v/>
      </c>
      <c r="D445" s="161" t="str">
        <f>IF(ISNA(VLOOKUP(A445,Declarations!B$6:F$293,4,FALSE)),"",IF(VLOOKUP(A445,Declarations!B$6:F$293,4,FALSE)="","",VLOOKUP(A445,Declarations!B$6:F$293,4,FALSE)))</f>
        <v/>
      </c>
      <c r="E445" s="161" t="str">
        <f>IF(ISNA(VLOOKUP(A445,Declarations!B$6:D$293,3,FALSE)),"",IF(VLOOKUP(A445,Declarations!B$6:D$293,3,FALSE)="","",VLOOKUP(A445,Declarations!B$6:D$293,3,FALSE)))</f>
        <v/>
      </c>
      <c r="F445" s="51" t="str">
        <f>IF(B445="","",IF(ISNA(VLOOKUP(A445,'75m'!F$5:G$302,2,FALSE)),"",VLOOKUP(A445,'75m'!F$5:G$302,2,FALSE)))</f>
        <v/>
      </c>
      <c r="G445" s="51">
        <f>IF(B445="",0,IF(ISNA(_xlfn.XLOOKUP(A445,'75m'!F$5:F$302,'75m'!M$5:M$302)),0,_xlfn.XLOOKUP(A445,'75m'!F$5:F$302,'75m'!M$5:M$302)))</f>
        <v>0</v>
      </c>
      <c r="H445" s="51" t="str">
        <f>IF(B445="","",IF(ISNA(VLOOKUP(A445,'75m'!F$5:K$302,5,FALSE)),"",VLOOKUP(A445,'75m'!F$5:K$302,5,FALSE)))</f>
        <v/>
      </c>
      <c r="I445" s="53">
        <f>IF(B445="",0,IF(ISNA(VLOOKUP(A445,'600m'!F$5:J$302,2,FALSE)),0,VLOOKUP(A445,'600m'!F$5:J$302,2,FALSE)))</f>
        <v>0</v>
      </c>
      <c r="J445" s="51">
        <f>IF(B445="",0,IF(ISNA(_xlfn.XLOOKUP(A445,'600m'!F$5:F$302,'600m'!M$5:M$302)),0,_xlfn.XLOOKUP(A445,'600m'!F$5:F$302,'600m'!M$5:M$302)))</f>
        <v>0</v>
      </c>
      <c r="K445" s="51" t="str">
        <f>IF(B445="","",IF(ISNA(VLOOKUP(A445,'600m'!F$5:K$302,5,FALSE)),"",VLOOKUP(A445,'600m'!F$5:K$302,5,FALSE)))</f>
        <v/>
      </c>
      <c r="L445" s="51" t="str">
        <f>IF(B445="","",IF(ISNA(VLOOKUP(A445,LongJump!F$5:G$302,2,FALSE)),"",VLOOKUP(A445,LongJump!F$5:G$302,2,FALSE)))</f>
        <v/>
      </c>
      <c r="M445" s="51">
        <f>IF(B445="",0,IF(ISNA(_xlfn.XLOOKUP(A445,LongJump!F$5:F$302,LongJump!M$5:M$302)),0,_xlfn.XLOOKUP(A445,LongJump!F$5:F$302,LongJump!M$5:M$302)))</f>
        <v>0</v>
      </c>
      <c r="N445" s="51">
        <f>IF(B445="",0,IF(ISNA(VLOOKUP(A445,LongJump!F$5:K$302,5,FALSE)),0,VLOOKUP(A445,LongJump!F$5:K$302,5,FALSE)))</f>
        <v>0</v>
      </c>
      <c r="O445" s="51" t="str">
        <f>IF(B445="","",IF(ISNA(VLOOKUP(A445,Vortex!F$5:J$302,2,FALSE)),"",VLOOKUP(A445,Vortex!F$5:J$302,2,FALSE)))</f>
        <v/>
      </c>
      <c r="P445" s="51">
        <f>IF(B445="",0,IF(ISNA(_xlfn.XLOOKUP(A445,Vortex!F$5:F$302,Vortex!M$5:M$302)),0,_xlfn.XLOOKUP(A445,Vortex!F$5:F$302,Vortex!M$5:M$302)))</f>
        <v>0</v>
      </c>
      <c r="Q445" s="51">
        <f t="shared" si="58"/>
        <v>0</v>
      </c>
      <c r="R445" s="51" t="str">
        <f t="shared" si="59"/>
        <v/>
      </c>
      <c r="S445" s="51" t="str">
        <f t="shared" si="60"/>
        <v/>
      </c>
      <c r="T445" s="51" t="str">
        <f t="shared" si="61"/>
        <v/>
      </c>
      <c r="U445" s="51" t="str">
        <f t="shared" si="62"/>
        <v/>
      </c>
    </row>
    <row r="446" spans="1:21">
      <c r="A446" s="51" t="str">
        <f>IF(Declarations!B74=0,"",Declarations!B74)</f>
        <v/>
      </c>
      <c r="B446" s="161" t="str">
        <f>IF(ISNA(VLOOKUP(A446,Declarations!B$6:C$293,2,FALSE)),"",IF(VLOOKUP(A446,Declarations!B$6:C$293,2,FALSE)="","",VLOOKUP(A446,Declarations!B$6:C$293,2,FALSE)))</f>
        <v/>
      </c>
      <c r="C446" s="161" t="str">
        <f>IF(ISNA(VLOOKUP(A446,Declarations!B$6:F$293,5,FALSE)),"",IF(VLOOKUP(A446,Declarations!B$6:F$293,5,FALSE)="","",VLOOKUP(A446,Declarations!B$6:F$293,5,FALSE)))</f>
        <v/>
      </c>
      <c r="D446" s="161" t="str">
        <f>IF(ISNA(VLOOKUP(A446,Declarations!B$6:F$293,4,FALSE)),"",IF(VLOOKUP(A446,Declarations!B$6:F$293,4,FALSE)="","",VLOOKUP(A446,Declarations!B$6:F$293,4,FALSE)))</f>
        <v/>
      </c>
      <c r="E446" s="161" t="str">
        <f>IF(ISNA(VLOOKUP(A446,Declarations!B$6:D$293,3,FALSE)),"",IF(VLOOKUP(A446,Declarations!B$6:D$293,3,FALSE)="","",VLOOKUP(A446,Declarations!B$6:D$293,3,FALSE)))</f>
        <v/>
      </c>
      <c r="F446" s="51" t="str">
        <f>IF(B446="","",IF(ISNA(VLOOKUP(A446,'75m'!F$5:G$302,2,FALSE)),"",VLOOKUP(A446,'75m'!F$5:G$302,2,FALSE)))</f>
        <v/>
      </c>
      <c r="G446" s="51">
        <f>IF(B446="",0,IF(ISNA(_xlfn.XLOOKUP(A446,'75m'!F$5:F$302,'75m'!M$5:M$302)),0,_xlfn.XLOOKUP(A446,'75m'!F$5:F$302,'75m'!M$5:M$302)))</f>
        <v>0</v>
      </c>
      <c r="H446" s="51" t="str">
        <f>IF(B446="","",IF(ISNA(VLOOKUP(A446,'75m'!F$5:K$302,5,FALSE)),"",VLOOKUP(A446,'75m'!F$5:K$302,5,FALSE)))</f>
        <v/>
      </c>
      <c r="I446" s="53">
        <f>IF(B446="",0,IF(ISNA(VLOOKUP(A446,'600m'!F$5:J$302,2,FALSE)),0,VLOOKUP(A446,'600m'!F$5:J$302,2,FALSE)))</f>
        <v>0</v>
      </c>
      <c r="J446" s="51">
        <f>IF(B446="",0,IF(ISNA(_xlfn.XLOOKUP(A446,'600m'!F$5:F$302,'600m'!M$5:M$302)),0,_xlfn.XLOOKUP(A446,'600m'!F$5:F$302,'600m'!M$5:M$302)))</f>
        <v>0</v>
      </c>
      <c r="K446" s="51" t="str">
        <f>IF(B446="","",IF(ISNA(VLOOKUP(A446,'600m'!F$5:K$302,5,FALSE)),"",VLOOKUP(A446,'600m'!F$5:K$302,5,FALSE)))</f>
        <v/>
      </c>
      <c r="L446" s="51" t="str">
        <f>IF(B446="","",IF(ISNA(VLOOKUP(A446,LongJump!F$5:G$302,2,FALSE)),"",VLOOKUP(A446,LongJump!F$5:G$302,2,FALSE)))</f>
        <v/>
      </c>
      <c r="M446" s="51">
        <f>IF(B446="",0,IF(ISNA(_xlfn.XLOOKUP(A446,LongJump!F$5:F$302,LongJump!M$5:M$302)),0,_xlfn.XLOOKUP(A446,LongJump!F$5:F$302,LongJump!M$5:M$302)))</f>
        <v>0</v>
      </c>
      <c r="N446" s="51">
        <f>IF(B446="",0,IF(ISNA(VLOOKUP(A446,LongJump!F$5:K$302,5,FALSE)),0,VLOOKUP(A446,LongJump!F$5:K$302,5,FALSE)))</f>
        <v>0</v>
      </c>
      <c r="O446" s="51" t="str">
        <f>IF(B446="","",IF(ISNA(VLOOKUP(A446,Vortex!F$5:J$302,2,FALSE)),"",VLOOKUP(A446,Vortex!F$5:J$302,2,FALSE)))</f>
        <v/>
      </c>
      <c r="P446" s="51">
        <f>IF(B446="",0,IF(ISNA(_xlfn.XLOOKUP(A446,Vortex!F$5:F$302,Vortex!M$5:M$302)),0,_xlfn.XLOOKUP(A446,Vortex!F$5:F$302,Vortex!M$5:M$302)))</f>
        <v>0</v>
      </c>
      <c r="Q446" s="51">
        <f t="shared" si="58"/>
        <v>0</v>
      </c>
      <c r="R446" s="51" t="str">
        <f t="shared" si="59"/>
        <v/>
      </c>
      <c r="S446" s="51" t="str">
        <f t="shared" si="60"/>
        <v/>
      </c>
      <c r="T446" s="51" t="str">
        <f t="shared" si="61"/>
        <v/>
      </c>
      <c r="U446" s="51" t="str">
        <f t="shared" si="62"/>
        <v/>
      </c>
    </row>
    <row r="447" spans="1:21">
      <c r="A447" s="51" t="str">
        <f>IF(Declarations!B75=0,"",Declarations!B75)</f>
        <v/>
      </c>
      <c r="B447" s="161" t="str">
        <f>IF(ISNA(VLOOKUP(A447,Declarations!B$6:C$293,2,FALSE)),"",IF(VLOOKUP(A447,Declarations!B$6:C$293,2,FALSE)="","",VLOOKUP(A447,Declarations!B$6:C$293,2,FALSE)))</f>
        <v/>
      </c>
      <c r="C447" s="161" t="str">
        <f>IF(ISNA(VLOOKUP(A447,Declarations!B$6:F$293,5,FALSE)),"",IF(VLOOKUP(A447,Declarations!B$6:F$293,5,FALSE)="","",VLOOKUP(A447,Declarations!B$6:F$293,5,FALSE)))</f>
        <v/>
      </c>
      <c r="D447" s="161" t="str">
        <f>IF(ISNA(VLOOKUP(A447,Declarations!B$6:F$293,4,FALSE)),"",IF(VLOOKUP(A447,Declarations!B$6:F$293,4,FALSE)="","",VLOOKUP(A447,Declarations!B$6:F$293,4,FALSE)))</f>
        <v/>
      </c>
      <c r="E447" s="161" t="str">
        <f>IF(ISNA(VLOOKUP(A447,Declarations!B$6:D$293,3,FALSE)),"",IF(VLOOKUP(A447,Declarations!B$6:D$293,3,FALSE)="","",VLOOKUP(A447,Declarations!B$6:D$293,3,FALSE)))</f>
        <v/>
      </c>
      <c r="F447" s="51" t="str">
        <f>IF(B447="","",IF(ISNA(VLOOKUP(A447,'75m'!F$5:G$302,2,FALSE)),"",VLOOKUP(A447,'75m'!F$5:G$302,2,FALSE)))</f>
        <v/>
      </c>
      <c r="G447" s="51">
        <f>IF(B447="",0,IF(ISNA(_xlfn.XLOOKUP(A447,'75m'!F$5:F$302,'75m'!M$5:M$302)),0,_xlfn.XLOOKUP(A447,'75m'!F$5:F$302,'75m'!M$5:M$302)))</f>
        <v>0</v>
      </c>
      <c r="H447" s="51" t="str">
        <f>IF(B447="","",IF(ISNA(VLOOKUP(A447,'75m'!F$5:K$302,5,FALSE)),"",VLOOKUP(A447,'75m'!F$5:K$302,5,FALSE)))</f>
        <v/>
      </c>
      <c r="I447" s="53">
        <f>IF(B447="",0,IF(ISNA(VLOOKUP(A447,'600m'!F$5:J$302,2,FALSE)),0,VLOOKUP(A447,'600m'!F$5:J$302,2,FALSE)))</f>
        <v>0</v>
      </c>
      <c r="J447" s="51">
        <f>IF(B447="",0,IF(ISNA(_xlfn.XLOOKUP(A447,'600m'!F$5:F$302,'600m'!M$5:M$302)),0,_xlfn.XLOOKUP(A447,'600m'!F$5:F$302,'600m'!M$5:M$302)))</f>
        <v>0</v>
      </c>
      <c r="K447" s="51" t="str">
        <f>IF(B447="","",IF(ISNA(VLOOKUP(A447,'600m'!F$5:K$302,5,FALSE)),"",VLOOKUP(A447,'600m'!F$5:K$302,5,FALSE)))</f>
        <v/>
      </c>
      <c r="L447" s="51" t="str">
        <f>IF(B447="","",IF(ISNA(VLOOKUP(A447,LongJump!F$5:G$302,2,FALSE)),"",VLOOKUP(A447,LongJump!F$5:G$302,2,FALSE)))</f>
        <v/>
      </c>
      <c r="M447" s="51">
        <f>IF(B447="",0,IF(ISNA(_xlfn.XLOOKUP(A447,LongJump!F$5:F$302,LongJump!M$5:M$302)),0,_xlfn.XLOOKUP(A447,LongJump!F$5:F$302,LongJump!M$5:M$302)))</f>
        <v>0</v>
      </c>
      <c r="N447" s="51">
        <f>IF(B447="",0,IF(ISNA(VLOOKUP(A447,LongJump!F$5:K$302,5,FALSE)),0,VLOOKUP(A447,LongJump!F$5:K$302,5,FALSE)))</f>
        <v>0</v>
      </c>
      <c r="O447" s="51" t="str">
        <f>IF(B447="","",IF(ISNA(VLOOKUP(A447,Vortex!F$5:J$302,2,FALSE)),"",VLOOKUP(A447,Vortex!F$5:J$302,2,FALSE)))</f>
        <v/>
      </c>
      <c r="P447" s="51">
        <f>IF(B447="",0,IF(ISNA(_xlfn.XLOOKUP(A447,Vortex!F$5:F$302,Vortex!M$5:M$302)),0,_xlfn.XLOOKUP(A447,Vortex!F$5:F$302,Vortex!M$5:M$302)))</f>
        <v>0</v>
      </c>
      <c r="Q447" s="51">
        <f t="shared" si="58"/>
        <v>0</v>
      </c>
      <c r="R447" s="51" t="str">
        <f t="shared" si="59"/>
        <v/>
      </c>
      <c r="S447" s="51" t="str">
        <f t="shared" si="60"/>
        <v/>
      </c>
      <c r="T447" s="51" t="str">
        <f t="shared" si="61"/>
        <v/>
      </c>
      <c r="U447" s="51" t="str">
        <f t="shared" si="62"/>
        <v/>
      </c>
    </row>
    <row r="448" spans="1:21">
      <c r="A448" s="51" t="str">
        <f>IF(Declarations!B76=0,"",Declarations!B76)</f>
        <v/>
      </c>
      <c r="B448" s="161" t="str">
        <f>IF(ISNA(VLOOKUP(A448,Declarations!B$6:C$293,2,FALSE)),"",IF(VLOOKUP(A448,Declarations!B$6:C$293,2,FALSE)="","",VLOOKUP(A448,Declarations!B$6:C$293,2,FALSE)))</f>
        <v/>
      </c>
      <c r="C448" s="161" t="str">
        <f>IF(ISNA(VLOOKUP(A448,Declarations!B$6:F$293,5,FALSE)),"",IF(VLOOKUP(A448,Declarations!B$6:F$293,5,FALSE)="","",VLOOKUP(A448,Declarations!B$6:F$293,5,FALSE)))</f>
        <v/>
      </c>
      <c r="D448" s="161" t="str">
        <f>IF(ISNA(VLOOKUP(A448,Declarations!B$6:F$293,4,FALSE)),"",IF(VLOOKUP(A448,Declarations!B$6:F$293,4,FALSE)="","",VLOOKUP(A448,Declarations!B$6:F$293,4,FALSE)))</f>
        <v/>
      </c>
      <c r="E448" s="161" t="str">
        <f>IF(ISNA(VLOOKUP(A448,Declarations!B$6:D$293,3,FALSE)),"",IF(VLOOKUP(A448,Declarations!B$6:D$293,3,FALSE)="","",VLOOKUP(A448,Declarations!B$6:D$293,3,FALSE)))</f>
        <v/>
      </c>
      <c r="F448" s="51" t="str">
        <f>IF(B448="","",IF(ISNA(VLOOKUP(A448,'75m'!F$5:G$302,2,FALSE)),"",VLOOKUP(A448,'75m'!F$5:G$302,2,FALSE)))</f>
        <v/>
      </c>
      <c r="G448" s="51">
        <f>IF(B448="",0,IF(ISNA(_xlfn.XLOOKUP(A448,'75m'!F$5:F$302,'75m'!M$5:M$302)),0,_xlfn.XLOOKUP(A448,'75m'!F$5:F$302,'75m'!M$5:M$302)))</f>
        <v>0</v>
      </c>
      <c r="H448" s="51" t="str">
        <f>IF(B448="","",IF(ISNA(VLOOKUP(A448,'75m'!F$5:K$302,5,FALSE)),"",VLOOKUP(A448,'75m'!F$5:K$302,5,FALSE)))</f>
        <v/>
      </c>
      <c r="I448" s="53">
        <f>IF(B448="",0,IF(ISNA(VLOOKUP(A448,'600m'!F$5:J$302,2,FALSE)),0,VLOOKUP(A448,'600m'!F$5:J$302,2,FALSE)))</f>
        <v>0</v>
      </c>
      <c r="J448" s="51">
        <f>IF(B448="",0,IF(ISNA(_xlfn.XLOOKUP(A448,'600m'!F$5:F$302,'600m'!M$5:M$302)),0,_xlfn.XLOOKUP(A448,'600m'!F$5:F$302,'600m'!M$5:M$302)))</f>
        <v>0</v>
      </c>
      <c r="K448" s="51" t="str">
        <f>IF(B448="","",IF(ISNA(VLOOKUP(A448,'600m'!F$5:K$302,5,FALSE)),"",VLOOKUP(A448,'600m'!F$5:K$302,5,FALSE)))</f>
        <v/>
      </c>
      <c r="L448" s="51" t="str">
        <f>IF(B448="","",IF(ISNA(VLOOKUP(A448,LongJump!F$5:G$302,2,FALSE)),"",VLOOKUP(A448,LongJump!F$5:G$302,2,FALSE)))</f>
        <v/>
      </c>
      <c r="M448" s="51">
        <f>IF(B448="",0,IF(ISNA(_xlfn.XLOOKUP(A448,LongJump!F$5:F$302,LongJump!M$5:M$302)),0,_xlfn.XLOOKUP(A448,LongJump!F$5:F$302,LongJump!M$5:M$302)))</f>
        <v>0</v>
      </c>
      <c r="N448" s="51">
        <f>IF(B448="",0,IF(ISNA(VLOOKUP(A448,LongJump!F$5:K$302,5,FALSE)),0,VLOOKUP(A448,LongJump!F$5:K$302,5,FALSE)))</f>
        <v>0</v>
      </c>
      <c r="O448" s="51" t="str">
        <f>IF(B448="","",IF(ISNA(VLOOKUP(A448,Vortex!F$5:J$302,2,FALSE)),"",VLOOKUP(A448,Vortex!F$5:J$302,2,FALSE)))</f>
        <v/>
      </c>
      <c r="P448" s="51">
        <f>IF(B448="",0,IF(ISNA(_xlfn.XLOOKUP(A448,Vortex!F$5:F$302,Vortex!M$5:M$302)),0,_xlfn.XLOOKUP(A448,Vortex!F$5:F$302,Vortex!M$5:M$302)))</f>
        <v>0</v>
      </c>
      <c r="Q448" s="51">
        <f t="shared" si="58"/>
        <v>0</v>
      </c>
      <c r="R448" s="51" t="str">
        <f t="shared" si="59"/>
        <v/>
      </c>
      <c r="S448" s="51" t="str">
        <f t="shared" si="60"/>
        <v/>
      </c>
      <c r="T448" s="51" t="str">
        <f t="shared" si="61"/>
        <v/>
      </c>
      <c r="U448" s="51" t="str">
        <f t="shared" si="62"/>
        <v/>
      </c>
    </row>
    <row r="449" spans="1:21">
      <c r="A449" s="51" t="str">
        <f>IF(Declarations!B77=0,"",Declarations!B77)</f>
        <v/>
      </c>
      <c r="B449" s="161" t="str">
        <f>IF(ISNA(VLOOKUP(A449,Declarations!B$6:C$293,2,FALSE)),"",IF(VLOOKUP(A449,Declarations!B$6:C$293,2,FALSE)="","",VLOOKUP(A449,Declarations!B$6:C$293,2,FALSE)))</f>
        <v/>
      </c>
      <c r="C449" s="161" t="str">
        <f>IF(ISNA(VLOOKUP(A449,Declarations!B$6:F$293,5,FALSE)),"",IF(VLOOKUP(A449,Declarations!B$6:F$293,5,FALSE)="","",VLOOKUP(A449,Declarations!B$6:F$293,5,FALSE)))</f>
        <v/>
      </c>
      <c r="D449" s="161" t="str">
        <f>IF(ISNA(VLOOKUP(A449,Declarations!B$6:F$293,4,FALSE)),"",IF(VLOOKUP(A449,Declarations!B$6:F$293,4,FALSE)="","",VLOOKUP(A449,Declarations!B$6:F$293,4,FALSE)))</f>
        <v/>
      </c>
      <c r="E449" s="161" t="str">
        <f>IF(ISNA(VLOOKUP(A449,Declarations!B$6:D$293,3,FALSE)),"",IF(VLOOKUP(A449,Declarations!B$6:D$293,3,FALSE)="","",VLOOKUP(A449,Declarations!B$6:D$293,3,FALSE)))</f>
        <v/>
      </c>
      <c r="F449" s="51" t="str">
        <f>IF(B449="","",IF(ISNA(VLOOKUP(A449,'75m'!F$5:G$302,2,FALSE)),"",VLOOKUP(A449,'75m'!F$5:G$302,2,FALSE)))</f>
        <v/>
      </c>
      <c r="G449" s="51">
        <f>IF(B449="",0,IF(ISNA(_xlfn.XLOOKUP(A449,'75m'!F$5:F$302,'75m'!M$5:M$302)),0,_xlfn.XLOOKUP(A449,'75m'!F$5:F$302,'75m'!M$5:M$302)))</f>
        <v>0</v>
      </c>
      <c r="H449" s="51" t="str">
        <f>IF(B449="","",IF(ISNA(VLOOKUP(A449,'75m'!F$5:K$302,5,FALSE)),"",VLOOKUP(A449,'75m'!F$5:K$302,5,FALSE)))</f>
        <v/>
      </c>
      <c r="I449" s="53">
        <f>IF(B449="",0,IF(ISNA(VLOOKUP(A449,'600m'!F$5:J$302,2,FALSE)),0,VLOOKUP(A449,'600m'!F$5:J$302,2,FALSE)))</f>
        <v>0</v>
      </c>
      <c r="J449" s="51">
        <f>IF(B449="",0,IF(ISNA(_xlfn.XLOOKUP(A449,'600m'!F$5:F$302,'600m'!M$5:M$302)),0,_xlfn.XLOOKUP(A449,'600m'!F$5:F$302,'600m'!M$5:M$302)))</f>
        <v>0</v>
      </c>
      <c r="K449" s="51" t="str">
        <f>IF(B449="","",IF(ISNA(VLOOKUP(A449,'600m'!F$5:K$302,5,FALSE)),"",VLOOKUP(A449,'600m'!F$5:K$302,5,FALSE)))</f>
        <v/>
      </c>
      <c r="L449" s="51" t="str">
        <f>IF(B449="","",IF(ISNA(VLOOKUP(A449,LongJump!F$5:G$302,2,FALSE)),"",VLOOKUP(A449,LongJump!F$5:G$302,2,FALSE)))</f>
        <v/>
      </c>
      <c r="M449" s="51">
        <f>IF(B449="",0,IF(ISNA(_xlfn.XLOOKUP(A449,LongJump!F$5:F$302,LongJump!M$5:M$302)),0,_xlfn.XLOOKUP(A449,LongJump!F$5:F$302,LongJump!M$5:M$302)))</f>
        <v>0</v>
      </c>
      <c r="N449" s="51">
        <f>IF(B449="",0,IF(ISNA(VLOOKUP(A449,LongJump!F$5:K$302,5,FALSE)),0,VLOOKUP(A449,LongJump!F$5:K$302,5,FALSE)))</f>
        <v>0</v>
      </c>
      <c r="O449" s="51" t="str">
        <f>IF(B449="","",IF(ISNA(VLOOKUP(A449,Vortex!F$5:J$302,2,FALSE)),"",VLOOKUP(A449,Vortex!F$5:J$302,2,FALSE)))</f>
        <v/>
      </c>
      <c r="P449" s="51">
        <f>IF(B449="",0,IF(ISNA(_xlfn.XLOOKUP(A449,Vortex!F$5:F$302,Vortex!M$5:M$302)),0,_xlfn.XLOOKUP(A449,Vortex!F$5:F$302,Vortex!M$5:M$302)))</f>
        <v>0</v>
      </c>
      <c r="Q449" s="51">
        <f t="shared" si="58"/>
        <v>0</v>
      </c>
      <c r="R449" s="51" t="str">
        <f t="shared" si="59"/>
        <v/>
      </c>
      <c r="S449" s="51" t="str">
        <f t="shared" si="60"/>
        <v/>
      </c>
      <c r="T449" s="51" t="str">
        <f t="shared" si="61"/>
        <v/>
      </c>
      <c r="U449" s="51" t="str">
        <f t="shared" si="62"/>
        <v/>
      </c>
    </row>
    <row r="450" spans="1:21">
      <c r="A450" s="51" t="str">
        <f>IF(Declarations!B78=0,"",Declarations!B78)</f>
        <v/>
      </c>
      <c r="B450" s="161" t="str">
        <f>IF(ISNA(VLOOKUP(A450,Declarations!B$6:C$293,2,FALSE)),"",IF(VLOOKUP(A450,Declarations!B$6:C$293,2,FALSE)="","",VLOOKUP(A450,Declarations!B$6:C$293,2,FALSE)))</f>
        <v/>
      </c>
      <c r="C450" s="161" t="str">
        <f>IF(ISNA(VLOOKUP(A450,Declarations!B$6:F$293,5,FALSE)),"",IF(VLOOKUP(A450,Declarations!B$6:F$293,5,FALSE)="","",VLOOKUP(A450,Declarations!B$6:F$293,5,FALSE)))</f>
        <v/>
      </c>
      <c r="D450" s="161" t="str">
        <f>IF(ISNA(VLOOKUP(A450,Declarations!B$6:F$293,4,FALSE)),"",IF(VLOOKUP(A450,Declarations!B$6:F$293,4,FALSE)="","",VLOOKUP(A450,Declarations!B$6:F$293,4,FALSE)))</f>
        <v/>
      </c>
      <c r="E450" s="161" t="str">
        <f>IF(ISNA(VLOOKUP(A450,Declarations!B$6:D$293,3,FALSE)),"",IF(VLOOKUP(A450,Declarations!B$6:D$293,3,FALSE)="","",VLOOKUP(A450,Declarations!B$6:D$293,3,FALSE)))</f>
        <v/>
      </c>
      <c r="F450" s="51" t="str">
        <f>IF(B450="","",IF(ISNA(VLOOKUP(A450,'75m'!F$5:G$302,2,FALSE)),"",VLOOKUP(A450,'75m'!F$5:G$302,2,FALSE)))</f>
        <v/>
      </c>
      <c r="G450" s="51">
        <f>IF(B450="",0,IF(ISNA(_xlfn.XLOOKUP(A450,'75m'!F$5:F$302,'75m'!M$5:M$302)),0,_xlfn.XLOOKUP(A450,'75m'!F$5:F$302,'75m'!M$5:M$302)))</f>
        <v>0</v>
      </c>
      <c r="H450" s="51" t="str">
        <f>IF(B450="","",IF(ISNA(VLOOKUP(A450,'75m'!F$5:K$302,5,FALSE)),"",VLOOKUP(A450,'75m'!F$5:K$302,5,FALSE)))</f>
        <v/>
      </c>
      <c r="I450" s="53">
        <f>IF(B450="",0,IF(ISNA(VLOOKUP(A450,'600m'!F$5:J$302,2,FALSE)),0,VLOOKUP(A450,'600m'!F$5:J$302,2,FALSE)))</f>
        <v>0</v>
      </c>
      <c r="J450" s="51">
        <f>IF(B450="",0,IF(ISNA(_xlfn.XLOOKUP(A450,'600m'!F$5:F$302,'600m'!M$5:M$302)),0,_xlfn.XLOOKUP(A450,'600m'!F$5:F$302,'600m'!M$5:M$302)))</f>
        <v>0</v>
      </c>
      <c r="K450" s="51" t="str">
        <f>IF(B450="","",IF(ISNA(VLOOKUP(A450,'600m'!F$5:K$302,5,FALSE)),"",VLOOKUP(A450,'600m'!F$5:K$302,5,FALSE)))</f>
        <v/>
      </c>
      <c r="L450" s="51" t="str">
        <f>IF(B450="","",IF(ISNA(VLOOKUP(A450,LongJump!F$5:G$302,2,FALSE)),"",VLOOKUP(A450,LongJump!F$5:G$302,2,FALSE)))</f>
        <v/>
      </c>
      <c r="M450" s="51">
        <f>IF(B450="",0,IF(ISNA(_xlfn.XLOOKUP(A450,LongJump!F$5:F$302,LongJump!M$5:M$302)),0,_xlfn.XLOOKUP(A450,LongJump!F$5:F$302,LongJump!M$5:M$302)))</f>
        <v>0</v>
      </c>
      <c r="N450" s="51">
        <f>IF(B450="",0,IF(ISNA(VLOOKUP(A450,LongJump!F$5:K$302,5,FALSE)),0,VLOOKUP(A450,LongJump!F$5:K$302,5,FALSE)))</f>
        <v>0</v>
      </c>
      <c r="O450" s="51" t="str">
        <f>IF(B450="","",IF(ISNA(VLOOKUP(A450,Vortex!F$5:J$302,2,FALSE)),"",VLOOKUP(A450,Vortex!F$5:J$302,2,FALSE)))</f>
        <v/>
      </c>
      <c r="P450" s="51">
        <f>IF(B450="",0,IF(ISNA(_xlfn.XLOOKUP(A450,Vortex!F$5:F$302,Vortex!M$5:M$302)),0,_xlfn.XLOOKUP(A450,Vortex!F$5:F$302,Vortex!M$5:M$302)))</f>
        <v>0</v>
      </c>
      <c r="Q450" s="51">
        <f t="shared" si="58"/>
        <v>0</v>
      </c>
      <c r="R450" s="51" t="str">
        <f t="shared" si="59"/>
        <v/>
      </c>
      <c r="S450" s="51" t="str">
        <f t="shared" si="60"/>
        <v/>
      </c>
      <c r="T450" s="51" t="str">
        <f t="shared" si="61"/>
        <v/>
      </c>
      <c r="U450" s="51" t="str">
        <f t="shared" si="62"/>
        <v/>
      </c>
    </row>
    <row r="451" spans="1:21">
      <c r="A451" s="51" t="str">
        <f>IF(Declarations!B79=0,"",Declarations!B79)</f>
        <v/>
      </c>
      <c r="B451" s="161" t="str">
        <f>IF(ISNA(VLOOKUP(A451,Declarations!B$6:C$293,2,FALSE)),"",IF(VLOOKUP(A451,Declarations!B$6:C$293,2,FALSE)="","",VLOOKUP(A451,Declarations!B$6:C$293,2,FALSE)))</f>
        <v/>
      </c>
      <c r="C451" s="161" t="str">
        <f>IF(ISNA(VLOOKUP(A451,Declarations!B$6:F$293,5,FALSE)),"",IF(VLOOKUP(A451,Declarations!B$6:F$293,5,FALSE)="","",VLOOKUP(A451,Declarations!B$6:F$293,5,FALSE)))</f>
        <v/>
      </c>
      <c r="D451" s="161" t="str">
        <f>IF(ISNA(VLOOKUP(A451,Declarations!B$6:F$293,4,FALSE)),"",IF(VLOOKUP(A451,Declarations!B$6:F$293,4,FALSE)="","",VLOOKUP(A451,Declarations!B$6:F$293,4,FALSE)))</f>
        <v/>
      </c>
      <c r="E451" s="161" t="str">
        <f>IF(ISNA(VLOOKUP(A451,Declarations!B$6:D$293,3,FALSE)),"",IF(VLOOKUP(A451,Declarations!B$6:D$293,3,FALSE)="","",VLOOKUP(A451,Declarations!B$6:D$293,3,FALSE)))</f>
        <v/>
      </c>
      <c r="F451" s="51" t="str">
        <f>IF(B451="","",IF(ISNA(VLOOKUP(A451,'75m'!F$5:G$302,2,FALSE)),"",VLOOKUP(A451,'75m'!F$5:G$302,2,FALSE)))</f>
        <v/>
      </c>
      <c r="G451" s="51">
        <f>IF(B451="",0,IF(ISNA(_xlfn.XLOOKUP(A451,'75m'!F$5:F$302,'75m'!M$5:M$302)),0,_xlfn.XLOOKUP(A451,'75m'!F$5:F$302,'75m'!M$5:M$302)))</f>
        <v>0</v>
      </c>
      <c r="H451" s="51" t="str">
        <f>IF(B451="","",IF(ISNA(VLOOKUP(A451,'75m'!F$5:K$302,5,FALSE)),"",VLOOKUP(A451,'75m'!F$5:K$302,5,FALSE)))</f>
        <v/>
      </c>
      <c r="I451" s="53">
        <f>IF(B451="",0,IF(ISNA(VLOOKUP(A451,'600m'!F$5:J$302,2,FALSE)),0,VLOOKUP(A451,'600m'!F$5:J$302,2,FALSE)))</f>
        <v>0</v>
      </c>
      <c r="J451" s="51">
        <f>IF(B451="",0,IF(ISNA(_xlfn.XLOOKUP(A451,'600m'!F$5:F$302,'600m'!M$5:M$302)),0,_xlfn.XLOOKUP(A451,'600m'!F$5:F$302,'600m'!M$5:M$302)))</f>
        <v>0</v>
      </c>
      <c r="K451" s="51" t="str">
        <f>IF(B451="","",IF(ISNA(VLOOKUP(A451,'600m'!F$5:K$302,5,FALSE)),"",VLOOKUP(A451,'600m'!F$5:K$302,5,FALSE)))</f>
        <v/>
      </c>
      <c r="L451" s="51" t="str">
        <f>IF(B451="","",IF(ISNA(VLOOKUP(A451,LongJump!F$5:G$302,2,FALSE)),"",VLOOKUP(A451,LongJump!F$5:G$302,2,FALSE)))</f>
        <v/>
      </c>
      <c r="M451" s="51">
        <f>IF(B451="",0,IF(ISNA(_xlfn.XLOOKUP(A451,LongJump!F$5:F$302,LongJump!M$5:M$302)),0,_xlfn.XLOOKUP(A451,LongJump!F$5:F$302,LongJump!M$5:M$302)))</f>
        <v>0</v>
      </c>
      <c r="N451" s="51">
        <f>IF(B451="",0,IF(ISNA(VLOOKUP(A451,LongJump!F$5:K$302,5,FALSE)),0,VLOOKUP(A451,LongJump!F$5:K$302,5,FALSE)))</f>
        <v>0</v>
      </c>
      <c r="O451" s="51" t="str">
        <f>IF(B451="","",IF(ISNA(VLOOKUP(A451,Vortex!F$5:J$302,2,FALSE)),"",VLOOKUP(A451,Vortex!F$5:J$302,2,FALSE)))</f>
        <v/>
      </c>
      <c r="P451" s="51">
        <f>IF(B451="",0,IF(ISNA(_xlfn.XLOOKUP(A451,Vortex!F$5:F$302,Vortex!M$5:M$302)),0,_xlfn.XLOOKUP(A451,Vortex!F$5:F$302,Vortex!M$5:M$302)))</f>
        <v>0</v>
      </c>
      <c r="Q451" s="51">
        <f t="shared" si="58"/>
        <v>0</v>
      </c>
      <c r="R451" s="51" t="str">
        <f t="shared" si="59"/>
        <v/>
      </c>
      <c r="S451" s="51" t="str">
        <f t="shared" si="60"/>
        <v/>
      </c>
      <c r="T451" s="51" t="str">
        <f t="shared" si="61"/>
        <v/>
      </c>
      <c r="U451" s="51" t="str">
        <f t="shared" si="62"/>
        <v/>
      </c>
    </row>
    <row r="452" spans="1:21">
      <c r="A452" s="51" t="str">
        <f>IF(Declarations!B80=0,"",Declarations!B80)</f>
        <v/>
      </c>
      <c r="B452" s="161" t="str">
        <f>IF(ISNA(VLOOKUP(A452,Declarations!B$6:C$293,2,FALSE)),"",IF(VLOOKUP(A452,Declarations!B$6:C$293,2,FALSE)="","",VLOOKUP(A452,Declarations!B$6:C$293,2,FALSE)))</f>
        <v/>
      </c>
      <c r="C452" s="161" t="str">
        <f>IF(ISNA(VLOOKUP(A452,Declarations!B$6:F$293,5,FALSE)),"",IF(VLOOKUP(A452,Declarations!B$6:F$293,5,FALSE)="","",VLOOKUP(A452,Declarations!B$6:F$293,5,FALSE)))</f>
        <v/>
      </c>
      <c r="D452" s="161" t="str">
        <f>IF(ISNA(VLOOKUP(A452,Declarations!B$6:F$293,4,FALSE)),"",IF(VLOOKUP(A452,Declarations!B$6:F$293,4,FALSE)="","",VLOOKUP(A452,Declarations!B$6:F$293,4,FALSE)))</f>
        <v/>
      </c>
      <c r="E452" s="161" t="str">
        <f>IF(ISNA(VLOOKUP(A452,Declarations!B$6:D$293,3,FALSE)),"",IF(VLOOKUP(A452,Declarations!B$6:D$293,3,FALSE)="","",VLOOKUP(A452,Declarations!B$6:D$293,3,FALSE)))</f>
        <v/>
      </c>
      <c r="F452" s="51" t="str">
        <f>IF(B452="","",IF(ISNA(VLOOKUP(A452,'75m'!F$5:G$302,2,FALSE)),"",VLOOKUP(A452,'75m'!F$5:G$302,2,FALSE)))</f>
        <v/>
      </c>
      <c r="G452" s="51">
        <f>IF(B452="",0,IF(ISNA(_xlfn.XLOOKUP(A452,'75m'!F$5:F$302,'75m'!M$5:M$302)),0,_xlfn.XLOOKUP(A452,'75m'!F$5:F$302,'75m'!M$5:M$302)))</f>
        <v>0</v>
      </c>
      <c r="H452" s="51" t="str">
        <f>IF(B452="","",IF(ISNA(VLOOKUP(A452,'75m'!F$5:K$302,5,FALSE)),"",VLOOKUP(A452,'75m'!F$5:K$302,5,FALSE)))</f>
        <v/>
      </c>
      <c r="I452" s="53">
        <f>IF(B452="",0,IF(ISNA(VLOOKUP(A452,'600m'!F$5:J$302,2,FALSE)),0,VLOOKUP(A452,'600m'!F$5:J$302,2,FALSE)))</f>
        <v>0</v>
      </c>
      <c r="J452" s="51">
        <f>IF(B452="",0,IF(ISNA(_xlfn.XLOOKUP(A452,'600m'!F$5:F$302,'600m'!M$5:M$302)),0,_xlfn.XLOOKUP(A452,'600m'!F$5:F$302,'600m'!M$5:M$302)))</f>
        <v>0</v>
      </c>
      <c r="K452" s="51" t="str">
        <f>IF(B452="","",IF(ISNA(VLOOKUP(A452,'600m'!F$5:K$302,5,FALSE)),"",VLOOKUP(A452,'600m'!F$5:K$302,5,FALSE)))</f>
        <v/>
      </c>
      <c r="L452" s="51" t="str">
        <f>IF(B452="","",IF(ISNA(VLOOKUP(A452,LongJump!F$5:G$302,2,FALSE)),"",VLOOKUP(A452,LongJump!F$5:G$302,2,FALSE)))</f>
        <v/>
      </c>
      <c r="M452" s="51">
        <f>IF(B452="",0,IF(ISNA(_xlfn.XLOOKUP(A452,LongJump!F$5:F$302,LongJump!M$5:M$302)),0,_xlfn.XLOOKUP(A452,LongJump!F$5:F$302,LongJump!M$5:M$302)))</f>
        <v>0</v>
      </c>
      <c r="N452" s="51">
        <f>IF(B452="",0,IF(ISNA(VLOOKUP(A452,LongJump!F$5:K$302,5,FALSE)),0,VLOOKUP(A452,LongJump!F$5:K$302,5,FALSE)))</f>
        <v>0</v>
      </c>
      <c r="O452" s="51" t="str">
        <f>IF(B452="","",IF(ISNA(VLOOKUP(A452,Vortex!F$5:J$302,2,FALSE)),"",VLOOKUP(A452,Vortex!F$5:J$302,2,FALSE)))</f>
        <v/>
      </c>
      <c r="P452" s="51">
        <f>IF(B452="",0,IF(ISNA(_xlfn.XLOOKUP(A452,Vortex!F$5:F$302,Vortex!M$5:M$302)),0,_xlfn.XLOOKUP(A452,Vortex!F$5:F$302,Vortex!M$5:M$302)))</f>
        <v>0</v>
      </c>
      <c r="Q452" s="51">
        <f t="shared" si="58"/>
        <v>0</v>
      </c>
      <c r="R452" s="51" t="str">
        <f t="shared" si="59"/>
        <v/>
      </c>
      <c r="S452" s="51" t="str">
        <f t="shared" si="60"/>
        <v/>
      </c>
      <c r="T452" s="51" t="str">
        <f t="shared" si="61"/>
        <v/>
      </c>
      <c r="U452" s="51" t="str">
        <f t="shared" si="62"/>
        <v/>
      </c>
    </row>
    <row r="453" spans="1:21">
      <c r="A453" s="51" t="str">
        <f>IF(Declarations!B81=0,"",Declarations!B81)</f>
        <v/>
      </c>
      <c r="B453" s="161" t="str">
        <f>IF(ISNA(VLOOKUP(A453,Declarations!B$6:C$293,2,FALSE)),"",IF(VLOOKUP(A453,Declarations!B$6:C$293,2,FALSE)="","",VLOOKUP(A453,Declarations!B$6:C$293,2,FALSE)))</f>
        <v/>
      </c>
      <c r="C453" s="161" t="str">
        <f>IF(ISNA(VLOOKUP(A453,Declarations!B$6:F$293,5,FALSE)),"",IF(VLOOKUP(A453,Declarations!B$6:F$293,5,FALSE)="","",VLOOKUP(A453,Declarations!B$6:F$293,5,FALSE)))</f>
        <v/>
      </c>
      <c r="D453" s="161" t="str">
        <f>IF(ISNA(VLOOKUP(A453,Declarations!B$6:F$293,4,FALSE)),"",IF(VLOOKUP(A453,Declarations!B$6:F$293,4,FALSE)="","",VLOOKUP(A453,Declarations!B$6:F$293,4,FALSE)))</f>
        <v/>
      </c>
      <c r="E453" s="161" t="str">
        <f>IF(ISNA(VLOOKUP(A453,Declarations!B$6:D$293,3,FALSE)),"",IF(VLOOKUP(A453,Declarations!B$6:D$293,3,FALSE)="","",VLOOKUP(A453,Declarations!B$6:D$293,3,FALSE)))</f>
        <v/>
      </c>
      <c r="F453" s="51" t="str">
        <f>IF(B453="","",IF(ISNA(VLOOKUP(A453,'75m'!F$5:G$302,2,FALSE)),"",VLOOKUP(A453,'75m'!F$5:G$302,2,FALSE)))</f>
        <v/>
      </c>
      <c r="G453" s="51">
        <f>IF(B453="",0,IF(ISNA(_xlfn.XLOOKUP(A453,'75m'!F$5:F$302,'75m'!M$5:M$302)),0,_xlfn.XLOOKUP(A453,'75m'!F$5:F$302,'75m'!M$5:M$302)))</f>
        <v>0</v>
      </c>
      <c r="H453" s="51" t="str">
        <f>IF(B453="","",IF(ISNA(VLOOKUP(A453,'75m'!F$5:K$302,5,FALSE)),"",VLOOKUP(A453,'75m'!F$5:K$302,5,FALSE)))</f>
        <v/>
      </c>
      <c r="I453" s="53">
        <f>IF(B453="",0,IF(ISNA(VLOOKUP(A453,'600m'!F$5:J$302,2,FALSE)),0,VLOOKUP(A453,'600m'!F$5:J$302,2,FALSE)))</f>
        <v>0</v>
      </c>
      <c r="J453" s="51">
        <f>IF(B453="",0,IF(ISNA(_xlfn.XLOOKUP(A453,'600m'!F$5:F$302,'600m'!M$5:M$302)),0,_xlfn.XLOOKUP(A453,'600m'!F$5:F$302,'600m'!M$5:M$302)))</f>
        <v>0</v>
      </c>
      <c r="K453" s="51" t="str">
        <f>IF(B453="","",IF(ISNA(VLOOKUP(A453,'600m'!F$5:K$302,5,FALSE)),"",VLOOKUP(A453,'600m'!F$5:K$302,5,FALSE)))</f>
        <v/>
      </c>
      <c r="L453" s="51" t="str">
        <f>IF(B453="","",IF(ISNA(VLOOKUP(A453,LongJump!F$5:G$302,2,FALSE)),"",VLOOKUP(A453,LongJump!F$5:G$302,2,FALSE)))</f>
        <v/>
      </c>
      <c r="M453" s="51">
        <f>IF(B453="",0,IF(ISNA(_xlfn.XLOOKUP(A453,LongJump!F$5:F$302,LongJump!M$5:M$302)),0,_xlfn.XLOOKUP(A453,LongJump!F$5:F$302,LongJump!M$5:M$302)))</f>
        <v>0</v>
      </c>
      <c r="N453" s="51">
        <f>IF(B453="",0,IF(ISNA(VLOOKUP(A453,LongJump!F$5:K$302,5,FALSE)),0,VLOOKUP(A453,LongJump!F$5:K$302,5,FALSE)))</f>
        <v>0</v>
      </c>
      <c r="O453" s="51" t="str">
        <f>IF(B453="","",IF(ISNA(VLOOKUP(A453,Vortex!F$5:J$302,2,FALSE)),"",VLOOKUP(A453,Vortex!F$5:J$302,2,FALSE)))</f>
        <v/>
      </c>
      <c r="P453" s="51">
        <f>IF(B453="",0,IF(ISNA(_xlfn.XLOOKUP(A453,Vortex!F$5:F$302,Vortex!M$5:M$302)),0,_xlfn.XLOOKUP(A453,Vortex!F$5:F$302,Vortex!M$5:M$302)))</f>
        <v>0</v>
      </c>
      <c r="Q453" s="51">
        <f t="shared" si="58"/>
        <v>0</v>
      </c>
      <c r="R453" s="51" t="str">
        <f t="shared" si="59"/>
        <v/>
      </c>
      <c r="S453" s="51" t="str">
        <f t="shared" si="60"/>
        <v/>
      </c>
      <c r="T453" s="51" t="str">
        <f t="shared" si="61"/>
        <v/>
      </c>
      <c r="U453" s="51" t="str">
        <f t="shared" si="62"/>
        <v/>
      </c>
    </row>
    <row r="454" spans="1:21">
      <c r="A454" s="51" t="str">
        <f>IF(Declarations!B82=0,"",Declarations!B82)</f>
        <v/>
      </c>
      <c r="B454" s="161" t="str">
        <f>IF(ISNA(VLOOKUP(A454,Declarations!B$6:C$293,2,FALSE)),"",IF(VLOOKUP(A454,Declarations!B$6:C$293,2,FALSE)="","",VLOOKUP(A454,Declarations!B$6:C$293,2,FALSE)))</f>
        <v/>
      </c>
      <c r="C454" s="161" t="str">
        <f>IF(ISNA(VLOOKUP(A454,Declarations!B$6:F$293,5,FALSE)),"",IF(VLOOKUP(A454,Declarations!B$6:F$293,5,FALSE)="","",VLOOKUP(A454,Declarations!B$6:F$293,5,FALSE)))</f>
        <v/>
      </c>
      <c r="D454" s="161" t="str">
        <f>IF(ISNA(VLOOKUP(A454,Declarations!B$6:F$293,4,FALSE)),"",IF(VLOOKUP(A454,Declarations!B$6:F$293,4,FALSE)="","",VLOOKUP(A454,Declarations!B$6:F$293,4,FALSE)))</f>
        <v/>
      </c>
      <c r="E454" s="161" t="str">
        <f>IF(ISNA(VLOOKUP(A454,Declarations!B$6:D$293,3,FALSE)),"",IF(VLOOKUP(A454,Declarations!B$6:D$293,3,FALSE)="","",VLOOKUP(A454,Declarations!B$6:D$293,3,FALSE)))</f>
        <v/>
      </c>
      <c r="F454" s="51" t="str">
        <f>IF(B454="","",IF(ISNA(VLOOKUP(A454,'75m'!F$5:G$302,2,FALSE)),"",VLOOKUP(A454,'75m'!F$5:G$302,2,FALSE)))</f>
        <v/>
      </c>
      <c r="G454" s="51">
        <f>IF(B454="",0,IF(ISNA(_xlfn.XLOOKUP(A454,'75m'!F$5:F$302,'75m'!M$5:M$302)),0,_xlfn.XLOOKUP(A454,'75m'!F$5:F$302,'75m'!M$5:M$302)))</f>
        <v>0</v>
      </c>
      <c r="H454" s="51" t="str">
        <f>IF(B454="","",IF(ISNA(VLOOKUP(A454,'75m'!F$5:K$302,5,FALSE)),"",VLOOKUP(A454,'75m'!F$5:K$302,5,FALSE)))</f>
        <v/>
      </c>
      <c r="I454" s="53">
        <f>IF(B454="",0,IF(ISNA(VLOOKUP(A454,'600m'!F$5:J$302,2,FALSE)),0,VLOOKUP(A454,'600m'!F$5:J$302,2,FALSE)))</f>
        <v>0</v>
      </c>
      <c r="J454" s="51">
        <f>IF(B454="",0,IF(ISNA(_xlfn.XLOOKUP(A454,'600m'!F$5:F$302,'600m'!M$5:M$302)),0,_xlfn.XLOOKUP(A454,'600m'!F$5:F$302,'600m'!M$5:M$302)))</f>
        <v>0</v>
      </c>
      <c r="K454" s="51" t="str">
        <f>IF(B454="","",IF(ISNA(VLOOKUP(A454,'600m'!F$5:K$302,5,FALSE)),"",VLOOKUP(A454,'600m'!F$5:K$302,5,FALSE)))</f>
        <v/>
      </c>
      <c r="L454" s="51" t="str">
        <f>IF(B454="","",IF(ISNA(VLOOKUP(A454,LongJump!F$5:G$302,2,FALSE)),"",VLOOKUP(A454,LongJump!F$5:G$302,2,FALSE)))</f>
        <v/>
      </c>
      <c r="M454" s="51">
        <f>IF(B454="",0,IF(ISNA(_xlfn.XLOOKUP(A454,LongJump!F$5:F$302,LongJump!M$5:M$302)),0,_xlfn.XLOOKUP(A454,LongJump!F$5:F$302,LongJump!M$5:M$302)))</f>
        <v>0</v>
      </c>
      <c r="N454" s="51">
        <f>IF(B454="",0,IF(ISNA(VLOOKUP(A454,LongJump!F$5:K$302,5,FALSE)),0,VLOOKUP(A454,LongJump!F$5:K$302,5,FALSE)))</f>
        <v>0</v>
      </c>
      <c r="O454" s="51" t="str">
        <f>IF(B454="","",IF(ISNA(VLOOKUP(A454,Vortex!F$5:J$302,2,FALSE)),"",VLOOKUP(A454,Vortex!F$5:J$302,2,FALSE)))</f>
        <v/>
      </c>
      <c r="P454" s="51">
        <f>IF(B454="",0,IF(ISNA(_xlfn.XLOOKUP(A454,Vortex!F$5:F$302,Vortex!M$5:M$302)),0,_xlfn.XLOOKUP(A454,Vortex!F$5:F$302,Vortex!M$5:M$302)))</f>
        <v>0</v>
      </c>
      <c r="Q454" s="51">
        <f t="shared" si="58"/>
        <v>0</v>
      </c>
      <c r="R454" s="51" t="str">
        <f t="shared" si="59"/>
        <v/>
      </c>
      <c r="S454" s="51" t="str">
        <f t="shared" si="60"/>
        <v/>
      </c>
      <c r="T454" s="51" t="str">
        <f t="shared" si="61"/>
        <v/>
      </c>
      <c r="U454" s="51" t="str">
        <f t="shared" si="62"/>
        <v/>
      </c>
    </row>
    <row r="455" spans="1:21">
      <c r="A455" s="51" t="str">
        <f>IF(Declarations!B83=0,"",Declarations!B83)</f>
        <v/>
      </c>
      <c r="B455" s="161" t="str">
        <f>IF(ISNA(VLOOKUP(A455,Declarations!B$6:C$293,2,FALSE)),"",IF(VLOOKUP(A455,Declarations!B$6:C$293,2,FALSE)="","",VLOOKUP(A455,Declarations!B$6:C$293,2,FALSE)))</f>
        <v/>
      </c>
      <c r="C455" s="161" t="str">
        <f>IF(ISNA(VLOOKUP(A455,Declarations!B$6:F$293,5,FALSE)),"",IF(VLOOKUP(A455,Declarations!B$6:F$293,5,FALSE)="","",VLOOKUP(A455,Declarations!B$6:F$293,5,FALSE)))</f>
        <v/>
      </c>
      <c r="D455" s="161" t="str">
        <f>IF(ISNA(VLOOKUP(A455,Declarations!B$6:F$293,4,FALSE)),"",IF(VLOOKUP(A455,Declarations!B$6:F$293,4,FALSE)="","",VLOOKUP(A455,Declarations!B$6:F$293,4,FALSE)))</f>
        <v/>
      </c>
      <c r="E455" s="161" t="str">
        <f>IF(ISNA(VLOOKUP(A455,Declarations!B$6:D$293,3,FALSE)),"",IF(VLOOKUP(A455,Declarations!B$6:D$293,3,FALSE)="","",VLOOKUP(A455,Declarations!B$6:D$293,3,FALSE)))</f>
        <v/>
      </c>
      <c r="F455" s="51" t="str">
        <f>IF(B455="","",IF(ISNA(VLOOKUP(A455,'75m'!F$5:G$302,2,FALSE)),"",VLOOKUP(A455,'75m'!F$5:G$302,2,FALSE)))</f>
        <v/>
      </c>
      <c r="G455" s="51">
        <f>IF(B455="",0,IF(ISNA(_xlfn.XLOOKUP(A455,'75m'!F$5:F$302,'75m'!M$5:M$302)),0,_xlfn.XLOOKUP(A455,'75m'!F$5:F$302,'75m'!M$5:M$302)))</f>
        <v>0</v>
      </c>
      <c r="H455" s="51" t="str">
        <f>IF(B455="","",IF(ISNA(VLOOKUP(A455,'75m'!F$5:K$302,5,FALSE)),"",VLOOKUP(A455,'75m'!F$5:K$302,5,FALSE)))</f>
        <v/>
      </c>
      <c r="I455" s="53">
        <f>IF(B455="",0,IF(ISNA(VLOOKUP(A455,'600m'!F$5:J$302,2,FALSE)),0,VLOOKUP(A455,'600m'!F$5:J$302,2,FALSE)))</f>
        <v>0</v>
      </c>
      <c r="J455" s="51">
        <f>IF(B455="",0,IF(ISNA(_xlfn.XLOOKUP(A455,'600m'!F$5:F$302,'600m'!M$5:M$302)),0,_xlfn.XLOOKUP(A455,'600m'!F$5:F$302,'600m'!M$5:M$302)))</f>
        <v>0</v>
      </c>
      <c r="K455" s="51" t="str">
        <f>IF(B455="","",IF(ISNA(VLOOKUP(A455,'600m'!F$5:K$302,5,FALSE)),"",VLOOKUP(A455,'600m'!F$5:K$302,5,FALSE)))</f>
        <v/>
      </c>
      <c r="L455" s="51" t="str">
        <f>IF(B455="","",IF(ISNA(VLOOKUP(A455,LongJump!F$5:G$302,2,FALSE)),"",VLOOKUP(A455,LongJump!F$5:G$302,2,FALSE)))</f>
        <v/>
      </c>
      <c r="M455" s="51">
        <f>IF(B455="",0,IF(ISNA(_xlfn.XLOOKUP(A455,LongJump!F$5:F$302,LongJump!M$5:M$302)),0,_xlfn.XLOOKUP(A455,LongJump!F$5:F$302,LongJump!M$5:M$302)))</f>
        <v>0</v>
      </c>
      <c r="N455" s="51">
        <f>IF(B455="",0,IF(ISNA(VLOOKUP(A455,LongJump!F$5:K$302,5,FALSE)),0,VLOOKUP(A455,LongJump!F$5:K$302,5,FALSE)))</f>
        <v>0</v>
      </c>
      <c r="O455" s="51" t="str">
        <f>IF(B455="","",IF(ISNA(VLOOKUP(A455,Vortex!F$5:J$302,2,FALSE)),"",VLOOKUP(A455,Vortex!F$5:J$302,2,FALSE)))</f>
        <v/>
      </c>
      <c r="P455" s="51">
        <f>IF(B455="",0,IF(ISNA(_xlfn.XLOOKUP(A455,Vortex!F$5:F$302,Vortex!M$5:M$302)),0,_xlfn.XLOOKUP(A455,Vortex!F$5:F$302,Vortex!M$5:M$302)))</f>
        <v>0</v>
      </c>
      <c r="Q455" s="51">
        <f t="shared" si="58"/>
        <v>0</v>
      </c>
      <c r="R455" s="51" t="str">
        <f t="shared" si="59"/>
        <v/>
      </c>
      <c r="S455" s="51" t="str">
        <f t="shared" si="60"/>
        <v/>
      </c>
      <c r="T455" s="51" t="str">
        <f t="shared" si="61"/>
        <v/>
      </c>
      <c r="U455" s="51" t="str">
        <f t="shared" si="62"/>
        <v/>
      </c>
    </row>
    <row r="456" spans="1:21">
      <c r="A456" s="51" t="str">
        <f>IF(Declarations!B84=0,"",Declarations!B84)</f>
        <v/>
      </c>
      <c r="B456" s="161" t="str">
        <f>IF(ISNA(VLOOKUP(A456,Declarations!B$6:C$293,2,FALSE)),"",IF(VLOOKUP(A456,Declarations!B$6:C$293,2,FALSE)="","",VLOOKUP(A456,Declarations!B$6:C$293,2,FALSE)))</f>
        <v/>
      </c>
      <c r="C456" s="161" t="str">
        <f>IF(ISNA(VLOOKUP(A456,Declarations!B$6:F$293,5,FALSE)),"",IF(VLOOKUP(A456,Declarations!B$6:F$293,5,FALSE)="","",VLOOKUP(A456,Declarations!B$6:F$293,5,FALSE)))</f>
        <v/>
      </c>
      <c r="D456" s="161" t="str">
        <f>IF(ISNA(VLOOKUP(A456,Declarations!B$6:F$293,4,FALSE)),"",IF(VLOOKUP(A456,Declarations!B$6:F$293,4,FALSE)="","",VLOOKUP(A456,Declarations!B$6:F$293,4,FALSE)))</f>
        <v/>
      </c>
      <c r="E456" s="161" t="str">
        <f>IF(ISNA(VLOOKUP(A456,Declarations!B$6:D$293,3,FALSE)),"",IF(VLOOKUP(A456,Declarations!B$6:D$293,3,FALSE)="","",VLOOKUP(A456,Declarations!B$6:D$293,3,FALSE)))</f>
        <v/>
      </c>
      <c r="F456" s="51" t="str">
        <f>IF(B456="","",IF(ISNA(VLOOKUP(A456,'75m'!F$5:G$302,2,FALSE)),"",VLOOKUP(A456,'75m'!F$5:G$302,2,FALSE)))</f>
        <v/>
      </c>
      <c r="G456" s="51">
        <f>IF(B456="",0,IF(ISNA(_xlfn.XLOOKUP(A456,'75m'!F$5:F$302,'75m'!M$5:M$302)),0,_xlfn.XLOOKUP(A456,'75m'!F$5:F$302,'75m'!M$5:M$302)))</f>
        <v>0</v>
      </c>
      <c r="H456" s="51" t="str">
        <f>IF(B456="","",IF(ISNA(VLOOKUP(A456,'75m'!F$5:K$302,5,FALSE)),"",VLOOKUP(A456,'75m'!F$5:K$302,5,FALSE)))</f>
        <v/>
      </c>
      <c r="I456" s="53">
        <f>IF(B456="",0,IF(ISNA(VLOOKUP(A456,'600m'!F$5:J$302,2,FALSE)),0,VLOOKUP(A456,'600m'!F$5:J$302,2,FALSE)))</f>
        <v>0</v>
      </c>
      <c r="J456" s="51">
        <f>IF(B456="",0,IF(ISNA(_xlfn.XLOOKUP(A456,'600m'!F$5:F$302,'600m'!M$5:M$302)),0,_xlfn.XLOOKUP(A456,'600m'!F$5:F$302,'600m'!M$5:M$302)))</f>
        <v>0</v>
      </c>
      <c r="K456" s="51" t="str">
        <f>IF(B456="","",IF(ISNA(VLOOKUP(A456,'600m'!F$5:K$302,5,FALSE)),"",VLOOKUP(A456,'600m'!F$5:K$302,5,FALSE)))</f>
        <v/>
      </c>
      <c r="L456" s="51" t="str">
        <f>IF(B456="","",IF(ISNA(VLOOKUP(A456,LongJump!F$5:G$302,2,FALSE)),"",VLOOKUP(A456,LongJump!F$5:G$302,2,FALSE)))</f>
        <v/>
      </c>
      <c r="M456" s="51">
        <f>IF(B456="",0,IF(ISNA(_xlfn.XLOOKUP(A456,LongJump!F$5:F$302,LongJump!M$5:M$302)),0,_xlfn.XLOOKUP(A456,LongJump!F$5:F$302,LongJump!M$5:M$302)))</f>
        <v>0</v>
      </c>
      <c r="N456" s="51">
        <f>IF(B456="",0,IF(ISNA(VLOOKUP(A456,LongJump!F$5:K$302,5,FALSE)),0,VLOOKUP(A456,LongJump!F$5:K$302,5,FALSE)))</f>
        <v>0</v>
      </c>
      <c r="O456" s="51" t="str">
        <f>IF(B456="","",IF(ISNA(VLOOKUP(A456,Vortex!F$5:J$302,2,FALSE)),"",VLOOKUP(A456,Vortex!F$5:J$302,2,FALSE)))</f>
        <v/>
      </c>
      <c r="P456" s="51">
        <f>IF(B456="",0,IF(ISNA(_xlfn.XLOOKUP(A456,Vortex!F$5:F$302,Vortex!M$5:M$302)),0,_xlfn.XLOOKUP(A456,Vortex!F$5:F$302,Vortex!M$5:M$302)))</f>
        <v>0</v>
      </c>
      <c r="Q456" s="51">
        <f t="shared" si="58"/>
        <v>0</v>
      </c>
      <c r="R456" s="51" t="str">
        <f t="shared" si="59"/>
        <v/>
      </c>
      <c r="S456" s="51" t="str">
        <f t="shared" si="60"/>
        <v/>
      </c>
      <c r="T456" s="51" t="str">
        <f t="shared" si="61"/>
        <v/>
      </c>
      <c r="U456" s="51" t="str">
        <f t="shared" si="62"/>
        <v/>
      </c>
    </row>
    <row r="457" spans="1:21">
      <c r="A457" s="51" t="str">
        <f>IF(Declarations!B85=0,"",Declarations!B85)</f>
        <v/>
      </c>
      <c r="B457" s="161" t="str">
        <f>IF(ISNA(VLOOKUP(A457,Declarations!B$6:C$293,2,FALSE)),"",IF(VLOOKUP(A457,Declarations!B$6:C$293,2,FALSE)="","",VLOOKUP(A457,Declarations!B$6:C$293,2,FALSE)))</f>
        <v/>
      </c>
      <c r="C457" s="161" t="str">
        <f>IF(ISNA(VLOOKUP(A457,Declarations!B$6:F$293,5,FALSE)),"",IF(VLOOKUP(A457,Declarations!B$6:F$293,5,FALSE)="","",VLOOKUP(A457,Declarations!B$6:F$293,5,FALSE)))</f>
        <v/>
      </c>
      <c r="D457" s="161" t="str">
        <f>IF(ISNA(VLOOKUP(A457,Declarations!B$6:F$293,4,FALSE)),"",IF(VLOOKUP(A457,Declarations!B$6:F$293,4,FALSE)="","",VLOOKUP(A457,Declarations!B$6:F$293,4,FALSE)))</f>
        <v/>
      </c>
      <c r="E457" s="161" t="str">
        <f>IF(ISNA(VLOOKUP(A457,Declarations!B$6:D$293,3,FALSE)),"",IF(VLOOKUP(A457,Declarations!B$6:D$293,3,FALSE)="","",VLOOKUP(A457,Declarations!B$6:D$293,3,FALSE)))</f>
        <v/>
      </c>
      <c r="F457" s="51" t="str">
        <f>IF(B457="","",IF(ISNA(VLOOKUP(A457,'75m'!F$5:G$302,2,FALSE)),"",VLOOKUP(A457,'75m'!F$5:G$302,2,FALSE)))</f>
        <v/>
      </c>
      <c r="G457" s="51">
        <f>IF(B457="",0,IF(ISNA(_xlfn.XLOOKUP(A457,'75m'!F$5:F$302,'75m'!M$5:M$302)),0,_xlfn.XLOOKUP(A457,'75m'!F$5:F$302,'75m'!M$5:M$302)))</f>
        <v>0</v>
      </c>
      <c r="H457" s="51" t="str">
        <f>IF(B457="","",IF(ISNA(VLOOKUP(A457,'75m'!F$5:K$302,5,FALSE)),"",VLOOKUP(A457,'75m'!F$5:K$302,5,FALSE)))</f>
        <v/>
      </c>
      <c r="I457" s="53">
        <f>IF(B457="",0,IF(ISNA(VLOOKUP(A457,'600m'!F$5:J$302,2,FALSE)),0,VLOOKUP(A457,'600m'!F$5:J$302,2,FALSE)))</f>
        <v>0</v>
      </c>
      <c r="J457" s="51">
        <f>IF(B457="",0,IF(ISNA(_xlfn.XLOOKUP(A457,'600m'!F$5:F$302,'600m'!M$5:M$302)),0,_xlfn.XLOOKUP(A457,'600m'!F$5:F$302,'600m'!M$5:M$302)))</f>
        <v>0</v>
      </c>
      <c r="K457" s="51" t="str">
        <f>IF(B457="","",IF(ISNA(VLOOKUP(A457,'600m'!F$5:K$302,5,FALSE)),"",VLOOKUP(A457,'600m'!F$5:K$302,5,FALSE)))</f>
        <v/>
      </c>
      <c r="L457" s="51" t="str">
        <f>IF(B457="","",IF(ISNA(VLOOKUP(A457,LongJump!F$5:G$302,2,FALSE)),"",VLOOKUP(A457,LongJump!F$5:G$302,2,FALSE)))</f>
        <v/>
      </c>
      <c r="M457" s="51">
        <f>IF(B457="",0,IF(ISNA(_xlfn.XLOOKUP(A457,LongJump!F$5:F$302,LongJump!M$5:M$302)),0,_xlfn.XLOOKUP(A457,LongJump!F$5:F$302,LongJump!M$5:M$302)))</f>
        <v>0</v>
      </c>
      <c r="N457" s="51">
        <f>IF(B457="",0,IF(ISNA(VLOOKUP(A457,LongJump!F$5:K$302,5,FALSE)),0,VLOOKUP(A457,LongJump!F$5:K$302,5,FALSE)))</f>
        <v>0</v>
      </c>
      <c r="O457" s="51" t="str">
        <f>IF(B457="","",IF(ISNA(VLOOKUP(A457,Vortex!F$5:J$302,2,FALSE)),"",VLOOKUP(A457,Vortex!F$5:J$302,2,FALSE)))</f>
        <v/>
      </c>
      <c r="P457" s="51">
        <f>IF(B457="",0,IF(ISNA(_xlfn.XLOOKUP(A457,Vortex!F$5:F$302,Vortex!M$5:M$302)),0,_xlfn.XLOOKUP(A457,Vortex!F$5:F$302,Vortex!M$5:M$302)))</f>
        <v>0</v>
      </c>
      <c r="Q457" s="51">
        <f t="shared" si="58"/>
        <v>0</v>
      </c>
      <c r="R457" s="51" t="str">
        <f t="shared" si="59"/>
        <v/>
      </c>
      <c r="S457" s="51" t="str">
        <f t="shared" si="60"/>
        <v/>
      </c>
      <c r="T457" s="51" t="str">
        <f t="shared" si="61"/>
        <v/>
      </c>
      <c r="U457" s="51" t="str">
        <f t="shared" si="62"/>
        <v/>
      </c>
    </row>
    <row r="458" spans="1:21">
      <c r="A458" s="51" t="str">
        <f>IF(Declarations!B86=0,"",Declarations!B86)</f>
        <v/>
      </c>
      <c r="B458" s="161" t="str">
        <f>IF(ISNA(VLOOKUP(A458,Declarations!B$6:C$293,2,FALSE)),"",IF(VLOOKUP(A458,Declarations!B$6:C$293,2,FALSE)="","",VLOOKUP(A458,Declarations!B$6:C$293,2,FALSE)))</f>
        <v/>
      </c>
      <c r="C458" s="161" t="str">
        <f>IF(ISNA(VLOOKUP(A458,Declarations!B$6:F$293,5,FALSE)),"",IF(VLOOKUP(A458,Declarations!B$6:F$293,5,FALSE)="","",VLOOKUP(A458,Declarations!B$6:F$293,5,FALSE)))</f>
        <v/>
      </c>
      <c r="D458" s="161" t="str">
        <f>IF(ISNA(VLOOKUP(A458,Declarations!B$6:F$293,4,FALSE)),"",IF(VLOOKUP(A458,Declarations!B$6:F$293,4,FALSE)="","",VLOOKUP(A458,Declarations!B$6:F$293,4,FALSE)))</f>
        <v/>
      </c>
      <c r="E458" s="161" t="str">
        <f>IF(ISNA(VLOOKUP(A458,Declarations!B$6:D$293,3,FALSE)),"",IF(VLOOKUP(A458,Declarations!B$6:D$293,3,FALSE)="","",VLOOKUP(A458,Declarations!B$6:D$293,3,FALSE)))</f>
        <v/>
      </c>
      <c r="F458" s="51" t="str">
        <f>IF(B458="","",IF(ISNA(VLOOKUP(A458,'75m'!F$5:G$302,2,FALSE)),"",VLOOKUP(A458,'75m'!F$5:G$302,2,FALSE)))</f>
        <v/>
      </c>
      <c r="G458" s="51">
        <f>IF(B458="",0,IF(ISNA(_xlfn.XLOOKUP(A458,'75m'!F$5:F$302,'75m'!M$5:M$302)),0,_xlfn.XLOOKUP(A458,'75m'!F$5:F$302,'75m'!M$5:M$302)))</f>
        <v>0</v>
      </c>
      <c r="H458" s="51" t="str">
        <f>IF(B458="","",IF(ISNA(VLOOKUP(A458,'75m'!F$5:K$302,5,FALSE)),"",VLOOKUP(A458,'75m'!F$5:K$302,5,FALSE)))</f>
        <v/>
      </c>
      <c r="I458" s="53">
        <f>IF(B458="",0,IF(ISNA(VLOOKUP(A458,'600m'!F$5:J$302,2,FALSE)),0,VLOOKUP(A458,'600m'!F$5:J$302,2,FALSE)))</f>
        <v>0</v>
      </c>
      <c r="J458" s="51">
        <f>IF(B458="",0,IF(ISNA(_xlfn.XLOOKUP(A458,'600m'!F$5:F$302,'600m'!M$5:M$302)),0,_xlfn.XLOOKUP(A458,'600m'!F$5:F$302,'600m'!M$5:M$302)))</f>
        <v>0</v>
      </c>
      <c r="K458" s="51" t="str">
        <f>IF(B458="","",IF(ISNA(VLOOKUP(A458,'600m'!F$5:K$302,5,FALSE)),"",VLOOKUP(A458,'600m'!F$5:K$302,5,FALSE)))</f>
        <v/>
      </c>
      <c r="L458" s="51" t="str">
        <f>IF(B458="","",IF(ISNA(VLOOKUP(A458,LongJump!F$5:G$302,2,FALSE)),"",VLOOKUP(A458,LongJump!F$5:G$302,2,FALSE)))</f>
        <v/>
      </c>
      <c r="M458" s="51">
        <f>IF(B458="",0,IF(ISNA(_xlfn.XLOOKUP(A458,LongJump!F$5:F$302,LongJump!M$5:M$302)),0,_xlfn.XLOOKUP(A458,LongJump!F$5:F$302,LongJump!M$5:M$302)))</f>
        <v>0</v>
      </c>
      <c r="N458" s="51">
        <f>IF(B458="",0,IF(ISNA(VLOOKUP(A458,LongJump!F$5:K$302,5,FALSE)),0,VLOOKUP(A458,LongJump!F$5:K$302,5,FALSE)))</f>
        <v>0</v>
      </c>
      <c r="O458" s="51" t="str">
        <f>IF(B458="","",IF(ISNA(VLOOKUP(A458,Vortex!F$5:J$302,2,FALSE)),"",VLOOKUP(A458,Vortex!F$5:J$302,2,FALSE)))</f>
        <v/>
      </c>
      <c r="P458" s="51">
        <f>IF(B458="",0,IF(ISNA(_xlfn.XLOOKUP(A458,Vortex!F$5:F$302,Vortex!M$5:M$302)),0,_xlfn.XLOOKUP(A458,Vortex!F$5:F$302,Vortex!M$5:M$302)))</f>
        <v>0</v>
      </c>
      <c r="Q458" s="51">
        <f t="shared" si="58"/>
        <v>0</v>
      </c>
      <c r="R458" s="51" t="str">
        <f t="shared" si="59"/>
        <v/>
      </c>
      <c r="S458" s="51" t="str">
        <f t="shared" si="60"/>
        <v/>
      </c>
      <c r="T458" s="51" t="str">
        <f t="shared" si="61"/>
        <v/>
      </c>
      <c r="U458" s="51" t="str">
        <f t="shared" si="62"/>
        <v/>
      </c>
    </row>
    <row r="459" spans="1:21">
      <c r="A459" s="51" t="str">
        <f>IF(Declarations!B87=0,"",Declarations!B87)</f>
        <v/>
      </c>
      <c r="B459" s="161" t="str">
        <f>IF(ISNA(VLOOKUP(A459,Declarations!B$6:C$293,2,FALSE)),"",IF(VLOOKUP(A459,Declarations!B$6:C$293,2,FALSE)="","",VLOOKUP(A459,Declarations!B$6:C$293,2,FALSE)))</f>
        <v/>
      </c>
      <c r="C459" s="161" t="str">
        <f>IF(ISNA(VLOOKUP(A459,Declarations!B$6:F$293,5,FALSE)),"",IF(VLOOKUP(A459,Declarations!B$6:F$293,5,FALSE)="","",VLOOKUP(A459,Declarations!B$6:F$293,5,FALSE)))</f>
        <v/>
      </c>
      <c r="D459" s="161" t="str">
        <f>IF(ISNA(VLOOKUP(A459,Declarations!B$6:F$293,4,FALSE)),"",IF(VLOOKUP(A459,Declarations!B$6:F$293,4,FALSE)="","",VLOOKUP(A459,Declarations!B$6:F$293,4,FALSE)))</f>
        <v/>
      </c>
      <c r="E459" s="161" t="str">
        <f>IF(ISNA(VLOOKUP(A459,Declarations!B$6:D$293,3,FALSE)),"",IF(VLOOKUP(A459,Declarations!B$6:D$293,3,FALSE)="","",VLOOKUP(A459,Declarations!B$6:D$293,3,FALSE)))</f>
        <v/>
      </c>
      <c r="F459" s="51" t="str">
        <f>IF(B459="","",IF(ISNA(VLOOKUP(A459,'75m'!F$5:G$302,2,FALSE)),"",VLOOKUP(A459,'75m'!F$5:G$302,2,FALSE)))</f>
        <v/>
      </c>
      <c r="G459" s="51">
        <f>IF(B459="",0,IF(ISNA(_xlfn.XLOOKUP(A459,'75m'!F$5:F$302,'75m'!M$5:M$302)),0,_xlfn.XLOOKUP(A459,'75m'!F$5:F$302,'75m'!M$5:M$302)))</f>
        <v>0</v>
      </c>
      <c r="H459" s="51" t="str">
        <f>IF(B459="","",IF(ISNA(VLOOKUP(A459,'75m'!F$5:K$302,5,FALSE)),"",VLOOKUP(A459,'75m'!F$5:K$302,5,FALSE)))</f>
        <v/>
      </c>
      <c r="I459" s="53">
        <f>IF(B459="",0,IF(ISNA(VLOOKUP(A459,'600m'!F$5:J$302,2,FALSE)),0,VLOOKUP(A459,'600m'!F$5:J$302,2,FALSE)))</f>
        <v>0</v>
      </c>
      <c r="J459" s="51">
        <f>IF(B459="",0,IF(ISNA(_xlfn.XLOOKUP(A459,'600m'!F$5:F$302,'600m'!M$5:M$302)),0,_xlfn.XLOOKUP(A459,'600m'!F$5:F$302,'600m'!M$5:M$302)))</f>
        <v>0</v>
      </c>
      <c r="K459" s="51" t="str">
        <f>IF(B459="","",IF(ISNA(VLOOKUP(A459,'600m'!F$5:K$302,5,FALSE)),"",VLOOKUP(A459,'600m'!F$5:K$302,5,FALSE)))</f>
        <v/>
      </c>
      <c r="L459" s="51" t="str">
        <f>IF(B459="","",IF(ISNA(VLOOKUP(A459,LongJump!F$5:G$302,2,FALSE)),"",VLOOKUP(A459,LongJump!F$5:G$302,2,FALSE)))</f>
        <v/>
      </c>
      <c r="M459" s="51">
        <f>IF(B459="",0,IF(ISNA(_xlfn.XLOOKUP(A459,LongJump!F$5:F$302,LongJump!M$5:M$302)),0,_xlfn.XLOOKUP(A459,LongJump!F$5:F$302,LongJump!M$5:M$302)))</f>
        <v>0</v>
      </c>
      <c r="N459" s="51">
        <f>IF(B459="",0,IF(ISNA(VLOOKUP(A459,LongJump!F$5:K$302,5,FALSE)),0,VLOOKUP(A459,LongJump!F$5:K$302,5,FALSE)))</f>
        <v>0</v>
      </c>
      <c r="O459" s="51" t="str">
        <f>IF(B459="","",IF(ISNA(VLOOKUP(A459,Vortex!F$5:J$302,2,FALSE)),"",VLOOKUP(A459,Vortex!F$5:J$302,2,FALSE)))</f>
        <v/>
      </c>
      <c r="P459" s="51">
        <f>IF(B459="",0,IF(ISNA(_xlfn.XLOOKUP(A459,Vortex!F$5:F$302,Vortex!M$5:M$302)),0,_xlfn.XLOOKUP(A459,Vortex!F$5:F$302,Vortex!M$5:M$302)))</f>
        <v>0</v>
      </c>
      <c r="Q459" s="51">
        <f t="shared" si="58"/>
        <v>0</v>
      </c>
      <c r="R459" s="51" t="str">
        <f t="shared" si="59"/>
        <v/>
      </c>
      <c r="S459" s="51" t="str">
        <f t="shared" si="60"/>
        <v/>
      </c>
      <c r="T459" s="51" t="str">
        <f t="shared" si="61"/>
        <v/>
      </c>
      <c r="U459" s="51" t="str">
        <f t="shared" si="62"/>
        <v/>
      </c>
    </row>
    <row r="460" spans="1:21">
      <c r="A460" s="51" t="str">
        <f>IF(Declarations!B88=0,"",Declarations!B88)</f>
        <v/>
      </c>
      <c r="B460" s="161" t="str">
        <f>IF(ISNA(VLOOKUP(A460,Declarations!B$6:C$293,2,FALSE)),"",IF(VLOOKUP(A460,Declarations!B$6:C$293,2,FALSE)="","",VLOOKUP(A460,Declarations!B$6:C$293,2,FALSE)))</f>
        <v/>
      </c>
      <c r="C460" s="161" t="str">
        <f>IF(ISNA(VLOOKUP(A460,Declarations!B$6:F$293,5,FALSE)),"",IF(VLOOKUP(A460,Declarations!B$6:F$293,5,FALSE)="","",VLOOKUP(A460,Declarations!B$6:F$293,5,FALSE)))</f>
        <v/>
      </c>
      <c r="D460" s="161" t="str">
        <f>IF(ISNA(VLOOKUP(A460,Declarations!B$6:F$293,4,FALSE)),"",IF(VLOOKUP(A460,Declarations!B$6:F$293,4,FALSE)="","",VLOOKUP(A460,Declarations!B$6:F$293,4,FALSE)))</f>
        <v/>
      </c>
      <c r="E460" s="161" t="str">
        <f>IF(ISNA(VLOOKUP(A460,Declarations!B$6:D$293,3,FALSE)),"",IF(VLOOKUP(A460,Declarations!B$6:D$293,3,FALSE)="","",VLOOKUP(A460,Declarations!B$6:D$293,3,FALSE)))</f>
        <v/>
      </c>
      <c r="F460" s="51" t="str">
        <f>IF(B460="","",IF(ISNA(VLOOKUP(A460,'75m'!F$5:G$302,2,FALSE)),"",VLOOKUP(A460,'75m'!F$5:G$302,2,FALSE)))</f>
        <v/>
      </c>
      <c r="G460" s="51">
        <f>IF(B460="",0,IF(ISNA(_xlfn.XLOOKUP(A460,'75m'!F$5:F$302,'75m'!M$5:M$302)),0,_xlfn.XLOOKUP(A460,'75m'!F$5:F$302,'75m'!M$5:M$302)))</f>
        <v>0</v>
      </c>
      <c r="H460" s="51" t="str">
        <f>IF(B460="","",IF(ISNA(VLOOKUP(A460,'75m'!F$5:K$302,5,FALSE)),"",VLOOKUP(A460,'75m'!F$5:K$302,5,FALSE)))</f>
        <v/>
      </c>
      <c r="I460" s="53">
        <f>IF(B460="",0,IF(ISNA(VLOOKUP(A460,'600m'!F$5:J$302,2,FALSE)),0,VLOOKUP(A460,'600m'!F$5:J$302,2,FALSE)))</f>
        <v>0</v>
      </c>
      <c r="J460" s="51">
        <f>IF(B460="",0,IF(ISNA(_xlfn.XLOOKUP(A460,'600m'!F$5:F$302,'600m'!M$5:M$302)),0,_xlfn.XLOOKUP(A460,'600m'!F$5:F$302,'600m'!M$5:M$302)))</f>
        <v>0</v>
      </c>
      <c r="K460" s="51" t="str">
        <f>IF(B460="","",IF(ISNA(VLOOKUP(A460,'600m'!F$5:K$302,5,FALSE)),"",VLOOKUP(A460,'600m'!F$5:K$302,5,FALSE)))</f>
        <v/>
      </c>
      <c r="L460" s="51" t="str">
        <f>IF(B460="","",IF(ISNA(VLOOKUP(A460,LongJump!F$5:G$302,2,FALSE)),"",VLOOKUP(A460,LongJump!F$5:G$302,2,FALSE)))</f>
        <v/>
      </c>
      <c r="M460" s="51">
        <f>IF(B460="",0,IF(ISNA(_xlfn.XLOOKUP(A460,LongJump!F$5:F$302,LongJump!M$5:M$302)),0,_xlfn.XLOOKUP(A460,LongJump!F$5:F$302,LongJump!M$5:M$302)))</f>
        <v>0</v>
      </c>
      <c r="N460" s="51">
        <f>IF(B460="",0,IF(ISNA(VLOOKUP(A460,LongJump!F$5:K$302,5,FALSE)),0,VLOOKUP(A460,LongJump!F$5:K$302,5,FALSE)))</f>
        <v>0</v>
      </c>
      <c r="O460" s="51" t="str">
        <f>IF(B460="","",IF(ISNA(VLOOKUP(A460,Vortex!F$5:J$302,2,FALSE)),"",VLOOKUP(A460,Vortex!F$5:J$302,2,FALSE)))</f>
        <v/>
      </c>
      <c r="P460" s="51">
        <f>IF(B460="",0,IF(ISNA(_xlfn.XLOOKUP(A460,Vortex!F$5:F$302,Vortex!M$5:M$302)),0,_xlfn.XLOOKUP(A460,Vortex!F$5:F$302,Vortex!M$5:M$302)))</f>
        <v>0</v>
      </c>
      <c r="Q460" s="51">
        <f t="shared" si="58"/>
        <v>0</v>
      </c>
      <c r="R460" s="51" t="str">
        <f t="shared" si="59"/>
        <v/>
      </c>
      <c r="S460" s="51" t="str">
        <f t="shared" si="60"/>
        <v/>
      </c>
      <c r="T460" s="51" t="str">
        <f t="shared" si="61"/>
        <v/>
      </c>
      <c r="U460" s="51" t="str">
        <f t="shared" si="62"/>
        <v/>
      </c>
    </row>
    <row r="461" spans="1:21">
      <c r="A461" s="51" t="str">
        <f>IF(Declarations!B89=0,"",Declarations!B89)</f>
        <v/>
      </c>
      <c r="B461" s="161" t="str">
        <f>IF(ISNA(VLOOKUP(A461,Declarations!B$6:C$293,2,FALSE)),"",IF(VLOOKUP(A461,Declarations!B$6:C$293,2,FALSE)="","",VLOOKUP(A461,Declarations!B$6:C$293,2,FALSE)))</f>
        <v/>
      </c>
      <c r="C461" s="161" t="str">
        <f>IF(ISNA(VLOOKUP(A461,Declarations!B$6:F$293,5,FALSE)),"",IF(VLOOKUP(A461,Declarations!B$6:F$293,5,FALSE)="","",VLOOKUP(A461,Declarations!B$6:F$293,5,FALSE)))</f>
        <v/>
      </c>
      <c r="D461" s="161" t="str">
        <f>IF(ISNA(VLOOKUP(A461,Declarations!B$6:F$293,4,FALSE)),"",IF(VLOOKUP(A461,Declarations!B$6:F$293,4,FALSE)="","",VLOOKUP(A461,Declarations!B$6:F$293,4,FALSE)))</f>
        <v/>
      </c>
      <c r="E461" s="161" t="str">
        <f>IF(ISNA(VLOOKUP(A461,Declarations!B$6:D$293,3,FALSE)),"",IF(VLOOKUP(A461,Declarations!B$6:D$293,3,FALSE)="","",VLOOKUP(A461,Declarations!B$6:D$293,3,FALSE)))</f>
        <v/>
      </c>
      <c r="F461" s="51" t="str">
        <f>IF(B461="","",IF(ISNA(VLOOKUP(A461,'75m'!F$5:G$302,2,FALSE)),"",VLOOKUP(A461,'75m'!F$5:G$302,2,FALSE)))</f>
        <v/>
      </c>
      <c r="G461" s="51">
        <f>IF(B461="",0,IF(ISNA(_xlfn.XLOOKUP(A461,'75m'!F$5:F$302,'75m'!M$5:M$302)),0,_xlfn.XLOOKUP(A461,'75m'!F$5:F$302,'75m'!M$5:M$302)))</f>
        <v>0</v>
      </c>
      <c r="H461" s="51" t="str">
        <f>IF(B461="","",IF(ISNA(VLOOKUP(A461,'75m'!F$5:K$302,5,FALSE)),"",VLOOKUP(A461,'75m'!F$5:K$302,5,FALSE)))</f>
        <v/>
      </c>
      <c r="I461" s="53">
        <f>IF(B461="",0,IF(ISNA(VLOOKUP(A461,'600m'!F$5:J$302,2,FALSE)),0,VLOOKUP(A461,'600m'!F$5:J$302,2,FALSE)))</f>
        <v>0</v>
      </c>
      <c r="J461" s="51">
        <f>IF(B461="",0,IF(ISNA(_xlfn.XLOOKUP(A461,'600m'!F$5:F$302,'600m'!M$5:M$302)),0,_xlfn.XLOOKUP(A461,'600m'!F$5:F$302,'600m'!M$5:M$302)))</f>
        <v>0</v>
      </c>
      <c r="K461" s="51" t="str">
        <f>IF(B461="","",IF(ISNA(VLOOKUP(A461,'600m'!F$5:K$302,5,FALSE)),"",VLOOKUP(A461,'600m'!F$5:K$302,5,FALSE)))</f>
        <v/>
      </c>
      <c r="L461" s="51" t="str">
        <f>IF(B461="","",IF(ISNA(VLOOKUP(A461,LongJump!F$5:G$302,2,FALSE)),"",VLOOKUP(A461,LongJump!F$5:G$302,2,FALSE)))</f>
        <v/>
      </c>
      <c r="M461" s="51">
        <f>IF(B461="",0,IF(ISNA(_xlfn.XLOOKUP(A461,LongJump!F$5:F$302,LongJump!M$5:M$302)),0,_xlfn.XLOOKUP(A461,LongJump!F$5:F$302,LongJump!M$5:M$302)))</f>
        <v>0</v>
      </c>
      <c r="N461" s="51">
        <f>IF(B461="",0,IF(ISNA(VLOOKUP(A461,LongJump!F$5:K$302,5,FALSE)),0,VLOOKUP(A461,LongJump!F$5:K$302,5,FALSE)))</f>
        <v>0</v>
      </c>
      <c r="O461" s="51" t="str">
        <f>IF(B461="","",IF(ISNA(VLOOKUP(A461,Vortex!F$5:J$302,2,FALSE)),"",VLOOKUP(A461,Vortex!F$5:J$302,2,FALSE)))</f>
        <v/>
      </c>
      <c r="P461" s="51">
        <f>IF(B461="",0,IF(ISNA(_xlfn.XLOOKUP(A461,Vortex!F$5:F$302,Vortex!M$5:M$302)),0,_xlfn.XLOOKUP(A461,Vortex!F$5:F$302,Vortex!M$5:M$302)))</f>
        <v>0</v>
      </c>
      <c r="Q461" s="51">
        <f t="shared" si="58"/>
        <v>0</v>
      </c>
      <c r="R461" s="51" t="str">
        <f t="shared" si="59"/>
        <v/>
      </c>
      <c r="S461" s="51" t="str">
        <f t="shared" si="60"/>
        <v/>
      </c>
      <c r="T461" s="51" t="str">
        <f t="shared" si="61"/>
        <v/>
      </c>
      <c r="U461" s="51" t="str">
        <f t="shared" si="62"/>
        <v/>
      </c>
    </row>
    <row r="462" spans="1:21">
      <c r="A462" s="51" t="str">
        <f>IF(Declarations!B90=0,"",Declarations!B90)</f>
        <v/>
      </c>
      <c r="B462" s="161" t="str">
        <f>IF(ISNA(VLOOKUP(A462,Declarations!B$6:C$293,2,FALSE)),"",IF(VLOOKUP(A462,Declarations!B$6:C$293,2,FALSE)="","",VLOOKUP(A462,Declarations!B$6:C$293,2,FALSE)))</f>
        <v/>
      </c>
      <c r="C462" s="161" t="str">
        <f>IF(ISNA(VLOOKUP(A462,Declarations!B$6:F$293,5,FALSE)),"",IF(VLOOKUP(A462,Declarations!B$6:F$293,5,FALSE)="","",VLOOKUP(A462,Declarations!B$6:F$293,5,FALSE)))</f>
        <v/>
      </c>
      <c r="D462" s="161" t="str">
        <f>IF(ISNA(VLOOKUP(A462,Declarations!B$6:F$293,4,FALSE)),"",IF(VLOOKUP(A462,Declarations!B$6:F$293,4,FALSE)="","",VLOOKUP(A462,Declarations!B$6:F$293,4,FALSE)))</f>
        <v/>
      </c>
      <c r="E462" s="161" t="str">
        <f>IF(ISNA(VLOOKUP(A462,Declarations!B$6:D$293,3,FALSE)),"",IF(VLOOKUP(A462,Declarations!B$6:D$293,3,FALSE)="","",VLOOKUP(A462,Declarations!B$6:D$293,3,FALSE)))</f>
        <v/>
      </c>
      <c r="F462" s="51" t="str">
        <f>IF(B462="","",IF(ISNA(VLOOKUP(A462,'75m'!F$5:G$302,2,FALSE)),"",VLOOKUP(A462,'75m'!F$5:G$302,2,FALSE)))</f>
        <v/>
      </c>
      <c r="G462" s="51">
        <f>IF(B462="",0,IF(ISNA(_xlfn.XLOOKUP(A462,'75m'!F$5:F$302,'75m'!M$5:M$302)),0,_xlfn.XLOOKUP(A462,'75m'!F$5:F$302,'75m'!M$5:M$302)))</f>
        <v>0</v>
      </c>
      <c r="H462" s="51" t="str">
        <f>IF(B462="","",IF(ISNA(VLOOKUP(A462,'75m'!F$5:K$302,5,FALSE)),"",VLOOKUP(A462,'75m'!F$5:K$302,5,FALSE)))</f>
        <v/>
      </c>
      <c r="I462" s="53">
        <f>IF(B462="",0,IF(ISNA(VLOOKUP(A462,'600m'!F$5:J$302,2,FALSE)),0,VLOOKUP(A462,'600m'!F$5:J$302,2,FALSE)))</f>
        <v>0</v>
      </c>
      <c r="J462" s="51">
        <f>IF(B462="",0,IF(ISNA(_xlfn.XLOOKUP(A462,'600m'!F$5:F$302,'600m'!M$5:M$302)),0,_xlfn.XLOOKUP(A462,'600m'!F$5:F$302,'600m'!M$5:M$302)))</f>
        <v>0</v>
      </c>
      <c r="K462" s="51" t="str">
        <f>IF(B462="","",IF(ISNA(VLOOKUP(A462,'600m'!F$5:K$302,5,FALSE)),"",VLOOKUP(A462,'600m'!F$5:K$302,5,FALSE)))</f>
        <v/>
      </c>
      <c r="L462" s="51" t="str">
        <f>IF(B462="","",IF(ISNA(VLOOKUP(A462,LongJump!F$5:G$302,2,FALSE)),"",VLOOKUP(A462,LongJump!F$5:G$302,2,FALSE)))</f>
        <v/>
      </c>
      <c r="M462" s="51">
        <f>IF(B462="",0,IF(ISNA(_xlfn.XLOOKUP(A462,LongJump!F$5:F$302,LongJump!M$5:M$302)),0,_xlfn.XLOOKUP(A462,LongJump!F$5:F$302,LongJump!M$5:M$302)))</f>
        <v>0</v>
      </c>
      <c r="N462" s="51">
        <f>IF(B462="",0,IF(ISNA(VLOOKUP(A462,LongJump!F$5:K$302,5,FALSE)),0,VLOOKUP(A462,LongJump!F$5:K$302,5,FALSE)))</f>
        <v>0</v>
      </c>
      <c r="O462" s="51" t="str">
        <f>IF(B462="","",IF(ISNA(VLOOKUP(A462,Vortex!F$5:J$302,2,FALSE)),"",VLOOKUP(A462,Vortex!F$5:J$302,2,FALSE)))</f>
        <v/>
      </c>
      <c r="P462" s="51">
        <f>IF(B462="",0,IF(ISNA(_xlfn.XLOOKUP(A462,Vortex!F$5:F$302,Vortex!M$5:M$302)),0,_xlfn.XLOOKUP(A462,Vortex!F$5:F$302,Vortex!M$5:M$302)))</f>
        <v>0</v>
      </c>
      <c r="Q462" s="51">
        <f t="shared" si="58"/>
        <v>0</v>
      </c>
      <c r="R462" s="51" t="str">
        <f t="shared" si="59"/>
        <v/>
      </c>
      <c r="S462" s="51" t="str">
        <f t="shared" si="60"/>
        <v/>
      </c>
      <c r="T462" s="51" t="str">
        <f t="shared" si="61"/>
        <v/>
      </c>
      <c r="U462" s="51" t="str">
        <f t="shared" si="62"/>
        <v/>
      </c>
    </row>
    <row r="463" spans="1:21">
      <c r="A463" s="51" t="str">
        <f>IF(Declarations!B91=0,"",Declarations!B91)</f>
        <v/>
      </c>
      <c r="B463" s="161" t="str">
        <f>IF(ISNA(VLOOKUP(A463,Declarations!B$6:C$293,2,FALSE)),"",IF(VLOOKUP(A463,Declarations!B$6:C$293,2,FALSE)="","",VLOOKUP(A463,Declarations!B$6:C$293,2,FALSE)))</f>
        <v/>
      </c>
      <c r="C463" s="161" t="str">
        <f>IF(ISNA(VLOOKUP(A463,Declarations!B$6:F$293,5,FALSE)),"",IF(VLOOKUP(A463,Declarations!B$6:F$293,5,FALSE)="","",VLOOKUP(A463,Declarations!B$6:F$293,5,FALSE)))</f>
        <v/>
      </c>
      <c r="D463" s="161" t="str">
        <f>IF(ISNA(VLOOKUP(A463,Declarations!B$6:F$293,4,FALSE)),"",IF(VLOOKUP(A463,Declarations!B$6:F$293,4,FALSE)="","",VLOOKUP(A463,Declarations!B$6:F$293,4,FALSE)))</f>
        <v/>
      </c>
      <c r="E463" s="161" t="str">
        <f>IF(ISNA(VLOOKUP(A463,Declarations!B$6:D$293,3,FALSE)),"",IF(VLOOKUP(A463,Declarations!B$6:D$293,3,FALSE)="","",VLOOKUP(A463,Declarations!B$6:D$293,3,FALSE)))</f>
        <v/>
      </c>
      <c r="F463" s="51" t="str">
        <f>IF(B463="","",IF(ISNA(VLOOKUP(A463,'75m'!F$5:G$302,2,FALSE)),"",VLOOKUP(A463,'75m'!F$5:G$302,2,FALSE)))</f>
        <v/>
      </c>
      <c r="G463" s="51">
        <f>IF(B463="",0,IF(ISNA(_xlfn.XLOOKUP(A463,'75m'!F$5:F$302,'75m'!M$5:M$302)),0,_xlfn.XLOOKUP(A463,'75m'!F$5:F$302,'75m'!M$5:M$302)))</f>
        <v>0</v>
      </c>
      <c r="H463" s="51" t="str">
        <f>IF(B463="","",IF(ISNA(VLOOKUP(A463,'75m'!F$5:K$302,5,FALSE)),"",VLOOKUP(A463,'75m'!F$5:K$302,5,FALSE)))</f>
        <v/>
      </c>
      <c r="I463" s="53">
        <f>IF(B463="",0,IF(ISNA(VLOOKUP(A463,'600m'!F$5:J$302,2,FALSE)),0,VLOOKUP(A463,'600m'!F$5:J$302,2,FALSE)))</f>
        <v>0</v>
      </c>
      <c r="J463" s="51">
        <f>IF(B463="",0,IF(ISNA(_xlfn.XLOOKUP(A463,'600m'!F$5:F$302,'600m'!M$5:M$302)),0,_xlfn.XLOOKUP(A463,'600m'!F$5:F$302,'600m'!M$5:M$302)))</f>
        <v>0</v>
      </c>
      <c r="K463" s="51" t="str">
        <f>IF(B463="","",IF(ISNA(VLOOKUP(A463,'600m'!F$5:K$302,5,FALSE)),"",VLOOKUP(A463,'600m'!F$5:K$302,5,FALSE)))</f>
        <v/>
      </c>
      <c r="L463" s="51" t="str">
        <f>IF(B463="","",IF(ISNA(VLOOKUP(A463,LongJump!F$5:G$302,2,FALSE)),"",VLOOKUP(A463,LongJump!F$5:G$302,2,FALSE)))</f>
        <v/>
      </c>
      <c r="M463" s="51">
        <f>IF(B463="",0,IF(ISNA(_xlfn.XLOOKUP(A463,LongJump!F$5:F$302,LongJump!M$5:M$302)),0,_xlfn.XLOOKUP(A463,LongJump!F$5:F$302,LongJump!M$5:M$302)))</f>
        <v>0</v>
      </c>
      <c r="N463" s="51">
        <f>IF(B463="",0,IF(ISNA(VLOOKUP(A463,LongJump!F$5:K$302,5,FALSE)),0,VLOOKUP(A463,LongJump!F$5:K$302,5,FALSE)))</f>
        <v>0</v>
      </c>
      <c r="O463" s="51" t="str">
        <f>IF(B463="","",IF(ISNA(VLOOKUP(A463,Vortex!F$5:J$302,2,FALSE)),"",VLOOKUP(A463,Vortex!F$5:J$302,2,FALSE)))</f>
        <v/>
      </c>
      <c r="P463" s="51">
        <f>IF(B463="",0,IF(ISNA(_xlfn.XLOOKUP(A463,Vortex!F$5:F$302,Vortex!M$5:M$302)),0,_xlfn.XLOOKUP(A463,Vortex!F$5:F$302,Vortex!M$5:M$302)))</f>
        <v>0</v>
      </c>
      <c r="Q463" s="51">
        <f t="shared" si="58"/>
        <v>0</v>
      </c>
      <c r="R463" s="51" t="str">
        <f t="shared" si="59"/>
        <v/>
      </c>
      <c r="S463" s="51" t="str">
        <f t="shared" si="60"/>
        <v/>
      </c>
      <c r="T463" s="51" t="str">
        <f t="shared" si="61"/>
        <v/>
      </c>
      <c r="U463" s="51" t="str">
        <f t="shared" si="62"/>
        <v/>
      </c>
    </row>
    <row r="464" spans="1:21">
      <c r="A464" s="51" t="str">
        <f>IF(Declarations!B92=0,"",Declarations!B92)</f>
        <v/>
      </c>
      <c r="B464" s="161" t="str">
        <f>IF(ISNA(VLOOKUP(A464,Declarations!B$6:C$293,2,FALSE)),"",IF(VLOOKUP(A464,Declarations!B$6:C$293,2,FALSE)="","",VLOOKUP(A464,Declarations!B$6:C$293,2,FALSE)))</f>
        <v/>
      </c>
      <c r="C464" s="161" t="str">
        <f>IF(ISNA(VLOOKUP(A464,Declarations!B$6:F$293,5,FALSE)),"",IF(VLOOKUP(A464,Declarations!B$6:F$293,5,FALSE)="","",VLOOKUP(A464,Declarations!B$6:F$293,5,FALSE)))</f>
        <v/>
      </c>
      <c r="D464" s="161" t="str">
        <f>IF(ISNA(VLOOKUP(A464,Declarations!B$6:F$293,4,FALSE)),"",IF(VLOOKUP(A464,Declarations!B$6:F$293,4,FALSE)="","",VLOOKUP(A464,Declarations!B$6:F$293,4,FALSE)))</f>
        <v/>
      </c>
      <c r="E464" s="161" t="str">
        <f>IF(ISNA(VLOOKUP(A464,Declarations!B$6:D$293,3,FALSE)),"",IF(VLOOKUP(A464,Declarations!B$6:D$293,3,FALSE)="","",VLOOKUP(A464,Declarations!B$6:D$293,3,FALSE)))</f>
        <v/>
      </c>
      <c r="F464" s="51" t="str">
        <f>IF(B464="","",IF(ISNA(VLOOKUP(A464,'75m'!F$5:G$302,2,FALSE)),"",VLOOKUP(A464,'75m'!F$5:G$302,2,FALSE)))</f>
        <v/>
      </c>
      <c r="G464" s="51">
        <f>IF(B464="",0,IF(ISNA(_xlfn.XLOOKUP(A464,'75m'!F$5:F$302,'75m'!M$5:M$302)),0,_xlfn.XLOOKUP(A464,'75m'!F$5:F$302,'75m'!M$5:M$302)))</f>
        <v>0</v>
      </c>
      <c r="H464" s="51" t="str">
        <f>IF(B464="","",IF(ISNA(VLOOKUP(A464,'75m'!F$5:K$302,5,FALSE)),"",VLOOKUP(A464,'75m'!F$5:K$302,5,FALSE)))</f>
        <v/>
      </c>
      <c r="I464" s="53">
        <f>IF(B464="",0,IF(ISNA(VLOOKUP(A464,'600m'!F$5:J$302,2,FALSE)),0,VLOOKUP(A464,'600m'!F$5:J$302,2,FALSE)))</f>
        <v>0</v>
      </c>
      <c r="J464" s="51">
        <f>IF(B464="",0,IF(ISNA(_xlfn.XLOOKUP(A464,'600m'!F$5:F$302,'600m'!M$5:M$302)),0,_xlfn.XLOOKUP(A464,'600m'!F$5:F$302,'600m'!M$5:M$302)))</f>
        <v>0</v>
      </c>
      <c r="K464" s="51" t="str">
        <f>IF(B464="","",IF(ISNA(VLOOKUP(A464,'600m'!F$5:K$302,5,FALSE)),"",VLOOKUP(A464,'600m'!F$5:K$302,5,FALSE)))</f>
        <v/>
      </c>
      <c r="L464" s="51" t="str">
        <f>IF(B464="","",IF(ISNA(VLOOKUP(A464,LongJump!F$5:G$302,2,FALSE)),"",VLOOKUP(A464,LongJump!F$5:G$302,2,FALSE)))</f>
        <v/>
      </c>
      <c r="M464" s="51">
        <f>IF(B464="",0,IF(ISNA(_xlfn.XLOOKUP(A464,LongJump!F$5:F$302,LongJump!M$5:M$302)),0,_xlfn.XLOOKUP(A464,LongJump!F$5:F$302,LongJump!M$5:M$302)))</f>
        <v>0</v>
      </c>
      <c r="N464" s="51">
        <f>IF(B464="",0,IF(ISNA(VLOOKUP(A464,LongJump!F$5:K$302,5,FALSE)),0,VLOOKUP(A464,LongJump!F$5:K$302,5,FALSE)))</f>
        <v>0</v>
      </c>
      <c r="O464" s="51" t="str">
        <f>IF(B464="","",IF(ISNA(VLOOKUP(A464,Vortex!F$5:J$302,2,FALSE)),"",VLOOKUP(A464,Vortex!F$5:J$302,2,FALSE)))</f>
        <v/>
      </c>
      <c r="P464" s="51">
        <f>IF(B464="",0,IF(ISNA(_xlfn.XLOOKUP(A464,Vortex!F$5:F$302,Vortex!M$5:M$302)),0,_xlfn.XLOOKUP(A464,Vortex!F$5:F$302,Vortex!M$5:M$302)))</f>
        <v>0</v>
      </c>
      <c r="Q464" s="51">
        <f t="shared" si="58"/>
        <v>0</v>
      </c>
      <c r="R464" s="51" t="str">
        <f t="shared" si="59"/>
        <v/>
      </c>
      <c r="S464" s="51" t="str">
        <f t="shared" si="60"/>
        <v/>
      </c>
      <c r="T464" s="51" t="str">
        <f t="shared" si="61"/>
        <v/>
      </c>
      <c r="U464" s="51" t="str">
        <f t="shared" si="62"/>
        <v/>
      </c>
    </row>
    <row r="465" spans="1:21">
      <c r="A465" s="51" t="str">
        <f>IF(Declarations!B93=0,"",Declarations!B93)</f>
        <v/>
      </c>
      <c r="B465" s="161" t="str">
        <f>IF(ISNA(VLOOKUP(A465,Declarations!B$6:C$293,2,FALSE)),"",IF(VLOOKUP(A465,Declarations!B$6:C$293,2,FALSE)="","",VLOOKUP(A465,Declarations!B$6:C$293,2,FALSE)))</f>
        <v/>
      </c>
      <c r="C465" s="161" t="str">
        <f>IF(ISNA(VLOOKUP(A465,Declarations!B$6:F$293,5,FALSE)),"",IF(VLOOKUP(A465,Declarations!B$6:F$293,5,FALSE)="","",VLOOKUP(A465,Declarations!B$6:F$293,5,FALSE)))</f>
        <v/>
      </c>
      <c r="D465" s="161" t="str">
        <f>IF(ISNA(VLOOKUP(A465,Declarations!B$6:F$293,4,FALSE)),"",IF(VLOOKUP(A465,Declarations!B$6:F$293,4,FALSE)="","",VLOOKUP(A465,Declarations!B$6:F$293,4,FALSE)))</f>
        <v/>
      </c>
      <c r="E465" s="161" t="str">
        <f>IF(ISNA(VLOOKUP(A465,Declarations!B$6:D$293,3,FALSE)),"",IF(VLOOKUP(A465,Declarations!B$6:D$293,3,FALSE)="","",VLOOKUP(A465,Declarations!B$6:D$293,3,FALSE)))</f>
        <v/>
      </c>
      <c r="F465" s="51" t="str">
        <f>IF(B465="","",IF(ISNA(VLOOKUP(A465,'75m'!F$5:G$302,2,FALSE)),"",VLOOKUP(A465,'75m'!F$5:G$302,2,FALSE)))</f>
        <v/>
      </c>
      <c r="G465" s="51">
        <f>IF(B465="",0,IF(ISNA(_xlfn.XLOOKUP(A465,'75m'!F$5:F$302,'75m'!M$5:M$302)),0,_xlfn.XLOOKUP(A465,'75m'!F$5:F$302,'75m'!M$5:M$302)))</f>
        <v>0</v>
      </c>
      <c r="H465" s="51" t="str">
        <f>IF(B465="","",IF(ISNA(VLOOKUP(A465,'75m'!F$5:K$302,5,FALSE)),"",VLOOKUP(A465,'75m'!F$5:K$302,5,FALSE)))</f>
        <v/>
      </c>
      <c r="I465" s="53">
        <f>IF(B465="",0,IF(ISNA(VLOOKUP(A465,'600m'!F$5:J$302,2,FALSE)),0,VLOOKUP(A465,'600m'!F$5:J$302,2,FALSE)))</f>
        <v>0</v>
      </c>
      <c r="J465" s="51">
        <f>IF(B465="",0,IF(ISNA(_xlfn.XLOOKUP(A465,'600m'!F$5:F$302,'600m'!M$5:M$302)),0,_xlfn.XLOOKUP(A465,'600m'!F$5:F$302,'600m'!M$5:M$302)))</f>
        <v>0</v>
      </c>
      <c r="K465" s="51" t="str">
        <f>IF(B465="","",IF(ISNA(VLOOKUP(A465,'600m'!F$5:K$302,5,FALSE)),"",VLOOKUP(A465,'600m'!F$5:K$302,5,FALSE)))</f>
        <v/>
      </c>
      <c r="L465" s="51" t="str">
        <f>IF(B465="","",IF(ISNA(VLOOKUP(A465,LongJump!F$5:G$302,2,FALSE)),"",VLOOKUP(A465,LongJump!F$5:G$302,2,FALSE)))</f>
        <v/>
      </c>
      <c r="M465" s="51">
        <f>IF(B465="",0,IF(ISNA(_xlfn.XLOOKUP(A465,LongJump!F$5:F$302,LongJump!M$5:M$302)),0,_xlfn.XLOOKUP(A465,LongJump!F$5:F$302,LongJump!M$5:M$302)))</f>
        <v>0</v>
      </c>
      <c r="N465" s="51">
        <f>IF(B465="",0,IF(ISNA(VLOOKUP(A465,LongJump!F$5:K$302,5,FALSE)),0,VLOOKUP(A465,LongJump!F$5:K$302,5,FALSE)))</f>
        <v>0</v>
      </c>
      <c r="O465" s="51" t="str">
        <f>IF(B465="","",IF(ISNA(VLOOKUP(A465,Vortex!F$5:J$302,2,FALSE)),"",VLOOKUP(A465,Vortex!F$5:J$302,2,FALSE)))</f>
        <v/>
      </c>
      <c r="P465" s="51">
        <f>IF(B465="",0,IF(ISNA(_xlfn.XLOOKUP(A465,Vortex!F$5:F$302,Vortex!M$5:M$302)),0,_xlfn.XLOOKUP(A465,Vortex!F$5:F$302,Vortex!M$5:M$302)))</f>
        <v>0</v>
      </c>
      <c r="Q465" s="51">
        <f t="shared" si="58"/>
        <v>0</v>
      </c>
      <c r="R465" s="51" t="str">
        <f t="shared" si="59"/>
        <v/>
      </c>
      <c r="S465" s="51" t="str">
        <f t="shared" si="60"/>
        <v/>
      </c>
      <c r="T465" s="51" t="str">
        <f t="shared" si="61"/>
        <v/>
      </c>
      <c r="U465" s="51" t="str">
        <f t="shared" si="62"/>
        <v/>
      </c>
    </row>
    <row r="466" spans="1:21">
      <c r="A466" s="51" t="str">
        <f>IF(Declarations!B94=0,"",Declarations!B94)</f>
        <v/>
      </c>
      <c r="B466" s="161" t="str">
        <f>IF(ISNA(VLOOKUP(A466,Declarations!B$6:C$293,2,FALSE)),"",IF(VLOOKUP(A466,Declarations!B$6:C$293,2,FALSE)="","",VLOOKUP(A466,Declarations!B$6:C$293,2,FALSE)))</f>
        <v/>
      </c>
      <c r="C466" s="161" t="str">
        <f>IF(ISNA(VLOOKUP(A466,Declarations!B$6:F$293,5,FALSE)),"",IF(VLOOKUP(A466,Declarations!B$6:F$293,5,FALSE)="","",VLOOKUP(A466,Declarations!B$6:F$293,5,FALSE)))</f>
        <v/>
      </c>
      <c r="D466" s="161" t="str">
        <f>IF(ISNA(VLOOKUP(A466,Declarations!B$6:F$293,4,FALSE)),"",IF(VLOOKUP(A466,Declarations!B$6:F$293,4,FALSE)="","",VLOOKUP(A466,Declarations!B$6:F$293,4,FALSE)))</f>
        <v/>
      </c>
      <c r="E466" s="161" t="str">
        <f>IF(ISNA(VLOOKUP(A466,Declarations!B$6:D$293,3,FALSE)),"",IF(VLOOKUP(A466,Declarations!B$6:D$293,3,FALSE)="","",VLOOKUP(A466,Declarations!B$6:D$293,3,FALSE)))</f>
        <v/>
      </c>
      <c r="F466" s="51" t="str">
        <f>IF(B466="","",IF(ISNA(VLOOKUP(A466,'75m'!F$5:G$302,2,FALSE)),"",VLOOKUP(A466,'75m'!F$5:G$302,2,FALSE)))</f>
        <v/>
      </c>
      <c r="G466" s="51">
        <f>IF(B466="",0,IF(ISNA(_xlfn.XLOOKUP(A466,'75m'!F$5:F$302,'75m'!M$5:M$302)),0,_xlfn.XLOOKUP(A466,'75m'!F$5:F$302,'75m'!M$5:M$302)))</f>
        <v>0</v>
      </c>
      <c r="H466" s="51" t="str">
        <f>IF(B466="","",IF(ISNA(VLOOKUP(A466,'75m'!F$5:K$302,5,FALSE)),"",VLOOKUP(A466,'75m'!F$5:K$302,5,FALSE)))</f>
        <v/>
      </c>
      <c r="I466" s="53">
        <f>IF(B466="",0,IF(ISNA(VLOOKUP(A466,'600m'!F$5:J$302,2,FALSE)),0,VLOOKUP(A466,'600m'!F$5:J$302,2,FALSE)))</f>
        <v>0</v>
      </c>
      <c r="J466" s="51">
        <f>IF(B466="",0,IF(ISNA(_xlfn.XLOOKUP(A466,'600m'!F$5:F$302,'600m'!M$5:M$302)),0,_xlfn.XLOOKUP(A466,'600m'!F$5:F$302,'600m'!M$5:M$302)))</f>
        <v>0</v>
      </c>
      <c r="K466" s="51" t="str">
        <f>IF(B466="","",IF(ISNA(VLOOKUP(A466,'600m'!F$5:K$302,5,FALSE)),"",VLOOKUP(A466,'600m'!F$5:K$302,5,FALSE)))</f>
        <v/>
      </c>
      <c r="L466" s="51" t="str">
        <f>IF(B466="","",IF(ISNA(VLOOKUP(A466,LongJump!F$5:G$302,2,FALSE)),"",VLOOKUP(A466,LongJump!F$5:G$302,2,FALSE)))</f>
        <v/>
      </c>
      <c r="M466" s="51">
        <f>IF(B466="",0,IF(ISNA(_xlfn.XLOOKUP(A466,LongJump!F$5:F$302,LongJump!M$5:M$302)),0,_xlfn.XLOOKUP(A466,LongJump!F$5:F$302,LongJump!M$5:M$302)))</f>
        <v>0</v>
      </c>
      <c r="N466" s="51">
        <f>IF(B466="",0,IF(ISNA(VLOOKUP(A466,LongJump!F$5:K$302,5,FALSE)),0,VLOOKUP(A466,LongJump!F$5:K$302,5,FALSE)))</f>
        <v>0</v>
      </c>
      <c r="O466" s="51" t="str">
        <f>IF(B466="","",IF(ISNA(VLOOKUP(A466,Vortex!F$5:J$302,2,FALSE)),"",VLOOKUP(A466,Vortex!F$5:J$302,2,FALSE)))</f>
        <v/>
      </c>
      <c r="P466" s="51">
        <f>IF(B466="",0,IF(ISNA(_xlfn.XLOOKUP(A466,Vortex!F$5:F$302,Vortex!M$5:M$302)),0,_xlfn.XLOOKUP(A466,Vortex!F$5:F$302,Vortex!M$5:M$302)))</f>
        <v>0</v>
      </c>
      <c r="Q466" s="51">
        <f t="shared" si="58"/>
        <v>0</v>
      </c>
      <c r="R466" s="51" t="str">
        <f t="shared" si="59"/>
        <v/>
      </c>
      <c r="S466" s="51" t="str">
        <f t="shared" si="60"/>
        <v/>
      </c>
      <c r="T466" s="51" t="str">
        <f t="shared" si="61"/>
        <v/>
      </c>
      <c r="U466" s="51" t="str">
        <f t="shared" si="62"/>
        <v/>
      </c>
    </row>
    <row r="467" spans="1:21">
      <c r="A467" s="51" t="str">
        <f>IF(Declarations!B95=0,"",Declarations!B95)</f>
        <v/>
      </c>
      <c r="B467" s="161" t="str">
        <f>IF(ISNA(VLOOKUP(A467,Declarations!B$6:C$293,2,FALSE)),"",IF(VLOOKUP(A467,Declarations!B$6:C$293,2,FALSE)="","",VLOOKUP(A467,Declarations!B$6:C$293,2,FALSE)))</f>
        <v/>
      </c>
      <c r="C467" s="161" t="str">
        <f>IF(ISNA(VLOOKUP(A467,Declarations!B$6:F$293,5,FALSE)),"",IF(VLOOKUP(A467,Declarations!B$6:F$293,5,FALSE)="","",VLOOKUP(A467,Declarations!B$6:F$293,5,FALSE)))</f>
        <v/>
      </c>
      <c r="D467" s="161" t="str">
        <f>IF(ISNA(VLOOKUP(A467,Declarations!B$6:F$293,4,FALSE)),"",IF(VLOOKUP(A467,Declarations!B$6:F$293,4,FALSE)="","",VLOOKUP(A467,Declarations!B$6:F$293,4,FALSE)))</f>
        <v/>
      </c>
      <c r="E467" s="161" t="str">
        <f>IF(ISNA(VLOOKUP(A467,Declarations!B$6:D$293,3,FALSE)),"",IF(VLOOKUP(A467,Declarations!B$6:D$293,3,FALSE)="","",VLOOKUP(A467,Declarations!B$6:D$293,3,FALSE)))</f>
        <v/>
      </c>
      <c r="F467" s="51" t="str">
        <f>IF(B467="","",IF(ISNA(VLOOKUP(A467,'75m'!F$5:G$302,2,FALSE)),"",VLOOKUP(A467,'75m'!F$5:G$302,2,FALSE)))</f>
        <v/>
      </c>
      <c r="G467" s="51">
        <f>IF(B467="",0,IF(ISNA(_xlfn.XLOOKUP(A467,'75m'!F$5:F$302,'75m'!M$5:M$302)),0,_xlfn.XLOOKUP(A467,'75m'!F$5:F$302,'75m'!M$5:M$302)))</f>
        <v>0</v>
      </c>
      <c r="H467" s="51" t="str">
        <f>IF(B467="","",IF(ISNA(VLOOKUP(A467,'75m'!F$5:K$302,5,FALSE)),"",VLOOKUP(A467,'75m'!F$5:K$302,5,FALSE)))</f>
        <v/>
      </c>
      <c r="I467" s="53">
        <f>IF(B467="",0,IF(ISNA(VLOOKUP(A467,'600m'!F$5:J$302,2,FALSE)),0,VLOOKUP(A467,'600m'!F$5:J$302,2,FALSE)))</f>
        <v>0</v>
      </c>
      <c r="J467" s="51">
        <f>IF(B467="",0,IF(ISNA(_xlfn.XLOOKUP(A467,'600m'!F$5:F$302,'600m'!M$5:M$302)),0,_xlfn.XLOOKUP(A467,'600m'!F$5:F$302,'600m'!M$5:M$302)))</f>
        <v>0</v>
      </c>
      <c r="K467" s="51" t="str">
        <f>IF(B467="","",IF(ISNA(VLOOKUP(A467,'600m'!F$5:K$302,5,FALSE)),"",VLOOKUP(A467,'600m'!F$5:K$302,5,FALSE)))</f>
        <v/>
      </c>
      <c r="L467" s="51" t="str">
        <f>IF(B467="","",IF(ISNA(VLOOKUP(A467,LongJump!F$5:G$302,2,FALSE)),"",VLOOKUP(A467,LongJump!F$5:G$302,2,FALSE)))</f>
        <v/>
      </c>
      <c r="M467" s="51">
        <f>IF(B467="",0,IF(ISNA(_xlfn.XLOOKUP(A467,LongJump!F$5:F$302,LongJump!M$5:M$302)),0,_xlfn.XLOOKUP(A467,LongJump!F$5:F$302,LongJump!M$5:M$302)))</f>
        <v>0</v>
      </c>
      <c r="N467" s="51">
        <f>IF(B467="",0,IF(ISNA(VLOOKUP(A467,LongJump!F$5:K$302,5,FALSE)),0,VLOOKUP(A467,LongJump!F$5:K$302,5,FALSE)))</f>
        <v>0</v>
      </c>
      <c r="O467" s="51" t="str">
        <f>IF(B467="","",IF(ISNA(VLOOKUP(A467,Vortex!F$5:J$302,2,FALSE)),"",VLOOKUP(A467,Vortex!F$5:J$302,2,FALSE)))</f>
        <v/>
      </c>
      <c r="P467" s="51">
        <f>IF(B467="",0,IF(ISNA(_xlfn.XLOOKUP(A467,Vortex!F$5:F$302,Vortex!M$5:M$302)),0,_xlfn.XLOOKUP(A467,Vortex!F$5:F$302,Vortex!M$5:M$302)))</f>
        <v>0</v>
      </c>
      <c r="Q467" s="51">
        <f t="shared" si="58"/>
        <v>0</v>
      </c>
      <c r="R467" s="51" t="str">
        <f t="shared" si="59"/>
        <v/>
      </c>
      <c r="S467" s="51" t="str">
        <f t="shared" si="60"/>
        <v/>
      </c>
      <c r="T467" s="51" t="str">
        <f t="shared" si="61"/>
        <v/>
      </c>
      <c r="U467" s="51" t="str">
        <f t="shared" si="62"/>
        <v/>
      </c>
    </row>
    <row r="468" spans="1:21">
      <c r="A468" s="51" t="str">
        <f>IF(Declarations!B96=0,"",Declarations!B96)</f>
        <v/>
      </c>
      <c r="B468" s="161" t="str">
        <f>IF(ISNA(VLOOKUP(A468,Declarations!B$6:C$293,2,FALSE)),"",IF(VLOOKUP(A468,Declarations!B$6:C$293,2,FALSE)="","",VLOOKUP(A468,Declarations!B$6:C$293,2,FALSE)))</f>
        <v/>
      </c>
      <c r="C468" s="161" t="str">
        <f>IF(ISNA(VLOOKUP(A468,Declarations!B$6:F$293,5,FALSE)),"",IF(VLOOKUP(A468,Declarations!B$6:F$293,5,FALSE)="","",VLOOKUP(A468,Declarations!B$6:F$293,5,FALSE)))</f>
        <v/>
      </c>
      <c r="D468" s="161" t="str">
        <f>IF(ISNA(VLOOKUP(A468,Declarations!B$6:F$293,4,FALSE)),"",IF(VLOOKUP(A468,Declarations!B$6:F$293,4,FALSE)="","",VLOOKUP(A468,Declarations!B$6:F$293,4,FALSE)))</f>
        <v/>
      </c>
      <c r="E468" s="161" t="str">
        <f>IF(ISNA(VLOOKUP(A468,Declarations!B$6:D$293,3,FALSE)),"",IF(VLOOKUP(A468,Declarations!B$6:D$293,3,FALSE)="","",VLOOKUP(A468,Declarations!B$6:D$293,3,FALSE)))</f>
        <v/>
      </c>
      <c r="F468" s="51" t="str">
        <f>IF(B468="","",IF(ISNA(VLOOKUP(A468,'75m'!F$5:G$302,2,FALSE)),"",VLOOKUP(A468,'75m'!F$5:G$302,2,FALSE)))</f>
        <v/>
      </c>
      <c r="G468" s="51">
        <f>IF(B468="",0,IF(ISNA(_xlfn.XLOOKUP(A468,'75m'!F$5:F$302,'75m'!M$5:M$302)),0,_xlfn.XLOOKUP(A468,'75m'!F$5:F$302,'75m'!M$5:M$302)))</f>
        <v>0</v>
      </c>
      <c r="H468" s="51" t="str">
        <f>IF(B468="","",IF(ISNA(VLOOKUP(A468,'75m'!F$5:K$302,5,FALSE)),"",VLOOKUP(A468,'75m'!F$5:K$302,5,FALSE)))</f>
        <v/>
      </c>
      <c r="I468" s="53">
        <f>IF(B468="",0,IF(ISNA(VLOOKUP(A468,'600m'!F$5:J$302,2,FALSE)),0,VLOOKUP(A468,'600m'!F$5:J$302,2,FALSE)))</f>
        <v>0</v>
      </c>
      <c r="J468" s="51">
        <f>IF(B468="",0,IF(ISNA(_xlfn.XLOOKUP(A468,'600m'!F$5:F$302,'600m'!M$5:M$302)),0,_xlfn.XLOOKUP(A468,'600m'!F$5:F$302,'600m'!M$5:M$302)))</f>
        <v>0</v>
      </c>
      <c r="K468" s="51" t="str">
        <f>IF(B468="","",IF(ISNA(VLOOKUP(A468,'600m'!F$5:K$302,5,FALSE)),"",VLOOKUP(A468,'600m'!F$5:K$302,5,FALSE)))</f>
        <v/>
      </c>
      <c r="L468" s="51" t="str">
        <f>IF(B468="","",IF(ISNA(VLOOKUP(A468,LongJump!F$5:G$302,2,FALSE)),"",VLOOKUP(A468,LongJump!F$5:G$302,2,FALSE)))</f>
        <v/>
      </c>
      <c r="M468" s="51">
        <f>IF(B468="",0,IF(ISNA(_xlfn.XLOOKUP(A468,LongJump!F$5:F$302,LongJump!M$5:M$302)),0,_xlfn.XLOOKUP(A468,LongJump!F$5:F$302,LongJump!M$5:M$302)))</f>
        <v>0</v>
      </c>
      <c r="N468" s="51">
        <f>IF(B468="",0,IF(ISNA(VLOOKUP(A468,LongJump!F$5:K$302,5,FALSE)),0,VLOOKUP(A468,LongJump!F$5:K$302,5,FALSE)))</f>
        <v>0</v>
      </c>
      <c r="O468" s="51" t="str">
        <f>IF(B468="","",IF(ISNA(VLOOKUP(A468,Vortex!F$5:J$302,2,FALSE)),"",VLOOKUP(A468,Vortex!F$5:J$302,2,FALSE)))</f>
        <v/>
      </c>
      <c r="P468" s="51">
        <f>IF(B468="",0,IF(ISNA(_xlfn.XLOOKUP(A468,Vortex!F$5:F$302,Vortex!M$5:M$302)),0,_xlfn.XLOOKUP(A468,Vortex!F$5:F$302,Vortex!M$5:M$302)))</f>
        <v>0</v>
      </c>
      <c r="Q468" s="51">
        <f t="shared" si="58"/>
        <v>0</v>
      </c>
      <c r="R468" s="51" t="str">
        <f t="shared" si="59"/>
        <v/>
      </c>
      <c r="S468" s="51" t="str">
        <f t="shared" si="60"/>
        <v/>
      </c>
      <c r="T468" s="51" t="str">
        <f t="shared" si="61"/>
        <v/>
      </c>
      <c r="U468" s="51" t="str">
        <f t="shared" si="62"/>
        <v/>
      </c>
    </row>
    <row r="469" spans="1:21">
      <c r="A469" s="51" t="str">
        <f>IF(Declarations!B97=0,"",Declarations!B97)</f>
        <v/>
      </c>
      <c r="B469" s="161" t="str">
        <f>IF(ISNA(VLOOKUP(A469,Declarations!B$6:C$293,2,FALSE)),"",IF(VLOOKUP(A469,Declarations!B$6:C$293,2,FALSE)="","",VLOOKUP(A469,Declarations!B$6:C$293,2,FALSE)))</f>
        <v/>
      </c>
      <c r="C469" s="161" t="str">
        <f>IF(ISNA(VLOOKUP(A469,Declarations!B$6:F$293,5,FALSE)),"",IF(VLOOKUP(A469,Declarations!B$6:F$293,5,FALSE)="","",VLOOKUP(A469,Declarations!B$6:F$293,5,FALSE)))</f>
        <v/>
      </c>
      <c r="D469" s="161" t="str">
        <f>IF(ISNA(VLOOKUP(A469,Declarations!B$6:F$293,4,FALSE)),"",IF(VLOOKUP(A469,Declarations!B$6:F$293,4,FALSE)="","",VLOOKUP(A469,Declarations!B$6:F$293,4,FALSE)))</f>
        <v/>
      </c>
      <c r="E469" s="161" t="str">
        <f>IF(ISNA(VLOOKUP(A469,Declarations!B$6:D$293,3,FALSE)),"",IF(VLOOKUP(A469,Declarations!B$6:D$293,3,FALSE)="","",VLOOKUP(A469,Declarations!B$6:D$293,3,FALSE)))</f>
        <v/>
      </c>
      <c r="F469" s="51" t="str">
        <f>IF(B469="","",IF(ISNA(VLOOKUP(A469,'75m'!F$5:G$302,2,FALSE)),"",VLOOKUP(A469,'75m'!F$5:G$302,2,FALSE)))</f>
        <v/>
      </c>
      <c r="G469" s="51">
        <f>IF(B469="",0,IF(ISNA(_xlfn.XLOOKUP(A469,'75m'!F$5:F$302,'75m'!M$5:M$302)),0,_xlfn.XLOOKUP(A469,'75m'!F$5:F$302,'75m'!M$5:M$302)))</f>
        <v>0</v>
      </c>
      <c r="H469" s="51" t="str">
        <f>IF(B469="","",IF(ISNA(VLOOKUP(A469,'75m'!F$5:K$302,5,FALSE)),"",VLOOKUP(A469,'75m'!F$5:K$302,5,FALSE)))</f>
        <v/>
      </c>
      <c r="I469" s="53">
        <f>IF(B469="",0,IF(ISNA(VLOOKUP(A469,'600m'!F$5:J$302,2,FALSE)),0,VLOOKUP(A469,'600m'!F$5:J$302,2,FALSE)))</f>
        <v>0</v>
      </c>
      <c r="J469" s="51">
        <f>IF(B469="",0,IF(ISNA(_xlfn.XLOOKUP(A469,'600m'!F$5:F$302,'600m'!M$5:M$302)),0,_xlfn.XLOOKUP(A469,'600m'!F$5:F$302,'600m'!M$5:M$302)))</f>
        <v>0</v>
      </c>
      <c r="K469" s="51" t="str">
        <f>IF(B469="","",IF(ISNA(VLOOKUP(A469,'600m'!F$5:K$302,5,FALSE)),"",VLOOKUP(A469,'600m'!F$5:K$302,5,FALSE)))</f>
        <v/>
      </c>
      <c r="L469" s="51" t="str">
        <f>IF(B469="","",IF(ISNA(VLOOKUP(A469,LongJump!F$5:G$302,2,FALSE)),"",VLOOKUP(A469,LongJump!F$5:G$302,2,FALSE)))</f>
        <v/>
      </c>
      <c r="M469" s="51">
        <f>IF(B469="",0,IF(ISNA(_xlfn.XLOOKUP(A469,LongJump!F$5:F$302,LongJump!M$5:M$302)),0,_xlfn.XLOOKUP(A469,LongJump!F$5:F$302,LongJump!M$5:M$302)))</f>
        <v>0</v>
      </c>
      <c r="N469" s="51">
        <f>IF(B469="",0,IF(ISNA(VLOOKUP(A469,LongJump!F$5:K$302,5,FALSE)),0,VLOOKUP(A469,LongJump!F$5:K$302,5,FALSE)))</f>
        <v>0</v>
      </c>
      <c r="O469" s="51" t="str">
        <f>IF(B469="","",IF(ISNA(VLOOKUP(A469,Vortex!F$5:J$302,2,FALSE)),"",VLOOKUP(A469,Vortex!F$5:J$302,2,FALSE)))</f>
        <v/>
      </c>
      <c r="P469" s="51">
        <f>IF(B469="",0,IF(ISNA(_xlfn.XLOOKUP(A469,Vortex!F$5:F$302,Vortex!M$5:M$302)),0,_xlfn.XLOOKUP(A469,Vortex!F$5:F$302,Vortex!M$5:M$302)))</f>
        <v>0</v>
      </c>
      <c r="Q469" s="51">
        <f t="shared" si="58"/>
        <v>0</v>
      </c>
      <c r="R469" s="51" t="str">
        <f t="shared" si="59"/>
        <v/>
      </c>
      <c r="S469" s="51" t="str">
        <f t="shared" si="60"/>
        <v/>
      </c>
      <c r="T469" s="51" t="str">
        <f t="shared" si="61"/>
        <v/>
      </c>
      <c r="U469" s="51" t="str">
        <f t="shared" si="62"/>
        <v/>
      </c>
    </row>
    <row r="470" spans="1:21">
      <c r="A470" s="51" t="str">
        <f>IF(Declarations!B98=0,"",Declarations!B98)</f>
        <v/>
      </c>
      <c r="B470" s="161" t="str">
        <f>IF(ISNA(VLOOKUP(A470,Declarations!B$6:C$293,2,FALSE)),"",IF(VLOOKUP(A470,Declarations!B$6:C$293,2,FALSE)="","",VLOOKUP(A470,Declarations!B$6:C$293,2,FALSE)))</f>
        <v/>
      </c>
      <c r="C470" s="161" t="str">
        <f>IF(ISNA(VLOOKUP(A470,Declarations!B$6:F$293,5,FALSE)),"",IF(VLOOKUP(A470,Declarations!B$6:F$293,5,FALSE)="","",VLOOKUP(A470,Declarations!B$6:F$293,5,FALSE)))</f>
        <v/>
      </c>
      <c r="D470" s="161" t="str">
        <f>IF(ISNA(VLOOKUP(A470,Declarations!B$6:F$293,4,FALSE)),"",IF(VLOOKUP(A470,Declarations!B$6:F$293,4,FALSE)="","",VLOOKUP(A470,Declarations!B$6:F$293,4,FALSE)))</f>
        <v/>
      </c>
      <c r="E470" s="161" t="str">
        <f>IF(ISNA(VLOOKUP(A470,Declarations!B$6:D$293,3,FALSE)),"",IF(VLOOKUP(A470,Declarations!B$6:D$293,3,FALSE)="","",VLOOKUP(A470,Declarations!B$6:D$293,3,FALSE)))</f>
        <v/>
      </c>
      <c r="F470" s="51" t="str">
        <f>IF(B470="","",IF(ISNA(VLOOKUP(A470,'75m'!F$5:G$302,2,FALSE)),"",VLOOKUP(A470,'75m'!F$5:G$302,2,FALSE)))</f>
        <v/>
      </c>
      <c r="G470" s="51">
        <f>IF(B470="",0,IF(ISNA(_xlfn.XLOOKUP(A470,'75m'!F$5:F$302,'75m'!M$5:M$302)),0,_xlfn.XLOOKUP(A470,'75m'!F$5:F$302,'75m'!M$5:M$302)))</f>
        <v>0</v>
      </c>
      <c r="H470" s="51" t="str">
        <f>IF(B470="","",IF(ISNA(VLOOKUP(A470,'75m'!F$5:K$302,5,FALSE)),"",VLOOKUP(A470,'75m'!F$5:K$302,5,FALSE)))</f>
        <v/>
      </c>
      <c r="I470" s="53">
        <f>IF(B470="",0,IF(ISNA(VLOOKUP(A470,'600m'!F$5:J$302,2,FALSE)),0,VLOOKUP(A470,'600m'!F$5:J$302,2,FALSE)))</f>
        <v>0</v>
      </c>
      <c r="J470" s="51">
        <f>IF(B470="",0,IF(ISNA(_xlfn.XLOOKUP(A470,'600m'!F$5:F$302,'600m'!M$5:M$302)),0,_xlfn.XLOOKUP(A470,'600m'!F$5:F$302,'600m'!M$5:M$302)))</f>
        <v>0</v>
      </c>
      <c r="K470" s="51" t="str">
        <f>IF(B470="","",IF(ISNA(VLOOKUP(A470,'600m'!F$5:K$302,5,FALSE)),"",VLOOKUP(A470,'600m'!F$5:K$302,5,FALSE)))</f>
        <v/>
      </c>
      <c r="L470" s="51" t="str">
        <f>IF(B470="","",IF(ISNA(VLOOKUP(A470,LongJump!F$5:G$302,2,FALSE)),"",VLOOKUP(A470,LongJump!F$5:G$302,2,FALSE)))</f>
        <v/>
      </c>
      <c r="M470" s="51">
        <f>IF(B470="",0,IF(ISNA(_xlfn.XLOOKUP(A470,LongJump!F$5:F$302,LongJump!M$5:M$302)),0,_xlfn.XLOOKUP(A470,LongJump!F$5:F$302,LongJump!M$5:M$302)))</f>
        <v>0</v>
      </c>
      <c r="N470" s="51">
        <f>IF(B470="",0,IF(ISNA(VLOOKUP(A470,LongJump!F$5:K$302,5,FALSE)),0,VLOOKUP(A470,LongJump!F$5:K$302,5,FALSE)))</f>
        <v>0</v>
      </c>
      <c r="O470" s="51" t="str">
        <f>IF(B470="","",IF(ISNA(VLOOKUP(A470,Vortex!F$5:J$302,2,FALSE)),"",VLOOKUP(A470,Vortex!F$5:J$302,2,FALSE)))</f>
        <v/>
      </c>
      <c r="P470" s="51">
        <f>IF(B470="",0,IF(ISNA(_xlfn.XLOOKUP(A470,Vortex!F$5:F$302,Vortex!M$5:M$302)),0,_xlfn.XLOOKUP(A470,Vortex!F$5:F$302,Vortex!M$5:M$302)))</f>
        <v>0</v>
      </c>
      <c r="Q470" s="51">
        <f t="shared" si="58"/>
        <v>0</v>
      </c>
      <c r="R470" s="51" t="str">
        <f t="shared" si="59"/>
        <v/>
      </c>
      <c r="S470" s="51" t="str">
        <f t="shared" si="60"/>
        <v/>
      </c>
      <c r="T470" s="51" t="str">
        <f t="shared" si="61"/>
        <v/>
      </c>
      <c r="U470" s="51" t="str">
        <f t="shared" si="62"/>
        <v/>
      </c>
    </row>
    <row r="471" spans="1:21">
      <c r="A471" s="51" t="str">
        <f>IF(Declarations!B99=0,"",Declarations!B99)</f>
        <v/>
      </c>
      <c r="B471" s="161" t="str">
        <f>IF(ISNA(VLOOKUP(A471,Declarations!B$6:C$293,2,FALSE)),"",IF(VLOOKUP(A471,Declarations!B$6:C$293,2,FALSE)="","",VLOOKUP(A471,Declarations!B$6:C$293,2,FALSE)))</f>
        <v/>
      </c>
      <c r="C471" s="161" t="str">
        <f>IF(ISNA(VLOOKUP(A471,Declarations!B$6:F$293,5,FALSE)),"",IF(VLOOKUP(A471,Declarations!B$6:F$293,5,FALSE)="","",VLOOKUP(A471,Declarations!B$6:F$293,5,FALSE)))</f>
        <v/>
      </c>
      <c r="D471" s="161" t="str">
        <f>IF(ISNA(VLOOKUP(A471,Declarations!B$6:F$293,4,FALSE)),"",IF(VLOOKUP(A471,Declarations!B$6:F$293,4,FALSE)="","",VLOOKUP(A471,Declarations!B$6:F$293,4,FALSE)))</f>
        <v/>
      </c>
      <c r="E471" s="161" t="str">
        <f>IF(ISNA(VLOOKUP(A471,Declarations!B$6:D$293,3,FALSE)),"",IF(VLOOKUP(A471,Declarations!B$6:D$293,3,FALSE)="","",VLOOKUP(A471,Declarations!B$6:D$293,3,FALSE)))</f>
        <v/>
      </c>
      <c r="F471" s="51" t="str">
        <f>IF(B471="","",IF(ISNA(VLOOKUP(A471,'75m'!F$5:G$302,2,FALSE)),"",VLOOKUP(A471,'75m'!F$5:G$302,2,FALSE)))</f>
        <v/>
      </c>
      <c r="G471" s="51">
        <f>IF(B471="",0,IF(ISNA(_xlfn.XLOOKUP(A471,'75m'!F$5:F$302,'75m'!M$5:M$302)),0,_xlfn.XLOOKUP(A471,'75m'!F$5:F$302,'75m'!M$5:M$302)))</f>
        <v>0</v>
      </c>
      <c r="H471" s="51" t="str">
        <f>IF(B471="","",IF(ISNA(VLOOKUP(A471,'75m'!F$5:K$302,5,FALSE)),"",VLOOKUP(A471,'75m'!F$5:K$302,5,FALSE)))</f>
        <v/>
      </c>
      <c r="I471" s="53">
        <f>IF(B471="",0,IF(ISNA(VLOOKUP(A471,'600m'!F$5:J$302,2,FALSE)),0,VLOOKUP(A471,'600m'!F$5:J$302,2,FALSE)))</f>
        <v>0</v>
      </c>
      <c r="J471" s="51">
        <f>IF(B471="",0,IF(ISNA(_xlfn.XLOOKUP(A471,'600m'!F$5:F$302,'600m'!M$5:M$302)),0,_xlfn.XLOOKUP(A471,'600m'!F$5:F$302,'600m'!M$5:M$302)))</f>
        <v>0</v>
      </c>
      <c r="K471" s="51" t="str">
        <f>IF(B471="","",IF(ISNA(VLOOKUP(A471,'600m'!F$5:K$302,5,FALSE)),"",VLOOKUP(A471,'600m'!F$5:K$302,5,FALSE)))</f>
        <v/>
      </c>
      <c r="L471" s="51" t="str">
        <f>IF(B471="","",IF(ISNA(VLOOKUP(A471,LongJump!F$5:G$302,2,FALSE)),"",VLOOKUP(A471,LongJump!F$5:G$302,2,FALSE)))</f>
        <v/>
      </c>
      <c r="M471" s="51">
        <f>IF(B471="",0,IF(ISNA(_xlfn.XLOOKUP(A471,LongJump!F$5:F$302,LongJump!M$5:M$302)),0,_xlfn.XLOOKUP(A471,LongJump!F$5:F$302,LongJump!M$5:M$302)))</f>
        <v>0</v>
      </c>
      <c r="N471" s="51">
        <f>IF(B471="",0,IF(ISNA(VLOOKUP(A471,LongJump!F$5:K$302,5,FALSE)),0,VLOOKUP(A471,LongJump!F$5:K$302,5,FALSE)))</f>
        <v>0</v>
      </c>
      <c r="O471" s="51" t="str">
        <f>IF(B471="","",IF(ISNA(VLOOKUP(A471,Vortex!F$5:J$302,2,FALSE)),"",VLOOKUP(A471,Vortex!F$5:J$302,2,FALSE)))</f>
        <v/>
      </c>
      <c r="P471" s="51">
        <f>IF(B471="",0,IF(ISNA(_xlfn.XLOOKUP(A471,Vortex!F$5:F$302,Vortex!M$5:M$302)),0,_xlfn.XLOOKUP(A471,Vortex!F$5:F$302,Vortex!M$5:M$302)))</f>
        <v>0</v>
      </c>
      <c r="Q471" s="51">
        <f t="shared" si="58"/>
        <v>0</v>
      </c>
      <c r="R471" s="51" t="str">
        <f t="shared" si="59"/>
        <v/>
      </c>
      <c r="S471" s="51" t="str">
        <f t="shared" si="60"/>
        <v/>
      </c>
      <c r="T471" s="51" t="str">
        <f t="shared" si="61"/>
        <v/>
      </c>
      <c r="U471" s="51" t="str">
        <f t="shared" si="62"/>
        <v/>
      </c>
    </row>
    <row r="472" spans="1:21">
      <c r="A472" s="51" t="str">
        <f>IF(Declarations!B100=0,"",Declarations!B100)</f>
        <v/>
      </c>
      <c r="B472" s="161" t="str">
        <f>IF(ISNA(VLOOKUP(A472,Declarations!B$6:C$293,2,FALSE)),"",IF(VLOOKUP(A472,Declarations!B$6:C$293,2,FALSE)="","",VLOOKUP(A472,Declarations!B$6:C$293,2,FALSE)))</f>
        <v/>
      </c>
      <c r="C472" s="161" t="str">
        <f>IF(ISNA(VLOOKUP(A472,Declarations!B$6:F$293,5,FALSE)),"",IF(VLOOKUP(A472,Declarations!B$6:F$293,5,FALSE)="","",VLOOKUP(A472,Declarations!B$6:F$293,5,FALSE)))</f>
        <v/>
      </c>
      <c r="D472" s="161" t="str">
        <f>IF(ISNA(VLOOKUP(A472,Declarations!B$6:F$293,4,FALSE)),"",IF(VLOOKUP(A472,Declarations!B$6:F$293,4,FALSE)="","",VLOOKUP(A472,Declarations!B$6:F$293,4,FALSE)))</f>
        <v/>
      </c>
      <c r="E472" s="161" t="str">
        <f>IF(ISNA(VLOOKUP(A472,Declarations!B$6:D$293,3,FALSE)),"",IF(VLOOKUP(A472,Declarations!B$6:D$293,3,FALSE)="","",VLOOKUP(A472,Declarations!B$6:D$293,3,FALSE)))</f>
        <v/>
      </c>
      <c r="F472" s="51" t="str">
        <f>IF(B472="","",IF(ISNA(VLOOKUP(A472,'75m'!F$5:G$302,2,FALSE)),"",VLOOKUP(A472,'75m'!F$5:G$302,2,FALSE)))</f>
        <v/>
      </c>
      <c r="G472" s="51">
        <f>IF(B472="",0,IF(ISNA(_xlfn.XLOOKUP(A472,'75m'!F$5:F$302,'75m'!M$5:M$302)),0,_xlfn.XLOOKUP(A472,'75m'!F$5:F$302,'75m'!M$5:M$302)))</f>
        <v>0</v>
      </c>
      <c r="H472" s="51" t="str">
        <f>IF(B472="","",IF(ISNA(VLOOKUP(A472,'75m'!F$5:K$302,5,FALSE)),"",VLOOKUP(A472,'75m'!F$5:K$302,5,FALSE)))</f>
        <v/>
      </c>
      <c r="I472" s="53">
        <f>IF(B472="",0,IF(ISNA(VLOOKUP(A472,'600m'!F$5:J$302,2,FALSE)),0,VLOOKUP(A472,'600m'!F$5:J$302,2,FALSE)))</f>
        <v>0</v>
      </c>
      <c r="J472" s="51">
        <f>IF(B472="",0,IF(ISNA(_xlfn.XLOOKUP(A472,'600m'!F$5:F$302,'600m'!M$5:M$302)),0,_xlfn.XLOOKUP(A472,'600m'!F$5:F$302,'600m'!M$5:M$302)))</f>
        <v>0</v>
      </c>
      <c r="K472" s="51" t="str">
        <f>IF(B472="","",IF(ISNA(VLOOKUP(A472,'600m'!F$5:K$302,5,FALSE)),"",VLOOKUP(A472,'600m'!F$5:K$302,5,FALSE)))</f>
        <v/>
      </c>
      <c r="L472" s="51" t="str">
        <f>IF(B472="","",IF(ISNA(VLOOKUP(A472,LongJump!F$5:G$302,2,FALSE)),"",VLOOKUP(A472,LongJump!F$5:G$302,2,FALSE)))</f>
        <v/>
      </c>
      <c r="M472" s="51">
        <f>IF(B472="",0,IF(ISNA(_xlfn.XLOOKUP(A472,LongJump!F$5:F$302,LongJump!M$5:M$302)),0,_xlfn.XLOOKUP(A472,LongJump!F$5:F$302,LongJump!M$5:M$302)))</f>
        <v>0</v>
      </c>
      <c r="N472" s="51">
        <f>IF(B472="",0,IF(ISNA(VLOOKUP(A472,LongJump!F$5:K$302,5,FALSE)),0,VLOOKUP(A472,LongJump!F$5:K$302,5,FALSE)))</f>
        <v>0</v>
      </c>
      <c r="O472" s="51" t="str">
        <f>IF(B472="","",IF(ISNA(VLOOKUP(A472,Vortex!F$5:J$302,2,FALSE)),"",VLOOKUP(A472,Vortex!F$5:J$302,2,FALSE)))</f>
        <v/>
      </c>
      <c r="P472" s="51">
        <f>IF(B472="",0,IF(ISNA(_xlfn.XLOOKUP(A472,Vortex!F$5:F$302,Vortex!M$5:M$302)),0,_xlfn.XLOOKUP(A472,Vortex!F$5:F$302,Vortex!M$5:M$302)))</f>
        <v>0</v>
      </c>
      <c r="Q472" s="51">
        <f t="shared" si="58"/>
        <v>0</v>
      </c>
      <c r="R472" s="51" t="str">
        <f t="shared" si="59"/>
        <v/>
      </c>
      <c r="S472" s="51" t="str">
        <f t="shared" si="60"/>
        <v/>
      </c>
      <c r="T472" s="51" t="str">
        <f t="shared" si="61"/>
        <v/>
      </c>
      <c r="U472" s="51" t="str">
        <f t="shared" si="62"/>
        <v/>
      </c>
    </row>
    <row r="473" spans="1:21">
      <c r="A473" s="51" t="str">
        <f>IF(Declarations!B101=0,"",Declarations!B101)</f>
        <v/>
      </c>
      <c r="B473" s="161" t="str">
        <f>IF(ISNA(VLOOKUP(A473,Declarations!B$6:C$293,2,FALSE)),"",IF(VLOOKUP(A473,Declarations!B$6:C$293,2,FALSE)="","",VLOOKUP(A473,Declarations!B$6:C$293,2,FALSE)))</f>
        <v/>
      </c>
      <c r="C473" s="161" t="str">
        <f>IF(ISNA(VLOOKUP(A473,Declarations!B$6:F$293,5,FALSE)),"",IF(VLOOKUP(A473,Declarations!B$6:F$293,5,FALSE)="","",VLOOKUP(A473,Declarations!B$6:F$293,5,FALSE)))</f>
        <v/>
      </c>
      <c r="D473" s="161" t="str">
        <f>IF(ISNA(VLOOKUP(A473,Declarations!B$6:F$293,4,FALSE)),"",IF(VLOOKUP(A473,Declarations!B$6:F$293,4,FALSE)="","",VLOOKUP(A473,Declarations!B$6:F$293,4,FALSE)))</f>
        <v/>
      </c>
      <c r="E473" s="161" t="str">
        <f>IF(ISNA(VLOOKUP(A473,Declarations!B$6:D$293,3,FALSE)),"",IF(VLOOKUP(A473,Declarations!B$6:D$293,3,FALSE)="","",VLOOKUP(A473,Declarations!B$6:D$293,3,FALSE)))</f>
        <v/>
      </c>
      <c r="F473" s="51" t="str">
        <f>IF(B473="","",IF(ISNA(VLOOKUP(A473,'75m'!F$5:G$302,2,FALSE)),"",VLOOKUP(A473,'75m'!F$5:G$302,2,FALSE)))</f>
        <v/>
      </c>
      <c r="G473" s="51">
        <f>IF(B473="",0,IF(ISNA(_xlfn.XLOOKUP(A473,'75m'!F$5:F$302,'75m'!M$5:M$302)),0,_xlfn.XLOOKUP(A473,'75m'!F$5:F$302,'75m'!M$5:M$302)))</f>
        <v>0</v>
      </c>
      <c r="H473" s="51" t="str">
        <f>IF(B473="","",IF(ISNA(VLOOKUP(A473,'75m'!F$5:K$302,5,FALSE)),"",VLOOKUP(A473,'75m'!F$5:K$302,5,FALSE)))</f>
        <v/>
      </c>
      <c r="I473" s="53">
        <f>IF(B473="",0,IF(ISNA(VLOOKUP(A473,'600m'!F$5:J$302,2,FALSE)),0,VLOOKUP(A473,'600m'!F$5:J$302,2,FALSE)))</f>
        <v>0</v>
      </c>
      <c r="J473" s="51">
        <f>IF(B473="",0,IF(ISNA(_xlfn.XLOOKUP(A473,'600m'!F$5:F$302,'600m'!M$5:M$302)),0,_xlfn.XLOOKUP(A473,'600m'!F$5:F$302,'600m'!M$5:M$302)))</f>
        <v>0</v>
      </c>
      <c r="K473" s="51" t="str">
        <f>IF(B473="","",IF(ISNA(VLOOKUP(A473,'600m'!F$5:K$302,5,FALSE)),"",VLOOKUP(A473,'600m'!F$5:K$302,5,FALSE)))</f>
        <v/>
      </c>
      <c r="L473" s="51" t="str">
        <f>IF(B473="","",IF(ISNA(VLOOKUP(A473,LongJump!F$5:G$302,2,FALSE)),"",VLOOKUP(A473,LongJump!F$5:G$302,2,FALSE)))</f>
        <v/>
      </c>
      <c r="M473" s="51">
        <f>IF(B473="",0,IF(ISNA(_xlfn.XLOOKUP(A473,LongJump!F$5:F$302,LongJump!M$5:M$302)),0,_xlfn.XLOOKUP(A473,LongJump!F$5:F$302,LongJump!M$5:M$302)))</f>
        <v>0</v>
      </c>
      <c r="N473" s="51">
        <f>IF(B473="",0,IF(ISNA(VLOOKUP(A473,LongJump!F$5:K$302,5,FALSE)),0,VLOOKUP(A473,LongJump!F$5:K$302,5,FALSE)))</f>
        <v>0</v>
      </c>
      <c r="O473" s="51" t="str">
        <f>IF(B473="","",IF(ISNA(VLOOKUP(A473,Vortex!F$5:J$302,2,FALSE)),"",VLOOKUP(A473,Vortex!F$5:J$302,2,FALSE)))</f>
        <v/>
      </c>
      <c r="P473" s="51">
        <f>IF(B473="",0,IF(ISNA(_xlfn.XLOOKUP(A473,Vortex!F$5:F$302,Vortex!M$5:M$302)),0,_xlfn.XLOOKUP(A473,Vortex!F$5:F$302,Vortex!M$5:M$302)))</f>
        <v>0</v>
      </c>
      <c r="Q473" s="51">
        <f t="shared" si="58"/>
        <v>0</v>
      </c>
      <c r="R473" s="51" t="str">
        <f t="shared" si="59"/>
        <v/>
      </c>
      <c r="S473" s="51" t="str">
        <f t="shared" si="60"/>
        <v/>
      </c>
      <c r="T473" s="51" t="str">
        <f t="shared" si="61"/>
        <v/>
      </c>
      <c r="U473" s="51" t="str">
        <f t="shared" si="62"/>
        <v/>
      </c>
    </row>
    <row r="474" spans="1:21">
      <c r="A474" s="51" t="str">
        <f>IF(Declarations!B102=0,"",Declarations!B102)</f>
        <v/>
      </c>
      <c r="B474" s="161" t="str">
        <f>IF(ISNA(VLOOKUP(A474,Declarations!B$6:C$293,2,FALSE)),"",IF(VLOOKUP(A474,Declarations!B$6:C$293,2,FALSE)="","",VLOOKUP(A474,Declarations!B$6:C$293,2,FALSE)))</f>
        <v/>
      </c>
      <c r="C474" s="161" t="str">
        <f>IF(ISNA(VLOOKUP(A474,Declarations!B$6:F$293,5,FALSE)),"",IF(VLOOKUP(A474,Declarations!B$6:F$293,5,FALSE)="","",VLOOKUP(A474,Declarations!B$6:F$293,5,FALSE)))</f>
        <v/>
      </c>
      <c r="D474" s="161" t="str">
        <f>IF(ISNA(VLOOKUP(A474,Declarations!B$6:F$293,4,FALSE)),"",IF(VLOOKUP(A474,Declarations!B$6:F$293,4,FALSE)="","",VLOOKUP(A474,Declarations!B$6:F$293,4,FALSE)))</f>
        <v/>
      </c>
      <c r="E474" s="161" t="str">
        <f>IF(ISNA(VLOOKUP(A474,Declarations!B$6:D$293,3,FALSE)),"",IF(VLOOKUP(A474,Declarations!B$6:D$293,3,FALSE)="","",VLOOKUP(A474,Declarations!B$6:D$293,3,FALSE)))</f>
        <v/>
      </c>
      <c r="F474" s="51" t="str">
        <f>IF(B474="","",IF(ISNA(VLOOKUP(A474,'75m'!F$5:G$302,2,FALSE)),"",VLOOKUP(A474,'75m'!F$5:G$302,2,FALSE)))</f>
        <v/>
      </c>
      <c r="G474" s="51">
        <f>IF(B474="",0,IF(ISNA(_xlfn.XLOOKUP(A474,'75m'!F$5:F$302,'75m'!M$5:M$302)),0,_xlfn.XLOOKUP(A474,'75m'!F$5:F$302,'75m'!M$5:M$302)))</f>
        <v>0</v>
      </c>
      <c r="H474" s="51" t="str">
        <f>IF(B474="","",IF(ISNA(VLOOKUP(A474,'75m'!F$5:K$302,5,FALSE)),"",VLOOKUP(A474,'75m'!F$5:K$302,5,FALSE)))</f>
        <v/>
      </c>
      <c r="I474" s="53">
        <f>IF(B474="",0,IF(ISNA(VLOOKUP(A474,'600m'!F$5:J$302,2,FALSE)),0,VLOOKUP(A474,'600m'!F$5:J$302,2,FALSE)))</f>
        <v>0</v>
      </c>
      <c r="J474" s="51">
        <f>IF(B474="",0,IF(ISNA(_xlfn.XLOOKUP(A474,'600m'!F$5:F$302,'600m'!M$5:M$302)),0,_xlfn.XLOOKUP(A474,'600m'!F$5:F$302,'600m'!M$5:M$302)))</f>
        <v>0</v>
      </c>
      <c r="K474" s="51" t="str">
        <f>IF(B474="","",IF(ISNA(VLOOKUP(A474,'600m'!F$5:K$302,5,FALSE)),"",VLOOKUP(A474,'600m'!F$5:K$302,5,FALSE)))</f>
        <v/>
      </c>
      <c r="L474" s="51" t="str">
        <f>IF(B474="","",IF(ISNA(VLOOKUP(A474,LongJump!F$5:G$302,2,FALSE)),"",VLOOKUP(A474,LongJump!F$5:G$302,2,FALSE)))</f>
        <v/>
      </c>
      <c r="M474" s="51">
        <f>IF(B474="",0,IF(ISNA(_xlfn.XLOOKUP(A474,LongJump!F$5:F$302,LongJump!M$5:M$302)),0,_xlfn.XLOOKUP(A474,LongJump!F$5:F$302,LongJump!M$5:M$302)))</f>
        <v>0</v>
      </c>
      <c r="N474" s="51">
        <f>IF(B474="",0,IF(ISNA(VLOOKUP(A474,LongJump!F$5:K$302,5,FALSE)),0,VLOOKUP(A474,LongJump!F$5:K$302,5,FALSE)))</f>
        <v>0</v>
      </c>
      <c r="O474" s="51" t="str">
        <f>IF(B474="","",IF(ISNA(VLOOKUP(A474,Vortex!F$5:J$302,2,FALSE)),"",VLOOKUP(A474,Vortex!F$5:J$302,2,FALSE)))</f>
        <v/>
      </c>
      <c r="P474" s="51">
        <f>IF(B474="",0,IF(ISNA(_xlfn.XLOOKUP(A474,Vortex!F$5:F$302,Vortex!M$5:M$302)),0,_xlfn.XLOOKUP(A474,Vortex!F$5:F$302,Vortex!M$5:M$302)))</f>
        <v>0</v>
      </c>
      <c r="Q474" s="51">
        <f t="shared" si="58"/>
        <v>0</v>
      </c>
      <c r="R474" s="51" t="str">
        <f t="shared" si="59"/>
        <v/>
      </c>
      <c r="S474" s="51" t="str">
        <f t="shared" si="60"/>
        <v/>
      </c>
      <c r="T474" s="51" t="str">
        <f t="shared" si="61"/>
        <v/>
      </c>
      <c r="U474" s="51" t="str">
        <f t="shared" si="62"/>
        <v/>
      </c>
    </row>
    <row r="475" spans="1:21">
      <c r="A475" s="51" t="str">
        <f>IF(Declarations!B103=0,"",Declarations!B103)</f>
        <v/>
      </c>
      <c r="B475" s="161" t="str">
        <f>IF(ISNA(VLOOKUP(A475,Declarations!B$6:C$293,2,FALSE)),"",IF(VLOOKUP(A475,Declarations!B$6:C$293,2,FALSE)="","",VLOOKUP(A475,Declarations!B$6:C$293,2,FALSE)))</f>
        <v/>
      </c>
      <c r="C475" s="161" t="str">
        <f>IF(ISNA(VLOOKUP(A475,Declarations!B$6:F$293,5,FALSE)),"",IF(VLOOKUP(A475,Declarations!B$6:F$293,5,FALSE)="","",VLOOKUP(A475,Declarations!B$6:F$293,5,FALSE)))</f>
        <v/>
      </c>
      <c r="D475" s="161" t="str">
        <f>IF(ISNA(VLOOKUP(A475,Declarations!B$6:F$293,4,FALSE)),"",IF(VLOOKUP(A475,Declarations!B$6:F$293,4,FALSE)="","",VLOOKUP(A475,Declarations!B$6:F$293,4,FALSE)))</f>
        <v/>
      </c>
      <c r="E475" s="161" t="str">
        <f>IF(ISNA(VLOOKUP(A475,Declarations!B$6:D$293,3,FALSE)),"",IF(VLOOKUP(A475,Declarations!B$6:D$293,3,FALSE)="","",VLOOKUP(A475,Declarations!B$6:D$293,3,FALSE)))</f>
        <v/>
      </c>
      <c r="F475" s="51" t="str">
        <f>IF(B475="","",IF(ISNA(VLOOKUP(A475,'75m'!F$5:G$302,2,FALSE)),"",VLOOKUP(A475,'75m'!F$5:G$302,2,FALSE)))</f>
        <v/>
      </c>
      <c r="G475" s="51">
        <f>IF(B475="",0,IF(ISNA(_xlfn.XLOOKUP(A475,'75m'!F$5:F$302,'75m'!M$5:M$302)),0,_xlfn.XLOOKUP(A475,'75m'!F$5:F$302,'75m'!M$5:M$302)))</f>
        <v>0</v>
      </c>
      <c r="H475" s="51" t="str">
        <f>IF(B475="","",IF(ISNA(VLOOKUP(A475,'75m'!F$5:K$302,5,FALSE)),"",VLOOKUP(A475,'75m'!F$5:K$302,5,FALSE)))</f>
        <v/>
      </c>
      <c r="I475" s="53">
        <f>IF(B475="",0,IF(ISNA(VLOOKUP(A475,'600m'!F$5:J$302,2,FALSE)),0,VLOOKUP(A475,'600m'!F$5:J$302,2,FALSE)))</f>
        <v>0</v>
      </c>
      <c r="J475" s="51">
        <f>IF(B475="",0,IF(ISNA(_xlfn.XLOOKUP(A475,'600m'!F$5:F$302,'600m'!M$5:M$302)),0,_xlfn.XLOOKUP(A475,'600m'!F$5:F$302,'600m'!M$5:M$302)))</f>
        <v>0</v>
      </c>
      <c r="K475" s="51" t="str">
        <f>IF(B475="","",IF(ISNA(VLOOKUP(A475,'600m'!F$5:K$302,5,FALSE)),"",VLOOKUP(A475,'600m'!F$5:K$302,5,FALSE)))</f>
        <v/>
      </c>
      <c r="L475" s="51" t="str">
        <f>IF(B475="","",IF(ISNA(VLOOKUP(A475,LongJump!F$5:G$302,2,FALSE)),"",VLOOKUP(A475,LongJump!F$5:G$302,2,FALSE)))</f>
        <v/>
      </c>
      <c r="M475" s="51">
        <f>IF(B475="",0,IF(ISNA(_xlfn.XLOOKUP(A475,LongJump!F$5:F$302,LongJump!M$5:M$302)),0,_xlfn.XLOOKUP(A475,LongJump!F$5:F$302,LongJump!M$5:M$302)))</f>
        <v>0</v>
      </c>
      <c r="N475" s="51">
        <f>IF(B475="",0,IF(ISNA(VLOOKUP(A475,LongJump!F$5:K$302,5,FALSE)),0,VLOOKUP(A475,LongJump!F$5:K$302,5,FALSE)))</f>
        <v>0</v>
      </c>
      <c r="O475" s="51" t="str">
        <f>IF(B475="","",IF(ISNA(VLOOKUP(A475,Vortex!F$5:J$302,2,FALSE)),"",VLOOKUP(A475,Vortex!F$5:J$302,2,FALSE)))</f>
        <v/>
      </c>
      <c r="P475" s="51">
        <f>IF(B475="",0,IF(ISNA(_xlfn.XLOOKUP(A475,Vortex!F$5:F$302,Vortex!M$5:M$302)),0,_xlfn.XLOOKUP(A475,Vortex!F$5:F$302,Vortex!M$5:M$302)))</f>
        <v>0</v>
      </c>
      <c r="Q475" s="51">
        <f t="shared" si="58"/>
        <v>0</v>
      </c>
      <c r="R475" s="51" t="str">
        <f t="shared" si="59"/>
        <v/>
      </c>
      <c r="S475" s="51" t="str">
        <f t="shared" si="60"/>
        <v/>
      </c>
      <c r="T475" s="51" t="str">
        <f t="shared" si="61"/>
        <v/>
      </c>
      <c r="U475" s="51" t="str">
        <f t="shared" si="62"/>
        <v/>
      </c>
    </row>
    <row r="476" spans="1:21">
      <c r="A476" s="51" t="str">
        <f>IF(Declarations!B104=0,"",Declarations!B104)</f>
        <v/>
      </c>
      <c r="B476" s="161" t="str">
        <f>IF(ISNA(VLOOKUP(A476,Declarations!B$6:C$293,2,FALSE)),"",IF(VLOOKUP(A476,Declarations!B$6:C$293,2,FALSE)="","",VLOOKUP(A476,Declarations!B$6:C$293,2,FALSE)))</f>
        <v/>
      </c>
      <c r="C476" s="161" t="str">
        <f>IF(ISNA(VLOOKUP(A476,Declarations!B$6:F$293,5,FALSE)),"",IF(VLOOKUP(A476,Declarations!B$6:F$293,5,FALSE)="","",VLOOKUP(A476,Declarations!B$6:F$293,5,FALSE)))</f>
        <v/>
      </c>
      <c r="D476" s="161" t="str">
        <f>IF(ISNA(VLOOKUP(A476,Declarations!B$6:F$293,4,FALSE)),"",IF(VLOOKUP(A476,Declarations!B$6:F$293,4,FALSE)="","",VLOOKUP(A476,Declarations!B$6:F$293,4,FALSE)))</f>
        <v/>
      </c>
      <c r="E476" s="161" t="str">
        <f>IF(ISNA(VLOOKUP(A476,Declarations!B$6:D$293,3,FALSE)),"",IF(VLOOKUP(A476,Declarations!B$6:D$293,3,FALSE)="","",VLOOKUP(A476,Declarations!B$6:D$293,3,FALSE)))</f>
        <v/>
      </c>
      <c r="F476" s="51" t="str">
        <f>IF(B476="","",IF(ISNA(VLOOKUP(A476,'75m'!F$5:G$302,2,FALSE)),"",VLOOKUP(A476,'75m'!F$5:G$302,2,FALSE)))</f>
        <v/>
      </c>
      <c r="G476" s="51">
        <f>IF(B476="",0,IF(ISNA(_xlfn.XLOOKUP(A476,'75m'!F$5:F$302,'75m'!M$5:M$302)),0,_xlfn.XLOOKUP(A476,'75m'!F$5:F$302,'75m'!M$5:M$302)))</f>
        <v>0</v>
      </c>
      <c r="H476" s="51" t="str">
        <f>IF(B476="","",IF(ISNA(VLOOKUP(A476,'75m'!F$5:K$302,5,FALSE)),"",VLOOKUP(A476,'75m'!F$5:K$302,5,FALSE)))</f>
        <v/>
      </c>
      <c r="I476" s="53">
        <f>IF(B476="",0,IF(ISNA(VLOOKUP(A476,'600m'!F$5:J$302,2,FALSE)),0,VLOOKUP(A476,'600m'!F$5:J$302,2,FALSE)))</f>
        <v>0</v>
      </c>
      <c r="J476" s="51">
        <f>IF(B476="",0,IF(ISNA(_xlfn.XLOOKUP(A476,'600m'!F$5:F$302,'600m'!M$5:M$302)),0,_xlfn.XLOOKUP(A476,'600m'!F$5:F$302,'600m'!M$5:M$302)))</f>
        <v>0</v>
      </c>
      <c r="K476" s="51" t="str">
        <f>IF(B476="","",IF(ISNA(VLOOKUP(A476,'600m'!F$5:K$302,5,FALSE)),"",VLOOKUP(A476,'600m'!F$5:K$302,5,FALSE)))</f>
        <v/>
      </c>
      <c r="L476" s="51" t="str">
        <f>IF(B476="","",IF(ISNA(VLOOKUP(A476,LongJump!F$5:G$302,2,FALSE)),"",VLOOKUP(A476,LongJump!F$5:G$302,2,FALSE)))</f>
        <v/>
      </c>
      <c r="M476" s="51">
        <f>IF(B476="",0,IF(ISNA(_xlfn.XLOOKUP(A476,LongJump!F$5:F$302,LongJump!M$5:M$302)),0,_xlfn.XLOOKUP(A476,LongJump!F$5:F$302,LongJump!M$5:M$302)))</f>
        <v>0</v>
      </c>
      <c r="N476" s="51">
        <f>IF(B476="",0,IF(ISNA(VLOOKUP(A476,LongJump!F$5:K$302,5,FALSE)),0,VLOOKUP(A476,LongJump!F$5:K$302,5,FALSE)))</f>
        <v>0</v>
      </c>
      <c r="O476" s="51" t="str">
        <f>IF(B476="","",IF(ISNA(VLOOKUP(A476,Vortex!F$5:J$302,2,FALSE)),"",VLOOKUP(A476,Vortex!F$5:J$302,2,FALSE)))</f>
        <v/>
      </c>
      <c r="P476" s="51">
        <f>IF(B476="",0,IF(ISNA(_xlfn.XLOOKUP(A476,Vortex!F$5:F$302,Vortex!M$5:M$302)),0,_xlfn.XLOOKUP(A476,Vortex!F$5:F$302,Vortex!M$5:M$302)))</f>
        <v>0</v>
      </c>
      <c r="Q476" s="51">
        <f t="shared" si="58"/>
        <v>0</v>
      </c>
      <c r="R476" s="51" t="str">
        <f t="shared" si="59"/>
        <v/>
      </c>
      <c r="S476" s="51" t="str">
        <f t="shared" si="60"/>
        <v/>
      </c>
      <c r="T476" s="51" t="str">
        <f t="shared" si="61"/>
        <v/>
      </c>
      <c r="U476" s="51" t="str">
        <f t="shared" si="62"/>
        <v/>
      </c>
    </row>
    <row r="477" spans="1:21">
      <c r="A477" s="51" t="str">
        <f>IF(Declarations!B105=0,"",Declarations!B105)</f>
        <v/>
      </c>
      <c r="B477" s="161" t="str">
        <f>IF(ISNA(VLOOKUP(A477,Declarations!B$6:C$293,2,FALSE)),"",IF(VLOOKUP(A477,Declarations!B$6:C$293,2,FALSE)="","",VLOOKUP(A477,Declarations!B$6:C$293,2,FALSE)))</f>
        <v/>
      </c>
      <c r="C477" s="161" t="str">
        <f>IF(ISNA(VLOOKUP(A477,Declarations!B$6:F$293,5,FALSE)),"",IF(VLOOKUP(A477,Declarations!B$6:F$293,5,FALSE)="","",VLOOKUP(A477,Declarations!B$6:F$293,5,FALSE)))</f>
        <v/>
      </c>
      <c r="D477" s="161" t="str">
        <f>IF(ISNA(VLOOKUP(A477,Declarations!B$6:F$293,4,FALSE)),"",IF(VLOOKUP(A477,Declarations!B$6:F$293,4,FALSE)="","",VLOOKUP(A477,Declarations!B$6:F$293,4,FALSE)))</f>
        <v/>
      </c>
      <c r="E477" s="161" t="str">
        <f>IF(ISNA(VLOOKUP(A477,Declarations!B$6:D$293,3,FALSE)),"",IF(VLOOKUP(A477,Declarations!B$6:D$293,3,FALSE)="","",VLOOKUP(A477,Declarations!B$6:D$293,3,FALSE)))</f>
        <v/>
      </c>
      <c r="F477" s="51" t="str">
        <f>IF(B477="","",IF(ISNA(VLOOKUP(A477,'75m'!F$5:G$302,2,FALSE)),"",VLOOKUP(A477,'75m'!F$5:G$302,2,FALSE)))</f>
        <v/>
      </c>
      <c r="G477" s="51">
        <f>IF(B477="",0,IF(ISNA(_xlfn.XLOOKUP(A477,'75m'!F$5:F$302,'75m'!M$5:M$302)),0,_xlfn.XLOOKUP(A477,'75m'!F$5:F$302,'75m'!M$5:M$302)))</f>
        <v>0</v>
      </c>
      <c r="H477" s="51" t="str">
        <f>IF(B477="","",IF(ISNA(VLOOKUP(A477,'75m'!F$5:K$302,5,FALSE)),"",VLOOKUP(A477,'75m'!F$5:K$302,5,FALSE)))</f>
        <v/>
      </c>
      <c r="I477" s="53">
        <f>IF(B477="",0,IF(ISNA(VLOOKUP(A477,'600m'!F$5:J$302,2,FALSE)),0,VLOOKUP(A477,'600m'!F$5:J$302,2,FALSE)))</f>
        <v>0</v>
      </c>
      <c r="J477" s="51">
        <f>IF(B477="",0,IF(ISNA(_xlfn.XLOOKUP(A477,'600m'!F$5:F$302,'600m'!M$5:M$302)),0,_xlfn.XLOOKUP(A477,'600m'!F$5:F$302,'600m'!M$5:M$302)))</f>
        <v>0</v>
      </c>
      <c r="K477" s="51" t="str">
        <f>IF(B477="","",IF(ISNA(VLOOKUP(A477,'600m'!F$5:K$302,5,FALSE)),"",VLOOKUP(A477,'600m'!F$5:K$302,5,FALSE)))</f>
        <v/>
      </c>
      <c r="L477" s="51" t="str">
        <f>IF(B477="","",IF(ISNA(VLOOKUP(A477,LongJump!F$5:G$302,2,FALSE)),"",VLOOKUP(A477,LongJump!F$5:G$302,2,FALSE)))</f>
        <v/>
      </c>
      <c r="M477" s="51">
        <f>IF(B477="",0,IF(ISNA(_xlfn.XLOOKUP(A477,LongJump!F$5:F$302,LongJump!M$5:M$302)),0,_xlfn.XLOOKUP(A477,LongJump!F$5:F$302,LongJump!M$5:M$302)))</f>
        <v>0</v>
      </c>
      <c r="N477" s="51">
        <f>IF(B477="",0,IF(ISNA(VLOOKUP(A477,LongJump!F$5:K$302,5,FALSE)),0,VLOOKUP(A477,LongJump!F$5:K$302,5,FALSE)))</f>
        <v>0</v>
      </c>
      <c r="O477" s="51" t="str">
        <f>IF(B477="","",IF(ISNA(VLOOKUP(A477,Vortex!F$5:J$302,2,FALSE)),"",VLOOKUP(A477,Vortex!F$5:J$302,2,FALSE)))</f>
        <v/>
      </c>
      <c r="P477" s="51">
        <f>IF(B477="",0,IF(ISNA(_xlfn.XLOOKUP(A477,Vortex!F$5:F$302,Vortex!M$5:M$302)),0,_xlfn.XLOOKUP(A477,Vortex!F$5:F$302,Vortex!M$5:M$302)))</f>
        <v>0</v>
      </c>
      <c r="Q477" s="51">
        <f t="shared" si="58"/>
        <v>0</v>
      </c>
      <c r="R477" s="51" t="str">
        <f t="shared" si="59"/>
        <v/>
      </c>
      <c r="S477" s="51" t="str">
        <f t="shared" si="60"/>
        <v/>
      </c>
      <c r="T477" s="51" t="str">
        <f t="shared" si="61"/>
        <v/>
      </c>
      <c r="U477" s="51" t="str">
        <f t="shared" si="62"/>
        <v/>
      </c>
    </row>
    <row r="478" spans="1:21">
      <c r="A478" s="51" t="str">
        <f>IF(Declarations!B106=0,"",Declarations!B106)</f>
        <v/>
      </c>
      <c r="B478" s="161" t="str">
        <f>IF(ISNA(VLOOKUP(A478,Declarations!B$6:C$293,2,FALSE)),"",IF(VLOOKUP(A478,Declarations!B$6:C$293,2,FALSE)="","",VLOOKUP(A478,Declarations!B$6:C$293,2,FALSE)))</f>
        <v/>
      </c>
      <c r="C478" s="161" t="str">
        <f>IF(ISNA(VLOOKUP(A478,Declarations!B$6:F$293,5,FALSE)),"",IF(VLOOKUP(A478,Declarations!B$6:F$293,5,FALSE)="","",VLOOKUP(A478,Declarations!B$6:F$293,5,FALSE)))</f>
        <v/>
      </c>
      <c r="D478" s="161" t="str">
        <f>IF(ISNA(VLOOKUP(A478,Declarations!B$6:F$293,4,FALSE)),"",IF(VLOOKUP(A478,Declarations!B$6:F$293,4,FALSE)="","",VLOOKUP(A478,Declarations!B$6:F$293,4,FALSE)))</f>
        <v/>
      </c>
      <c r="E478" s="161" t="str">
        <f>IF(ISNA(VLOOKUP(A478,Declarations!B$6:D$293,3,FALSE)),"",IF(VLOOKUP(A478,Declarations!B$6:D$293,3,FALSE)="","",VLOOKUP(A478,Declarations!B$6:D$293,3,FALSE)))</f>
        <v/>
      </c>
      <c r="F478" s="51" t="str">
        <f>IF(B478="","",IF(ISNA(VLOOKUP(A478,'75m'!F$5:G$302,2,FALSE)),"",VLOOKUP(A478,'75m'!F$5:G$302,2,FALSE)))</f>
        <v/>
      </c>
      <c r="G478" s="51">
        <f>IF(B478="",0,IF(ISNA(_xlfn.XLOOKUP(A478,'75m'!F$5:F$302,'75m'!M$5:M$302)),0,_xlfn.XLOOKUP(A478,'75m'!F$5:F$302,'75m'!M$5:M$302)))</f>
        <v>0</v>
      </c>
      <c r="H478" s="51" t="str">
        <f>IF(B478="","",IF(ISNA(VLOOKUP(A478,'75m'!F$5:K$302,5,FALSE)),"",VLOOKUP(A478,'75m'!F$5:K$302,5,FALSE)))</f>
        <v/>
      </c>
      <c r="I478" s="53">
        <f>IF(B478="",0,IF(ISNA(VLOOKUP(A478,'600m'!F$5:J$302,2,FALSE)),0,VLOOKUP(A478,'600m'!F$5:J$302,2,FALSE)))</f>
        <v>0</v>
      </c>
      <c r="J478" s="51">
        <f>IF(B478="",0,IF(ISNA(_xlfn.XLOOKUP(A478,'600m'!F$5:F$302,'600m'!M$5:M$302)),0,_xlfn.XLOOKUP(A478,'600m'!F$5:F$302,'600m'!M$5:M$302)))</f>
        <v>0</v>
      </c>
      <c r="K478" s="51" t="str">
        <f>IF(B478="","",IF(ISNA(VLOOKUP(A478,'600m'!F$5:K$302,5,FALSE)),"",VLOOKUP(A478,'600m'!F$5:K$302,5,FALSE)))</f>
        <v/>
      </c>
      <c r="L478" s="51" t="str">
        <f>IF(B478="","",IF(ISNA(VLOOKUP(A478,LongJump!F$5:G$302,2,FALSE)),"",VLOOKUP(A478,LongJump!F$5:G$302,2,FALSE)))</f>
        <v/>
      </c>
      <c r="M478" s="51">
        <f>IF(B478="",0,IF(ISNA(_xlfn.XLOOKUP(A478,LongJump!F$5:F$302,LongJump!M$5:M$302)),0,_xlfn.XLOOKUP(A478,LongJump!F$5:F$302,LongJump!M$5:M$302)))</f>
        <v>0</v>
      </c>
      <c r="N478" s="51">
        <f>IF(B478="",0,IF(ISNA(VLOOKUP(A478,LongJump!F$5:K$302,5,FALSE)),0,VLOOKUP(A478,LongJump!F$5:K$302,5,FALSE)))</f>
        <v>0</v>
      </c>
      <c r="O478" s="51" t="str">
        <f>IF(B478="","",IF(ISNA(VLOOKUP(A478,Vortex!F$5:J$302,2,FALSE)),"",VLOOKUP(A478,Vortex!F$5:J$302,2,FALSE)))</f>
        <v/>
      </c>
      <c r="P478" s="51">
        <f>IF(B478="",0,IF(ISNA(_xlfn.XLOOKUP(A478,Vortex!F$5:F$302,Vortex!M$5:M$302)),0,_xlfn.XLOOKUP(A478,Vortex!F$5:F$302,Vortex!M$5:M$302)))</f>
        <v>0</v>
      </c>
      <c r="Q478" s="51">
        <f t="shared" si="58"/>
        <v>0</v>
      </c>
      <c r="R478" s="51" t="str">
        <f t="shared" si="59"/>
        <v/>
      </c>
      <c r="S478" s="51" t="str">
        <f t="shared" si="60"/>
        <v/>
      </c>
      <c r="T478" s="51" t="str">
        <f t="shared" si="61"/>
        <v/>
      </c>
      <c r="U478" s="51" t="str">
        <f t="shared" si="62"/>
        <v/>
      </c>
    </row>
    <row r="479" spans="1:21">
      <c r="A479" s="51" t="str">
        <f>IF(Declarations!B107=0,"",Declarations!B107)</f>
        <v/>
      </c>
      <c r="B479" s="161" t="str">
        <f>IF(ISNA(VLOOKUP(A479,Declarations!B$6:C$293,2,FALSE)),"",IF(VLOOKUP(A479,Declarations!B$6:C$293,2,FALSE)="","",VLOOKUP(A479,Declarations!B$6:C$293,2,FALSE)))</f>
        <v/>
      </c>
      <c r="C479" s="161" t="str">
        <f>IF(ISNA(VLOOKUP(A479,Declarations!B$6:F$293,5,FALSE)),"",IF(VLOOKUP(A479,Declarations!B$6:F$293,5,FALSE)="","",VLOOKUP(A479,Declarations!B$6:F$293,5,FALSE)))</f>
        <v/>
      </c>
      <c r="D479" s="161" t="str">
        <f>IF(ISNA(VLOOKUP(A479,Declarations!B$6:F$293,4,FALSE)),"",IF(VLOOKUP(A479,Declarations!B$6:F$293,4,FALSE)="","",VLOOKUP(A479,Declarations!B$6:F$293,4,FALSE)))</f>
        <v/>
      </c>
      <c r="E479" s="161" t="str">
        <f>IF(ISNA(VLOOKUP(A479,Declarations!B$6:D$293,3,FALSE)),"",IF(VLOOKUP(A479,Declarations!B$6:D$293,3,FALSE)="","",VLOOKUP(A479,Declarations!B$6:D$293,3,FALSE)))</f>
        <v/>
      </c>
      <c r="F479" s="51" t="str">
        <f>IF(B479="","",IF(ISNA(VLOOKUP(A479,'75m'!F$5:G$302,2,FALSE)),"",VLOOKUP(A479,'75m'!F$5:G$302,2,FALSE)))</f>
        <v/>
      </c>
      <c r="G479" s="51">
        <f>IF(B479="",0,IF(ISNA(_xlfn.XLOOKUP(A479,'75m'!F$5:F$302,'75m'!M$5:M$302)),0,_xlfn.XLOOKUP(A479,'75m'!F$5:F$302,'75m'!M$5:M$302)))</f>
        <v>0</v>
      </c>
      <c r="H479" s="51" t="str">
        <f>IF(B479="","",IF(ISNA(VLOOKUP(A479,'75m'!F$5:K$302,5,FALSE)),"",VLOOKUP(A479,'75m'!F$5:K$302,5,FALSE)))</f>
        <v/>
      </c>
      <c r="I479" s="53">
        <f>IF(B479="",0,IF(ISNA(VLOOKUP(A479,'600m'!F$5:J$302,2,FALSE)),0,VLOOKUP(A479,'600m'!F$5:J$302,2,FALSE)))</f>
        <v>0</v>
      </c>
      <c r="J479" s="51">
        <f>IF(B479="",0,IF(ISNA(_xlfn.XLOOKUP(A479,'600m'!F$5:F$302,'600m'!M$5:M$302)),0,_xlfn.XLOOKUP(A479,'600m'!F$5:F$302,'600m'!M$5:M$302)))</f>
        <v>0</v>
      </c>
      <c r="K479" s="51" t="str">
        <f>IF(B479="","",IF(ISNA(VLOOKUP(A479,'600m'!F$5:K$302,5,FALSE)),"",VLOOKUP(A479,'600m'!F$5:K$302,5,FALSE)))</f>
        <v/>
      </c>
      <c r="L479" s="51" t="str">
        <f>IF(B479="","",IF(ISNA(VLOOKUP(A479,LongJump!F$5:G$302,2,FALSE)),"",VLOOKUP(A479,LongJump!F$5:G$302,2,FALSE)))</f>
        <v/>
      </c>
      <c r="M479" s="51">
        <f>IF(B479="",0,IF(ISNA(_xlfn.XLOOKUP(A479,LongJump!F$5:F$302,LongJump!M$5:M$302)),0,_xlfn.XLOOKUP(A479,LongJump!F$5:F$302,LongJump!M$5:M$302)))</f>
        <v>0</v>
      </c>
      <c r="N479" s="51">
        <f>IF(B479="",0,IF(ISNA(VLOOKUP(A479,LongJump!F$5:K$302,5,FALSE)),0,VLOOKUP(A479,LongJump!F$5:K$302,5,FALSE)))</f>
        <v>0</v>
      </c>
      <c r="O479" s="51" t="str">
        <f>IF(B479="","",IF(ISNA(VLOOKUP(A479,Vortex!F$5:J$302,2,FALSE)),"",VLOOKUP(A479,Vortex!F$5:J$302,2,FALSE)))</f>
        <v/>
      </c>
      <c r="P479" s="51">
        <f>IF(B479="",0,IF(ISNA(_xlfn.XLOOKUP(A479,Vortex!F$5:F$302,Vortex!M$5:M$302)),0,_xlfn.XLOOKUP(A479,Vortex!F$5:F$302,Vortex!M$5:M$302)))</f>
        <v>0</v>
      </c>
      <c r="Q479" s="51">
        <f t="shared" si="58"/>
        <v>0</v>
      </c>
      <c r="R479" s="51" t="str">
        <f t="shared" si="59"/>
        <v/>
      </c>
      <c r="S479" s="51" t="str">
        <f t="shared" si="60"/>
        <v/>
      </c>
      <c r="T479" s="51" t="str">
        <f t="shared" si="61"/>
        <v/>
      </c>
      <c r="U479" s="51" t="str">
        <f t="shared" si="62"/>
        <v/>
      </c>
    </row>
    <row r="480" spans="1:21">
      <c r="A480" s="51" t="str">
        <f>IF(Declarations!B108=0,"",Declarations!B108)</f>
        <v/>
      </c>
      <c r="B480" s="161" t="str">
        <f>IF(ISNA(VLOOKUP(A480,Declarations!B$6:C$293,2,FALSE)),"",IF(VLOOKUP(A480,Declarations!B$6:C$293,2,FALSE)="","",VLOOKUP(A480,Declarations!B$6:C$293,2,FALSE)))</f>
        <v/>
      </c>
      <c r="C480" s="161" t="str">
        <f>IF(ISNA(VLOOKUP(A480,Declarations!B$6:F$293,5,FALSE)),"",IF(VLOOKUP(A480,Declarations!B$6:F$293,5,FALSE)="","",VLOOKUP(A480,Declarations!B$6:F$293,5,FALSE)))</f>
        <v/>
      </c>
      <c r="D480" s="161" t="str">
        <f>IF(ISNA(VLOOKUP(A480,Declarations!B$6:F$293,4,FALSE)),"",IF(VLOOKUP(A480,Declarations!B$6:F$293,4,FALSE)="","",VLOOKUP(A480,Declarations!B$6:F$293,4,FALSE)))</f>
        <v/>
      </c>
      <c r="E480" s="161" t="str">
        <f>IF(ISNA(VLOOKUP(A480,Declarations!B$6:D$293,3,FALSE)),"",IF(VLOOKUP(A480,Declarations!B$6:D$293,3,FALSE)="","",VLOOKUP(A480,Declarations!B$6:D$293,3,FALSE)))</f>
        <v/>
      </c>
      <c r="F480" s="51" t="str">
        <f>IF(B480="","",IF(ISNA(VLOOKUP(A480,'75m'!F$5:G$302,2,FALSE)),"",VLOOKUP(A480,'75m'!F$5:G$302,2,FALSE)))</f>
        <v/>
      </c>
      <c r="G480" s="51">
        <f>IF(B480="",0,IF(ISNA(_xlfn.XLOOKUP(A480,'75m'!F$5:F$302,'75m'!M$5:M$302)),0,_xlfn.XLOOKUP(A480,'75m'!F$5:F$302,'75m'!M$5:M$302)))</f>
        <v>0</v>
      </c>
      <c r="H480" s="51" t="str">
        <f>IF(B480="","",IF(ISNA(VLOOKUP(A480,'75m'!F$5:K$302,5,FALSE)),"",VLOOKUP(A480,'75m'!F$5:K$302,5,FALSE)))</f>
        <v/>
      </c>
      <c r="I480" s="53">
        <f>IF(B480="",0,IF(ISNA(VLOOKUP(A480,'600m'!F$5:J$302,2,FALSE)),0,VLOOKUP(A480,'600m'!F$5:J$302,2,FALSE)))</f>
        <v>0</v>
      </c>
      <c r="J480" s="51">
        <f>IF(B480="",0,IF(ISNA(_xlfn.XLOOKUP(A480,'600m'!F$5:F$302,'600m'!M$5:M$302)),0,_xlfn.XLOOKUP(A480,'600m'!F$5:F$302,'600m'!M$5:M$302)))</f>
        <v>0</v>
      </c>
      <c r="K480" s="51" t="str">
        <f>IF(B480="","",IF(ISNA(VLOOKUP(A480,'600m'!F$5:K$302,5,FALSE)),"",VLOOKUP(A480,'600m'!F$5:K$302,5,FALSE)))</f>
        <v/>
      </c>
      <c r="L480" s="51" t="str">
        <f>IF(B480="","",IF(ISNA(VLOOKUP(A480,LongJump!F$5:G$302,2,FALSE)),"",VLOOKUP(A480,LongJump!F$5:G$302,2,FALSE)))</f>
        <v/>
      </c>
      <c r="M480" s="51">
        <f>IF(B480="",0,IF(ISNA(_xlfn.XLOOKUP(A480,LongJump!F$5:F$302,LongJump!M$5:M$302)),0,_xlfn.XLOOKUP(A480,LongJump!F$5:F$302,LongJump!M$5:M$302)))</f>
        <v>0</v>
      </c>
      <c r="N480" s="51">
        <f>IF(B480="",0,IF(ISNA(VLOOKUP(A480,LongJump!F$5:K$302,5,FALSE)),0,VLOOKUP(A480,LongJump!F$5:K$302,5,FALSE)))</f>
        <v>0</v>
      </c>
      <c r="O480" s="51" t="str">
        <f>IF(B480="","",IF(ISNA(VLOOKUP(A480,Vortex!F$5:J$302,2,FALSE)),"",VLOOKUP(A480,Vortex!F$5:J$302,2,FALSE)))</f>
        <v/>
      </c>
      <c r="P480" s="51">
        <f>IF(B480="",0,IF(ISNA(_xlfn.XLOOKUP(A480,Vortex!F$5:F$302,Vortex!M$5:M$302)),0,_xlfn.XLOOKUP(A480,Vortex!F$5:F$302,Vortex!M$5:M$302)))</f>
        <v>0</v>
      </c>
      <c r="Q480" s="51">
        <f t="shared" si="58"/>
        <v>0</v>
      </c>
      <c r="R480" s="51" t="str">
        <f t="shared" si="59"/>
        <v/>
      </c>
      <c r="S480" s="51" t="str">
        <f t="shared" si="60"/>
        <v/>
      </c>
      <c r="T480" s="51" t="str">
        <f t="shared" si="61"/>
        <v/>
      </c>
      <c r="U480" s="51" t="str">
        <f t="shared" si="62"/>
        <v/>
      </c>
    </row>
    <row r="481" spans="1:21">
      <c r="A481" s="51" t="str">
        <f>IF(Declarations!B109=0,"",Declarations!B109)</f>
        <v/>
      </c>
      <c r="B481" s="161" t="str">
        <f>IF(ISNA(VLOOKUP(A481,Declarations!B$6:C$293,2,FALSE)),"",IF(VLOOKUP(A481,Declarations!B$6:C$293,2,FALSE)="","",VLOOKUP(A481,Declarations!B$6:C$293,2,FALSE)))</f>
        <v/>
      </c>
      <c r="C481" s="161" t="str">
        <f>IF(ISNA(VLOOKUP(A481,Declarations!B$6:F$293,5,FALSE)),"",IF(VLOOKUP(A481,Declarations!B$6:F$293,5,FALSE)="","",VLOOKUP(A481,Declarations!B$6:F$293,5,FALSE)))</f>
        <v/>
      </c>
      <c r="D481" s="161" t="str">
        <f>IF(ISNA(VLOOKUP(A481,Declarations!B$6:F$293,4,FALSE)),"",IF(VLOOKUP(A481,Declarations!B$6:F$293,4,FALSE)="","",VLOOKUP(A481,Declarations!B$6:F$293,4,FALSE)))</f>
        <v/>
      </c>
      <c r="E481" s="161" t="str">
        <f>IF(ISNA(VLOOKUP(A481,Declarations!B$6:D$293,3,FALSE)),"",IF(VLOOKUP(A481,Declarations!B$6:D$293,3,FALSE)="","",VLOOKUP(A481,Declarations!B$6:D$293,3,FALSE)))</f>
        <v/>
      </c>
      <c r="F481" s="51" t="str">
        <f>IF(B481="","",IF(ISNA(VLOOKUP(A481,'75m'!F$5:G$302,2,FALSE)),"",VLOOKUP(A481,'75m'!F$5:G$302,2,FALSE)))</f>
        <v/>
      </c>
      <c r="G481" s="51">
        <f>IF(B481="",0,IF(ISNA(_xlfn.XLOOKUP(A481,'75m'!F$5:F$302,'75m'!M$5:M$302)),0,_xlfn.XLOOKUP(A481,'75m'!F$5:F$302,'75m'!M$5:M$302)))</f>
        <v>0</v>
      </c>
      <c r="H481" s="51" t="str">
        <f>IF(B481="","",IF(ISNA(VLOOKUP(A481,'75m'!F$5:K$302,5,FALSE)),"",VLOOKUP(A481,'75m'!F$5:K$302,5,FALSE)))</f>
        <v/>
      </c>
      <c r="I481" s="53">
        <f>IF(B481="",0,IF(ISNA(VLOOKUP(A481,'600m'!F$5:J$302,2,FALSE)),0,VLOOKUP(A481,'600m'!F$5:J$302,2,FALSE)))</f>
        <v>0</v>
      </c>
      <c r="J481" s="51">
        <f>IF(B481="",0,IF(ISNA(_xlfn.XLOOKUP(A481,'600m'!F$5:F$302,'600m'!M$5:M$302)),0,_xlfn.XLOOKUP(A481,'600m'!F$5:F$302,'600m'!M$5:M$302)))</f>
        <v>0</v>
      </c>
      <c r="K481" s="51" t="str">
        <f>IF(B481="","",IF(ISNA(VLOOKUP(A481,'600m'!F$5:K$302,5,FALSE)),"",VLOOKUP(A481,'600m'!F$5:K$302,5,FALSE)))</f>
        <v/>
      </c>
      <c r="L481" s="51" t="str">
        <f>IF(B481="","",IF(ISNA(VLOOKUP(A481,LongJump!F$5:G$302,2,FALSE)),"",VLOOKUP(A481,LongJump!F$5:G$302,2,FALSE)))</f>
        <v/>
      </c>
      <c r="M481" s="51">
        <f>IF(B481="",0,IF(ISNA(_xlfn.XLOOKUP(A481,LongJump!F$5:F$302,LongJump!M$5:M$302)),0,_xlfn.XLOOKUP(A481,LongJump!F$5:F$302,LongJump!M$5:M$302)))</f>
        <v>0</v>
      </c>
      <c r="N481" s="51">
        <f>IF(B481="",0,IF(ISNA(VLOOKUP(A481,LongJump!F$5:K$302,5,FALSE)),0,VLOOKUP(A481,LongJump!F$5:K$302,5,FALSE)))</f>
        <v>0</v>
      </c>
      <c r="O481" s="51" t="str">
        <f>IF(B481="","",IF(ISNA(VLOOKUP(A481,Vortex!F$5:J$302,2,FALSE)),"",VLOOKUP(A481,Vortex!F$5:J$302,2,FALSE)))</f>
        <v/>
      </c>
      <c r="P481" s="51">
        <f>IF(B481="",0,IF(ISNA(_xlfn.XLOOKUP(A481,Vortex!F$5:F$302,Vortex!M$5:M$302)),0,_xlfn.XLOOKUP(A481,Vortex!F$5:F$302,Vortex!M$5:M$302)))</f>
        <v>0</v>
      </c>
      <c r="Q481" s="51">
        <f t="shared" si="58"/>
        <v>0</v>
      </c>
      <c r="R481" s="51" t="str">
        <f t="shared" si="59"/>
        <v/>
      </c>
      <c r="S481" s="51" t="str">
        <f t="shared" si="60"/>
        <v/>
      </c>
      <c r="T481" s="51" t="str">
        <f t="shared" si="61"/>
        <v/>
      </c>
      <c r="U481" s="51" t="str">
        <f t="shared" si="62"/>
        <v/>
      </c>
    </row>
    <row r="482" spans="1:21">
      <c r="A482" s="51" t="str">
        <f>IF(Declarations!B110=0,"",Declarations!B110)</f>
        <v/>
      </c>
      <c r="B482" s="161" t="str">
        <f>IF(ISNA(VLOOKUP(A482,Declarations!B$6:C$293,2,FALSE)),"",IF(VLOOKUP(A482,Declarations!B$6:C$293,2,FALSE)="","",VLOOKUP(A482,Declarations!B$6:C$293,2,FALSE)))</f>
        <v/>
      </c>
      <c r="C482" s="161" t="str">
        <f>IF(ISNA(VLOOKUP(A482,Declarations!B$6:F$293,5,FALSE)),"",IF(VLOOKUP(A482,Declarations!B$6:F$293,5,FALSE)="","",VLOOKUP(A482,Declarations!B$6:F$293,5,FALSE)))</f>
        <v/>
      </c>
      <c r="D482" s="161" t="str">
        <f>IF(ISNA(VLOOKUP(A482,Declarations!B$6:F$293,4,FALSE)),"",IF(VLOOKUP(A482,Declarations!B$6:F$293,4,FALSE)="","",VLOOKUP(A482,Declarations!B$6:F$293,4,FALSE)))</f>
        <v/>
      </c>
      <c r="E482" s="161" t="str">
        <f>IF(ISNA(VLOOKUP(A482,Declarations!B$6:D$293,3,FALSE)),"",IF(VLOOKUP(A482,Declarations!B$6:D$293,3,FALSE)="","",VLOOKUP(A482,Declarations!B$6:D$293,3,FALSE)))</f>
        <v/>
      </c>
      <c r="F482" s="51" t="str">
        <f>IF(B482="","",IF(ISNA(VLOOKUP(A482,'75m'!F$5:G$302,2,FALSE)),"",VLOOKUP(A482,'75m'!F$5:G$302,2,FALSE)))</f>
        <v/>
      </c>
      <c r="G482" s="51">
        <f>IF(B482="",0,IF(ISNA(_xlfn.XLOOKUP(A482,'75m'!F$5:F$302,'75m'!M$5:M$302)),0,_xlfn.XLOOKUP(A482,'75m'!F$5:F$302,'75m'!M$5:M$302)))</f>
        <v>0</v>
      </c>
      <c r="H482" s="51" t="str">
        <f>IF(B482="","",IF(ISNA(VLOOKUP(A482,'75m'!F$5:K$302,5,FALSE)),"",VLOOKUP(A482,'75m'!F$5:K$302,5,FALSE)))</f>
        <v/>
      </c>
      <c r="I482" s="53">
        <f>IF(B482="",0,IF(ISNA(VLOOKUP(A482,'600m'!F$5:J$302,2,FALSE)),0,VLOOKUP(A482,'600m'!F$5:J$302,2,FALSE)))</f>
        <v>0</v>
      </c>
      <c r="J482" s="51">
        <f>IF(B482="",0,IF(ISNA(_xlfn.XLOOKUP(A482,'600m'!F$5:F$302,'600m'!M$5:M$302)),0,_xlfn.XLOOKUP(A482,'600m'!F$5:F$302,'600m'!M$5:M$302)))</f>
        <v>0</v>
      </c>
      <c r="K482" s="51" t="str">
        <f>IF(B482="","",IF(ISNA(VLOOKUP(A482,'600m'!F$5:K$302,5,FALSE)),"",VLOOKUP(A482,'600m'!F$5:K$302,5,FALSE)))</f>
        <v/>
      </c>
      <c r="L482" s="51" t="str">
        <f>IF(B482="","",IF(ISNA(VLOOKUP(A482,LongJump!F$5:G$302,2,FALSE)),"",VLOOKUP(A482,LongJump!F$5:G$302,2,FALSE)))</f>
        <v/>
      </c>
      <c r="M482" s="51">
        <f>IF(B482="",0,IF(ISNA(_xlfn.XLOOKUP(A482,LongJump!F$5:F$302,LongJump!M$5:M$302)),0,_xlfn.XLOOKUP(A482,LongJump!F$5:F$302,LongJump!M$5:M$302)))</f>
        <v>0</v>
      </c>
      <c r="N482" s="51">
        <f>IF(B482="",0,IF(ISNA(VLOOKUP(A482,LongJump!F$5:K$302,5,FALSE)),0,VLOOKUP(A482,LongJump!F$5:K$302,5,FALSE)))</f>
        <v>0</v>
      </c>
      <c r="O482" s="51" t="str">
        <f>IF(B482="","",IF(ISNA(VLOOKUP(A482,Vortex!F$5:J$302,2,FALSE)),"",VLOOKUP(A482,Vortex!F$5:J$302,2,FALSE)))</f>
        <v/>
      </c>
      <c r="P482" s="51">
        <f>IF(B482="",0,IF(ISNA(_xlfn.XLOOKUP(A482,Vortex!F$5:F$302,Vortex!M$5:M$302)),0,_xlfn.XLOOKUP(A482,Vortex!F$5:F$302,Vortex!M$5:M$302)))</f>
        <v>0</v>
      </c>
      <c r="Q482" s="51">
        <f t="shared" si="58"/>
        <v>0</v>
      </c>
      <c r="R482" s="51" t="str">
        <f t="shared" si="59"/>
        <v/>
      </c>
      <c r="S482" s="51" t="str">
        <f t="shared" si="60"/>
        <v/>
      </c>
      <c r="T482" s="51" t="str">
        <f t="shared" si="61"/>
        <v/>
      </c>
      <c r="U482" s="51" t="str">
        <f t="shared" si="62"/>
        <v/>
      </c>
    </row>
    <row r="483" spans="1:21">
      <c r="A483" s="51" t="str">
        <f>IF(Declarations!B111=0,"",Declarations!B111)</f>
        <v/>
      </c>
      <c r="B483" s="161" t="str">
        <f>IF(ISNA(VLOOKUP(A483,Declarations!B$6:C$293,2,FALSE)),"",IF(VLOOKUP(A483,Declarations!B$6:C$293,2,FALSE)="","",VLOOKUP(A483,Declarations!B$6:C$293,2,FALSE)))</f>
        <v/>
      </c>
      <c r="C483" s="161" t="str">
        <f>IF(ISNA(VLOOKUP(A483,Declarations!B$6:F$293,5,FALSE)),"",IF(VLOOKUP(A483,Declarations!B$6:F$293,5,FALSE)="","",VLOOKUP(A483,Declarations!B$6:F$293,5,FALSE)))</f>
        <v/>
      </c>
      <c r="D483" s="161" t="str">
        <f>IF(ISNA(VLOOKUP(A483,Declarations!B$6:F$293,4,FALSE)),"",IF(VLOOKUP(A483,Declarations!B$6:F$293,4,FALSE)="","",VLOOKUP(A483,Declarations!B$6:F$293,4,FALSE)))</f>
        <v/>
      </c>
      <c r="E483" s="161" t="str">
        <f>IF(ISNA(VLOOKUP(A483,Declarations!B$6:D$293,3,FALSE)),"",IF(VLOOKUP(A483,Declarations!B$6:D$293,3,FALSE)="","",VLOOKUP(A483,Declarations!B$6:D$293,3,FALSE)))</f>
        <v/>
      </c>
      <c r="F483" s="51" t="str">
        <f>IF(B483="","",IF(ISNA(VLOOKUP(A483,'75m'!F$5:G$302,2,FALSE)),"",VLOOKUP(A483,'75m'!F$5:G$302,2,FALSE)))</f>
        <v/>
      </c>
      <c r="G483" s="51">
        <f>IF(B483="",0,IF(ISNA(_xlfn.XLOOKUP(A483,'75m'!F$5:F$302,'75m'!M$5:M$302)),0,_xlfn.XLOOKUP(A483,'75m'!F$5:F$302,'75m'!M$5:M$302)))</f>
        <v>0</v>
      </c>
      <c r="H483" s="51" t="str">
        <f>IF(B483="","",IF(ISNA(VLOOKUP(A483,'75m'!F$5:K$302,5,FALSE)),"",VLOOKUP(A483,'75m'!F$5:K$302,5,FALSE)))</f>
        <v/>
      </c>
      <c r="I483" s="53">
        <f>IF(B483="",0,IF(ISNA(VLOOKUP(A483,'600m'!F$5:J$302,2,FALSE)),0,VLOOKUP(A483,'600m'!F$5:J$302,2,FALSE)))</f>
        <v>0</v>
      </c>
      <c r="J483" s="51">
        <f>IF(B483="",0,IF(ISNA(_xlfn.XLOOKUP(A483,'600m'!F$5:F$302,'600m'!M$5:M$302)),0,_xlfn.XLOOKUP(A483,'600m'!F$5:F$302,'600m'!M$5:M$302)))</f>
        <v>0</v>
      </c>
      <c r="K483" s="51" t="str">
        <f>IF(B483="","",IF(ISNA(VLOOKUP(A483,'600m'!F$5:K$302,5,FALSE)),"",VLOOKUP(A483,'600m'!F$5:K$302,5,FALSE)))</f>
        <v/>
      </c>
      <c r="L483" s="51" t="str">
        <f>IF(B483="","",IF(ISNA(VLOOKUP(A483,LongJump!F$5:G$302,2,FALSE)),"",VLOOKUP(A483,LongJump!F$5:G$302,2,FALSE)))</f>
        <v/>
      </c>
      <c r="M483" s="51">
        <f>IF(B483="",0,IF(ISNA(_xlfn.XLOOKUP(A483,LongJump!F$5:F$302,LongJump!M$5:M$302)),0,_xlfn.XLOOKUP(A483,LongJump!F$5:F$302,LongJump!M$5:M$302)))</f>
        <v>0</v>
      </c>
      <c r="N483" s="51">
        <f>IF(B483="",0,IF(ISNA(VLOOKUP(A483,LongJump!F$5:K$302,5,FALSE)),0,VLOOKUP(A483,LongJump!F$5:K$302,5,FALSE)))</f>
        <v>0</v>
      </c>
      <c r="O483" s="51" t="str">
        <f>IF(B483="","",IF(ISNA(VLOOKUP(A483,Vortex!F$5:J$302,2,FALSE)),"",VLOOKUP(A483,Vortex!F$5:J$302,2,FALSE)))</f>
        <v/>
      </c>
      <c r="P483" s="51">
        <f>IF(B483="",0,IF(ISNA(_xlfn.XLOOKUP(A483,Vortex!F$5:F$302,Vortex!M$5:M$302)),0,_xlfn.XLOOKUP(A483,Vortex!F$5:F$302,Vortex!M$5:M$302)))</f>
        <v>0</v>
      </c>
      <c r="Q483" s="51">
        <f t="shared" si="58"/>
        <v>0</v>
      </c>
      <c r="R483" s="51" t="str">
        <f t="shared" si="59"/>
        <v/>
      </c>
      <c r="S483" s="51" t="str">
        <f t="shared" si="60"/>
        <v/>
      </c>
      <c r="T483" s="51" t="str">
        <f t="shared" si="61"/>
        <v/>
      </c>
      <c r="U483" s="51" t="str">
        <f t="shared" si="62"/>
        <v/>
      </c>
    </row>
    <row r="484" spans="1:21">
      <c r="A484" s="51" t="str">
        <f>IF(Declarations!B112=0,"",Declarations!B112)</f>
        <v/>
      </c>
      <c r="B484" s="161" t="str">
        <f>IF(ISNA(VLOOKUP(A484,Declarations!B$6:C$293,2,FALSE)),"",IF(VLOOKUP(A484,Declarations!B$6:C$293,2,FALSE)="","",VLOOKUP(A484,Declarations!B$6:C$293,2,FALSE)))</f>
        <v/>
      </c>
      <c r="C484" s="161" t="str">
        <f>IF(ISNA(VLOOKUP(A484,Declarations!B$6:F$293,5,FALSE)),"",IF(VLOOKUP(A484,Declarations!B$6:F$293,5,FALSE)="","",VLOOKUP(A484,Declarations!B$6:F$293,5,FALSE)))</f>
        <v/>
      </c>
      <c r="D484" s="161" t="str">
        <f>IF(ISNA(VLOOKUP(A484,Declarations!B$6:F$293,4,FALSE)),"",IF(VLOOKUP(A484,Declarations!B$6:F$293,4,FALSE)="","",VLOOKUP(A484,Declarations!B$6:F$293,4,FALSE)))</f>
        <v/>
      </c>
      <c r="E484" s="161" t="str">
        <f>IF(ISNA(VLOOKUP(A484,Declarations!B$6:D$293,3,FALSE)),"",IF(VLOOKUP(A484,Declarations!B$6:D$293,3,FALSE)="","",VLOOKUP(A484,Declarations!B$6:D$293,3,FALSE)))</f>
        <v/>
      </c>
      <c r="F484" s="51" t="str">
        <f>IF(B484="","",IF(ISNA(VLOOKUP(A484,'75m'!F$5:G$302,2,FALSE)),"",VLOOKUP(A484,'75m'!F$5:G$302,2,FALSE)))</f>
        <v/>
      </c>
      <c r="G484" s="51">
        <f>IF(B484="",0,IF(ISNA(_xlfn.XLOOKUP(A484,'75m'!F$5:F$302,'75m'!M$5:M$302)),0,_xlfn.XLOOKUP(A484,'75m'!F$5:F$302,'75m'!M$5:M$302)))</f>
        <v>0</v>
      </c>
      <c r="H484" s="51" t="str">
        <f>IF(B484="","",IF(ISNA(VLOOKUP(A484,'75m'!F$5:K$302,5,FALSE)),"",VLOOKUP(A484,'75m'!F$5:K$302,5,FALSE)))</f>
        <v/>
      </c>
      <c r="I484" s="53">
        <f>IF(B484="",0,IF(ISNA(VLOOKUP(A484,'600m'!F$5:J$302,2,FALSE)),0,VLOOKUP(A484,'600m'!F$5:J$302,2,FALSE)))</f>
        <v>0</v>
      </c>
      <c r="J484" s="51">
        <f>IF(B484="",0,IF(ISNA(_xlfn.XLOOKUP(A484,'600m'!F$5:F$302,'600m'!M$5:M$302)),0,_xlfn.XLOOKUP(A484,'600m'!F$5:F$302,'600m'!M$5:M$302)))</f>
        <v>0</v>
      </c>
      <c r="K484" s="51" t="str">
        <f>IF(B484="","",IF(ISNA(VLOOKUP(A484,'600m'!F$5:K$302,5,FALSE)),"",VLOOKUP(A484,'600m'!F$5:K$302,5,FALSE)))</f>
        <v/>
      </c>
      <c r="L484" s="51" t="str">
        <f>IF(B484="","",IF(ISNA(VLOOKUP(A484,LongJump!F$5:G$302,2,FALSE)),"",VLOOKUP(A484,LongJump!F$5:G$302,2,FALSE)))</f>
        <v/>
      </c>
      <c r="M484" s="51">
        <f>IF(B484="",0,IF(ISNA(_xlfn.XLOOKUP(A484,LongJump!F$5:F$302,LongJump!M$5:M$302)),0,_xlfn.XLOOKUP(A484,LongJump!F$5:F$302,LongJump!M$5:M$302)))</f>
        <v>0</v>
      </c>
      <c r="N484" s="51">
        <f>IF(B484="",0,IF(ISNA(VLOOKUP(A484,LongJump!F$5:K$302,5,FALSE)),0,VLOOKUP(A484,LongJump!F$5:K$302,5,FALSE)))</f>
        <v>0</v>
      </c>
      <c r="O484" s="51" t="str">
        <f>IF(B484="","",IF(ISNA(VLOOKUP(A484,Vortex!F$5:J$302,2,FALSE)),"",VLOOKUP(A484,Vortex!F$5:J$302,2,FALSE)))</f>
        <v/>
      </c>
      <c r="P484" s="51">
        <f>IF(B484="",0,IF(ISNA(_xlfn.XLOOKUP(A484,Vortex!F$5:F$302,Vortex!M$5:M$302)),0,_xlfn.XLOOKUP(A484,Vortex!F$5:F$302,Vortex!M$5:M$302)))</f>
        <v>0</v>
      </c>
      <c r="Q484" s="51">
        <f t="shared" si="58"/>
        <v>0</v>
      </c>
      <c r="R484" s="51" t="str">
        <f t="shared" si="59"/>
        <v/>
      </c>
      <c r="S484" s="51" t="str">
        <f t="shared" si="60"/>
        <v/>
      </c>
      <c r="T484" s="51" t="str">
        <f t="shared" si="61"/>
        <v/>
      </c>
      <c r="U484" s="51" t="str">
        <f t="shared" si="62"/>
        <v/>
      </c>
    </row>
    <row r="485" spans="1:21">
      <c r="A485" s="51" t="str">
        <f>IF(Declarations!B113=0,"",Declarations!B113)</f>
        <v/>
      </c>
      <c r="B485" s="161" t="str">
        <f>IF(ISNA(VLOOKUP(A485,Declarations!B$6:C$293,2,FALSE)),"",IF(VLOOKUP(A485,Declarations!B$6:C$293,2,FALSE)="","",VLOOKUP(A485,Declarations!B$6:C$293,2,FALSE)))</f>
        <v/>
      </c>
      <c r="C485" s="161" t="str">
        <f>IF(ISNA(VLOOKUP(A485,Declarations!B$6:F$293,5,FALSE)),"",IF(VLOOKUP(A485,Declarations!B$6:F$293,5,FALSE)="","",VLOOKUP(A485,Declarations!B$6:F$293,5,FALSE)))</f>
        <v/>
      </c>
      <c r="D485" s="161" t="str">
        <f>IF(ISNA(VLOOKUP(A485,Declarations!B$6:F$293,4,FALSE)),"",IF(VLOOKUP(A485,Declarations!B$6:F$293,4,FALSE)="","",VLOOKUP(A485,Declarations!B$6:F$293,4,FALSE)))</f>
        <v/>
      </c>
      <c r="E485" s="161" t="str">
        <f>IF(ISNA(VLOOKUP(A485,Declarations!B$6:D$293,3,FALSE)),"",IF(VLOOKUP(A485,Declarations!B$6:D$293,3,FALSE)="","",VLOOKUP(A485,Declarations!B$6:D$293,3,FALSE)))</f>
        <v/>
      </c>
      <c r="F485" s="51" t="str">
        <f>IF(B485="","",IF(ISNA(VLOOKUP(A485,'75m'!F$5:G$302,2,FALSE)),"",VLOOKUP(A485,'75m'!F$5:G$302,2,FALSE)))</f>
        <v/>
      </c>
      <c r="G485" s="51">
        <f>IF(B485="",0,IF(ISNA(_xlfn.XLOOKUP(A485,'75m'!F$5:F$302,'75m'!M$5:M$302)),0,_xlfn.XLOOKUP(A485,'75m'!F$5:F$302,'75m'!M$5:M$302)))</f>
        <v>0</v>
      </c>
      <c r="H485" s="51" t="str">
        <f>IF(B485="","",IF(ISNA(VLOOKUP(A485,'75m'!F$5:K$302,5,FALSE)),"",VLOOKUP(A485,'75m'!F$5:K$302,5,FALSE)))</f>
        <v/>
      </c>
      <c r="I485" s="53">
        <f>IF(B485="",0,IF(ISNA(VLOOKUP(A485,'600m'!F$5:J$302,2,FALSE)),0,VLOOKUP(A485,'600m'!F$5:J$302,2,FALSE)))</f>
        <v>0</v>
      </c>
      <c r="J485" s="51">
        <f>IF(B485="",0,IF(ISNA(_xlfn.XLOOKUP(A485,'600m'!F$5:F$302,'600m'!M$5:M$302)),0,_xlfn.XLOOKUP(A485,'600m'!F$5:F$302,'600m'!M$5:M$302)))</f>
        <v>0</v>
      </c>
      <c r="K485" s="51" t="str">
        <f>IF(B485="","",IF(ISNA(VLOOKUP(A485,'600m'!F$5:K$302,5,FALSE)),"",VLOOKUP(A485,'600m'!F$5:K$302,5,FALSE)))</f>
        <v/>
      </c>
      <c r="L485" s="51" t="str">
        <f>IF(B485="","",IF(ISNA(VLOOKUP(A485,LongJump!F$5:G$302,2,FALSE)),"",VLOOKUP(A485,LongJump!F$5:G$302,2,FALSE)))</f>
        <v/>
      </c>
      <c r="M485" s="51">
        <f>IF(B485="",0,IF(ISNA(_xlfn.XLOOKUP(A485,LongJump!F$5:F$302,LongJump!M$5:M$302)),0,_xlfn.XLOOKUP(A485,LongJump!F$5:F$302,LongJump!M$5:M$302)))</f>
        <v>0</v>
      </c>
      <c r="N485" s="51">
        <f>IF(B485="",0,IF(ISNA(VLOOKUP(A485,LongJump!F$5:K$302,5,FALSE)),0,VLOOKUP(A485,LongJump!F$5:K$302,5,FALSE)))</f>
        <v>0</v>
      </c>
      <c r="O485" s="51" t="str">
        <f>IF(B485="","",IF(ISNA(VLOOKUP(A485,Vortex!F$5:J$302,2,FALSE)),"",VLOOKUP(A485,Vortex!F$5:J$302,2,FALSE)))</f>
        <v/>
      </c>
      <c r="P485" s="51">
        <f>IF(B485="",0,IF(ISNA(_xlfn.XLOOKUP(A485,Vortex!F$5:F$302,Vortex!M$5:M$302)),0,_xlfn.XLOOKUP(A485,Vortex!F$5:F$302,Vortex!M$5:M$302)))</f>
        <v>0</v>
      </c>
      <c r="Q485" s="51">
        <f t="shared" si="58"/>
        <v>0</v>
      </c>
      <c r="R485" s="51" t="str">
        <f t="shared" si="59"/>
        <v/>
      </c>
      <c r="S485" s="51" t="str">
        <f t="shared" si="60"/>
        <v/>
      </c>
      <c r="T485" s="51" t="str">
        <f t="shared" si="61"/>
        <v/>
      </c>
      <c r="U485" s="51" t="str">
        <f t="shared" si="62"/>
        <v/>
      </c>
    </row>
    <row r="486" spans="1:21">
      <c r="A486" s="51" t="str">
        <f>IF(Declarations!B114=0,"",Declarations!B114)</f>
        <v/>
      </c>
      <c r="B486" s="161" t="str">
        <f>IF(ISNA(VLOOKUP(A486,Declarations!B$6:C$293,2,FALSE)),"",IF(VLOOKUP(A486,Declarations!B$6:C$293,2,FALSE)="","",VLOOKUP(A486,Declarations!B$6:C$293,2,FALSE)))</f>
        <v/>
      </c>
      <c r="C486" s="161" t="str">
        <f>IF(ISNA(VLOOKUP(A486,Declarations!B$6:F$293,5,FALSE)),"",IF(VLOOKUP(A486,Declarations!B$6:F$293,5,FALSE)="","",VLOOKUP(A486,Declarations!B$6:F$293,5,FALSE)))</f>
        <v/>
      </c>
      <c r="D486" s="161" t="str">
        <f>IF(ISNA(VLOOKUP(A486,Declarations!B$6:F$293,4,FALSE)),"",IF(VLOOKUP(A486,Declarations!B$6:F$293,4,FALSE)="","",VLOOKUP(A486,Declarations!B$6:F$293,4,FALSE)))</f>
        <v/>
      </c>
      <c r="E486" s="161" t="str">
        <f>IF(ISNA(VLOOKUP(A486,Declarations!B$6:D$293,3,FALSE)),"",IF(VLOOKUP(A486,Declarations!B$6:D$293,3,FALSE)="","",VLOOKUP(A486,Declarations!B$6:D$293,3,FALSE)))</f>
        <v/>
      </c>
      <c r="F486" s="51" t="str">
        <f>IF(B486="","",IF(ISNA(VLOOKUP(A486,'75m'!F$5:G$302,2,FALSE)),"",VLOOKUP(A486,'75m'!F$5:G$302,2,FALSE)))</f>
        <v/>
      </c>
      <c r="G486" s="51">
        <f>IF(B486="",0,IF(ISNA(_xlfn.XLOOKUP(A486,'75m'!F$5:F$302,'75m'!M$5:M$302)),0,_xlfn.XLOOKUP(A486,'75m'!F$5:F$302,'75m'!M$5:M$302)))</f>
        <v>0</v>
      </c>
      <c r="H486" s="51" t="str">
        <f>IF(B486="","",IF(ISNA(VLOOKUP(A486,'75m'!F$5:K$302,5,FALSE)),"",VLOOKUP(A486,'75m'!F$5:K$302,5,FALSE)))</f>
        <v/>
      </c>
      <c r="I486" s="53">
        <f>IF(B486="",0,IF(ISNA(VLOOKUP(A486,'600m'!F$5:J$302,2,FALSE)),0,VLOOKUP(A486,'600m'!F$5:J$302,2,FALSE)))</f>
        <v>0</v>
      </c>
      <c r="J486" s="51">
        <f>IF(B486="",0,IF(ISNA(_xlfn.XLOOKUP(A486,'600m'!F$5:F$302,'600m'!M$5:M$302)),0,_xlfn.XLOOKUP(A486,'600m'!F$5:F$302,'600m'!M$5:M$302)))</f>
        <v>0</v>
      </c>
      <c r="K486" s="51" t="str">
        <f>IF(B486="","",IF(ISNA(VLOOKUP(A486,'600m'!F$5:K$302,5,FALSE)),"",VLOOKUP(A486,'600m'!F$5:K$302,5,FALSE)))</f>
        <v/>
      </c>
      <c r="L486" s="51" t="str">
        <f>IF(B486="","",IF(ISNA(VLOOKUP(A486,LongJump!F$5:G$302,2,FALSE)),"",VLOOKUP(A486,LongJump!F$5:G$302,2,FALSE)))</f>
        <v/>
      </c>
      <c r="M486" s="51">
        <f>IF(B486="",0,IF(ISNA(_xlfn.XLOOKUP(A486,LongJump!F$5:F$302,LongJump!M$5:M$302)),0,_xlfn.XLOOKUP(A486,LongJump!F$5:F$302,LongJump!M$5:M$302)))</f>
        <v>0</v>
      </c>
      <c r="N486" s="51">
        <f>IF(B486="",0,IF(ISNA(VLOOKUP(A486,LongJump!F$5:K$302,5,FALSE)),0,VLOOKUP(A486,LongJump!F$5:K$302,5,FALSE)))</f>
        <v>0</v>
      </c>
      <c r="O486" s="51" t="str">
        <f>IF(B486="","",IF(ISNA(VLOOKUP(A486,Vortex!F$5:J$302,2,FALSE)),"",VLOOKUP(A486,Vortex!F$5:J$302,2,FALSE)))</f>
        <v/>
      </c>
      <c r="P486" s="51">
        <f>IF(B486="",0,IF(ISNA(_xlfn.XLOOKUP(A486,Vortex!F$5:F$302,Vortex!M$5:M$302)),0,_xlfn.XLOOKUP(A486,Vortex!F$5:F$302,Vortex!M$5:M$302)))</f>
        <v>0</v>
      </c>
      <c r="Q486" s="51">
        <f t="shared" si="58"/>
        <v>0</v>
      </c>
      <c r="R486" s="51" t="str">
        <f t="shared" si="59"/>
        <v/>
      </c>
      <c r="S486" s="51" t="str">
        <f t="shared" si="60"/>
        <v/>
      </c>
      <c r="T486" s="51" t="str">
        <f t="shared" si="61"/>
        <v/>
      </c>
      <c r="U486" s="51" t="str">
        <f t="shared" si="62"/>
        <v/>
      </c>
    </row>
    <row r="487" spans="1:21">
      <c r="A487" s="51" t="str">
        <f>IF(Declarations!B115=0,"",Declarations!B115)</f>
        <v/>
      </c>
      <c r="B487" s="161" t="str">
        <f>IF(ISNA(VLOOKUP(A487,Declarations!B$6:C$293,2,FALSE)),"",IF(VLOOKUP(A487,Declarations!B$6:C$293,2,FALSE)="","",VLOOKUP(A487,Declarations!B$6:C$293,2,FALSE)))</f>
        <v/>
      </c>
      <c r="C487" s="161" t="str">
        <f>IF(ISNA(VLOOKUP(A487,Declarations!B$6:F$293,5,FALSE)),"",IF(VLOOKUP(A487,Declarations!B$6:F$293,5,FALSE)="","",VLOOKUP(A487,Declarations!B$6:F$293,5,FALSE)))</f>
        <v/>
      </c>
      <c r="D487" s="161" t="str">
        <f>IF(ISNA(VLOOKUP(A487,Declarations!B$6:F$293,4,FALSE)),"",IF(VLOOKUP(A487,Declarations!B$6:F$293,4,FALSE)="","",VLOOKUP(A487,Declarations!B$6:F$293,4,FALSE)))</f>
        <v/>
      </c>
      <c r="E487" s="161" t="str">
        <f>IF(ISNA(VLOOKUP(A487,Declarations!B$6:D$293,3,FALSE)),"",IF(VLOOKUP(A487,Declarations!B$6:D$293,3,FALSE)="","",VLOOKUP(A487,Declarations!B$6:D$293,3,FALSE)))</f>
        <v/>
      </c>
      <c r="F487" s="51" t="str">
        <f>IF(B487="","",IF(ISNA(VLOOKUP(A487,'75m'!F$5:G$302,2,FALSE)),"",VLOOKUP(A487,'75m'!F$5:G$302,2,FALSE)))</f>
        <v/>
      </c>
      <c r="G487" s="51">
        <f>IF(B487="",0,IF(ISNA(_xlfn.XLOOKUP(A487,'75m'!F$5:F$302,'75m'!M$5:M$302)),0,_xlfn.XLOOKUP(A487,'75m'!F$5:F$302,'75m'!M$5:M$302)))</f>
        <v>0</v>
      </c>
      <c r="H487" s="51" t="str">
        <f>IF(B487="","",IF(ISNA(VLOOKUP(A487,'75m'!F$5:K$302,5,FALSE)),"",VLOOKUP(A487,'75m'!F$5:K$302,5,FALSE)))</f>
        <v/>
      </c>
      <c r="I487" s="53">
        <f>IF(B487="",0,IF(ISNA(VLOOKUP(A487,'600m'!F$5:J$302,2,FALSE)),0,VLOOKUP(A487,'600m'!F$5:J$302,2,FALSE)))</f>
        <v>0</v>
      </c>
      <c r="J487" s="51">
        <f>IF(B487="",0,IF(ISNA(_xlfn.XLOOKUP(A487,'600m'!F$5:F$302,'600m'!M$5:M$302)),0,_xlfn.XLOOKUP(A487,'600m'!F$5:F$302,'600m'!M$5:M$302)))</f>
        <v>0</v>
      </c>
      <c r="K487" s="51" t="str">
        <f>IF(B487="","",IF(ISNA(VLOOKUP(A487,'600m'!F$5:K$302,5,FALSE)),"",VLOOKUP(A487,'600m'!F$5:K$302,5,FALSE)))</f>
        <v/>
      </c>
      <c r="L487" s="51" t="str">
        <f>IF(B487="","",IF(ISNA(VLOOKUP(A487,LongJump!F$5:G$302,2,FALSE)),"",VLOOKUP(A487,LongJump!F$5:G$302,2,FALSE)))</f>
        <v/>
      </c>
      <c r="M487" s="51">
        <f>IF(B487="",0,IF(ISNA(_xlfn.XLOOKUP(A487,LongJump!F$5:F$302,LongJump!M$5:M$302)),0,_xlfn.XLOOKUP(A487,LongJump!F$5:F$302,LongJump!M$5:M$302)))</f>
        <v>0</v>
      </c>
      <c r="N487" s="51">
        <f>IF(B487="",0,IF(ISNA(VLOOKUP(A487,LongJump!F$5:K$302,5,FALSE)),0,VLOOKUP(A487,LongJump!F$5:K$302,5,FALSE)))</f>
        <v>0</v>
      </c>
      <c r="O487" s="51" t="str">
        <f>IF(B487="","",IF(ISNA(VLOOKUP(A487,Vortex!F$5:J$302,2,FALSE)),"",VLOOKUP(A487,Vortex!F$5:J$302,2,FALSE)))</f>
        <v/>
      </c>
      <c r="P487" s="51">
        <f>IF(B487="",0,IF(ISNA(_xlfn.XLOOKUP(A487,Vortex!F$5:F$302,Vortex!M$5:M$302)),0,_xlfn.XLOOKUP(A487,Vortex!F$5:F$302,Vortex!M$5:M$302)))</f>
        <v>0</v>
      </c>
      <c r="Q487" s="51">
        <f t="shared" si="58"/>
        <v>0</v>
      </c>
      <c r="R487" s="51" t="str">
        <f t="shared" si="59"/>
        <v/>
      </c>
      <c r="S487" s="51" t="str">
        <f t="shared" si="60"/>
        <v/>
      </c>
      <c r="T487" s="51" t="str">
        <f t="shared" si="61"/>
        <v/>
      </c>
      <c r="U487" s="51" t="str">
        <f t="shared" si="62"/>
        <v/>
      </c>
    </row>
    <row r="488" spans="1:21">
      <c r="A488" s="51" t="str">
        <f>IF(Declarations!B116=0,"",Declarations!B116)</f>
        <v/>
      </c>
      <c r="B488" s="161" t="str">
        <f>IF(ISNA(VLOOKUP(A488,Declarations!B$6:C$293,2,FALSE)),"",IF(VLOOKUP(A488,Declarations!B$6:C$293,2,FALSE)="","",VLOOKUP(A488,Declarations!B$6:C$293,2,FALSE)))</f>
        <v/>
      </c>
      <c r="C488" s="161" t="str">
        <f>IF(ISNA(VLOOKUP(A488,Declarations!B$6:F$293,5,FALSE)),"",IF(VLOOKUP(A488,Declarations!B$6:F$293,5,FALSE)="","",VLOOKUP(A488,Declarations!B$6:F$293,5,FALSE)))</f>
        <v/>
      </c>
      <c r="D488" s="161" t="str">
        <f>IF(ISNA(VLOOKUP(A488,Declarations!B$6:F$293,4,FALSE)),"",IF(VLOOKUP(A488,Declarations!B$6:F$293,4,FALSE)="","",VLOOKUP(A488,Declarations!B$6:F$293,4,FALSE)))</f>
        <v/>
      </c>
      <c r="E488" s="161" t="str">
        <f>IF(ISNA(VLOOKUP(A488,Declarations!B$6:D$293,3,FALSE)),"",IF(VLOOKUP(A488,Declarations!B$6:D$293,3,FALSE)="","",VLOOKUP(A488,Declarations!B$6:D$293,3,FALSE)))</f>
        <v/>
      </c>
      <c r="F488" s="51" t="str">
        <f>IF(B488="","",IF(ISNA(VLOOKUP(A488,'75m'!F$5:G$302,2,FALSE)),"",VLOOKUP(A488,'75m'!F$5:G$302,2,FALSE)))</f>
        <v/>
      </c>
      <c r="G488" s="51">
        <f>IF(B488="",0,IF(ISNA(_xlfn.XLOOKUP(A488,'75m'!F$5:F$302,'75m'!M$5:M$302)),0,_xlfn.XLOOKUP(A488,'75m'!F$5:F$302,'75m'!M$5:M$302)))</f>
        <v>0</v>
      </c>
      <c r="H488" s="51" t="str">
        <f>IF(B488="","",IF(ISNA(VLOOKUP(A488,'75m'!F$5:K$302,5,FALSE)),"",VLOOKUP(A488,'75m'!F$5:K$302,5,FALSE)))</f>
        <v/>
      </c>
      <c r="I488" s="53">
        <f>IF(B488="",0,IF(ISNA(VLOOKUP(A488,'600m'!F$5:J$302,2,FALSE)),0,VLOOKUP(A488,'600m'!F$5:J$302,2,FALSE)))</f>
        <v>0</v>
      </c>
      <c r="J488" s="51">
        <f>IF(B488="",0,IF(ISNA(_xlfn.XLOOKUP(A488,'600m'!F$5:F$302,'600m'!M$5:M$302)),0,_xlfn.XLOOKUP(A488,'600m'!F$5:F$302,'600m'!M$5:M$302)))</f>
        <v>0</v>
      </c>
      <c r="K488" s="51" t="str">
        <f>IF(B488="","",IF(ISNA(VLOOKUP(A488,'600m'!F$5:K$302,5,FALSE)),"",VLOOKUP(A488,'600m'!F$5:K$302,5,FALSE)))</f>
        <v/>
      </c>
      <c r="L488" s="51" t="str">
        <f>IF(B488="","",IF(ISNA(VLOOKUP(A488,LongJump!F$5:G$302,2,FALSE)),"",VLOOKUP(A488,LongJump!F$5:G$302,2,FALSE)))</f>
        <v/>
      </c>
      <c r="M488" s="51">
        <f>IF(B488="",0,IF(ISNA(_xlfn.XLOOKUP(A488,LongJump!F$5:F$302,LongJump!M$5:M$302)),0,_xlfn.XLOOKUP(A488,LongJump!F$5:F$302,LongJump!M$5:M$302)))</f>
        <v>0</v>
      </c>
      <c r="N488" s="51">
        <f>IF(B488="",0,IF(ISNA(VLOOKUP(A488,LongJump!F$5:K$302,5,FALSE)),0,VLOOKUP(A488,LongJump!F$5:K$302,5,FALSE)))</f>
        <v>0</v>
      </c>
      <c r="O488" s="51" t="str">
        <f>IF(B488="","",IF(ISNA(VLOOKUP(A488,Vortex!F$5:J$302,2,FALSE)),"",VLOOKUP(A488,Vortex!F$5:J$302,2,FALSE)))</f>
        <v/>
      </c>
      <c r="P488" s="51">
        <f>IF(B488="",0,IF(ISNA(_xlfn.XLOOKUP(A488,Vortex!F$5:F$302,Vortex!M$5:M$302)),0,_xlfn.XLOOKUP(A488,Vortex!F$5:F$302,Vortex!M$5:M$302)))</f>
        <v>0</v>
      </c>
      <c r="Q488" s="51">
        <f t="shared" si="58"/>
        <v>0</v>
      </c>
      <c r="R488" s="51" t="str">
        <f t="shared" si="59"/>
        <v/>
      </c>
      <c r="S488" s="51" t="str">
        <f t="shared" si="60"/>
        <v/>
      </c>
      <c r="T488" s="51" t="str">
        <f t="shared" si="61"/>
        <v/>
      </c>
      <c r="U488" s="51" t="str">
        <f t="shared" si="62"/>
        <v/>
      </c>
    </row>
    <row r="489" spans="1:21">
      <c r="A489" s="51" t="str">
        <f>IF(Declarations!B117=0,"",Declarations!B117)</f>
        <v/>
      </c>
      <c r="B489" s="161" t="str">
        <f>IF(ISNA(VLOOKUP(A489,Declarations!B$6:C$293,2,FALSE)),"",IF(VLOOKUP(A489,Declarations!B$6:C$293,2,FALSE)="","",VLOOKUP(A489,Declarations!B$6:C$293,2,FALSE)))</f>
        <v/>
      </c>
      <c r="C489" s="161" t="str">
        <f>IF(ISNA(VLOOKUP(A489,Declarations!B$6:F$293,5,FALSE)),"",IF(VLOOKUP(A489,Declarations!B$6:F$293,5,FALSE)="","",VLOOKUP(A489,Declarations!B$6:F$293,5,FALSE)))</f>
        <v/>
      </c>
      <c r="D489" s="161" t="str">
        <f>IF(ISNA(VLOOKUP(A489,Declarations!B$6:F$293,4,FALSE)),"",IF(VLOOKUP(A489,Declarations!B$6:F$293,4,FALSE)="","",VLOOKUP(A489,Declarations!B$6:F$293,4,FALSE)))</f>
        <v/>
      </c>
      <c r="E489" s="161" t="str">
        <f>IF(ISNA(VLOOKUP(A489,Declarations!B$6:D$293,3,FALSE)),"",IF(VLOOKUP(A489,Declarations!B$6:D$293,3,FALSE)="","",VLOOKUP(A489,Declarations!B$6:D$293,3,FALSE)))</f>
        <v/>
      </c>
      <c r="F489" s="51" t="str">
        <f>IF(B489="","",IF(ISNA(VLOOKUP(A489,'75m'!F$5:G$302,2,FALSE)),"",VLOOKUP(A489,'75m'!F$5:G$302,2,FALSE)))</f>
        <v/>
      </c>
      <c r="G489" s="51">
        <f>IF(B489="",0,IF(ISNA(_xlfn.XLOOKUP(A489,'75m'!F$5:F$302,'75m'!M$5:M$302)),0,_xlfn.XLOOKUP(A489,'75m'!F$5:F$302,'75m'!M$5:M$302)))</f>
        <v>0</v>
      </c>
      <c r="H489" s="51" t="str">
        <f>IF(B489="","",IF(ISNA(VLOOKUP(A489,'75m'!F$5:K$302,5,FALSE)),"",VLOOKUP(A489,'75m'!F$5:K$302,5,FALSE)))</f>
        <v/>
      </c>
      <c r="I489" s="53">
        <f>IF(B489="",0,IF(ISNA(VLOOKUP(A489,'600m'!F$5:J$302,2,FALSE)),0,VLOOKUP(A489,'600m'!F$5:J$302,2,FALSE)))</f>
        <v>0</v>
      </c>
      <c r="J489" s="51">
        <f>IF(B489="",0,IF(ISNA(_xlfn.XLOOKUP(A489,'600m'!F$5:F$302,'600m'!M$5:M$302)),0,_xlfn.XLOOKUP(A489,'600m'!F$5:F$302,'600m'!M$5:M$302)))</f>
        <v>0</v>
      </c>
      <c r="K489" s="51" t="str">
        <f>IF(B489="","",IF(ISNA(VLOOKUP(A489,'600m'!F$5:K$302,5,FALSE)),"",VLOOKUP(A489,'600m'!F$5:K$302,5,FALSE)))</f>
        <v/>
      </c>
      <c r="L489" s="51" t="str">
        <f>IF(B489="","",IF(ISNA(VLOOKUP(A489,LongJump!F$5:G$302,2,FALSE)),"",VLOOKUP(A489,LongJump!F$5:G$302,2,FALSE)))</f>
        <v/>
      </c>
      <c r="M489" s="51">
        <f>IF(B489="",0,IF(ISNA(_xlfn.XLOOKUP(A489,LongJump!F$5:F$302,LongJump!M$5:M$302)),0,_xlfn.XLOOKUP(A489,LongJump!F$5:F$302,LongJump!M$5:M$302)))</f>
        <v>0</v>
      </c>
      <c r="N489" s="51">
        <f>IF(B489="",0,IF(ISNA(VLOOKUP(A489,LongJump!F$5:K$302,5,FALSE)),0,VLOOKUP(A489,LongJump!F$5:K$302,5,FALSE)))</f>
        <v>0</v>
      </c>
      <c r="O489" s="51" t="str">
        <f>IF(B489="","",IF(ISNA(VLOOKUP(A489,Vortex!F$5:J$302,2,FALSE)),"",VLOOKUP(A489,Vortex!F$5:J$302,2,FALSE)))</f>
        <v/>
      </c>
      <c r="P489" s="51">
        <f>IF(B489="",0,IF(ISNA(_xlfn.XLOOKUP(A489,Vortex!F$5:F$302,Vortex!M$5:M$302)),0,_xlfn.XLOOKUP(A489,Vortex!F$5:F$302,Vortex!M$5:M$302)))</f>
        <v>0</v>
      </c>
      <c r="Q489" s="51">
        <f t="shared" si="58"/>
        <v>0</v>
      </c>
      <c r="R489" s="51" t="str">
        <f t="shared" si="59"/>
        <v/>
      </c>
      <c r="S489" s="51" t="str">
        <f t="shared" si="60"/>
        <v/>
      </c>
      <c r="T489" s="51" t="str">
        <f t="shared" si="61"/>
        <v/>
      </c>
      <c r="U489" s="51" t="str">
        <f t="shared" si="62"/>
        <v/>
      </c>
    </row>
    <row r="490" spans="1:21">
      <c r="A490" s="51" t="str">
        <f>IF(Declarations!B118=0,"",Declarations!B118)</f>
        <v/>
      </c>
      <c r="B490" s="161" t="str">
        <f>IF(ISNA(VLOOKUP(A490,Declarations!B$6:C$293,2,FALSE)),"",IF(VLOOKUP(A490,Declarations!B$6:C$293,2,FALSE)="","",VLOOKUP(A490,Declarations!B$6:C$293,2,FALSE)))</f>
        <v/>
      </c>
      <c r="C490" s="161" t="str">
        <f>IF(ISNA(VLOOKUP(A490,Declarations!B$6:F$293,5,FALSE)),"",IF(VLOOKUP(A490,Declarations!B$6:F$293,5,FALSE)="","",VLOOKUP(A490,Declarations!B$6:F$293,5,FALSE)))</f>
        <v/>
      </c>
      <c r="D490" s="161" t="str">
        <f>IF(ISNA(VLOOKUP(A490,Declarations!B$6:F$293,4,FALSE)),"",IF(VLOOKUP(A490,Declarations!B$6:F$293,4,FALSE)="","",VLOOKUP(A490,Declarations!B$6:F$293,4,FALSE)))</f>
        <v/>
      </c>
      <c r="E490" s="161" t="str">
        <f>IF(ISNA(VLOOKUP(A490,Declarations!B$6:D$293,3,FALSE)),"",IF(VLOOKUP(A490,Declarations!B$6:D$293,3,FALSE)="","",VLOOKUP(A490,Declarations!B$6:D$293,3,FALSE)))</f>
        <v/>
      </c>
      <c r="F490" s="51" t="str">
        <f>IF(B490="","",IF(ISNA(VLOOKUP(A490,'75m'!F$5:G$302,2,FALSE)),"",VLOOKUP(A490,'75m'!F$5:G$302,2,FALSE)))</f>
        <v/>
      </c>
      <c r="G490" s="51">
        <f>IF(B490="",0,IF(ISNA(_xlfn.XLOOKUP(A490,'75m'!F$5:F$302,'75m'!M$5:M$302)),0,_xlfn.XLOOKUP(A490,'75m'!F$5:F$302,'75m'!M$5:M$302)))</f>
        <v>0</v>
      </c>
      <c r="H490" s="51" t="str">
        <f>IF(B490="","",IF(ISNA(VLOOKUP(A490,'75m'!F$5:K$302,5,FALSE)),"",VLOOKUP(A490,'75m'!F$5:K$302,5,FALSE)))</f>
        <v/>
      </c>
      <c r="I490" s="53">
        <f>IF(B490="",0,IF(ISNA(VLOOKUP(A490,'600m'!F$5:J$302,2,FALSE)),0,VLOOKUP(A490,'600m'!F$5:J$302,2,FALSE)))</f>
        <v>0</v>
      </c>
      <c r="J490" s="51">
        <f>IF(B490="",0,IF(ISNA(_xlfn.XLOOKUP(A490,'600m'!F$5:F$302,'600m'!M$5:M$302)),0,_xlfn.XLOOKUP(A490,'600m'!F$5:F$302,'600m'!M$5:M$302)))</f>
        <v>0</v>
      </c>
      <c r="K490" s="51" t="str">
        <f>IF(B490="","",IF(ISNA(VLOOKUP(A490,'600m'!F$5:K$302,5,FALSE)),"",VLOOKUP(A490,'600m'!F$5:K$302,5,FALSE)))</f>
        <v/>
      </c>
      <c r="L490" s="51" t="str">
        <f>IF(B490="","",IF(ISNA(VLOOKUP(A490,LongJump!F$5:G$302,2,FALSE)),"",VLOOKUP(A490,LongJump!F$5:G$302,2,FALSE)))</f>
        <v/>
      </c>
      <c r="M490" s="51">
        <f>IF(B490="",0,IF(ISNA(_xlfn.XLOOKUP(A490,LongJump!F$5:F$302,LongJump!M$5:M$302)),0,_xlfn.XLOOKUP(A490,LongJump!F$5:F$302,LongJump!M$5:M$302)))</f>
        <v>0</v>
      </c>
      <c r="N490" s="51">
        <f>IF(B490="",0,IF(ISNA(VLOOKUP(A490,LongJump!F$5:K$302,5,FALSE)),0,VLOOKUP(A490,LongJump!F$5:K$302,5,FALSE)))</f>
        <v>0</v>
      </c>
      <c r="O490" s="51" t="str">
        <f>IF(B490="","",IF(ISNA(VLOOKUP(A490,Vortex!F$5:J$302,2,FALSE)),"",VLOOKUP(A490,Vortex!F$5:J$302,2,FALSE)))</f>
        <v/>
      </c>
      <c r="P490" s="51">
        <f>IF(B490="",0,IF(ISNA(_xlfn.XLOOKUP(A490,Vortex!F$5:F$302,Vortex!M$5:M$302)),0,_xlfn.XLOOKUP(A490,Vortex!F$5:F$302,Vortex!M$5:M$302)))</f>
        <v>0</v>
      </c>
      <c r="Q490" s="51">
        <f t="shared" si="58"/>
        <v>0</v>
      </c>
      <c r="R490" s="51" t="str">
        <f t="shared" si="59"/>
        <v/>
      </c>
      <c r="S490" s="51" t="str">
        <f t="shared" si="60"/>
        <v/>
      </c>
      <c r="T490" s="51" t="str">
        <f t="shared" si="61"/>
        <v/>
      </c>
      <c r="U490" s="51" t="str">
        <f t="shared" si="62"/>
        <v/>
      </c>
    </row>
    <row r="491" spans="1:21">
      <c r="A491" s="51" t="str">
        <f>IF(Declarations!B119=0,"",Declarations!B119)</f>
        <v/>
      </c>
      <c r="B491" s="161" t="str">
        <f>IF(ISNA(VLOOKUP(A491,Declarations!B$6:C$293,2,FALSE)),"",IF(VLOOKUP(A491,Declarations!B$6:C$293,2,FALSE)="","",VLOOKUP(A491,Declarations!B$6:C$293,2,FALSE)))</f>
        <v/>
      </c>
      <c r="C491" s="161" t="str">
        <f>IF(ISNA(VLOOKUP(A491,Declarations!B$6:F$293,5,FALSE)),"",IF(VLOOKUP(A491,Declarations!B$6:F$293,5,FALSE)="","",VLOOKUP(A491,Declarations!B$6:F$293,5,FALSE)))</f>
        <v/>
      </c>
      <c r="D491" s="161" t="str">
        <f>IF(ISNA(VLOOKUP(A491,Declarations!B$6:F$293,4,FALSE)),"",IF(VLOOKUP(A491,Declarations!B$6:F$293,4,FALSE)="","",VLOOKUP(A491,Declarations!B$6:F$293,4,FALSE)))</f>
        <v/>
      </c>
      <c r="E491" s="161" t="str">
        <f>IF(ISNA(VLOOKUP(A491,Declarations!B$6:D$293,3,FALSE)),"",IF(VLOOKUP(A491,Declarations!B$6:D$293,3,FALSE)="","",VLOOKUP(A491,Declarations!B$6:D$293,3,FALSE)))</f>
        <v/>
      </c>
      <c r="F491" s="51" t="str">
        <f>IF(B491="","",IF(ISNA(VLOOKUP(A491,'75m'!F$5:G$302,2,FALSE)),"",VLOOKUP(A491,'75m'!F$5:G$302,2,FALSE)))</f>
        <v/>
      </c>
      <c r="G491" s="51">
        <f>IF(B491="",0,IF(ISNA(_xlfn.XLOOKUP(A491,'75m'!F$5:F$302,'75m'!M$5:M$302)),0,_xlfn.XLOOKUP(A491,'75m'!F$5:F$302,'75m'!M$5:M$302)))</f>
        <v>0</v>
      </c>
      <c r="H491" s="51" t="str">
        <f>IF(B491="","",IF(ISNA(VLOOKUP(A491,'75m'!F$5:K$302,5,FALSE)),"",VLOOKUP(A491,'75m'!F$5:K$302,5,FALSE)))</f>
        <v/>
      </c>
      <c r="I491" s="53">
        <f>IF(B491="",0,IF(ISNA(VLOOKUP(A491,'600m'!F$5:J$302,2,FALSE)),0,VLOOKUP(A491,'600m'!F$5:J$302,2,FALSE)))</f>
        <v>0</v>
      </c>
      <c r="J491" s="51">
        <f>IF(B491="",0,IF(ISNA(_xlfn.XLOOKUP(A491,'600m'!F$5:F$302,'600m'!M$5:M$302)),0,_xlfn.XLOOKUP(A491,'600m'!F$5:F$302,'600m'!M$5:M$302)))</f>
        <v>0</v>
      </c>
      <c r="K491" s="51" t="str">
        <f>IF(B491="","",IF(ISNA(VLOOKUP(A491,'600m'!F$5:K$302,5,FALSE)),"",VLOOKUP(A491,'600m'!F$5:K$302,5,FALSE)))</f>
        <v/>
      </c>
      <c r="L491" s="51" t="str">
        <f>IF(B491="","",IF(ISNA(VLOOKUP(A491,LongJump!F$5:G$302,2,FALSE)),"",VLOOKUP(A491,LongJump!F$5:G$302,2,FALSE)))</f>
        <v/>
      </c>
      <c r="M491" s="51">
        <f>IF(B491="",0,IF(ISNA(_xlfn.XLOOKUP(A491,LongJump!F$5:F$302,LongJump!M$5:M$302)),0,_xlfn.XLOOKUP(A491,LongJump!F$5:F$302,LongJump!M$5:M$302)))</f>
        <v>0</v>
      </c>
      <c r="N491" s="51">
        <f>IF(B491="",0,IF(ISNA(VLOOKUP(A491,LongJump!F$5:K$302,5,FALSE)),0,VLOOKUP(A491,LongJump!F$5:K$302,5,FALSE)))</f>
        <v>0</v>
      </c>
      <c r="O491" s="51" t="str">
        <f>IF(B491="","",IF(ISNA(VLOOKUP(A491,Vortex!F$5:J$302,2,FALSE)),"",VLOOKUP(A491,Vortex!F$5:J$302,2,FALSE)))</f>
        <v/>
      </c>
      <c r="P491" s="51">
        <f>IF(B491="",0,IF(ISNA(_xlfn.XLOOKUP(A491,Vortex!F$5:F$302,Vortex!M$5:M$302)),0,_xlfn.XLOOKUP(A491,Vortex!F$5:F$302,Vortex!M$5:M$302)))</f>
        <v>0</v>
      </c>
      <c r="Q491" s="51">
        <f t="shared" si="58"/>
        <v>0</v>
      </c>
      <c r="R491" s="51" t="str">
        <f t="shared" si="59"/>
        <v/>
      </c>
      <c r="S491" s="51" t="str">
        <f t="shared" si="60"/>
        <v/>
      </c>
      <c r="T491" s="51" t="str">
        <f t="shared" si="61"/>
        <v/>
      </c>
      <c r="U491" s="51" t="str">
        <f t="shared" si="62"/>
        <v/>
      </c>
    </row>
    <row r="492" spans="1:21">
      <c r="A492" s="51" t="str">
        <f>IF(Declarations!B120=0,"",Declarations!B120)</f>
        <v/>
      </c>
      <c r="B492" s="161" t="str">
        <f>IF(ISNA(VLOOKUP(A492,Declarations!B$6:C$293,2,FALSE)),"",IF(VLOOKUP(A492,Declarations!B$6:C$293,2,FALSE)="","",VLOOKUP(A492,Declarations!B$6:C$293,2,FALSE)))</f>
        <v/>
      </c>
      <c r="C492" s="161" t="str">
        <f>IF(ISNA(VLOOKUP(A492,Declarations!B$6:F$293,5,FALSE)),"",IF(VLOOKUP(A492,Declarations!B$6:F$293,5,FALSE)="","",VLOOKUP(A492,Declarations!B$6:F$293,5,FALSE)))</f>
        <v/>
      </c>
      <c r="D492" s="161" t="str">
        <f>IF(ISNA(VLOOKUP(A492,Declarations!B$6:F$293,4,FALSE)),"",IF(VLOOKUP(A492,Declarations!B$6:F$293,4,FALSE)="","",VLOOKUP(A492,Declarations!B$6:F$293,4,FALSE)))</f>
        <v/>
      </c>
      <c r="E492" s="161" t="str">
        <f>IF(ISNA(VLOOKUP(A492,Declarations!B$6:D$293,3,FALSE)),"",IF(VLOOKUP(A492,Declarations!B$6:D$293,3,FALSE)="","",VLOOKUP(A492,Declarations!B$6:D$293,3,FALSE)))</f>
        <v/>
      </c>
      <c r="F492" s="51" t="str">
        <f>IF(B492="","",IF(ISNA(VLOOKUP(A492,'75m'!F$5:G$302,2,FALSE)),"",VLOOKUP(A492,'75m'!F$5:G$302,2,FALSE)))</f>
        <v/>
      </c>
      <c r="G492" s="51">
        <f>IF(B492="",0,IF(ISNA(_xlfn.XLOOKUP(A492,'75m'!F$5:F$302,'75m'!M$5:M$302)),0,_xlfn.XLOOKUP(A492,'75m'!F$5:F$302,'75m'!M$5:M$302)))</f>
        <v>0</v>
      </c>
      <c r="H492" s="51" t="str">
        <f>IF(B492="","",IF(ISNA(VLOOKUP(A492,'75m'!F$5:K$302,5,FALSE)),"",VLOOKUP(A492,'75m'!F$5:K$302,5,FALSE)))</f>
        <v/>
      </c>
      <c r="I492" s="53">
        <f>IF(B492="",0,IF(ISNA(VLOOKUP(A492,'600m'!F$5:J$302,2,FALSE)),0,VLOOKUP(A492,'600m'!F$5:J$302,2,FALSE)))</f>
        <v>0</v>
      </c>
      <c r="J492" s="51">
        <f>IF(B492="",0,IF(ISNA(_xlfn.XLOOKUP(A492,'600m'!F$5:F$302,'600m'!M$5:M$302)),0,_xlfn.XLOOKUP(A492,'600m'!F$5:F$302,'600m'!M$5:M$302)))</f>
        <v>0</v>
      </c>
      <c r="K492" s="51" t="str">
        <f>IF(B492="","",IF(ISNA(VLOOKUP(A492,'600m'!F$5:K$302,5,FALSE)),"",VLOOKUP(A492,'600m'!F$5:K$302,5,FALSE)))</f>
        <v/>
      </c>
      <c r="L492" s="51" t="str">
        <f>IF(B492="","",IF(ISNA(VLOOKUP(A492,LongJump!F$5:G$302,2,FALSE)),"",VLOOKUP(A492,LongJump!F$5:G$302,2,FALSE)))</f>
        <v/>
      </c>
      <c r="M492" s="51">
        <f>IF(B492="",0,IF(ISNA(_xlfn.XLOOKUP(A492,LongJump!F$5:F$302,LongJump!M$5:M$302)),0,_xlfn.XLOOKUP(A492,LongJump!F$5:F$302,LongJump!M$5:M$302)))</f>
        <v>0</v>
      </c>
      <c r="N492" s="51">
        <f>IF(B492="",0,IF(ISNA(VLOOKUP(A492,LongJump!F$5:K$302,5,FALSE)),0,VLOOKUP(A492,LongJump!F$5:K$302,5,FALSE)))</f>
        <v>0</v>
      </c>
      <c r="O492" s="51" t="str">
        <f>IF(B492="","",IF(ISNA(VLOOKUP(A492,Vortex!F$5:J$302,2,FALSE)),"",VLOOKUP(A492,Vortex!F$5:J$302,2,FALSE)))</f>
        <v/>
      </c>
      <c r="P492" s="51">
        <f>IF(B492="",0,IF(ISNA(_xlfn.XLOOKUP(A492,Vortex!F$5:F$302,Vortex!M$5:M$302)),0,_xlfn.XLOOKUP(A492,Vortex!F$5:F$302,Vortex!M$5:M$302)))</f>
        <v>0</v>
      </c>
      <c r="Q492" s="51">
        <f t="shared" si="58"/>
        <v>0</v>
      </c>
      <c r="R492" s="51" t="str">
        <f t="shared" si="59"/>
        <v/>
      </c>
      <c r="S492" s="51" t="str">
        <f t="shared" si="60"/>
        <v/>
      </c>
      <c r="T492" s="51" t="str">
        <f t="shared" si="61"/>
        <v/>
      </c>
      <c r="U492" s="51" t="str">
        <f t="shared" si="62"/>
        <v/>
      </c>
    </row>
    <row r="493" spans="1:21">
      <c r="A493" s="51" t="str">
        <f>IF(Declarations!B121=0,"",Declarations!B121)</f>
        <v/>
      </c>
      <c r="B493" s="161" t="str">
        <f>IF(ISNA(VLOOKUP(A493,Declarations!B$6:C$293,2,FALSE)),"",IF(VLOOKUP(A493,Declarations!B$6:C$293,2,FALSE)="","",VLOOKUP(A493,Declarations!B$6:C$293,2,FALSE)))</f>
        <v/>
      </c>
      <c r="C493" s="161" t="str">
        <f>IF(ISNA(VLOOKUP(A493,Declarations!B$6:F$293,5,FALSE)),"",IF(VLOOKUP(A493,Declarations!B$6:F$293,5,FALSE)="","",VLOOKUP(A493,Declarations!B$6:F$293,5,FALSE)))</f>
        <v/>
      </c>
      <c r="D493" s="161" t="str">
        <f>IF(ISNA(VLOOKUP(A493,Declarations!B$6:F$293,4,FALSE)),"",IF(VLOOKUP(A493,Declarations!B$6:F$293,4,FALSE)="","",VLOOKUP(A493,Declarations!B$6:F$293,4,FALSE)))</f>
        <v/>
      </c>
      <c r="E493" s="161" t="str">
        <f>IF(ISNA(VLOOKUP(A493,Declarations!B$6:D$293,3,FALSE)),"",IF(VLOOKUP(A493,Declarations!B$6:D$293,3,FALSE)="","",VLOOKUP(A493,Declarations!B$6:D$293,3,FALSE)))</f>
        <v/>
      </c>
      <c r="F493" s="51" t="str">
        <f>IF(B493="","",IF(ISNA(VLOOKUP(A493,'75m'!F$5:G$302,2,FALSE)),"",VLOOKUP(A493,'75m'!F$5:G$302,2,FALSE)))</f>
        <v/>
      </c>
      <c r="G493" s="51">
        <f>IF(B493="",0,IF(ISNA(_xlfn.XLOOKUP(A493,'75m'!F$5:F$302,'75m'!M$5:M$302)),0,_xlfn.XLOOKUP(A493,'75m'!F$5:F$302,'75m'!M$5:M$302)))</f>
        <v>0</v>
      </c>
      <c r="H493" s="51" t="str">
        <f>IF(B493="","",IF(ISNA(VLOOKUP(A493,'75m'!F$5:K$302,5,FALSE)),"",VLOOKUP(A493,'75m'!F$5:K$302,5,FALSE)))</f>
        <v/>
      </c>
      <c r="I493" s="53">
        <f>IF(B493="",0,IF(ISNA(VLOOKUP(A493,'600m'!F$5:J$302,2,FALSE)),0,VLOOKUP(A493,'600m'!F$5:J$302,2,FALSE)))</f>
        <v>0</v>
      </c>
      <c r="J493" s="51">
        <f>IF(B493="",0,IF(ISNA(_xlfn.XLOOKUP(A493,'600m'!F$5:F$302,'600m'!M$5:M$302)),0,_xlfn.XLOOKUP(A493,'600m'!F$5:F$302,'600m'!M$5:M$302)))</f>
        <v>0</v>
      </c>
      <c r="K493" s="51" t="str">
        <f>IF(B493="","",IF(ISNA(VLOOKUP(A493,'600m'!F$5:K$302,5,FALSE)),"",VLOOKUP(A493,'600m'!F$5:K$302,5,FALSE)))</f>
        <v/>
      </c>
      <c r="L493" s="51" t="str">
        <f>IF(B493="","",IF(ISNA(VLOOKUP(A493,LongJump!F$5:G$302,2,FALSE)),"",VLOOKUP(A493,LongJump!F$5:G$302,2,FALSE)))</f>
        <v/>
      </c>
      <c r="M493" s="51">
        <f>IF(B493="",0,IF(ISNA(_xlfn.XLOOKUP(A493,LongJump!F$5:F$302,LongJump!M$5:M$302)),0,_xlfn.XLOOKUP(A493,LongJump!F$5:F$302,LongJump!M$5:M$302)))</f>
        <v>0</v>
      </c>
      <c r="N493" s="51">
        <f>IF(B493="",0,IF(ISNA(VLOOKUP(A493,LongJump!F$5:K$302,5,FALSE)),0,VLOOKUP(A493,LongJump!F$5:K$302,5,FALSE)))</f>
        <v>0</v>
      </c>
      <c r="O493" s="51" t="str">
        <f>IF(B493="","",IF(ISNA(VLOOKUP(A493,Vortex!F$5:J$302,2,FALSE)),"",VLOOKUP(A493,Vortex!F$5:J$302,2,FALSE)))</f>
        <v/>
      </c>
      <c r="P493" s="51">
        <f>IF(B493="",0,IF(ISNA(_xlfn.XLOOKUP(A493,Vortex!F$5:F$302,Vortex!M$5:M$302)),0,_xlfn.XLOOKUP(A493,Vortex!F$5:F$302,Vortex!M$5:M$302)))</f>
        <v>0</v>
      </c>
      <c r="Q493" s="51">
        <f t="shared" si="58"/>
        <v>0</v>
      </c>
      <c r="R493" s="51" t="str">
        <f t="shared" si="59"/>
        <v/>
      </c>
      <c r="S493" s="51" t="str">
        <f t="shared" si="60"/>
        <v/>
      </c>
      <c r="T493" s="51" t="str">
        <f t="shared" si="61"/>
        <v/>
      </c>
      <c r="U493" s="51" t="str">
        <f t="shared" si="62"/>
        <v/>
      </c>
    </row>
    <row r="494" spans="1:21">
      <c r="A494" s="51" t="str">
        <f>IF(Declarations!B122=0,"",Declarations!B122)</f>
        <v/>
      </c>
      <c r="B494" s="161" t="str">
        <f>IF(ISNA(VLOOKUP(A494,Declarations!B$6:C$293,2,FALSE)),"",IF(VLOOKUP(A494,Declarations!B$6:C$293,2,FALSE)="","",VLOOKUP(A494,Declarations!B$6:C$293,2,FALSE)))</f>
        <v/>
      </c>
      <c r="C494" s="161" t="str">
        <f>IF(ISNA(VLOOKUP(A494,Declarations!B$6:F$293,5,FALSE)),"",IF(VLOOKUP(A494,Declarations!B$6:F$293,5,FALSE)="","",VLOOKUP(A494,Declarations!B$6:F$293,5,FALSE)))</f>
        <v/>
      </c>
      <c r="D494" s="161" t="str">
        <f>IF(ISNA(VLOOKUP(A494,Declarations!B$6:F$293,4,FALSE)),"",IF(VLOOKUP(A494,Declarations!B$6:F$293,4,FALSE)="","",VLOOKUP(A494,Declarations!B$6:F$293,4,FALSE)))</f>
        <v/>
      </c>
      <c r="E494" s="161" t="str">
        <f>IF(ISNA(VLOOKUP(A494,Declarations!B$6:D$293,3,FALSE)),"",IF(VLOOKUP(A494,Declarations!B$6:D$293,3,FALSE)="","",VLOOKUP(A494,Declarations!B$6:D$293,3,FALSE)))</f>
        <v/>
      </c>
      <c r="F494" s="51" t="str">
        <f>IF(B494="","",IF(ISNA(VLOOKUP(A494,'75m'!F$5:G$302,2,FALSE)),"",VLOOKUP(A494,'75m'!F$5:G$302,2,FALSE)))</f>
        <v/>
      </c>
      <c r="G494" s="51">
        <f>IF(B494="",0,IF(ISNA(_xlfn.XLOOKUP(A494,'75m'!F$5:F$302,'75m'!M$5:M$302)),0,_xlfn.XLOOKUP(A494,'75m'!F$5:F$302,'75m'!M$5:M$302)))</f>
        <v>0</v>
      </c>
      <c r="H494" s="51" t="str">
        <f>IF(B494="","",IF(ISNA(VLOOKUP(A494,'75m'!F$5:K$302,5,FALSE)),"",VLOOKUP(A494,'75m'!F$5:K$302,5,FALSE)))</f>
        <v/>
      </c>
      <c r="I494" s="53">
        <f>IF(B494="",0,IF(ISNA(VLOOKUP(A494,'600m'!F$5:J$302,2,FALSE)),0,VLOOKUP(A494,'600m'!F$5:J$302,2,FALSE)))</f>
        <v>0</v>
      </c>
      <c r="J494" s="51">
        <f>IF(B494="",0,IF(ISNA(_xlfn.XLOOKUP(A494,'600m'!F$5:F$302,'600m'!M$5:M$302)),0,_xlfn.XLOOKUP(A494,'600m'!F$5:F$302,'600m'!M$5:M$302)))</f>
        <v>0</v>
      </c>
      <c r="K494" s="51" t="str">
        <f>IF(B494="","",IF(ISNA(VLOOKUP(A494,'600m'!F$5:K$302,5,FALSE)),"",VLOOKUP(A494,'600m'!F$5:K$302,5,FALSE)))</f>
        <v/>
      </c>
      <c r="L494" s="51" t="str">
        <f>IF(B494="","",IF(ISNA(VLOOKUP(A494,LongJump!F$5:G$302,2,FALSE)),"",VLOOKUP(A494,LongJump!F$5:G$302,2,FALSE)))</f>
        <v/>
      </c>
      <c r="M494" s="51">
        <f>IF(B494="",0,IF(ISNA(_xlfn.XLOOKUP(A494,LongJump!F$5:F$302,LongJump!M$5:M$302)),0,_xlfn.XLOOKUP(A494,LongJump!F$5:F$302,LongJump!M$5:M$302)))</f>
        <v>0</v>
      </c>
      <c r="N494" s="51">
        <f>IF(B494="",0,IF(ISNA(VLOOKUP(A494,LongJump!F$5:K$302,5,FALSE)),0,VLOOKUP(A494,LongJump!F$5:K$302,5,FALSE)))</f>
        <v>0</v>
      </c>
      <c r="O494" s="51" t="str">
        <f>IF(B494="","",IF(ISNA(VLOOKUP(A494,Vortex!F$5:J$302,2,FALSE)),"",VLOOKUP(A494,Vortex!F$5:J$302,2,FALSE)))</f>
        <v/>
      </c>
      <c r="P494" s="51">
        <f>IF(B494="",0,IF(ISNA(_xlfn.XLOOKUP(A494,Vortex!F$5:F$302,Vortex!M$5:M$302)),0,_xlfn.XLOOKUP(A494,Vortex!F$5:F$302,Vortex!M$5:M$302)))</f>
        <v>0</v>
      </c>
      <c r="Q494" s="51">
        <f t="shared" si="58"/>
        <v>0</v>
      </c>
      <c r="R494" s="51" t="str">
        <f t="shared" si="59"/>
        <v/>
      </c>
      <c r="S494" s="51" t="str">
        <f t="shared" si="60"/>
        <v/>
      </c>
      <c r="T494" s="51" t="str">
        <f t="shared" si="61"/>
        <v/>
      </c>
      <c r="U494" s="51" t="str">
        <f t="shared" si="62"/>
        <v/>
      </c>
    </row>
    <row r="495" spans="1:21">
      <c r="A495" s="51" t="str">
        <f>IF(Declarations!B123=0,"",Declarations!B123)</f>
        <v/>
      </c>
      <c r="B495" s="161" t="str">
        <f>IF(ISNA(VLOOKUP(A495,Declarations!B$6:C$293,2,FALSE)),"",IF(VLOOKUP(A495,Declarations!B$6:C$293,2,FALSE)="","",VLOOKUP(A495,Declarations!B$6:C$293,2,FALSE)))</f>
        <v/>
      </c>
      <c r="C495" s="161" t="str">
        <f>IF(ISNA(VLOOKUP(A495,Declarations!B$6:F$293,5,FALSE)),"",IF(VLOOKUP(A495,Declarations!B$6:F$293,5,FALSE)="","",VLOOKUP(A495,Declarations!B$6:F$293,5,FALSE)))</f>
        <v/>
      </c>
      <c r="D495" s="161" t="str">
        <f>IF(ISNA(VLOOKUP(A495,Declarations!B$6:F$293,4,FALSE)),"",IF(VLOOKUP(A495,Declarations!B$6:F$293,4,FALSE)="","",VLOOKUP(A495,Declarations!B$6:F$293,4,FALSE)))</f>
        <v/>
      </c>
      <c r="E495" s="161" t="str">
        <f>IF(ISNA(VLOOKUP(A495,Declarations!B$6:D$293,3,FALSE)),"",IF(VLOOKUP(A495,Declarations!B$6:D$293,3,FALSE)="","",VLOOKUP(A495,Declarations!B$6:D$293,3,FALSE)))</f>
        <v/>
      </c>
      <c r="F495" s="51" t="str">
        <f>IF(B495="","",IF(ISNA(VLOOKUP(A495,'75m'!F$5:G$302,2,FALSE)),"",VLOOKUP(A495,'75m'!F$5:G$302,2,FALSE)))</f>
        <v/>
      </c>
      <c r="G495" s="51">
        <f>IF(B495="",0,IF(ISNA(_xlfn.XLOOKUP(A495,'75m'!F$5:F$302,'75m'!M$5:M$302)),0,_xlfn.XLOOKUP(A495,'75m'!F$5:F$302,'75m'!M$5:M$302)))</f>
        <v>0</v>
      </c>
      <c r="H495" s="51" t="str">
        <f>IF(B495="","",IF(ISNA(VLOOKUP(A495,'75m'!F$5:K$302,5,FALSE)),"",VLOOKUP(A495,'75m'!F$5:K$302,5,FALSE)))</f>
        <v/>
      </c>
      <c r="I495" s="53">
        <f>IF(B495="",0,IF(ISNA(VLOOKUP(A495,'600m'!F$5:J$302,2,FALSE)),0,VLOOKUP(A495,'600m'!F$5:J$302,2,FALSE)))</f>
        <v>0</v>
      </c>
      <c r="J495" s="51">
        <f>IF(B495="",0,IF(ISNA(_xlfn.XLOOKUP(A495,'600m'!F$5:F$302,'600m'!M$5:M$302)),0,_xlfn.XLOOKUP(A495,'600m'!F$5:F$302,'600m'!M$5:M$302)))</f>
        <v>0</v>
      </c>
      <c r="K495" s="51" t="str">
        <f>IF(B495="","",IF(ISNA(VLOOKUP(A495,'600m'!F$5:K$302,5,FALSE)),"",VLOOKUP(A495,'600m'!F$5:K$302,5,FALSE)))</f>
        <v/>
      </c>
      <c r="L495" s="51" t="str">
        <f>IF(B495="","",IF(ISNA(VLOOKUP(A495,LongJump!F$5:G$302,2,FALSE)),"",VLOOKUP(A495,LongJump!F$5:G$302,2,FALSE)))</f>
        <v/>
      </c>
      <c r="M495" s="51">
        <f>IF(B495="",0,IF(ISNA(_xlfn.XLOOKUP(A495,LongJump!F$5:F$302,LongJump!M$5:M$302)),0,_xlfn.XLOOKUP(A495,LongJump!F$5:F$302,LongJump!M$5:M$302)))</f>
        <v>0</v>
      </c>
      <c r="N495" s="51">
        <f>IF(B495="",0,IF(ISNA(VLOOKUP(A495,LongJump!F$5:K$302,5,FALSE)),0,VLOOKUP(A495,LongJump!F$5:K$302,5,FALSE)))</f>
        <v>0</v>
      </c>
      <c r="O495" s="51" t="str">
        <f>IF(B495="","",IF(ISNA(VLOOKUP(A495,Vortex!F$5:J$302,2,FALSE)),"",VLOOKUP(A495,Vortex!F$5:J$302,2,FALSE)))</f>
        <v/>
      </c>
      <c r="P495" s="51">
        <f>IF(B495="",0,IF(ISNA(_xlfn.XLOOKUP(A495,Vortex!F$5:F$302,Vortex!M$5:M$302)),0,_xlfn.XLOOKUP(A495,Vortex!F$5:F$302,Vortex!M$5:M$302)))</f>
        <v>0</v>
      </c>
      <c r="Q495" s="51">
        <f t="shared" si="58"/>
        <v>0</v>
      </c>
      <c r="R495" s="51" t="str">
        <f t="shared" si="59"/>
        <v/>
      </c>
      <c r="S495" s="51" t="str">
        <f t="shared" si="60"/>
        <v/>
      </c>
      <c r="T495" s="51" t="str">
        <f t="shared" si="61"/>
        <v/>
      </c>
      <c r="U495" s="51" t="str">
        <f t="shared" si="62"/>
        <v/>
      </c>
    </row>
    <row r="496" spans="1:21">
      <c r="A496" s="51" t="str">
        <f>IF(Declarations!B124=0,"",Declarations!B124)</f>
        <v/>
      </c>
      <c r="B496" s="161" t="str">
        <f>IF(ISNA(VLOOKUP(A496,Declarations!B$6:C$293,2,FALSE)),"",IF(VLOOKUP(A496,Declarations!B$6:C$293,2,FALSE)="","",VLOOKUP(A496,Declarations!B$6:C$293,2,FALSE)))</f>
        <v/>
      </c>
      <c r="C496" s="161" t="str">
        <f>IF(ISNA(VLOOKUP(A496,Declarations!B$6:F$293,5,FALSE)),"",IF(VLOOKUP(A496,Declarations!B$6:F$293,5,FALSE)="","",VLOOKUP(A496,Declarations!B$6:F$293,5,FALSE)))</f>
        <v/>
      </c>
      <c r="D496" s="161" t="str">
        <f>IF(ISNA(VLOOKUP(A496,Declarations!B$6:F$293,4,FALSE)),"",IF(VLOOKUP(A496,Declarations!B$6:F$293,4,FALSE)="","",VLOOKUP(A496,Declarations!B$6:F$293,4,FALSE)))</f>
        <v/>
      </c>
      <c r="E496" s="161" t="str">
        <f>IF(ISNA(VLOOKUP(A496,Declarations!B$6:D$293,3,FALSE)),"",IF(VLOOKUP(A496,Declarations!B$6:D$293,3,FALSE)="","",VLOOKUP(A496,Declarations!B$6:D$293,3,FALSE)))</f>
        <v/>
      </c>
      <c r="F496" s="51" t="str">
        <f>IF(B496="","",IF(ISNA(VLOOKUP(A496,'75m'!F$5:G$302,2,FALSE)),"",VLOOKUP(A496,'75m'!F$5:G$302,2,FALSE)))</f>
        <v/>
      </c>
      <c r="G496" s="51">
        <f>IF(B496="",0,IF(ISNA(_xlfn.XLOOKUP(A496,'75m'!F$5:F$302,'75m'!M$5:M$302)),0,_xlfn.XLOOKUP(A496,'75m'!F$5:F$302,'75m'!M$5:M$302)))</f>
        <v>0</v>
      </c>
      <c r="H496" s="51" t="str">
        <f>IF(B496="","",IF(ISNA(VLOOKUP(A496,'75m'!F$5:K$302,5,FALSE)),"",VLOOKUP(A496,'75m'!F$5:K$302,5,FALSE)))</f>
        <v/>
      </c>
      <c r="I496" s="53">
        <f>IF(B496="",0,IF(ISNA(VLOOKUP(A496,'600m'!F$5:J$302,2,FALSE)),0,VLOOKUP(A496,'600m'!F$5:J$302,2,FALSE)))</f>
        <v>0</v>
      </c>
      <c r="J496" s="51">
        <f>IF(B496="",0,IF(ISNA(_xlfn.XLOOKUP(A496,'600m'!F$5:F$302,'600m'!M$5:M$302)),0,_xlfn.XLOOKUP(A496,'600m'!F$5:F$302,'600m'!M$5:M$302)))</f>
        <v>0</v>
      </c>
      <c r="K496" s="51" t="str">
        <f>IF(B496="","",IF(ISNA(VLOOKUP(A496,'600m'!F$5:K$302,5,FALSE)),"",VLOOKUP(A496,'600m'!F$5:K$302,5,FALSE)))</f>
        <v/>
      </c>
      <c r="L496" s="51" t="str">
        <f>IF(B496="","",IF(ISNA(VLOOKUP(A496,LongJump!F$5:G$302,2,FALSE)),"",VLOOKUP(A496,LongJump!F$5:G$302,2,FALSE)))</f>
        <v/>
      </c>
      <c r="M496" s="51">
        <f>IF(B496="",0,IF(ISNA(_xlfn.XLOOKUP(A496,LongJump!F$5:F$302,LongJump!M$5:M$302)),0,_xlfn.XLOOKUP(A496,LongJump!F$5:F$302,LongJump!M$5:M$302)))</f>
        <v>0</v>
      </c>
      <c r="N496" s="51">
        <f>IF(B496="",0,IF(ISNA(VLOOKUP(A496,LongJump!F$5:K$302,5,FALSE)),0,VLOOKUP(A496,LongJump!F$5:K$302,5,FALSE)))</f>
        <v>0</v>
      </c>
      <c r="O496" s="51" t="str">
        <f>IF(B496="","",IF(ISNA(VLOOKUP(A496,Vortex!F$5:J$302,2,FALSE)),"",VLOOKUP(A496,Vortex!F$5:J$302,2,FALSE)))</f>
        <v/>
      </c>
      <c r="P496" s="51">
        <f>IF(B496="",0,IF(ISNA(_xlfn.XLOOKUP(A496,Vortex!F$5:F$302,Vortex!M$5:M$302)),0,_xlfn.XLOOKUP(A496,Vortex!F$5:F$302,Vortex!M$5:M$302)))</f>
        <v>0</v>
      </c>
      <c r="Q496" s="51">
        <f t="shared" si="58"/>
        <v>0</v>
      </c>
      <c r="R496" s="51" t="str">
        <f t="shared" si="59"/>
        <v/>
      </c>
      <c r="S496" s="51" t="str">
        <f t="shared" si="60"/>
        <v/>
      </c>
      <c r="T496" s="51" t="str">
        <f t="shared" si="61"/>
        <v/>
      </c>
      <c r="U496" s="51" t="str">
        <f t="shared" si="62"/>
        <v/>
      </c>
    </row>
    <row r="497" spans="1:21">
      <c r="A497" s="51" t="str">
        <f>IF(Declarations!B125=0,"",Declarations!B125)</f>
        <v/>
      </c>
      <c r="B497" s="161" t="str">
        <f>IF(ISNA(VLOOKUP(A497,Declarations!B$6:C$293,2,FALSE)),"",IF(VLOOKUP(A497,Declarations!B$6:C$293,2,FALSE)="","",VLOOKUP(A497,Declarations!B$6:C$293,2,FALSE)))</f>
        <v/>
      </c>
      <c r="C497" s="161" t="str">
        <f>IF(ISNA(VLOOKUP(A497,Declarations!B$6:F$293,5,FALSE)),"",IF(VLOOKUP(A497,Declarations!B$6:F$293,5,FALSE)="","",VLOOKUP(A497,Declarations!B$6:F$293,5,FALSE)))</f>
        <v/>
      </c>
      <c r="D497" s="161" t="str">
        <f>IF(ISNA(VLOOKUP(A497,Declarations!B$6:F$293,4,FALSE)),"",IF(VLOOKUP(A497,Declarations!B$6:F$293,4,FALSE)="","",VLOOKUP(A497,Declarations!B$6:F$293,4,FALSE)))</f>
        <v/>
      </c>
      <c r="E497" s="161" t="str">
        <f>IF(ISNA(VLOOKUP(A497,Declarations!B$6:D$293,3,FALSE)),"",IF(VLOOKUP(A497,Declarations!B$6:D$293,3,FALSE)="","",VLOOKUP(A497,Declarations!B$6:D$293,3,FALSE)))</f>
        <v/>
      </c>
      <c r="F497" s="51" t="str">
        <f>IF(B497="","",IF(ISNA(VLOOKUP(A497,'75m'!F$5:G$302,2,FALSE)),"",VLOOKUP(A497,'75m'!F$5:G$302,2,FALSE)))</f>
        <v/>
      </c>
      <c r="G497" s="51">
        <f>IF(B497="",0,IF(ISNA(_xlfn.XLOOKUP(A497,'75m'!F$5:F$302,'75m'!M$5:M$302)),0,_xlfn.XLOOKUP(A497,'75m'!F$5:F$302,'75m'!M$5:M$302)))</f>
        <v>0</v>
      </c>
      <c r="H497" s="51" t="str">
        <f>IF(B497="","",IF(ISNA(VLOOKUP(A497,'75m'!F$5:K$302,5,FALSE)),"",VLOOKUP(A497,'75m'!F$5:K$302,5,FALSE)))</f>
        <v/>
      </c>
      <c r="I497" s="53">
        <f>IF(B497="",0,IF(ISNA(VLOOKUP(A497,'600m'!F$5:J$302,2,FALSE)),0,VLOOKUP(A497,'600m'!F$5:J$302,2,FALSE)))</f>
        <v>0</v>
      </c>
      <c r="J497" s="51">
        <f>IF(B497="",0,IF(ISNA(_xlfn.XLOOKUP(A497,'600m'!F$5:F$302,'600m'!M$5:M$302)),0,_xlfn.XLOOKUP(A497,'600m'!F$5:F$302,'600m'!M$5:M$302)))</f>
        <v>0</v>
      </c>
      <c r="K497" s="51" t="str">
        <f>IF(B497="","",IF(ISNA(VLOOKUP(A497,'600m'!F$5:K$302,5,FALSE)),"",VLOOKUP(A497,'600m'!F$5:K$302,5,FALSE)))</f>
        <v/>
      </c>
      <c r="L497" s="51" t="str">
        <f>IF(B497="","",IF(ISNA(VLOOKUP(A497,LongJump!F$5:G$302,2,FALSE)),"",VLOOKUP(A497,LongJump!F$5:G$302,2,FALSE)))</f>
        <v/>
      </c>
      <c r="M497" s="51">
        <f>IF(B497="",0,IF(ISNA(_xlfn.XLOOKUP(A497,LongJump!F$5:F$302,LongJump!M$5:M$302)),0,_xlfn.XLOOKUP(A497,LongJump!F$5:F$302,LongJump!M$5:M$302)))</f>
        <v>0</v>
      </c>
      <c r="N497" s="51">
        <f>IF(B497="",0,IF(ISNA(VLOOKUP(A497,LongJump!F$5:K$302,5,FALSE)),0,VLOOKUP(A497,LongJump!F$5:K$302,5,FALSE)))</f>
        <v>0</v>
      </c>
      <c r="O497" s="51" t="str">
        <f>IF(B497="","",IF(ISNA(VLOOKUP(A497,Vortex!F$5:J$302,2,FALSE)),"",VLOOKUP(A497,Vortex!F$5:J$302,2,FALSE)))</f>
        <v/>
      </c>
      <c r="P497" s="51">
        <f>IF(B497="",0,IF(ISNA(_xlfn.XLOOKUP(A497,Vortex!F$5:F$302,Vortex!M$5:M$302)),0,_xlfn.XLOOKUP(A497,Vortex!F$5:F$302,Vortex!M$5:M$302)))</f>
        <v>0</v>
      </c>
      <c r="Q497" s="51">
        <f t="shared" si="58"/>
        <v>0</v>
      </c>
      <c r="R497" s="51" t="str">
        <f t="shared" si="59"/>
        <v/>
      </c>
      <c r="S497" s="51" t="str">
        <f t="shared" si="60"/>
        <v/>
      </c>
      <c r="T497" s="51" t="str">
        <f t="shared" si="61"/>
        <v/>
      </c>
      <c r="U497" s="51" t="str">
        <f t="shared" si="62"/>
        <v/>
      </c>
    </row>
    <row r="498" spans="1:21">
      <c r="A498" s="51" t="str">
        <f>IF(Declarations!B126=0,"",Declarations!B126)</f>
        <v/>
      </c>
      <c r="B498" s="161" t="str">
        <f>IF(ISNA(VLOOKUP(A498,Declarations!B$6:C$293,2,FALSE)),"",IF(VLOOKUP(A498,Declarations!B$6:C$293,2,FALSE)="","",VLOOKUP(A498,Declarations!B$6:C$293,2,FALSE)))</f>
        <v/>
      </c>
      <c r="C498" s="161" t="str">
        <f>IF(ISNA(VLOOKUP(A498,Declarations!B$6:F$293,5,FALSE)),"",IF(VLOOKUP(A498,Declarations!B$6:F$293,5,FALSE)="","",VLOOKUP(A498,Declarations!B$6:F$293,5,FALSE)))</f>
        <v/>
      </c>
      <c r="D498" s="161" t="str">
        <f>IF(ISNA(VLOOKUP(A498,Declarations!B$6:F$293,4,FALSE)),"",IF(VLOOKUP(A498,Declarations!B$6:F$293,4,FALSE)="","",VLOOKUP(A498,Declarations!B$6:F$293,4,FALSE)))</f>
        <v/>
      </c>
      <c r="E498" s="161" t="str">
        <f>IF(ISNA(VLOOKUP(A498,Declarations!B$6:D$293,3,FALSE)),"",IF(VLOOKUP(A498,Declarations!B$6:D$293,3,FALSE)="","",VLOOKUP(A498,Declarations!B$6:D$293,3,FALSE)))</f>
        <v/>
      </c>
      <c r="F498" s="51" t="str">
        <f>IF(B498="","",IF(ISNA(VLOOKUP(A498,'75m'!F$5:G$302,2,FALSE)),"",VLOOKUP(A498,'75m'!F$5:G$302,2,FALSE)))</f>
        <v/>
      </c>
      <c r="G498" s="51">
        <f>IF(B498="",0,IF(ISNA(_xlfn.XLOOKUP(A498,'75m'!F$5:F$302,'75m'!M$5:M$302)),0,_xlfn.XLOOKUP(A498,'75m'!F$5:F$302,'75m'!M$5:M$302)))</f>
        <v>0</v>
      </c>
      <c r="H498" s="51" t="str">
        <f>IF(B498="","",IF(ISNA(VLOOKUP(A498,'75m'!F$5:K$302,5,FALSE)),"",VLOOKUP(A498,'75m'!F$5:K$302,5,FALSE)))</f>
        <v/>
      </c>
      <c r="I498" s="53">
        <f>IF(B498="",0,IF(ISNA(VLOOKUP(A498,'600m'!F$5:J$302,2,FALSE)),0,VLOOKUP(A498,'600m'!F$5:J$302,2,FALSE)))</f>
        <v>0</v>
      </c>
      <c r="J498" s="51">
        <f>IF(B498="",0,IF(ISNA(_xlfn.XLOOKUP(A498,'600m'!F$5:F$302,'600m'!M$5:M$302)),0,_xlfn.XLOOKUP(A498,'600m'!F$5:F$302,'600m'!M$5:M$302)))</f>
        <v>0</v>
      </c>
      <c r="K498" s="51" t="str">
        <f>IF(B498="","",IF(ISNA(VLOOKUP(A498,'600m'!F$5:K$302,5,FALSE)),"",VLOOKUP(A498,'600m'!F$5:K$302,5,FALSE)))</f>
        <v/>
      </c>
      <c r="L498" s="51" t="str">
        <f>IF(B498="","",IF(ISNA(VLOOKUP(A498,LongJump!F$5:G$302,2,FALSE)),"",VLOOKUP(A498,LongJump!F$5:G$302,2,FALSE)))</f>
        <v/>
      </c>
      <c r="M498" s="51">
        <f>IF(B498="",0,IF(ISNA(_xlfn.XLOOKUP(A498,LongJump!F$5:F$302,LongJump!M$5:M$302)),0,_xlfn.XLOOKUP(A498,LongJump!F$5:F$302,LongJump!M$5:M$302)))</f>
        <v>0</v>
      </c>
      <c r="N498" s="51">
        <f>IF(B498="",0,IF(ISNA(VLOOKUP(A498,LongJump!F$5:K$302,5,FALSE)),0,VLOOKUP(A498,LongJump!F$5:K$302,5,FALSE)))</f>
        <v>0</v>
      </c>
      <c r="O498" s="51" t="str">
        <f>IF(B498="","",IF(ISNA(VLOOKUP(A498,Vortex!F$5:J$302,2,FALSE)),"",VLOOKUP(A498,Vortex!F$5:J$302,2,FALSE)))</f>
        <v/>
      </c>
      <c r="P498" s="51">
        <f>IF(B498="",0,IF(ISNA(_xlfn.XLOOKUP(A498,Vortex!F$5:F$302,Vortex!M$5:M$302)),0,_xlfn.XLOOKUP(A498,Vortex!F$5:F$302,Vortex!M$5:M$302)))</f>
        <v>0</v>
      </c>
      <c r="Q498" s="51">
        <f t="shared" si="58"/>
        <v>0</v>
      </c>
      <c r="R498" s="51" t="str">
        <f t="shared" si="59"/>
        <v/>
      </c>
      <c r="S498" s="51" t="str">
        <f t="shared" si="60"/>
        <v/>
      </c>
      <c r="T498" s="51" t="str">
        <f t="shared" si="61"/>
        <v/>
      </c>
      <c r="U498" s="51" t="str">
        <f t="shared" si="62"/>
        <v/>
      </c>
    </row>
    <row r="499" spans="1:21">
      <c r="A499" s="51" t="str">
        <f>IF(Declarations!B127=0,"",Declarations!B127)</f>
        <v/>
      </c>
      <c r="B499" s="161" t="str">
        <f>IF(ISNA(VLOOKUP(A499,Declarations!B$6:C$293,2,FALSE)),"",IF(VLOOKUP(A499,Declarations!B$6:C$293,2,FALSE)="","",VLOOKUP(A499,Declarations!B$6:C$293,2,FALSE)))</f>
        <v/>
      </c>
      <c r="C499" s="161" t="str">
        <f>IF(ISNA(VLOOKUP(A499,Declarations!B$6:F$293,5,FALSE)),"",IF(VLOOKUP(A499,Declarations!B$6:F$293,5,FALSE)="","",VLOOKUP(A499,Declarations!B$6:F$293,5,FALSE)))</f>
        <v/>
      </c>
      <c r="D499" s="161" t="str">
        <f>IF(ISNA(VLOOKUP(A499,Declarations!B$6:F$293,4,FALSE)),"",IF(VLOOKUP(A499,Declarations!B$6:F$293,4,FALSE)="","",VLOOKUP(A499,Declarations!B$6:F$293,4,FALSE)))</f>
        <v/>
      </c>
      <c r="E499" s="161" t="str">
        <f>IF(ISNA(VLOOKUP(A499,Declarations!B$6:D$293,3,FALSE)),"",IF(VLOOKUP(A499,Declarations!B$6:D$293,3,FALSE)="","",VLOOKUP(A499,Declarations!B$6:D$293,3,FALSE)))</f>
        <v/>
      </c>
      <c r="F499" s="51" t="str">
        <f>IF(B499="","",IF(ISNA(VLOOKUP(A499,'75m'!F$5:G$302,2,FALSE)),"",VLOOKUP(A499,'75m'!F$5:G$302,2,FALSE)))</f>
        <v/>
      </c>
      <c r="G499" s="51">
        <f>IF(B499="",0,IF(ISNA(_xlfn.XLOOKUP(A499,'75m'!F$5:F$302,'75m'!M$5:M$302)),0,_xlfn.XLOOKUP(A499,'75m'!F$5:F$302,'75m'!M$5:M$302)))</f>
        <v>0</v>
      </c>
      <c r="H499" s="51" t="str">
        <f>IF(B499="","",IF(ISNA(VLOOKUP(A499,'75m'!F$5:K$302,5,FALSE)),"",VLOOKUP(A499,'75m'!F$5:K$302,5,FALSE)))</f>
        <v/>
      </c>
      <c r="I499" s="53">
        <f>IF(B499="",0,IF(ISNA(VLOOKUP(A499,'600m'!F$5:J$302,2,FALSE)),0,VLOOKUP(A499,'600m'!F$5:J$302,2,FALSE)))</f>
        <v>0</v>
      </c>
      <c r="J499" s="51">
        <f>IF(B499="",0,IF(ISNA(_xlfn.XLOOKUP(A499,'600m'!F$5:F$302,'600m'!M$5:M$302)),0,_xlfn.XLOOKUP(A499,'600m'!F$5:F$302,'600m'!M$5:M$302)))</f>
        <v>0</v>
      </c>
      <c r="K499" s="51" t="str">
        <f>IF(B499="","",IF(ISNA(VLOOKUP(A499,'600m'!F$5:K$302,5,FALSE)),"",VLOOKUP(A499,'600m'!F$5:K$302,5,FALSE)))</f>
        <v/>
      </c>
      <c r="L499" s="51" t="str">
        <f>IF(B499="","",IF(ISNA(VLOOKUP(A499,LongJump!F$5:G$302,2,FALSE)),"",VLOOKUP(A499,LongJump!F$5:G$302,2,FALSE)))</f>
        <v/>
      </c>
      <c r="M499" s="51">
        <f>IF(B499="",0,IF(ISNA(_xlfn.XLOOKUP(A499,LongJump!F$5:F$302,LongJump!M$5:M$302)),0,_xlfn.XLOOKUP(A499,LongJump!F$5:F$302,LongJump!M$5:M$302)))</f>
        <v>0</v>
      </c>
      <c r="N499" s="51">
        <f>IF(B499="",0,IF(ISNA(VLOOKUP(A499,LongJump!F$5:K$302,5,FALSE)),0,VLOOKUP(A499,LongJump!F$5:K$302,5,FALSE)))</f>
        <v>0</v>
      </c>
      <c r="O499" s="51" t="str">
        <f>IF(B499="","",IF(ISNA(VLOOKUP(A499,Vortex!F$5:J$302,2,FALSE)),"",VLOOKUP(A499,Vortex!F$5:J$302,2,FALSE)))</f>
        <v/>
      </c>
      <c r="P499" s="51">
        <f>IF(B499="",0,IF(ISNA(_xlfn.XLOOKUP(A499,Vortex!F$5:F$302,Vortex!M$5:M$302)),0,_xlfn.XLOOKUP(A499,Vortex!F$5:F$302,Vortex!M$5:M$302)))</f>
        <v>0</v>
      </c>
      <c r="Q499" s="51">
        <f t="shared" si="58"/>
        <v>0</v>
      </c>
      <c r="R499" s="51" t="str">
        <f t="shared" si="59"/>
        <v/>
      </c>
      <c r="S499" s="51" t="str">
        <f t="shared" si="60"/>
        <v/>
      </c>
      <c r="T499" s="51" t="str">
        <f t="shared" si="61"/>
        <v/>
      </c>
      <c r="U499" s="51" t="str">
        <f t="shared" si="62"/>
        <v/>
      </c>
    </row>
    <row r="500" spans="1:21">
      <c r="A500" s="51" t="str">
        <f>IF(Declarations!B128=0,"",Declarations!B128)</f>
        <v/>
      </c>
      <c r="B500" s="161" t="str">
        <f>IF(ISNA(VLOOKUP(A500,Declarations!B$6:C$293,2,FALSE)),"",IF(VLOOKUP(A500,Declarations!B$6:C$293,2,FALSE)="","",VLOOKUP(A500,Declarations!B$6:C$293,2,FALSE)))</f>
        <v/>
      </c>
      <c r="C500" s="161" t="str">
        <f>IF(ISNA(VLOOKUP(A500,Declarations!B$6:F$293,5,FALSE)),"",IF(VLOOKUP(A500,Declarations!B$6:F$293,5,FALSE)="","",VLOOKUP(A500,Declarations!B$6:F$293,5,FALSE)))</f>
        <v/>
      </c>
      <c r="D500" s="161" t="str">
        <f>IF(ISNA(VLOOKUP(A500,Declarations!B$6:F$293,4,FALSE)),"",IF(VLOOKUP(A500,Declarations!B$6:F$293,4,FALSE)="","",VLOOKUP(A500,Declarations!B$6:F$293,4,FALSE)))</f>
        <v/>
      </c>
      <c r="E500" s="161" t="str">
        <f>IF(ISNA(VLOOKUP(A500,Declarations!B$6:D$293,3,FALSE)),"",IF(VLOOKUP(A500,Declarations!B$6:D$293,3,FALSE)="","",VLOOKUP(A500,Declarations!B$6:D$293,3,FALSE)))</f>
        <v/>
      </c>
      <c r="F500" s="51" t="str">
        <f>IF(B500="","",IF(ISNA(VLOOKUP(A500,'75m'!F$5:G$302,2,FALSE)),"",VLOOKUP(A500,'75m'!F$5:G$302,2,FALSE)))</f>
        <v/>
      </c>
      <c r="G500" s="51">
        <f>IF(B500="",0,IF(ISNA(_xlfn.XLOOKUP(A500,'75m'!F$5:F$302,'75m'!M$5:M$302)),0,_xlfn.XLOOKUP(A500,'75m'!F$5:F$302,'75m'!M$5:M$302)))</f>
        <v>0</v>
      </c>
      <c r="H500" s="51" t="str">
        <f>IF(B500="","",IF(ISNA(VLOOKUP(A500,'75m'!F$5:K$302,5,FALSE)),"",VLOOKUP(A500,'75m'!F$5:K$302,5,FALSE)))</f>
        <v/>
      </c>
      <c r="I500" s="53">
        <f>IF(B500="",0,IF(ISNA(VLOOKUP(A500,'600m'!F$5:J$302,2,FALSE)),0,VLOOKUP(A500,'600m'!F$5:J$302,2,FALSE)))</f>
        <v>0</v>
      </c>
      <c r="J500" s="51">
        <f>IF(B500="",0,IF(ISNA(_xlfn.XLOOKUP(A500,'600m'!F$5:F$302,'600m'!M$5:M$302)),0,_xlfn.XLOOKUP(A500,'600m'!F$5:F$302,'600m'!M$5:M$302)))</f>
        <v>0</v>
      </c>
      <c r="K500" s="51" t="str">
        <f>IF(B500="","",IF(ISNA(VLOOKUP(A500,'600m'!F$5:K$302,5,FALSE)),"",VLOOKUP(A500,'600m'!F$5:K$302,5,FALSE)))</f>
        <v/>
      </c>
      <c r="L500" s="51" t="str">
        <f>IF(B500="","",IF(ISNA(VLOOKUP(A500,LongJump!F$5:G$302,2,FALSE)),"",VLOOKUP(A500,LongJump!F$5:G$302,2,FALSE)))</f>
        <v/>
      </c>
      <c r="M500" s="51">
        <f>IF(B500="",0,IF(ISNA(_xlfn.XLOOKUP(A500,LongJump!F$5:F$302,LongJump!M$5:M$302)),0,_xlfn.XLOOKUP(A500,LongJump!F$5:F$302,LongJump!M$5:M$302)))</f>
        <v>0</v>
      </c>
      <c r="N500" s="51">
        <f>IF(B500="",0,IF(ISNA(VLOOKUP(A500,LongJump!F$5:K$302,5,FALSE)),0,VLOOKUP(A500,LongJump!F$5:K$302,5,FALSE)))</f>
        <v>0</v>
      </c>
      <c r="O500" s="51" t="str">
        <f>IF(B500="","",IF(ISNA(VLOOKUP(A500,Vortex!F$5:J$302,2,FALSE)),"",VLOOKUP(A500,Vortex!F$5:J$302,2,FALSE)))</f>
        <v/>
      </c>
      <c r="P500" s="51">
        <f>IF(B500="",0,IF(ISNA(_xlfn.XLOOKUP(A500,Vortex!F$5:F$302,Vortex!M$5:M$302)),0,_xlfn.XLOOKUP(A500,Vortex!F$5:F$302,Vortex!M$5:M$302)))</f>
        <v>0</v>
      </c>
      <c r="Q500" s="51">
        <f t="shared" si="58"/>
        <v>0</v>
      </c>
      <c r="R500" s="51" t="str">
        <f t="shared" si="59"/>
        <v/>
      </c>
      <c r="S500" s="51" t="str">
        <f t="shared" si="60"/>
        <v/>
      </c>
      <c r="T500" s="51" t="str">
        <f t="shared" si="61"/>
        <v/>
      </c>
      <c r="U500" s="51" t="str">
        <f t="shared" si="62"/>
        <v/>
      </c>
    </row>
    <row r="501" spans="1:21">
      <c r="A501" s="51" t="str">
        <f>IF(Declarations!B129=0,"",Declarations!B129)</f>
        <v/>
      </c>
      <c r="B501" s="161" t="str">
        <f>IF(ISNA(VLOOKUP(A501,Declarations!B$6:C$293,2,FALSE)),"",IF(VLOOKUP(A501,Declarations!B$6:C$293,2,FALSE)="","",VLOOKUP(A501,Declarations!B$6:C$293,2,FALSE)))</f>
        <v/>
      </c>
      <c r="C501" s="161" t="str">
        <f>IF(ISNA(VLOOKUP(A501,Declarations!B$6:F$293,5,FALSE)),"",IF(VLOOKUP(A501,Declarations!B$6:F$293,5,FALSE)="","",VLOOKUP(A501,Declarations!B$6:F$293,5,FALSE)))</f>
        <v/>
      </c>
      <c r="D501" s="161" t="str">
        <f>IF(ISNA(VLOOKUP(A501,Declarations!B$6:F$293,4,FALSE)),"",IF(VLOOKUP(A501,Declarations!B$6:F$293,4,FALSE)="","",VLOOKUP(A501,Declarations!B$6:F$293,4,FALSE)))</f>
        <v/>
      </c>
      <c r="E501" s="161" t="str">
        <f>IF(ISNA(VLOOKUP(A501,Declarations!B$6:D$293,3,FALSE)),"",IF(VLOOKUP(A501,Declarations!B$6:D$293,3,FALSE)="","",VLOOKUP(A501,Declarations!B$6:D$293,3,FALSE)))</f>
        <v/>
      </c>
      <c r="F501" s="51" t="str">
        <f>IF(B501="","",IF(ISNA(VLOOKUP(A501,'75m'!F$5:G$302,2,FALSE)),"",VLOOKUP(A501,'75m'!F$5:G$302,2,FALSE)))</f>
        <v/>
      </c>
      <c r="G501" s="51">
        <f>IF(B501="",0,IF(ISNA(_xlfn.XLOOKUP(A501,'75m'!F$5:F$302,'75m'!M$5:M$302)),0,_xlfn.XLOOKUP(A501,'75m'!F$5:F$302,'75m'!M$5:M$302)))</f>
        <v>0</v>
      </c>
      <c r="H501" s="51" t="str">
        <f>IF(B501="","",IF(ISNA(VLOOKUP(A501,'75m'!F$5:K$302,5,FALSE)),"",VLOOKUP(A501,'75m'!F$5:K$302,5,FALSE)))</f>
        <v/>
      </c>
      <c r="I501" s="53">
        <f>IF(B501="",0,IF(ISNA(VLOOKUP(A501,'600m'!F$5:J$302,2,FALSE)),0,VLOOKUP(A501,'600m'!F$5:J$302,2,FALSE)))</f>
        <v>0</v>
      </c>
      <c r="J501" s="51">
        <f>IF(B501="",0,IF(ISNA(_xlfn.XLOOKUP(A501,'600m'!F$5:F$302,'600m'!M$5:M$302)),0,_xlfn.XLOOKUP(A501,'600m'!F$5:F$302,'600m'!M$5:M$302)))</f>
        <v>0</v>
      </c>
      <c r="K501" s="51" t="str">
        <f>IF(B501="","",IF(ISNA(VLOOKUP(A501,'600m'!F$5:K$302,5,FALSE)),"",VLOOKUP(A501,'600m'!F$5:K$302,5,FALSE)))</f>
        <v/>
      </c>
      <c r="L501" s="51" t="str">
        <f>IF(B501="","",IF(ISNA(VLOOKUP(A501,LongJump!F$5:G$302,2,FALSE)),"",VLOOKUP(A501,LongJump!F$5:G$302,2,FALSE)))</f>
        <v/>
      </c>
      <c r="M501" s="51">
        <f>IF(B501="",0,IF(ISNA(_xlfn.XLOOKUP(A501,LongJump!F$5:F$302,LongJump!M$5:M$302)),0,_xlfn.XLOOKUP(A501,LongJump!F$5:F$302,LongJump!M$5:M$302)))</f>
        <v>0</v>
      </c>
      <c r="N501" s="51">
        <f>IF(B501="",0,IF(ISNA(VLOOKUP(A501,LongJump!F$5:K$302,5,FALSE)),0,VLOOKUP(A501,LongJump!F$5:K$302,5,FALSE)))</f>
        <v>0</v>
      </c>
      <c r="O501" s="51" t="str">
        <f>IF(B501="","",IF(ISNA(VLOOKUP(A501,Vortex!F$5:J$302,2,FALSE)),"",VLOOKUP(A501,Vortex!F$5:J$302,2,FALSE)))</f>
        <v/>
      </c>
      <c r="P501" s="51">
        <f>IF(B501="",0,IF(ISNA(_xlfn.XLOOKUP(A501,Vortex!F$5:F$302,Vortex!M$5:M$302)),0,_xlfn.XLOOKUP(A501,Vortex!F$5:F$302,Vortex!M$5:M$302)))</f>
        <v>0</v>
      </c>
      <c r="Q501" s="51">
        <f t="shared" si="58"/>
        <v>0</v>
      </c>
      <c r="R501" s="51" t="str">
        <f t="shared" si="59"/>
        <v/>
      </c>
      <c r="S501" s="51" t="str">
        <f t="shared" si="60"/>
        <v/>
      </c>
      <c r="T501" s="51" t="str">
        <f t="shared" si="61"/>
        <v/>
      </c>
      <c r="U501" s="51" t="str">
        <f t="shared" si="62"/>
        <v/>
      </c>
    </row>
    <row r="502" spans="1:21">
      <c r="A502" s="51" t="str">
        <f>IF(Declarations!B130=0,"",Declarations!B130)</f>
        <v/>
      </c>
      <c r="B502" s="161" t="str">
        <f>IF(ISNA(VLOOKUP(A502,Declarations!B$6:C$293,2,FALSE)),"",IF(VLOOKUP(A502,Declarations!B$6:C$293,2,FALSE)="","",VLOOKUP(A502,Declarations!B$6:C$293,2,FALSE)))</f>
        <v/>
      </c>
      <c r="C502" s="161" t="str">
        <f>IF(ISNA(VLOOKUP(A502,Declarations!B$6:F$293,5,FALSE)),"",IF(VLOOKUP(A502,Declarations!B$6:F$293,5,FALSE)="","",VLOOKUP(A502,Declarations!B$6:F$293,5,FALSE)))</f>
        <v/>
      </c>
      <c r="D502" s="161" t="str">
        <f>IF(ISNA(VLOOKUP(A502,Declarations!B$6:F$293,4,FALSE)),"",IF(VLOOKUP(A502,Declarations!B$6:F$293,4,FALSE)="","",VLOOKUP(A502,Declarations!B$6:F$293,4,FALSE)))</f>
        <v/>
      </c>
      <c r="E502" s="161" t="str">
        <f>IF(ISNA(VLOOKUP(A502,Declarations!B$6:D$293,3,FALSE)),"",IF(VLOOKUP(A502,Declarations!B$6:D$293,3,FALSE)="","",VLOOKUP(A502,Declarations!B$6:D$293,3,FALSE)))</f>
        <v/>
      </c>
      <c r="F502" s="51" t="str">
        <f>IF(B502="","",IF(ISNA(VLOOKUP(A502,'75m'!F$5:G$302,2,FALSE)),"",VLOOKUP(A502,'75m'!F$5:G$302,2,FALSE)))</f>
        <v/>
      </c>
      <c r="G502" s="51">
        <f>IF(B502="",0,IF(ISNA(_xlfn.XLOOKUP(A502,'75m'!F$5:F$302,'75m'!M$5:M$302)),0,_xlfn.XLOOKUP(A502,'75m'!F$5:F$302,'75m'!M$5:M$302)))</f>
        <v>0</v>
      </c>
      <c r="H502" s="51" t="str">
        <f>IF(B502="","",IF(ISNA(VLOOKUP(A502,'75m'!F$5:K$302,5,FALSE)),"",VLOOKUP(A502,'75m'!F$5:K$302,5,FALSE)))</f>
        <v/>
      </c>
      <c r="I502" s="53">
        <f>IF(B502="",0,IF(ISNA(VLOOKUP(A502,'600m'!F$5:J$302,2,FALSE)),0,VLOOKUP(A502,'600m'!F$5:J$302,2,FALSE)))</f>
        <v>0</v>
      </c>
      <c r="J502" s="51">
        <f>IF(B502="",0,IF(ISNA(_xlfn.XLOOKUP(A502,'600m'!F$5:F$302,'600m'!M$5:M$302)),0,_xlfn.XLOOKUP(A502,'600m'!F$5:F$302,'600m'!M$5:M$302)))</f>
        <v>0</v>
      </c>
      <c r="K502" s="51" t="str">
        <f>IF(B502="","",IF(ISNA(VLOOKUP(A502,'600m'!F$5:K$302,5,FALSE)),"",VLOOKUP(A502,'600m'!F$5:K$302,5,FALSE)))</f>
        <v/>
      </c>
      <c r="L502" s="51" t="str">
        <f>IF(B502="","",IF(ISNA(VLOOKUP(A502,LongJump!F$5:G$302,2,FALSE)),"",VLOOKUP(A502,LongJump!F$5:G$302,2,FALSE)))</f>
        <v/>
      </c>
      <c r="M502" s="51">
        <f>IF(B502="",0,IF(ISNA(_xlfn.XLOOKUP(A502,LongJump!F$5:F$302,LongJump!M$5:M$302)),0,_xlfn.XLOOKUP(A502,LongJump!F$5:F$302,LongJump!M$5:M$302)))</f>
        <v>0</v>
      </c>
      <c r="N502" s="51">
        <f>IF(B502="",0,IF(ISNA(VLOOKUP(A502,LongJump!F$5:K$302,5,FALSE)),0,VLOOKUP(A502,LongJump!F$5:K$302,5,FALSE)))</f>
        <v>0</v>
      </c>
      <c r="O502" s="51" t="str">
        <f>IF(B502="","",IF(ISNA(VLOOKUP(A502,Vortex!F$5:J$302,2,FALSE)),"",VLOOKUP(A502,Vortex!F$5:J$302,2,FALSE)))</f>
        <v/>
      </c>
      <c r="P502" s="51">
        <f>IF(B502="",0,IF(ISNA(_xlfn.XLOOKUP(A502,Vortex!F$5:F$302,Vortex!M$5:M$302)),0,_xlfn.XLOOKUP(A502,Vortex!F$5:F$302,Vortex!M$5:M$302)))</f>
        <v>0</v>
      </c>
      <c r="Q502" s="51">
        <f t="shared" si="58"/>
        <v>0</v>
      </c>
      <c r="R502" s="51" t="str">
        <f t="shared" si="59"/>
        <v/>
      </c>
      <c r="S502" s="51" t="str">
        <f t="shared" si="60"/>
        <v/>
      </c>
      <c r="T502" s="51" t="str">
        <f t="shared" si="61"/>
        <v/>
      </c>
      <c r="U502" s="51" t="str">
        <f t="shared" si="62"/>
        <v/>
      </c>
    </row>
    <row r="503" spans="1:21">
      <c r="A503" s="51" t="str">
        <f>IF(Declarations!B131=0,"",Declarations!B131)</f>
        <v/>
      </c>
      <c r="B503" s="161" t="str">
        <f>IF(ISNA(VLOOKUP(A503,Declarations!B$6:C$293,2,FALSE)),"",IF(VLOOKUP(A503,Declarations!B$6:C$293,2,FALSE)="","",VLOOKUP(A503,Declarations!B$6:C$293,2,FALSE)))</f>
        <v/>
      </c>
      <c r="C503" s="161" t="str">
        <f>IF(ISNA(VLOOKUP(A503,Declarations!B$6:F$293,5,FALSE)),"",IF(VLOOKUP(A503,Declarations!B$6:F$293,5,FALSE)="","",VLOOKUP(A503,Declarations!B$6:F$293,5,FALSE)))</f>
        <v/>
      </c>
      <c r="D503" s="161" t="str">
        <f>IF(ISNA(VLOOKUP(A503,Declarations!B$6:F$293,4,FALSE)),"",IF(VLOOKUP(A503,Declarations!B$6:F$293,4,FALSE)="","",VLOOKUP(A503,Declarations!B$6:F$293,4,FALSE)))</f>
        <v/>
      </c>
      <c r="E503" s="161" t="str">
        <f>IF(ISNA(VLOOKUP(A503,Declarations!B$6:D$293,3,FALSE)),"",IF(VLOOKUP(A503,Declarations!B$6:D$293,3,FALSE)="","",VLOOKUP(A503,Declarations!B$6:D$293,3,FALSE)))</f>
        <v/>
      </c>
      <c r="F503" s="51" t="str">
        <f>IF(B503="","",IF(ISNA(VLOOKUP(A503,'75m'!F$5:G$302,2,FALSE)),"",VLOOKUP(A503,'75m'!F$5:G$302,2,FALSE)))</f>
        <v/>
      </c>
      <c r="G503" s="51">
        <f>IF(B503="",0,IF(ISNA(_xlfn.XLOOKUP(A503,'75m'!F$5:F$302,'75m'!M$5:M$302)),0,_xlfn.XLOOKUP(A503,'75m'!F$5:F$302,'75m'!M$5:M$302)))</f>
        <v>0</v>
      </c>
      <c r="H503" s="51" t="str">
        <f>IF(B503="","",IF(ISNA(VLOOKUP(A503,'75m'!F$5:K$302,5,FALSE)),"",VLOOKUP(A503,'75m'!F$5:K$302,5,FALSE)))</f>
        <v/>
      </c>
      <c r="I503" s="53">
        <f>IF(B503="",0,IF(ISNA(VLOOKUP(A503,'600m'!F$5:J$302,2,FALSE)),0,VLOOKUP(A503,'600m'!F$5:J$302,2,FALSE)))</f>
        <v>0</v>
      </c>
      <c r="J503" s="51">
        <f>IF(B503="",0,IF(ISNA(_xlfn.XLOOKUP(A503,'600m'!F$5:F$302,'600m'!M$5:M$302)),0,_xlfn.XLOOKUP(A503,'600m'!F$5:F$302,'600m'!M$5:M$302)))</f>
        <v>0</v>
      </c>
      <c r="K503" s="51" t="str">
        <f>IF(B503="","",IF(ISNA(VLOOKUP(A503,'600m'!F$5:K$302,5,FALSE)),"",VLOOKUP(A503,'600m'!F$5:K$302,5,FALSE)))</f>
        <v/>
      </c>
      <c r="L503" s="51" t="str">
        <f>IF(B503="","",IF(ISNA(VLOOKUP(A503,LongJump!F$5:G$302,2,FALSE)),"",VLOOKUP(A503,LongJump!F$5:G$302,2,FALSE)))</f>
        <v/>
      </c>
      <c r="M503" s="51">
        <f>IF(B503="",0,IF(ISNA(_xlfn.XLOOKUP(A503,LongJump!F$5:F$302,LongJump!M$5:M$302)),0,_xlfn.XLOOKUP(A503,LongJump!F$5:F$302,LongJump!M$5:M$302)))</f>
        <v>0</v>
      </c>
      <c r="N503" s="51">
        <f>IF(B503="",0,IF(ISNA(VLOOKUP(A503,LongJump!F$5:K$302,5,FALSE)),0,VLOOKUP(A503,LongJump!F$5:K$302,5,FALSE)))</f>
        <v>0</v>
      </c>
      <c r="O503" s="51" t="str">
        <f>IF(B503="","",IF(ISNA(VLOOKUP(A503,Vortex!F$5:J$302,2,FALSE)),"",VLOOKUP(A503,Vortex!F$5:J$302,2,FALSE)))</f>
        <v/>
      </c>
      <c r="P503" s="51">
        <f>IF(B503="",0,IF(ISNA(_xlfn.XLOOKUP(A503,Vortex!F$5:F$302,Vortex!M$5:M$302)),0,_xlfn.XLOOKUP(A503,Vortex!F$5:F$302,Vortex!M$5:M$302)))</f>
        <v>0</v>
      </c>
      <c r="Q503" s="51">
        <f t="shared" si="58"/>
        <v>0</v>
      </c>
      <c r="R503" s="51" t="str">
        <f t="shared" si="59"/>
        <v/>
      </c>
      <c r="S503" s="51" t="str">
        <f t="shared" si="60"/>
        <v/>
      </c>
      <c r="T503" s="51" t="str">
        <f t="shared" si="61"/>
        <v/>
      </c>
      <c r="U503" s="51" t="str">
        <f t="shared" si="62"/>
        <v/>
      </c>
    </row>
    <row r="504" spans="1:21">
      <c r="A504" s="51" t="str">
        <f>IF(Declarations!B132=0,"",Declarations!B132)</f>
        <v/>
      </c>
      <c r="B504" s="161" t="str">
        <f>IF(ISNA(VLOOKUP(A504,Declarations!B$6:C$293,2,FALSE)),"",IF(VLOOKUP(A504,Declarations!B$6:C$293,2,FALSE)="","",VLOOKUP(A504,Declarations!B$6:C$293,2,FALSE)))</f>
        <v/>
      </c>
      <c r="C504" s="161" t="str">
        <f>IF(ISNA(VLOOKUP(A504,Declarations!B$6:F$293,5,FALSE)),"",IF(VLOOKUP(A504,Declarations!B$6:F$293,5,FALSE)="","",VLOOKUP(A504,Declarations!B$6:F$293,5,FALSE)))</f>
        <v/>
      </c>
      <c r="D504" s="161" t="str">
        <f>IF(ISNA(VLOOKUP(A504,Declarations!B$6:F$293,4,FALSE)),"",IF(VLOOKUP(A504,Declarations!B$6:F$293,4,FALSE)="","",VLOOKUP(A504,Declarations!B$6:F$293,4,FALSE)))</f>
        <v/>
      </c>
      <c r="E504" s="161" t="str">
        <f>IF(ISNA(VLOOKUP(A504,Declarations!B$6:D$293,3,FALSE)),"",IF(VLOOKUP(A504,Declarations!B$6:D$293,3,FALSE)="","",VLOOKUP(A504,Declarations!B$6:D$293,3,FALSE)))</f>
        <v/>
      </c>
      <c r="F504" s="51" t="str">
        <f>IF(B504="","",IF(ISNA(VLOOKUP(A504,'75m'!F$5:G$302,2,FALSE)),"",VLOOKUP(A504,'75m'!F$5:G$302,2,FALSE)))</f>
        <v/>
      </c>
      <c r="G504" s="51">
        <f>IF(B504="",0,IF(ISNA(_xlfn.XLOOKUP(A504,'75m'!F$5:F$302,'75m'!M$5:M$302)),0,_xlfn.XLOOKUP(A504,'75m'!F$5:F$302,'75m'!M$5:M$302)))</f>
        <v>0</v>
      </c>
      <c r="H504" s="51" t="str">
        <f>IF(B504="","",IF(ISNA(VLOOKUP(A504,'75m'!F$5:K$302,5,FALSE)),"",VLOOKUP(A504,'75m'!F$5:K$302,5,FALSE)))</f>
        <v/>
      </c>
      <c r="I504" s="53">
        <f>IF(B504="",0,IF(ISNA(VLOOKUP(A504,'600m'!F$5:J$302,2,FALSE)),0,VLOOKUP(A504,'600m'!F$5:J$302,2,FALSE)))</f>
        <v>0</v>
      </c>
      <c r="J504" s="51">
        <f>IF(B504="",0,IF(ISNA(_xlfn.XLOOKUP(A504,'600m'!F$5:F$302,'600m'!M$5:M$302)),0,_xlfn.XLOOKUP(A504,'600m'!F$5:F$302,'600m'!M$5:M$302)))</f>
        <v>0</v>
      </c>
      <c r="K504" s="51" t="str">
        <f>IF(B504="","",IF(ISNA(VLOOKUP(A504,'600m'!F$5:K$302,5,FALSE)),"",VLOOKUP(A504,'600m'!F$5:K$302,5,FALSE)))</f>
        <v/>
      </c>
      <c r="L504" s="51" t="str">
        <f>IF(B504="","",IF(ISNA(VLOOKUP(A504,LongJump!F$5:G$302,2,FALSE)),"",VLOOKUP(A504,LongJump!F$5:G$302,2,FALSE)))</f>
        <v/>
      </c>
      <c r="M504" s="51">
        <f>IF(B504="",0,IF(ISNA(_xlfn.XLOOKUP(A504,LongJump!F$5:F$302,LongJump!M$5:M$302)),0,_xlfn.XLOOKUP(A504,LongJump!F$5:F$302,LongJump!M$5:M$302)))</f>
        <v>0</v>
      </c>
      <c r="N504" s="51">
        <f>IF(B504="",0,IF(ISNA(VLOOKUP(A504,LongJump!F$5:K$302,5,FALSE)),0,VLOOKUP(A504,LongJump!F$5:K$302,5,FALSE)))</f>
        <v>0</v>
      </c>
      <c r="O504" s="51" t="str">
        <f>IF(B504="","",IF(ISNA(VLOOKUP(A504,Vortex!F$5:J$302,2,FALSE)),"",VLOOKUP(A504,Vortex!F$5:J$302,2,FALSE)))</f>
        <v/>
      </c>
      <c r="P504" s="51">
        <f>IF(B504="",0,IF(ISNA(_xlfn.XLOOKUP(A504,Vortex!F$5:F$302,Vortex!M$5:M$302)),0,_xlfn.XLOOKUP(A504,Vortex!F$5:F$302,Vortex!M$5:M$302)))</f>
        <v>0</v>
      </c>
      <c r="Q504" s="51">
        <f t="shared" si="58"/>
        <v>0</v>
      </c>
      <c r="R504" s="51" t="str">
        <f t="shared" si="59"/>
        <v/>
      </c>
      <c r="S504" s="51" t="str">
        <f t="shared" si="60"/>
        <v/>
      </c>
      <c r="T504" s="51" t="str">
        <f t="shared" si="61"/>
        <v/>
      </c>
      <c r="U504" s="51" t="str">
        <f t="shared" si="62"/>
        <v/>
      </c>
    </row>
    <row r="505" spans="1:21">
      <c r="A505" s="51" t="str">
        <f>IF(Declarations!B133=0,"",Declarations!B133)</f>
        <v/>
      </c>
      <c r="B505" s="161" t="str">
        <f>IF(ISNA(VLOOKUP(A505,Declarations!B$6:C$293,2,FALSE)),"",IF(VLOOKUP(A505,Declarations!B$6:C$293,2,FALSE)="","",VLOOKUP(A505,Declarations!B$6:C$293,2,FALSE)))</f>
        <v/>
      </c>
      <c r="C505" s="161" t="str">
        <f>IF(ISNA(VLOOKUP(A505,Declarations!B$6:F$293,5,FALSE)),"",IF(VLOOKUP(A505,Declarations!B$6:F$293,5,FALSE)="","",VLOOKUP(A505,Declarations!B$6:F$293,5,FALSE)))</f>
        <v/>
      </c>
      <c r="D505" s="161" t="str">
        <f>IF(ISNA(VLOOKUP(A505,Declarations!B$6:F$293,4,FALSE)),"",IF(VLOOKUP(A505,Declarations!B$6:F$293,4,FALSE)="","",VLOOKUP(A505,Declarations!B$6:F$293,4,FALSE)))</f>
        <v/>
      </c>
      <c r="E505" s="161" t="str">
        <f>IF(ISNA(VLOOKUP(A505,Declarations!B$6:D$293,3,FALSE)),"",IF(VLOOKUP(A505,Declarations!B$6:D$293,3,FALSE)="","",VLOOKUP(A505,Declarations!B$6:D$293,3,FALSE)))</f>
        <v/>
      </c>
      <c r="F505" s="51" t="str">
        <f>IF(B505="","",IF(ISNA(VLOOKUP(A505,'75m'!F$5:G$302,2,FALSE)),"",VLOOKUP(A505,'75m'!F$5:G$302,2,FALSE)))</f>
        <v/>
      </c>
      <c r="G505" s="51">
        <f>IF(B505="",0,IF(ISNA(_xlfn.XLOOKUP(A505,'75m'!F$5:F$302,'75m'!M$5:M$302)),0,_xlfn.XLOOKUP(A505,'75m'!F$5:F$302,'75m'!M$5:M$302)))</f>
        <v>0</v>
      </c>
      <c r="H505" s="51" t="str">
        <f>IF(B505="","",IF(ISNA(VLOOKUP(A505,'75m'!F$5:K$302,5,FALSE)),"",VLOOKUP(A505,'75m'!F$5:K$302,5,FALSE)))</f>
        <v/>
      </c>
      <c r="I505" s="53">
        <f>IF(B505="",0,IF(ISNA(VLOOKUP(A505,'600m'!F$5:J$302,2,FALSE)),0,VLOOKUP(A505,'600m'!F$5:J$302,2,FALSE)))</f>
        <v>0</v>
      </c>
      <c r="J505" s="51">
        <f>IF(B505="",0,IF(ISNA(_xlfn.XLOOKUP(A505,'600m'!F$5:F$302,'600m'!M$5:M$302)),0,_xlfn.XLOOKUP(A505,'600m'!F$5:F$302,'600m'!M$5:M$302)))</f>
        <v>0</v>
      </c>
      <c r="K505" s="51" t="str">
        <f>IF(B505="","",IF(ISNA(VLOOKUP(A505,'600m'!F$5:K$302,5,FALSE)),"",VLOOKUP(A505,'600m'!F$5:K$302,5,FALSE)))</f>
        <v/>
      </c>
      <c r="L505" s="51" t="str">
        <f>IF(B505="","",IF(ISNA(VLOOKUP(A505,LongJump!F$5:G$302,2,FALSE)),"",VLOOKUP(A505,LongJump!F$5:G$302,2,FALSE)))</f>
        <v/>
      </c>
      <c r="M505" s="51">
        <f>IF(B505="",0,IF(ISNA(_xlfn.XLOOKUP(A505,LongJump!F$5:F$302,LongJump!M$5:M$302)),0,_xlfn.XLOOKUP(A505,LongJump!F$5:F$302,LongJump!M$5:M$302)))</f>
        <v>0</v>
      </c>
      <c r="N505" s="51">
        <f>IF(B505="",0,IF(ISNA(VLOOKUP(A505,LongJump!F$5:K$302,5,FALSE)),0,VLOOKUP(A505,LongJump!F$5:K$302,5,FALSE)))</f>
        <v>0</v>
      </c>
      <c r="O505" s="51" t="str">
        <f>IF(B505="","",IF(ISNA(VLOOKUP(A505,Vortex!F$5:J$302,2,FALSE)),"",VLOOKUP(A505,Vortex!F$5:J$302,2,FALSE)))</f>
        <v/>
      </c>
      <c r="P505" s="51">
        <f>IF(B505="",0,IF(ISNA(_xlfn.XLOOKUP(A505,Vortex!F$5:F$302,Vortex!M$5:M$302)),0,_xlfn.XLOOKUP(A505,Vortex!F$5:F$302,Vortex!M$5:M$302)))</f>
        <v>0</v>
      </c>
      <c r="Q505" s="51">
        <f t="shared" si="58"/>
        <v>0</v>
      </c>
      <c r="R505" s="51" t="str">
        <f t="shared" si="59"/>
        <v/>
      </c>
      <c r="S505" s="51" t="str">
        <f t="shared" si="60"/>
        <v/>
      </c>
      <c r="T505" s="51" t="str">
        <f t="shared" si="61"/>
        <v/>
      </c>
      <c r="U505" s="51" t="str">
        <f t="shared" si="62"/>
        <v/>
      </c>
    </row>
    <row r="506" spans="1:21">
      <c r="A506" s="51" t="str">
        <f>IF(Declarations!B134=0,"",Declarations!B134)</f>
        <v/>
      </c>
      <c r="B506" s="161" t="str">
        <f>IF(ISNA(VLOOKUP(A506,Declarations!B$6:C$293,2,FALSE)),"",IF(VLOOKUP(A506,Declarations!B$6:C$293,2,FALSE)="","",VLOOKUP(A506,Declarations!B$6:C$293,2,FALSE)))</f>
        <v/>
      </c>
      <c r="C506" s="161" t="str">
        <f>IF(ISNA(VLOOKUP(A506,Declarations!B$6:F$293,5,FALSE)),"",IF(VLOOKUP(A506,Declarations!B$6:F$293,5,FALSE)="","",VLOOKUP(A506,Declarations!B$6:F$293,5,FALSE)))</f>
        <v/>
      </c>
      <c r="D506" s="161" t="str">
        <f>IF(ISNA(VLOOKUP(A506,Declarations!B$6:F$293,4,FALSE)),"",IF(VLOOKUP(A506,Declarations!B$6:F$293,4,FALSE)="","",VLOOKUP(A506,Declarations!B$6:F$293,4,FALSE)))</f>
        <v/>
      </c>
      <c r="E506" s="161" t="str">
        <f>IF(ISNA(VLOOKUP(A506,Declarations!B$6:D$293,3,FALSE)),"",IF(VLOOKUP(A506,Declarations!B$6:D$293,3,FALSE)="","",VLOOKUP(A506,Declarations!B$6:D$293,3,FALSE)))</f>
        <v/>
      </c>
      <c r="F506" s="51" t="str">
        <f>IF(B506="","",IF(ISNA(VLOOKUP(A506,'75m'!F$5:G$302,2,FALSE)),"",VLOOKUP(A506,'75m'!F$5:G$302,2,FALSE)))</f>
        <v/>
      </c>
      <c r="G506" s="51">
        <f>IF(B506="",0,IF(ISNA(_xlfn.XLOOKUP(A506,'75m'!F$5:F$302,'75m'!M$5:M$302)),0,_xlfn.XLOOKUP(A506,'75m'!F$5:F$302,'75m'!M$5:M$302)))</f>
        <v>0</v>
      </c>
      <c r="H506" s="51" t="str">
        <f>IF(B506="","",IF(ISNA(VLOOKUP(A506,'75m'!F$5:K$302,5,FALSE)),"",VLOOKUP(A506,'75m'!F$5:K$302,5,FALSE)))</f>
        <v/>
      </c>
      <c r="I506" s="53">
        <f>IF(B506="",0,IF(ISNA(VLOOKUP(A506,'600m'!F$5:J$302,2,FALSE)),0,VLOOKUP(A506,'600m'!F$5:J$302,2,FALSE)))</f>
        <v>0</v>
      </c>
      <c r="J506" s="51">
        <f>IF(B506="",0,IF(ISNA(_xlfn.XLOOKUP(A506,'600m'!F$5:F$302,'600m'!M$5:M$302)),0,_xlfn.XLOOKUP(A506,'600m'!F$5:F$302,'600m'!M$5:M$302)))</f>
        <v>0</v>
      </c>
      <c r="K506" s="51" t="str">
        <f>IF(B506="","",IF(ISNA(VLOOKUP(A506,'600m'!F$5:K$302,5,FALSE)),"",VLOOKUP(A506,'600m'!F$5:K$302,5,FALSE)))</f>
        <v/>
      </c>
      <c r="L506" s="51" t="str">
        <f>IF(B506="","",IF(ISNA(VLOOKUP(A506,LongJump!F$5:G$302,2,FALSE)),"",VLOOKUP(A506,LongJump!F$5:G$302,2,FALSE)))</f>
        <v/>
      </c>
      <c r="M506" s="51">
        <f>IF(B506="",0,IF(ISNA(_xlfn.XLOOKUP(A506,LongJump!F$5:F$302,LongJump!M$5:M$302)),0,_xlfn.XLOOKUP(A506,LongJump!F$5:F$302,LongJump!M$5:M$302)))</f>
        <v>0</v>
      </c>
      <c r="N506" s="51">
        <f>IF(B506="",0,IF(ISNA(VLOOKUP(A506,LongJump!F$5:K$302,5,FALSE)),0,VLOOKUP(A506,LongJump!F$5:K$302,5,FALSE)))</f>
        <v>0</v>
      </c>
      <c r="O506" s="51" t="str">
        <f>IF(B506="","",IF(ISNA(VLOOKUP(A506,Vortex!F$5:J$302,2,FALSE)),"",VLOOKUP(A506,Vortex!F$5:J$302,2,FALSE)))</f>
        <v/>
      </c>
      <c r="P506" s="51">
        <f>IF(B506="",0,IF(ISNA(_xlfn.XLOOKUP(A506,Vortex!F$5:F$302,Vortex!M$5:M$302)),0,_xlfn.XLOOKUP(A506,Vortex!F$5:F$302,Vortex!M$5:M$302)))</f>
        <v>0</v>
      </c>
      <c r="Q506" s="51">
        <f t="shared" si="58"/>
        <v>0</v>
      </c>
      <c r="R506" s="51" t="str">
        <f t="shared" si="59"/>
        <v/>
      </c>
      <c r="S506" s="51" t="str">
        <f t="shared" si="60"/>
        <v/>
      </c>
      <c r="T506" s="51" t="str">
        <f t="shared" si="61"/>
        <v/>
      </c>
      <c r="U506" s="51" t="str">
        <f t="shared" si="62"/>
        <v/>
      </c>
    </row>
    <row r="507" spans="1:21">
      <c r="A507" s="51" t="str">
        <f>IF(Declarations!B135=0,"",Declarations!B135)</f>
        <v/>
      </c>
      <c r="B507" s="161" t="str">
        <f>IF(ISNA(VLOOKUP(A507,Declarations!B$6:C$293,2,FALSE)),"",IF(VLOOKUP(A507,Declarations!B$6:C$293,2,FALSE)="","",VLOOKUP(A507,Declarations!B$6:C$293,2,FALSE)))</f>
        <v/>
      </c>
      <c r="C507" s="161" t="str">
        <f>IF(ISNA(VLOOKUP(A507,Declarations!B$6:F$293,5,FALSE)),"",IF(VLOOKUP(A507,Declarations!B$6:F$293,5,FALSE)="","",VLOOKUP(A507,Declarations!B$6:F$293,5,FALSE)))</f>
        <v/>
      </c>
      <c r="D507" s="161" t="str">
        <f>IF(ISNA(VLOOKUP(A507,Declarations!B$6:F$293,4,FALSE)),"",IF(VLOOKUP(A507,Declarations!B$6:F$293,4,FALSE)="","",VLOOKUP(A507,Declarations!B$6:F$293,4,FALSE)))</f>
        <v/>
      </c>
      <c r="E507" s="161" t="str">
        <f>IF(ISNA(VLOOKUP(A507,Declarations!B$6:D$293,3,FALSE)),"",IF(VLOOKUP(A507,Declarations!B$6:D$293,3,FALSE)="","",VLOOKUP(A507,Declarations!B$6:D$293,3,FALSE)))</f>
        <v/>
      </c>
      <c r="F507" s="51" t="str">
        <f>IF(B507="","",IF(ISNA(VLOOKUP(A507,'75m'!F$5:G$302,2,FALSE)),"",VLOOKUP(A507,'75m'!F$5:G$302,2,FALSE)))</f>
        <v/>
      </c>
      <c r="G507" s="51">
        <f>IF(B507="",0,IF(ISNA(_xlfn.XLOOKUP(A507,'75m'!F$5:F$302,'75m'!M$5:M$302)),0,_xlfn.XLOOKUP(A507,'75m'!F$5:F$302,'75m'!M$5:M$302)))</f>
        <v>0</v>
      </c>
      <c r="H507" s="51" t="str">
        <f>IF(B507="","",IF(ISNA(VLOOKUP(A507,'75m'!F$5:K$302,5,FALSE)),"",VLOOKUP(A507,'75m'!F$5:K$302,5,FALSE)))</f>
        <v/>
      </c>
      <c r="I507" s="53">
        <f>IF(B507="",0,IF(ISNA(VLOOKUP(A507,'600m'!F$5:J$302,2,FALSE)),0,VLOOKUP(A507,'600m'!F$5:J$302,2,FALSE)))</f>
        <v>0</v>
      </c>
      <c r="J507" s="51">
        <f>IF(B507="",0,IF(ISNA(_xlfn.XLOOKUP(A507,'600m'!F$5:F$302,'600m'!M$5:M$302)),0,_xlfn.XLOOKUP(A507,'600m'!F$5:F$302,'600m'!M$5:M$302)))</f>
        <v>0</v>
      </c>
      <c r="K507" s="51" t="str">
        <f>IF(B507="","",IF(ISNA(VLOOKUP(A507,'600m'!F$5:K$302,5,FALSE)),"",VLOOKUP(A507,'600m'!F$5:K$302,5,FALSE)))</f>
        <v/>
      </c>
      <c r="L507" s="51" t="str">
        <f>IF(B507="","",IF(ISNA(VLOOKUP(A507,LongJump!F$5:G$302,2,FALSE)),"",VLOOKUP(A507,LongJump!F$5:G$302,2,FALSE)))</f>
        <v/>
      </c>
      <c r="M507" s="51">
        <f>IF(B507="",0,IF(ISNA(_xlfn.XLOOKUP(A507,LongJump!F$5:F$302,LongJump!M$5:M$302)),0,_xlfn.XLOOKUP(A507,LongJump!F$5:F$302,LongJump!M$5:M$302)))</f>
        <v>0</v>
      </c>
      <c r="N507" s="51">
        <f>IF(B507="",0,IF(ISNA(VLOOKUP(A507,LongJump!F$5:K$302,5,FALSE)),0,VLOOKUP(A507,LongJump!F$5:K$302,5,FALSE)))</f>
        <v>0</v>
      </c>
      <c r="O507" s="51" t="str">
        <f>IF(B507="","",IF(ISNA(VLOOKUP(A507,Vortex!F$5:J$302,2,FALSE)),"",VLOOKUP(A507,Vortex!F$5:J$302,2,FALSE)))</f>
        <v/>
      </c>
      <c r="P507" s="51">
        <f>IF(B507="",0,IF(ISNA(_xlfn.XLOOKUP(A507,Vortex!F$5:F$302,Vortex!M$5:M$302)),0,_xlfn.XLOOKUP(A507,Vortex!F$5:F$302,Vortex!M$5:M$302)))</f>
        <v>0</v>
      </c>
      <c r="Q507" s="51">
        <f t="shared" ref="Q507:Q570" si="63">G507+J507+M507+P507</f>
        <v>0</v>
      </c>
      <c r="R507" s="51" t="str">
        <f t="shared" ref="R507:R570" si="64">IF(OR($Q507=0,$E507&lt;&gt;"U10"),"",COUNTIFS($C$378:$C$665, $C507, $D$378:$D$665, $D507, $E$378:$E$665, $E507, $Q$378:$Q$665,"&gt;"&amp;$Q507)+1)</f>
        <v/>
      </c>
      <c r="S507" s="51" t="str">
        <f t="shared" ref="S507:S570" si="65">IF(OR($Q507=0,$E507&lt;&gt;"U12"),"",COUNTIFS($C$378:$C$665, $C507, $D$378:$D$665, $D507, $E$378:$E$665, $E507, $Q$378:$Q$665,"&gt;"&amp;$Q507)+1)</f>
        <v/>
      </c>
      <c r="T507" s="51" t="str">
        <f t="shared" ref="T507:T570" si="66">IF(OR($Q507=0,$E507&lt;&gt;"U10"),"",COUNTIFS($D$378:$D$665, $D507,$E$378:$E$665,$E507,$Q$378:$Q$665,"&gt;"&amp;$Q507)+1)</f>
        <v/>
      </c>
      <c r="U507" s="51" t="str">
        <f t="shared" ref="U507:U570" si="67">IF(OR($Q507=0,$E507&lt;&gt;"U12"),"",COUNTIFS($D$378:$D$665, $D507,$E$378:$E$665,$E507,$Q$378:$Q$665,"&gt;"&amp;$Q507)+1)</f>
        <v/>
      </c>
    </row>
    <row r="508" spans="1:21">
      <c r="A508" s="51" t="str">
        <f>IF(Declarations!B136=0,"",Declarations!B136)</f>
        <v/>
      </c>
      <c r="B508" s="161" t="str">
        <f>IF(ISNA(VLOOKUP(A508,Declarations!B$6:C$293,2,FALSE)),"",IF(VLOOKUP(A508,Declarations!B$6:C$293,2,FALSE)="","",VLOOKUP(A508,Declarations!B$6:C$293,2,FALSE)))</f>
        <v/>
      </c>
      <c r="C508" s="161" t="str">
        <f>IF(ISNA(VLOOKUP(A508,Declarations!B$6:F$293,5,FALSE)),"",IF(VLOOKUP(A508,Declarations!B$6:F$293,5,FALSE)="","",VLOOKUP(A508,Declarations!B$6:F$293,5,FALSE)))</f>
        <v/>
      </c>
      <c r="D508" s="161" t="str">
        <f>IF(ISNA(VLOOKUP(A508,Declarations!B$6:F$293,4,FALSE)),"",IF(VLOOKUP(A508,Declarations!B$6:F$293,4,FALSE)="","",VLOOKUP(A508,Declarations!B$6:F$293,4,FALSE)))</f>
        <v/>
      </c>
      <c r="E508" s="161" t="str">
        <f>IF(ISNA(VLOOKUP(A508,Declarations!B$6:D$293,3,FALSE)),"",IF(VLOOKUP(A508,Declarations!B$6:D$293,3,FALSE)="","",VLOOKUP(A508,Declarations!B$6:D$293,3,FALSE)))</f>
        <v/>
      </c>
      <c r="F508" s="51" t="str">
        <f>IF(B508="","",IF(ISNA(VLOOKUP(A508,'75m'!F$5:G$302,2,FALSE)),"",VLOOKUP(A508,'75m'!F$5:G$302,2,FALSE)))</f>
        <v/>
      </c>
      <c r="G508" s="51">
        <f>IF(B508="",0,IF(ISNA(_xlfn.XLOOKUP(A508,'75m'!F$5:F$302,'75m'!M$5:M$302)),0,_xlfn.XLOOKUP(A508,'75m'!F$5:F$302,'75m'!M$5:M$302)))</f>
        <v>0</v>
      </c>
      <c r="H508" s="51" t="str">
        <f>IF(B508="","",IF(ISNA(VLOOKUP(A508,'75m'!F$5:K$302,5,FALSE)),"",VLOOKUP(A508,'75m'!F$5:K$302,5,FALSE)))</f>
        <v/>
      </c>
      <c r="I508" s="53">
        <f>IF(B508="",0,IF(ISNA(VLOOKUP(A508,'600m'!F$5:J$302,2,FALSE)),0,VLOOKUP(A508,'600m'!F$5:J$302,2,FALSE)))</f>
        <v>0</v>
      </c>
      <c r="J508" s="51">
        <f>IF(B508="",0,IF(ISNA(_xlfn.XLOOKUP(A508,'600m'!F$5:F$302,'600m'!M$5:M$302)),0,_xlfn.XLOOKUP(A508,'600m'!F$5:F$302,'600m'!M$5:M$302)))</f>
        <v>0</v>
      </c>
      <c r="K508" s="51" t="str">
        <f>IF(B508="","",IF(ISNA(VLOOKUP(A508,'600m'!F$5:K$302,5,FALSE)),"",VLOOKUP(A508,'600m'!F$5:K$302,5,FALSE)))</f>
        <v/>
      </c>
      <c r="L508" s="51" t="str">
        <f>IF(B508="","",IF(ISNA(VLOOKUP(A508,LongJump!F$5:G$302,2,FALSE)),"",VLOOKUP(A508,LongJump!F$5:G$302,2,FALSE)))</f>
        <v/>
      </c>
      <c r="M508" s="51">
        <f>IF(B508="",0,IF(ISNA(_xlfn.XLOOKUP(A508,LongJump!F$5:F$302,LongJump!M$5:M$302)),0,_xlfn.XLOOKUP(A508,LongJump!F$5:F$302,LongJump!M$5:M$302)))</f>
        <v>0</v>
      </c>
      <c r="N508" s="51">
        <f>IF(B508="",0,IF(ISNA(VLOOKUP(A508,LongJump!F$5:K$302,5,FALSE)),0,VLOOKUP(A508,LongJump!F$5:K$302,5,FALSE)))</f>
        <v>0</v>
      </c>
      <c r="O508" s="51" t="str">
        <f>IF(B508="","",IF(ISNA(VLOOKUP(A508,Vortex!F$5:J$302,2,FALSE)),"",VLOOKUP(A508,Vortex!F$5:J$302,2,FALSE)))</f>
        <v/>
      </c>
      <c r="P508" s="51">
        <f>IF(B508="",0,IF(ISNA(_xlfn.XLOOKUP(A508,Vortex!F$5:F$302,Vortex!M$5:M$302)),0,_xlfn.XLOOKUP(A508,Vortex!F$5:F$302,Vortex!M$5:M$302)))</f>
        <v>0</v>
      </c>
      <c r="Q508" s="51">
        <f t="shared" si="63"/>
        <v>0</v>
      </c>
      <c r="R508" s="51" t="str">
        <f t="shared" si="64"/>
        <v/>
      </c>
      <c r="S508" s="51" t="str">
        <f t="shared" si="65"/>
        <v/>
      </c>
      <c r="T508" s="51" t="str">
        <f t="shared" si="66"/>
        <v/>
      </c>
      <c r="U508" s="51" t="str">
        <f t="shared" si="67"/>
        <v/>
      </c>
    </row>
    <row r="509" spans="1:21">
      <c r="A509" s="51" t="str">
        <f>IF(Declarations!B137=0,"",Declarations!B137)</f>
        <v/>
      </c>
      <c r="B509" s="161" t="str">
        <f>IF(ISNA(VLOOKUP(A509,Declarations!B$6:C$293,2,FALSE)),"",IF(VLOOKUP(A509,Declarations!B$6:C$293,2,FALSE)="","",VLOOKUP(A509,Declarations!B$6:C$293,2,FALSE)))</f>
        <v/>
      </c>
      <c r="C509" s="161" t="str">
        <f>IF(ISNA(VLOOKUP(A509,Declarations!B$6:F$293,5,FALSE)),"",IF(VLOOKUP(A509,Declarations!B$6:F$293,5,FALSE)="","",VLOOKUP(A509,Declarations!B$6:F$293,5,FALSE)))</f>
        <v/>
      </c>
      <c r="D509" s="161" t="str">
        <f>IF(ISNA(VLOOKUP(A509,Declarations!B$6:F$293,4,FALSE)),"",IF(VLOOKUP(A509,Declarations!B$6:F$293,4,FALSE)="","",VLOOKUP(A509,Declarations!B$6:F$293,4,FALSE)))</f>
        <v/>
      </c>
      <c r="E509" s="161" t="str">
        <f>IF(ISNA(VLOOKUP(A509,Declarations!B$6:D$293,3,FALSE)),"",IF(VLOOKUP(A509,Declarations!B$6:D$293,3,FALSE)="","",VLOOKUP(A509,Declarations!B$6:D$293,3,FALSE)))</f>
        <v/>
      </c>
      <c r="F509" s="51" t="str">
        <f>IF(B509="","",IF(ISNA(VLOOKUP(A509,'75m'!F$5:G$302,2,FALSE)),"",VLOOKUP(A509,'75m'!F$5:G$302,2,FALSE)))</f>
        <v/>
      </c>
      <c r="G509" s="51">
        <f>IF(B509="",0,IF(ISNA(_xlfn.XLOOKUP(A509,'75m'!F$5:F$302,'75m'!M$5:M$302)),0,_xlfn.XLOOKUP(A509,'75m'!F$5:F$302,'75m'!M$5:M$302)))</f>
        <v>0</v>
      </c>
      <c r="H509" s="51" t="str">
        <f>IF(B509="","",IF(ISNA(VLOOKUP(A509,'75m'!F$5:K$302,5,FALSE)),"",VLOOKUP(A509,'75m'!F$5:K$302,5,FALSE)))</f>
        <v/>
      </c>
      <c r="I509" s="53">
        <f>IF(B509="",0,IF(ISNA(VLOOKUP(A509,'600m'!F$5:J$302,2,FALSE)),0,VLOOKUP(A509,'600m'!F$5:J$302,2,FALSE)))</f>
        <v>0</v>
      </c>
      <c r="J509" s="51">
        <f>IF(B509="",0,IF(ISNA(_xlfn.XLOOKUP(A509,'600m'!F$5:F$302,'600m'!M$5:M$302)),0,_xlfn.XLOOKUP(A509,'600m'!F$5:F$302,'600m'!M$5:M$302)))</f>
        <v>0</v>
      </c>
      <c r="K509" s="51" t="str">
        <f>IF(B509="","",IF(ISNA(VLOOKUP(A509,'600m'!F$5:K$302,5,FALSE)),"",VLOOKUP(A509,'600m'!F$5:K$302,5,FALSE)))</f>
        <v/>
      </c>
      <c r="L509" s="51" t="str">
        <f>IF(B509="","",IF(ISNA(VLOOKUP(A509,LongJump!F$5:G$302,2,FALSE)),"",VLOOKUP(A509,LongJump!F$5:G$302,2,FALSE)))</f>
        <v/>
      </c>
      <c r="M509" s="51">
        <f>IF(B509="",0,IF(ISNA(_xlfn.XLOOKUP(A509,LongJump!F$5:F$302,LongJump!M$5:M$302)),0,_xlfn.XLOOKUP(A509,LongJump!F$5:F$302,LongJump!M$5:M$302)))</f>
        <v>0</v>
      </c>
      <c r="N509" s="51">
        <f>IF(B509="",0,IF(ISNA(VLOOKUP(A509,LongJump!F$5:K$302,5,FALSE)),0,VLOOKUP(A509,LongJump!F$5:K$302,5,FALSE)))</f>
        <v>0</v>
      </c>
      <c r="O509" s="51" t="str">
        <f>IF(B509="","",IF(ISNA(VLOOKUP(A509,Vortex!F$5:J$302,2,FALSE)),"",VLOOKUP(A509,Vortex!F$5:J$302,2,FALSE)))</f>
        <v/>
      </c>
      <c r="P509" s="51">
        <f>IF(B509="",0,IF(ISNA(_xlfn.XLOOKUP(A509,Vortex!F$5:F$302,Vortex!M$5:M$302)),0,_xlfn.XLOOKUP(A509,Vortex!F$5:F$302,Vortex!M$5:M$302)))</f>
        <v>0</v>
      </c>
      <c r="Q509" s="51">
        <f t="shared" si="63"/>
        <v>0</v>
      </c>
      <c r="R509" s="51" t="str">
        <f t="shared" si="64"/>
        <v/>
      </c>
      <c r="S509" s="51" t="str">
        <f t="shared" si="65"/>
        <v/>
      </c>
      <c r="T509" s="51" t="str">
        <f t="shared" si="66"/>
        <v/>
      </c>
      <c r="U509" s="51" t="str">
        <f t="shared" si="67"/>
        <v/>
      </c>
    </row>
    <row r="510" spans="1:21">
      <c r="A510" s="51" t="str">
        <f>IF(Declarations!B138=0,"",Declarations!B138)</f>
        <v/>
      </c>
      <c r="B510" s="161" t="str">
        <f>IF(ISNA(VLOOKUP(A510,Declarations!B$6:C$293,2,FALSE)),"",IF(VLOOKUP(A510,Declarations!B$6:C$293,2,FALSE)="","",VLOOKUP(A510,Declarations!B$6:C$293,2,FALSE)))</f>
        <v/>
      </c>
      <c r="C510" s="161" t="str">
        <f>IF(ISNA(VLOOKUP(A510,Declarations!B$6:F$293,5,FALSE)),"",IF(VLOOKUP(A510,Declarations!B$6:F$293,5,FALSE)="","",VLOOKUP(A510,Declarations!B$6:F$293,5,FALSE)))</f>
        <v/>
      </c>
      <c r="D510" s="161" t="str">
        <f>IF(ISNA(VLOOKUP(A510,Declarations!B$6:F$293,4,FALSE)),"",IF(VLOOKUP(A510,Declarations!B$6:F$293,4,FALSE)="","",VLOOKUP(A510,Declarations!B$6:F$293,4,FALSE)))</f>
        <v/>
      </c>
      <c r="E510" s="161" t="str">
        <f>IF(ISNA(VLOOKUP(A510,Declarations!B$6:D$293,3,FALSE)),"",IF(VLOOKUP(A510,Declarations!B$6:D$293,3,FALSE)="","",VLOOKUP(A510,Declarations!B$6:D$293,3,FALSE)))</f>
        <v/>
      </c>
      <c r="F510" s="51" t="str">
        <f>IF(B510="","",IF(ISNA(VLOOKUP(A510,'75m'!F$5:G$302,2,FALSE)),"",VLOOKUP(A510,'75m'!F$5:G$302,2,FALSE)))</f>
        <v/>
      </c>
      <c r="G510" s="51">
        <f>IF(B510="",0,IF(ISNA(_xlfn.XLOOKUP(A510,'75m'!F$5:F$302,'75m'!M$5:M$302)),0,_xlfn.XLOOKUP(A510,'75m'!F$5:F$302,'75m'!M$5:M$302)))</f>
        <v>0</v>
      </c>
      <c r="H510" s="51" t="str">
        <f>IF(B510="","",IF(ISNA(VLOOKUP(A510,'75m'!F$5:K$302,5,FALSE)),"",VLOOKUP(A510,'75m'!F$5:K$302,5,FALSE)))</f>
        <v/>
      </c>
      <c r="I510" s="53">
        <f>IF(B510="",0,IF(ISNA(VLOOKUP(A510,'600m'!F$5:J$302,2,FALSE)),0,VLOOKUP(A510,'600m'!F$5:J$302,2,FALSE)))</f>
        <v>0</v>
      </c>
      <c r="J510" s="51">
        <f>IF(B510="",0,IF(ISNA(_xlfn.XLOOKUP(A510,'600m'!F$5:F$302,'600m'!M$5:M$302)),0,_xlfn.XLOOKUP(A510,'600m'!F$5:F$302,'600m'!M$5:M$302)))</f>
        <v>0</v>
      </c>
      <c r="K510" s="51" t="str">
        <f>IF(B510="","",IF(ISNA(VLOOKUP(A510,'600m'!F$5:K$302,5,FALSE)),"",VLOOKUP(A510,'600m'!F$5:K$302,5,FALSE)))</f>
        <v/>
      </c>
      <c r="L510" s="51" t="str">
        <f>IF(B510="","",IF(ISNA(VLOOKUP(A510,LongJump!F$5:G$302,2,FALSE)),"",VLOOKUP(A510,LongJump!F$5:G$302,2,FALSE)))</f>
        <v/>
      </c>
      <c r="M510" s="51">
        <f>IF(B510="",0,IF(ISNA(_xlfn.XLOOKUP(A510,LongJump!F$5:F$302,LongJump!M$5:M$302)),0,_xlfn.XLOOKUP(A510,LongJump!F$5:F$302,LongJump!M$5:M$302)))</f>
        <v>0</v>
      </c>
      <c r="N510" s="51">
        <f>IF(B510="",0,IF(ISNA(VLOOKUP(A510,LongJump!F$5:K$302,5,FALSE)),0,VLOOKUP(A510,LongJump!F$5:K$302,5,FALSE)))</f>
        <v>0</v>
      </c>
      <c r="O510" s="51" t="str">
        <f>IF(B510="","",IF(ISNA(VLOOKUP(A510,Vortex!F$5:J$302,2,FALSE)),"",VLOOKUP(A510,Vortex!F$5:J$302,2,FALSE)))</f>
        <v/>
      </c>
      <c r="P510" s="51">
        <f>IF(B510="",0,IF(ISNA(_xlfn.XLOOKUP(A510,Vortex!F$5:F$302,Vortex!M$5:M$302)),0,_xlfn.XLOOKUP(A510,Vortex!F$5:F$302,Vortex!M$5:M$302)))</f>
        <v>0</v>
      </c>
      <c r="Q510" s="51">
        <f t="shared" si="63"/>
        <v>0</v>
      </c>
      <c r="R510" s="51" t="str">
        <f t="shared" si="64"/>
        <v/>
      </c>
      <c r="S510" s="51" t="str">
        <f t="shared" si="65"/>
        <v/>
      </c>
      <c r="T510" s="51" t="str">
        <f t="shared" si="66"/>
        <v/>
      </c>
      <c r="U510" s="51" t="str">
        <f t="shared" si="67"/>
        <v/>
      </c>
    </row>
    <row r="511" spans="1:21">
      <c r="A511" s="51" t="str">
        <f>IF(Declarations!B139=0,"",Declarations!B139)</f>
        <v/>
      </c>
      <c r="B511" s="161" t="str">
        <f>IF(ISNA(VLOOKUP(A511,Declarations!B$6:C$293,2,FALSE)),"",IF(VLOOKUP(A511,Declarations!B$6:C$293,2,FALSE)="","",VLOOKUP(A511,Declarations!B$6:C$293,2,FALSE)))</f>
        <v/>
      </c>
      <c r="C511" s="161" t="str">
        <f>IF(ISNA(VLOOKUP(A511,Declarations!B$6:F$293,5,FALSE)),"",IF(VLOOKUP(A511,Declarations!B$6:F$293,5,FALSE)="","",VLOOKUP(A511,Declarations!B$6:F$293,5,FALSE)))</f>
        <v/>
      </c>
      <c r="D511" s="161" t="str">
        <f>IF(ISNA(VLOOKUP(A511,Declarations!B$6:F$293,4,FALSE)),"",IF(VLOOKUP(A511,Declarations!B$6:F$293,4,FALSE)="","",VLOOKUP(A511,Declarations!B$6:F$293,4,FALSE)))</f>
        <v/>
      </c>
      <c r="E511" s="161" t="str">
        <f>IF(ISNA(VLOOKUP(A511,Declarations!B$6:D$293,3,FALSE)),"",IF(VLOOKUP(A511,Declarations!B$6:D$293,3,FALSE)="","",VLOOKUP(A511,Declarations!B$6:D$293,3,FALSE)))</f>
        <v/>
      </c>
      <c r="F511" s="51" t="str">
        <f>IF(B511="","",IF(ISNA(VLOOKUP(A511,'75m'!F$5:G$302,2,FALSE)),"",VLOOKUP(A511,'75m'!F$5:G$302,2,FALSE)))</f>
        <v/>
      </c>
      <c r="G511" s="51">
        <f>IF(B511="",0,IF(ISNA(_xlfn.XLOOKUP(A511,'75m'!F$5:F$302,'75m'!M$5:M$302)),0,_xlfn.XLOOKUP(A511,'75m'!F$5:F$302,'75m'!M$5:M$302)))</f>
        <v>0</v>
      </c>
      <c r="H511" s="51" t="str">
        <f>IF(B511="","",IF(ISNA(VLOOKUP(A511,'75m'!F$5:K$302,5,FALSE)),"",VLOOKUP(A511,'75m'!F$5:K$302,5,FALSE)))</f>
        <v/>
      </c>
      <c r="I511" s="53">
        <f>IF(B511="",0,IF(ISNA(VLOOKUP(A511,'600m'!F$5:J$302,2,FALSE)),0,VLOOKUP(A511,'600m'!F$5:J$302,2,FALSE)))</f>
        <v>0</v>
      </c>
      <c r="J511" s="51">
        <f>IF(B511="",0,IF(ISNA(_xlfn.XLOOKUP(A511,'600m'!F$5:F$302,'600m'!M$5:M$302)),0,_xlfn.XLOOKUP(A511,'600m'!F$5:F$302,'600m'!M$5:M$302)))</f>
        <v>0</v>
      </c>
      <c r="K511" s="51" t="str">
        <f>IF(B511="","",IF(ISNA(VLOOKUP(A511,'600m'!F$5:K$302,5,FALSE)),"",VLOOKUP(A511,'600m'!F$5:K$302,5,FALSE)))</f>
        <v/>
      </c>
      <c r="L511" s="51" t="str">
        <f>IF(B511="","",IF(ISNA(VLOOKUP(A511,LongJump!F$5:G$302,2,FALSE)),"",VLOOKUP(A511,LongJump!F$5:G$302,2,FALSE)))</f>
        <v/>
      </c>
      <c r="M511" s="51">
        <f>IF(B511="",0,IF(ISNA(_xlfn.XLOOKUP(A511,LongJump!F$5:F$302,LongJump!M$5:M$302)),0,_xlfn.XLOOKUP(A511,LongJump!F$5:F$302,LongJump!M$5:M$302)))</f>
        <v>0</v>
      </c>
      <c r="N511" s="51">
        <f>IF(B511="",0,IF(ISNA(VLOOKUP(A511,LongJump!F$5:K$302,5,FALSE)),0,VLOOKUP(A511,LongJump!F$5:K$302,5,FALSE)))</f>
        <v>0</v>
      </c>
      <c r="O511" s="51" t="str">
        <f>IF(B511="","",IF(ISNA(VLOOKUP(A511,Vortex!F$5:J$302,2,FALSE)),"",VLOOKUP(A511,Vortex!F$5:J$302,2,FALSE)))</f>
        <v/>
      </c>
      <c r="P511" s="51">
        <f>IF(B511="",0,IF(ISNA(_xlfn.XLOOKUP(A511,Vortex!F$5:F$302,Vortex!M$5:M$302)),0,_xlfn.XLOOKUP(A511,Vortex!F$5:F$302,Vortex!M$5:M$302)))</f>
        <v>0</v>
      </c>
      <c r="Q511" s="51">
        <f t="shared" si="63"/>
        <v>0</v>
      </c>
      <c r="R511" s="51" t="str">
        <f t="shared" si="64"/>
        <v/>
      </c>
      <c r="S511" s="51" t="str">
        <f t="shared" si="65"/>
        <v/>
      </c>
      <c r="T511" s="51" t="str">
        <f t="shared" si="66"/>
        <v/>
      </c>
      <c r="U511" s="51" t="str">
        <f t="shared" si="67"/>
        <v/>
      </c>
    </row>
    <row r="512" spans="1:21">
      <c r="A512" s="51" t="str">
        <f>IF(Declarations!B140=0,"",Declarations!B140)</f>
        <v/>
      </c>
      <c r="B512" s="161" t="str">
        <f>IF(ISNA(VLOOKUP(A512,Declarations!B$6:C$293,2,FALSE)),"",IF(VLOOKUP(A512,Declarations!B$6:C$293,2,FALSE)="","",VLOOKUP(A512,Declarations!B$6:C$293,2,FALSE)))</f>
        <v/>
      </c>
      <c r="C512" s="161" t="str">
        <f>IF(ISNA(VLOOKUP(A512,Declarations!B$6:F$293,5,FALSE)),"",IF(VLOOKUP(A512,Declarations!B$6:F$293,5,FALSE)="","",VLOOKUP(A512,Declarations!B$6:F$293,5,FALSE)))</f>
        <v/>
      </c>
      <c r="D512" s="161" t="str">
        <f>IF(ISNA(VLOOKUP(A512,Declarations!B$6:F$293,4,FALSE)),"",IF(VLOOKUP(A512,Declarations!B$6:F$293,4,FALSE)="","",VLOOKUP(A512,Declarations!B$6:F$293,4,FALSE)))</f>
        <v/>
      </c>
      <c r="E512" s="161" t="str">
        <f>IF(ISNA(VLOOKUP(A512,Declarations!B$6:D$293,3,FALSE)),"",IF(VLOOKUP(A512,Declarations!B$6:D$293,3,FALSE)="","",VLOOKUP(A512,Declarations!B$6:D$293,3,FALSE)))</f>
        <v/>
      </c>
      <c r="F512" s="51" t="str">
        <f>IF(B512="","",IF(ISNA(VLOOKUP(A512,'75m'!F$5:G$302,2,FALSE)),"",VLOOKUP(A512,'75m'!F$5:G$302,2,FALSE)))</f>
        <v/>
      </c>
      <c r="G512" s="51">
        <f>IF(B512="",0,IF(ISNA(_xlfn.XLOOKUP(A512,'75m'!F$5:F$302,'75m'!M$5:M$302)),0,_xlfn.XLOOKUP(A512,'75m'!F$5:F$302,'75m'!M$5:M$302)))</f>
        <v>0</v>
      </c>
      <c r="H512" s="51" t="str">
        <f>IF(B512="","",IF(ISNA(VLOOKUP(A512,'75m'!F$5:K$302,5,FALSE)),"",VLOOKUP(A512,'75m'!F$5:K$302,5,FALSE)))</f>
        <v/>
      </c>
      <c r="I512" s="53">
        <f>IF(B512="",0,IF(ISNA(VLOOKUP(A512,'600m'!F$5:J$302,2,FALSE)),0,VLOOKUP(A512,'600m'!F$5:J$302,2,FALSE)))</f>
        <v>0</v>
      </c>
      <c r="J512" s="51">
        <f>IF(B512="",0,IF(ISNA(_xlfn.XLOOKUP(A512,'600m'!F$5:F$302,'600m'!M$5:M$302)),0,_xlfn.XLOOKUP(A512,'600m'!F$5:F$302,'600m'!M$5:M$302)))</f>
        <v>0</v>
      </c>
      <c r="K512" s="51" t="str">
        <f>IF(B512="","",IF(ISNA(VLOOKUP(A512,'600m'!F$5:K$302,5,FALSE)),"",VLOOKUP(A512,'600m'!F$5:K$302,5,FALSE)))</f>
        <v/>
      </c>
      <c r="L512" s="51" t="str">
        <f>IF(B512="","",IF(ISNA(VLOOKUP(A512,LongJump!F$5:G$302,2,FALSE)),"",VLOOKUP(A512,LongJump!F$5:G$302,2,FALSE)))</f>
        <v/>
      </c>
      <c r="M512" s="51">
        <f>IF(B512="",0,IF(ISNA(_xlfn.XLOOKUP(A512,LongJump!F$5:F$302,LongJump!M$5:M$302)),0,_xlfn.XLOOKUP(A512,LongJump!F$5:F$302,LongJump!M$5:M$302)))</f>
        <v>0</v>
      </c>
      <c r="N512" s="51">
        <f>IF(B512="",0,IF(ISNA(VLOOKUP(A512,LongJump!F$5:K$302,5,FALSE)),0,VLOOKUP(A512,LongJump!F$5:K$302,5,FALSE)))</f>
        <v>0</v>
      </c>
      <c r="O512" s="51" t="str">
        <f>IF(B512="","",IF(ISNA(VLOOKUP(A512,Vortex!F$5:J$302,2,FALSE)),"",VLOOKUP(A512,Vortex!F$5:J$302,2,FALSE)))</f>
        <v/>
      </c>
      <c r="P512" s="51">
        <f>IF(B512="",0,IF(ISNA(_xlfn.XLOOKUP(A512,Vortex!F$5:F$302,Vortex!M$5:M$302)),0,_xlfn.XLOOKUP(A512,Vortex!F$5:F$302,Vortex!M$5:M$302)))</f>
        <v>0</v>
      </c>
      <c r="Q512" s="51">
        <f t="shared" si="63"/>
        <v>0</v>
      </c>
      <c r="R512" s="51" t="str">
        <f t="shared" si="64"/>
        <v/>
      </c>
      <c r="S512" s="51" t="str">
        <f t="shared" si="65"/>
        <v/>
      </c>
      <c r="T512" s="51" t="str">
        <f t="shared" si="66"/>
        <v/>
      </c>
      <c r="U512" s="51" t="str">
        <f t="shared" si="67"/>
        <v/>
      </c>
    </row>
    <row r="513" spans="1:21">
      <c r="A513" s="51" t="str">
        <f>IF(Declarations!B141=0,"",Declarations!B141)</f>
        <v/>
      </c>
      <c r="B513" s="161" t="str">
        <f>IF(ISNA(VLOOKUP(A513,Declarations!B$6:C$293,2,FALSE)),"",IF(VLOOKUP(A513,Declarations!B$6:C$293,2,FALSE)="","",VLOOKUP(A513,Declarations!B$6:C$293,2,FALSE)))</f>
        <v/>
      </c>
      <c r="C513" s="161" t="str">
        <f>IF(ISNA(VLOOKUP(A513,Declarations!B$6:F$293,5,FALSE)),"",IF(VLOOKUP(A513,Declarations!B$6:F$293,5,FALSE)="","",VLOOKUP(A513,Declarations!B$6:F$293,5,FALSE)))</f>
        <v/>
      </c>
      <c r="D513" s="161" t="str">
        <f>IF(ISNA(VLOOKUP(A513,Declarations!B$6:F$293,4,FALSE)),"",IF(VLOOKUP(A513,Declarations!B$6:F$293,4,FALSE)="","",VLOOKUP(A513,Declarations!B$6:F$293,4,FALSE)))</f>
        <v/>
      </c>
      <c r="E513" s="161" t="str">
        <f>IF(ISNA(VLOOKUP(A513,Declarations!B$6:D$293,3,FALSE)),"",IF(VLOOKUP(A513,Declarations!B$6:D$293,3,FALSE)="","",VLOOKUP(A513,Declarations!B$6:D$293,3,FALSE)))</f>
        <v/>
      </c>
      <c r="F513" s="51" t="str">
        <f>IF(B513="","",IF(ISNA(VLOOKUP(A513,'75m'!F$5:G$302,2,FALSE)),"",VLOOKUP(A513,'75m'!F$5:G$302,2,FALSE)))</f>
        <v/>
      </c>
      <c r="G513" s="51">
        <f>IF(B513="",0,IF(ISNA(_xlfn.XLOOKUP(A513,'75m'!F$5:F$302,'75m'!M$5:M$302)),0,_xlfn.XLOOKUP(A513,'75m'!F$5:F$302,'75m'!M$5:M$302)))</f>
        <v>0</v>
      </c>
      <c r="H513" s="51" t="str">
        <f>IF(B513="","",IF(ISNA(VLOOKUP(A513,'75m'!F$5:K$302,5,FALSE)),"",VLOOKUP(A513,'75m'!F$5:K$302,5,FALSE)))</f>
        <v/>
      </c>
      <c r="I513" s="53">
        <f>IF(B513="",0,IF(ISNA(VLOOKUP(A513,'600m'!F$5:J$302,2,FALSE)),0,VLOOKUP(A513,'600m'!F$5:J$302,2,FALSE)))</f>
        <v>0</v>
      </c>
      <c r="J513" s="51">
        <f>IF(B513="",0,IF(ISNA(_xlfn.XLOOKUP(A513,'600m'!F$5:F$302,'600m'!M$5:M$302)),0,_xlfn.XLOOKUP(A513,'600m'!F$5:F$302,'600m'!M$5:M$302)))</f>
        <v>0</v>
      </c>
      <c r="K513" s="51" t="str">
        <f>IF(B513="","",IF(ISNA(VLOOKUP(A513,'600m'!F$5:K$302,5,FALSE)),"",VLOOKUP(A513,'600m'!F$5:K$302,5,FALSE)))</f>
        <v/>
      </c>
      <c r="L513" s="51" t="str">
        <f>IF(B513="","",IF(ISNA(VLOOKUP(A513,LongJump!F$5:G$302,2,FALSE)),"",VLOOKUP(A513,LongJump!F$5:G$302,2,FALSE)))</f>
        <v/>
      </c>
      <c r="M513" s="51">
        <f>IF(B513="",0,IF(ISNA(_xlfn.XLOOKUP(A513,LongJump!F$5:F$302,LongJump!M$5:M$302)),0,_xlfn.XLOOKUP(A513,LongJump!F$5:F$302,LongJump!M$5:M$302)))</f>
        <v>0</v>
      </c>
      <c r="N513" s="51">
        <f>IF(B513="",0,IF(ISNA(VLOOKUP(A513,LongJump!F$5:K$302,5,FALSE)),0,VLOOKUP(A513,LongJump!F$5:K$302,5,FALSE)))</f>
        <v>0</v>
      </c>
      <c r="O513" s="51" t="str">
        <f>IF(B513="","",IF(ISNA(VLOOKUP(A513,Vortex!F$5:J$302,2,FALSE)),"",VLOOKUP(A513,Vortex!F$5:J$302,2,FALSE)))</f>
        <v/>
      </c>
      <c r="P513" s="51">
        <f>IF(B513="",0,IF(ISNA(_xlfn.XLOOKUP(A513,Vortex!F$5:F$302,Vortex!M$5:M$302)),0,_xlfn.XLOOKUP(A513,Vortex!F$5:F$302,Vortex!M$5:M$302)))</f>
        <v>0</v>
      </c>
      <c r="Q513" s="51">
        <f t="shared" si="63"/>
        <v>0</v>
      </c>
      <c r="R513" s="51" t="str">
        <f t="shared" si="64"/>
        <v/>
      </c>
      <c r="S513" s="51" t="str">
        <f t="shared" si="65"/>
        <v/>
      </c>
      <c r="T513" s="51" t="str">
        <f t="shared" si="66"/>
        <v/>
      </c>
      <c r="U513" s="51" t="str">
        <f t="shared" si="67"/>
        <v/>
      </c>
    </row>
    <row r="514" spans="1:21">
      <c r="A514" s="51" t="str">
        <f>IF(Declarations!B142=0,"",Declarations!B142)</f>
        <v/>
      </c>
      <c r="B514" s="161" t="str">
        <f>IF(ISNA(VLOOKUP(A514,Declarations!B$6:C$293,2,FALSE)),"",IF(VLOOKUP(A514,Declarations!B$6:C$293,2,FALSE)="","",VLOOKUP(A514,Declarations!B$6:C$293,2,FALSE)))</f>
        <v/>
      </c>
      <c r="C514" s="161" t="str">
        <f>IF(ISNA(VLOOKUP(A514,Declarations!B$6:F$293,5,FALSE)),"",IF(VLOOKUP(A514,Declarations!B$6:F$293,5,FALSE)="","",VLOOKUP(A514,Declarations!B$6:F$293,5,FALSE)))</f>
        <v/>
      </c>
      <c r="D514" s="161" t="str">
        <f>IF(ISNA(VLOOKUP(A514,Declarations!B$6:F$293,4,FALSE)),"",IF(VLOOKUP(A514,Declarations!B$6:F$293,4,FALSE)="","",VLOOKUP(A514,Declarations!B$6:F$293,4,FALSE)))</f>
        <v/>
      </c>
      <c r="E514" s="161" t="str">
        <f>IF(ISNA(VLOOKUP(A514,Declarations!B$6:D$293,3,FALSE)),"",IF(VLOOKUP(A514,Declarations!B$6:D$293,3,FALSE)="","",VLOOKUP(A514,Declarations!B$6:D$293,3,FALSE)))</f>
        <v/>
      </c>
      <c r="F514" s="51" t="str">
        <f>IF(B514="","",IF(ISNA(VLOOKUP(A514,'75m'!F$5:G$302,2,FALSE)),"",VLOOKUP(A514,'75m'!F$5:G$302,2,FALSE)))</f>
        <v/>
      </c>
      <c r="G514" s="51">
        <f>IF(B514="",0,IF(ISNA(_xlfn.XLOOKUP(A514,'75m'!F$5:F$302,'75m'!M$5:M$302)),0,_xlfn.XLOOKUP(A514,'75m'!F$5:F$302,'75m'!M$5:M$302)))</f>
        <v>0</v>
      </c>
      <c r="H514" s="51" t="str">
        <f>IF(B514="","",IF(ISNA(VLOOKUP(A514,'75m'!F$5:K$302,5,FALSE)),"",VLOOKUP(A514,'75m'!F$5:K$302,5,FALSE)))</f>
        <v/>
      </c>
      <c r="I514" s="53">
        <f>IF(B514="",0,IF(ISNA(VLOOKUP(A514,'600m'!F$5:J$302,2,FALSE)),0,VLOOKUP(A514,'600m'!F$5:J$302,2,FALSE)))</f>
        <v>0</v>
      </c>
      <c r="J514" s="51">
        <f>IF(B514="",0,IF(ISNA(_xlfn.XLOOKUP(A514,'600m'!F$5:F$302,'600m'!M$5:M$302)),0,_xlfn.XLOOKUP(A514,'600m'!F$5:F$302,'600m'!M$5:M$302)))</f>
        <v>0</v>
      </c>
      <c r="K514" s="51" t="str">
        <f>IF(B514="","",IF(ISNA(VLOOKUP(A514,'600m'!F$5:K$302,5,FALSE)),"",VLOOKUP(A514,'600m'!F$5:K$302,5,FALSE)))</f>
        <v/>
      </c>
      <c r="L514" s="51" t="str">
        <f>IF(B514="","",IF(ISNA(VLOOKUP(A514,LongJump!F$5:G$302,2,FALSE)),"",VLOOKUP(A514,LongJump!F$5:G$302,2,FALSE)))</f>
        <v/>
      </c>
      <c r="M514" s="51">
        <f>IF(B514="",0,IF(ISNA(_xlfn.XLOOKUP(A514,LongJump!F$5:F$302,LongJump!M$5:M$302)),0,_xlfn.XLOOKUP(A514,LongJump!F$5:F$302,LongJump!M$5:M$302)))</f>
        <v>0</v>
      </c>
      <c r="N514" s="51">
        <f>IF(B514="",0,IF(ISNA(VLOOKUP(A514,LongJump!F$5:K$302,5,FALSE)),0,VLOOKUP(A514,LongJump!F$5:K$302,5,FALSE)))</f>
        <v>0</v>
      </c>
      <c r="O514" s="51" t="str">
        <f>IF(B514="","",IF(ISNA(VLOOKUP(A514,Vortex!F$5:J$302,2,FALSE)),"",VLOOKUP(A514,Vortex!F$5:J$302,2,FALSE)))</f>
        <v/>
      </c>
      <c r="P514" s="51">
        <f>IF(B514="",0,IF(ISNA(_xlfn.XLOOKUP(A514,Vortex!F$5:F$302,Vortex!M$5:M$302)),0,_xlfn.XLOOKUP(A514,Vortex!F$5:F$302,Vortex!M$5:M$302)))</f>
        <v>0</v>
      </c>
      <c r="Q514" s="51">
        <f t="shared" si="63"/>
        <v>0</v>
      </c>
      <c r="R514" s="51" t="str">
        <f t="shared" si="64"/>
        <v/>
      </c>
      <c r="S514" s="51" t="str">
        <f t="shared" si="65"/>
        <v/>
      </c>
      <c r="T514" s="51" t="str">
        <f t="shared" si="66"/>
        <v/>
      </c>
      <c r="U514" s="51" t="str">
        <f t="shared" si="67"/>
        <v/>
      </c>
    </row>
    <row r="515" spans="1:21">
      <c r="A515" s="51" t="str">
        <f>IF(Declarations!B143=0,"",Declarations!B143)</f>
        <v/>
      </c>
      <c r="B515" s="161" t="str">
        <f>IF(ISNA(VLOOKUP(A515,Declarations!B$6:C$293,2,FALSE)),"",IF(VLOOKUP(A515,Declarations!B$6:C$293,2,FALSE)="","",VLOOKUP(A515,Declarations!B$6:C$293,2,FALSE)))</f>
        <v/>
      </c>
      <c r="C515" s="161" t="str">
        <f>IF(ISNA(VLOOKUP(A515,Declarations!B$6:F$293,5,FALSE)),"",IF(VLOOKUP(A515,Declarations!B$6:F$293,5,FALSE)="","",VLOOKUP(A515,Declarations!B$6:F$293,5,FALSE)))</f>
        <v/>
      </c>
      <c r="D515" s="161" t="str">
        <f>IF(ISNA(VLOOKUP(A515,Declarations!B$6:F$293,4,FALSE)),"",IF(VLOOKUP(A515,Declarations!B$6:F$293,4,FALSE)="","",VLOOKUP(A515,Declarations!B$6:F$293,4,FALSE)))</f>
        <v/>
      </c>
      <c r="E515" s="161" t="str">
        <f>IF(ISNA(VLOOKUP(A515,Declarations!B$6:D$293,3,FALSE)),"",IF(VLOOKUP(A515,Declarations!B$6:D$293,3,FALSE)="","",VLOOKUP(A515,Declarations!B$6:D$293,3,FALSE)))</f>
        <v/>
      </c>
      <c r="F515" s="51" t="str">
        <f>IF(B515="","",IF(ISNA(VLOOKUP(A515,'75m'!F$5:G$302,2,FALSE)),"",VLOOKUP(A515,'75m'!F$5:G$302,2,FALSE)))</f>
        <v/>
      </c>
      <c r="G515" s="51">
        <f>IF(B515="",0,IF(ISNA(_xlfn.XLOOKUP(A515,'75m'!F$5:F$302,'75m'!M$5:M$302)),0,_xlfn.XLOOKUP(A515,'75m'!F$5:F$302,'75m'!M$5:M$302)))</f>
        <v>0</v>
      </c>
      <c r="H515" s="51" t="str">
        <f>IF(B515="","",IF(ISNA(VLOOKUP(A515,'75m'!F$5:K$302,5,FALSE)),"",VLOOKUP(A515,'75m'!F$5:K$302,5,FALSE)))</f>
        <v/>
      </c>
      <c r="I515" s="53">
        <f>IF(B515="",0,IF(ISNA(VLOOKUP(A515,'600m'!F$5:J$302,2,FALSE)),0,VLOOKUP(A515,'600m'!F$5:J$302,2,FALSE)))</f>
        <v>0</v>
      </c>
      <c r="J515" s="51">
        <f>IF(B515="",0,IF(ISNA(_xlfn.XLOOKUP(A515,'600m'!F$5:F$302,'600m'!M$5:M$302)),0,_xlfn.XLOOKUP(A515,'600m'!F$5:F$302,'600m'!M$5:M$302)))</f>
        <v>0</v>
      </c>
      <c r="K515" s="51" t="str">
        <f>IF(B515="","",IF(ISNA(VLOOKUP(A515,'600m'!F$5:K$302,5,FALSE)),"",VLOOKUP(A515,'600m'!F$5:K$302,5,FALSE)))</f>
        <v/>
      </c>
      <c r="L515" s="51" t="str">
        <f>IF(B515="","",IF(ISNA(VLOOKUP(A515,LongJump!F$5:G$302,2,FALSE)),"",VLOOKUP(A515,LongJump!F$5:G$302,2,FALSE)))</f>
        <v/>
      </c>
      <c r="M515" s="51">
        <f>IF(B515="",0,IF(ISNA(_xlfn.XLOOKUP(A515,LongJump!F$5:F$302,LongJump!M$5:M$302)),0,_xlfn.XLOOKUP(A515,LongJump!F$5:F$302,LongJump!M$5:M$302)))</f>
        <v>0</v>
      </c>
      <c r="N515" s="51">
        <f>IF(B515="",0,IF(ISNA(VLOOKUP(A515,LongJump!F$5:K$302,5,FALSE)),0,VLOOKUP(A515,LongJump!F$5:K$302,5,FALSE)))</f>
        <v>0</v>
      </c>
      <c r="O515" s="51" t="str">
        <f>IF(B515="","",IF(ISNA(VLOOKUP(A515,Vortex!F$5:J$302,2,FALSE)),"",VLOOKUP(A515,Vortex!F$5:J$302,2,FALSE)))</f>
        <v/>
      </c>
      <c r="P515" s="51">
        <f>IF(B515="",0,IF(ISNA(_xlfn.XLOOKUP(A515,Vortex!F$5:F$302,Vortex!M$5:M$302)),0,_xlfn.XLOOKUP(A515,Vortex!F$5:F$302,Vortex!M$5:M$302)))</f>
        <v>0</v>
      </c>
      <c r="Q515" s="51">
        <f t="shared" si="63"/>
        <v>0</v>
      </c>
      <c r="R515" s="51" t="str">
        <f t="shared" si="64"/>
        <v/>
      </c>
      <c r="S515" s="51" t="str">
        <f t="shared" si="65"/>
        <v/>
      </c>
      <c r="T515" s="51" t="str">
        <f t="shared" si="66"/>
        <v/>
      </c>
      <c r="U515" s="51" t="str">
        <f t="shared" si="67"/>
        <v/>
      </c>
    </row>
    <row r="516" spans="1:21">
      <c r="A516" s="51" t="str">
        <f>IF(Declarations!B144=0,"",Declarations!B144)</f>
        <v/>
      </c>
      <c r="B516" s="161" t="str">
        <f>IF(ISNA(VLOOKUP(A516,Declarations!B$6:C$293,2,FALSE)),"",IF(VLOOKUP(A516,Declarations!B$6:C$293,2,FALSE)="","",VLOOKUP(A516,Declarations!B$6:C$293,2,FALSE)))</f>
        <v/>
      </c>
      <c r="C516" s="161" t="str">
        <f>IF(ISNA(VLOOKUP(A516,Declarations!B$6:F$293,5,FALSE)),"",IF(VLOOKUP(A516,Declarations!B$6:F$293,5,FALSE)="","",VLOOKUP(A516,Declarations!B$6:F$293,5,FALSE)))</f>
        <v/>
      </c>
      <c r="D516" s="161" t="str">
        <f>IF(ISNA(VLOOKUP(A516,Declarations!B$6:F$293,4,FALSE)),"",IF(VLOOKUP(A516,Declarations!B$6:F$293,4,FALSE)="","",VLOOKUP(A516,Declarations!B$6:F$293,4,FALSE)))</f>
        <v/>
      </c>
      <c r="E516" s="161" t="str">
        <f>IF(ISNA(VLOOKUP(A516,Declarations!B$6:D$293,3,FALSE)),"",IF(VLOOKUP(A516,Declarations!B$6:D$293,3,FALSE)="","",VLOOKUP(A516,Declarations!B$6:D$293,3,FALSE)))</f>
        <v/>
      </c>
      <c r="F516" s="51" t="str">
        <f>IF(B516="","",IF(ISNA(VLOOKUP(A516,'75m'!F$5:G$302,2,FALSE)),"",VLOOKUP(A516,'75m'!F$5:G$302,2,FALSE)))</f>
        <v/>
      </c>
      <c r="G516" s="51">
        <f>IF(B516="",0,IF(ISNA(_xlfn.XLOOKUP(A516,'75m'!F$5:F$302,'75m'!M$5:M$302)),0,_xlfn.XLOOKUP(A516,'75m'!F$5:F$302,'75m'!M$5:M$302)))</f>
        <v>0</v>
      </c>
      <c r="H516" s="51" t="str">
        <f>IF(B516="","",IF(ISNA(VLOOKUP(A516,'75m'!F$5:K$302,5,FALSE)),"",VLOOKUP(A516,'75m'!F$5:K$302,5,FALSE)))</f>
        <v/>
      </c>
      <c r="I516" s="53">
        <f>IF(B516="",0,IF(ISNA(VLOOKUP(A516,'600m'!F$5:J$302,2,FALSE)),0,VLOOKUP(A516,'600m'!F$5:J$302,2,FALSE)))</f>
        <v>0</v>
      </c>
      <c r="J516" s="51">
        <f>IF(B516="",0,IF(ISNA(_xlfn.XLOOKUP(A516,'600m'!F$5:F$302,'600m'!M$5:M$302)),0,_xlfn.XLOOKUP(A516,'600m'!F$5:F$302,'600m'!M$5:M$302)))</f>
        <v>0</v>
      </c>
      <c r="K516" s="51" t="str">
        <f>IF(B516="","",IF(ISNA(VLOOKUP(A516,'600m'!F$5:K$302,5,FALSE)),"",VLOOKUP(A516,'600m'!F$5:K$302,5,FALSE)))</f>
        <v/>
      </c>
      <c r="L516" s="51" t="str">
        <f>IF(B516="","",IF(ISNA(VLOOKUP(A516,LongJump!F$5:G$302,2,FALSE)),"",VLOOKUP(A516,LongJump!F$5:G$302,2,FALSE)))</f>
        <v/>
      </c>
      <c r="M516" s="51">
        <f>IF(B516="",0,IF(ISNA(_xlfn.XLOOKUP(A516,LongJump!F$5:F$302,LongJump!M$5:M$302)),0,_xlfn.XLOOKUP(A516,LongJump!F$5:F$302,LongJump!M$5:M$302)))</f>
        <v>0</v>
      </c>
      <c r="N516" s="51">
        <f>IF(B516="",0,IF(ISNA(VLOOKUP(A516,LongJump!F$5:K$302,5,FALSE)),0,VLOOKUP(A516,LongJump!F$5:K$302,5,FALSE)))</f>
        <v>0</v>
      </c>
      <c r="O516" s="51" t="str">
        <f>IF(B516="","",IF(ISNA(VLOOKUP(A516,Vortex!F$5:J$302,2,FALSE)),"",VLOOKUP(A516,Vortex!F$5:J$302,2,FALSE)))</f>
        <v/>
      </c>
      <c r="P516" s="51">
        <f>IF(B516="",0,IF(ISNA(_xlfn.XLOOKUP(A516,Vortex!F$5:F$302,Vortex!M$5:M$302)),0,_xlfn.XLOOKUP(A516,Vortex!F$5:F$302,Vortex!M$5:M$302)))</f>
        <v>0</v>
      </c>
      <c r="Q516" s="51">
        <f t="shared" si="63"/>
        <v>0</v>
      </c>
      <c r="R516" s="51" t="str">
        <f t="shared" si="64"/>
        <v/>
      </c>
      <c r="S516" s="51" t="str">
        <f t="shared" si="65"/>
        <v/>
      </c>
      <c r="T516" s="51" t="str">
        <f t="shared" si="66"/>
        <v/>
      </c>
      <c r="U516" s="51" t="str">
        <f t="shared" si="67"/>
        <v/>
      </c>
    </row>
    <row r="517" spans="1:21">
      <c r="A517" s="51" t="str">
        <f>IF(Declarations!B145=0,"",Declarations!B145)</f>
        <v/>
      </c>
      <c r="B517" s="161" t="str">
        <f>IF(ISNA(VLOOKUP(A517,Declarations!B$6:C$293,2,FALSE)),"",IF(VLOOKUP(A517,Declarations!B$6:C$293,2,FALSE)="","",VLOOKUP(A517,Declarations!B$6:C$293,2,FALSE)))</f>
        <v/>
      </c>
      <c r="C517" s="161" t="str">
        <f>IF(ISNA(VLOOKUP(A517,Declarations!B$6:F$293,5,FALSE)),"",IF(VLOOKUP(A517,Declarations!B$6:F$293,5,FALSE)="","",VLOOKUP(A517,Declarations!B$6:F$293,5,FALSE)))</f>
        <v/>
      </c>
      <c r="D517" s="161" t="str">
        <f>IF(ISNA(VLOOKUP(A517,Declarations!B$6:F$293,4,FALSE)),"",IF(VLOOKUP(A517,Declarations!B$6:F$293,4,FALSE)="","",VLOOKUP(A517,Declarations!B$6:F$293,4,FALSE)))</f>
        <v/>
      </c>
      <c r="E517" s="161" t="str">
        <f>IF(ISNA(VLOOKUP(A517,Declarations!B$6:D$293,3,FALSE)),"",IF(VLOOKUP(A517,Declarations!B$6:D$293,3,FALSE)="","",VLOOKUP(A517,Declarations!B$6:D$293,3,FALSE)))</f>
        <v/>
      </c>
      <c r="F517" s="51" t="str">
        <f>IF(B517="","",IF(ISNA(VLOOKUP(A517,'75m'!F$5:G$302,2,FALSE)),"",VLOOKUP(A517,'75m'!F$5:G$302,2,FALSE)))</f>
        <v/>
      </c>
      <c r="G517" s="51">
        <f>IF(B517="",0,IF(ISNA(_xlfn.XLOOKUP(A517,'75m'!F$5:F$302,'75m'!M$5:M$302)),0,_xlfn.XLOOKUP(A517,'75m'!F$5:F$302,'75m'!M$5:M$302)))</f>
        <v>0</v>
      </c>
      <c r="H517" s="51" t="str">
        <f>IF(B517="","",IF(ISNA(VLOOKUP(A517,'75m'!F$5:K$302,5,FALSE)),"",VLOOKUP(A517,'75m'!F$5:K$302,5,FALSE)))</f>
        <v/>
      </c>
      <c r="I517" s="53">
        <f>IF(B517="",0,IF(ISNA(VLOOKUP(A517,'600m'!F$5:J$302,2,FALSE)),0,VLOOKUP(A517,'600m'!F$5:J$302,2,FALSE)))</f>
        <v>0</v>
      </c>
      <c r="J517" s="51">
        <f>IF(B517="",0,IF(ISNA(_xlfn.XLOOKUP(A517,'600m'!F$5:F$302,'600m'!M$5:M$302)),0,_xlfn.XLOOKUP(A517,'600m'!F$5:F$302,'600m'!M$5:M$302)))</f>
        <v>0</v>
      </c>
      <c r="K517" s="51" t="str">
        <f>IF(B517="","",IF(ISNA(VLOOKUP(A517,'600m'!F$5:K$302,5,FALSE)),"",VLOOKUP(A517,'600m'!F$5:K$302,5,FALSE)))</f>
        <v/>
      </c>
      <c r="L517" s="51" t="str">
        <f>IF(B517="","",IF(ISNA(VLOOKUP(A517,LongJump!F$5:G$302,2,FALSE)),"",VLOOKUP(A517,LongJump!F$5:G$302,2,FALSE)))</f>
        <v/>
      </c>
      <c r="M517" s="51">
        <f>IF(B517="",0,IF(ISNA(_xlfn.XLOOKUP(A517,LongJump!F$5:F$302,LongJump!M$5:M$302)),0,_xlfn.XLOOKUP(A517,LongJump!F$5:F$302,LongJump!M$5:M$302)))</f>
        <v>0</v>
      </c>
      <c r="N517" s="51">
        <f>IF(B517="",0,IF(ISNA(VLOOKUP(A517,LongJump!F$5:K$302,5,FALSE)),0,VLOOKUP(A517,LongJump!F$5:K$302,5,FALSE)))</f>
        <v>0</v>
      </c>
      <c r="O517" s="51" t="str">
        <f>IF(B517="","",IF(ISNA(VLOOKUP(A517,Vortex!F$5:J$302,2,FALSE)),"",VLOOKUP(A517,Vortex!F$5:J$302,2,FALSE)))</f>
        <v/>
      </c>
      <c r="P517" s="51">
        <f>IF(B517="",0,IF(ISNA(_xlfn.XLOOKUP(A517,Vortex!F$5:F$302,Vortex!M$5:M$302)),0,_xlfn.XLOOKUP(A517,Vortex!F$5:F$302,Vortex!M$5:M$302)))</f>
        <v>0</v>
      </c>
      <c r="Q517" s="51">
        <f t="shared" si="63"/>
        <v>0</v>
      </c>
      <c r="R517" s="51" t="str">
        <f t="shared" si="64"/>
        <v/>
      </c>
      <c r="S517" s="51" t="str">
        <f t="shared" si="65"/>
        <v/>
      </c>
      <c r="T517" s="51" t="str">
        <f t="shared" si="66"/>
        <v/>
      </c>
      <c r="U517" s="51" t="str">
        <f t="shared" si="67"/>
        <v/>
      </c>
    </row>
    <row r="518" spans="1:21">
      <c r="A518" s="51" t="str">
        <f>IF(Declarations!B146=0,"",Declarations!B146)</f>
        <v/>
      </c>
      <c r="B518" s="161" t="str">
        <f>IF(ISNA(VLOOKUP(A518,Declarations!B$6:C$293,2,FALSE)),"",IF(VLOOKUP(A518,Declarations!B$6:C$293,2,FALSE)="","",VLOOKUP(A518,Declarations!B$6:C$293,2,FALSE)))</f>
        <v/>
      </c>
      <c r="C518" s="161" t="str">
        <f>IF(ISNA(VLOOKUP(A518,Declarations!B$6:F$293,5,FALSE)),"",IF(VLOOKUP(A518,Declarations!B$6:F$293,5,FALSE)="","",VLOOKUP(A518,Declarations!B$6:F$293,5,FALSE)))</f>
        <v/>
      </c>
      <c r="D518" s="161" t="str">
        <f>IF(ISNA(VLOOKUP(A518,Declarations!B$6:F$293,4,FALSE)),"",IF(VLOOKUP(A518,Declarations!B$6:F$293,4,FALSE)="","",VLOOKUP(A518,Declarations!B$6:F$293,4,FALSE)))</f>
        <v/>
      </c>
      <c r="E518" s="161" t="str">
        <f>IF(ISNA(VLOOKUP(A518,Declarations!B$6:D$293,3,FALSE)),"",IF(VLOOKUP(A518,Declarations!B$6:D$293,3,FALSE)="","",VLOOKUP(A518,Declarations!B$6:D$293,3,FALSE)))</f>
        <v/>
      </c>
      <c r="F518" s="51" t="str">
        <f>IF(B518="","",IF(ISNA(VLOOKUP(A518,'75m'!F$5:G$302,2,FALSE)),"",VLOOKUP(A518,'75m'!F$5:G$302,2,FALSE)))</f>
        <v/>
      </c>
      <c r="G518" s="51">
        <f>IF(B518="",0,IF(ISNA(_xlfn.XLOOKUP(A518,'75m'!F$5:F$302,'75m'!M$5:M$302)),0,_xlfn.XLOOKUP(A518,'75m'!F$5:F$302,'75m'!M$5:M$302)))</f>
        <v>0</v>
      </c>
      <c r="H518" s="51" t="str">
        <f>IF(B518="","",IF(ISNA(VLOOKUP(A518,'75m'!F$5:K$302,5,FALSE)),"",VLOOKUP(A518,'75m'!F$5:K$302,5,FALSE)))</f>
        <v/>
      </c>
      <c r="I518" s="53">
        <f>IF(B518="",0,IF(ISNA(VLOOKUP(A518,'600m'!F$5:J$302,2,FALSE)),0,VLOOKUP(A518,'600m'!F$5:J$302,2,FALSE)))</f>
        <v>0</v>
      </c>
      <c r="J518" s="51">
        <f>IF(B518="",0,IF(ISNA(_xlfn.XLOOKUP(A518,'600m'!F$5:F$302,'600m'!M$5:M$302)),0,_xlfn.XLOOKUP(A518,'600m'!F$5:F$302,'600m'!M$5:M$302)))</f>
        <v>0</v>
      </c>
      <c r="K518" s="51" t="str">
        <f>IF(B518="","",IF(ISNA(VLOOKUP(A518,'600m'!F$5:K$302,5,FALSE)),"",VLOOKUP(A518,'600m'!F$5:K$302,5,FALSE)))</f>
        <v/>
      </c>
      <c r="L518" s="51" t="str">
        <f>IF(B518="","",IF(ISNA(VLOOKUP(A518,LongJump!F$5:G$302,2,FALSE)),"",VLOOKUP(A518,LongJump!F$5:G$302,2,FALSE)))</f>
        <v/>
      </c>
      <c r="M518" s="51">
        <f>IF(B518="",0,IF(ISNA(_xlfn.XLOOKUP(A518,LongJump!F$5:F$302,LongJump!M$5:M$302)),0,_xlfn.XLOOKUP(A518,LongJump!F$5:F$302,LongJump!M$5:M$302)))</f>
        <v>0</v>
      </c>
      <c r="N518" s="51">
        <f>IF(B518="",0,IF(ISNA(VLOOKUP(A518,LongJump!F$5:K$302,5,FALSE)),0,VLOOKUP(A518,LongJump!F$5:K$302,5,FALSE)))</f>
        <v>0</v>
      </c>
      <c r="O518" s="51" t="str">
        <f>IF(B518="","",IF(ISNA(VLOOKUP(A518,Vortex!F$5:J$302,2,FALSE)),"",VLOOKUP(A518,Vortex!F$5:J$302,2,FALSE)))</f>
        <v/>
      </c>
      <c r="P518" s="51">
        <f>IF(B518="",0,IF(ISNA(_xlfn.XLOOKUP(A518,Vortex!F$5:F$302,Vortex!M$5:M$302)),0,_xlfn.XLOOKUP(A518,Vortex!F$5:F$302,Vortex!M$5:M$302)))</f>
        <v>0</v>
      </c>
      <c r="Q518" s="51">
        <f t="shared" si="63"/>
        <v>0</v>
      </c>
      <c r="R518" s="51" t="str">
        <f t="shared" si="64"/>
        <v/>
      </c>
      <c r="S518" s="51" t="str">
        <f t="shared" si="65"/>
        <v/>
      </c>
      <c r="T518" s="51" t="str">
        <f t="shared" si="66"/>
        <v/>
      </c>
      <c r="U518" s="51" t="str">
        <f t="shared" si="67"/>
        <v/>
      </c>
    </row>
    <row r="519" spans="1:21">
      <c r="A519" s="51" t="str">
        <f>IF(Declarations!B147=0,"",Declarations!B147)</f>
        <v/>
      </c>
      <c r="B519" s="161" t="str">
        <f>IF(ISNA(VLOOKUP(A519,Declarations!B$6:C$293,2,FALSE)),"",IF(VLOOKUP(A519,Declarations!B$6:C$293,2,FALSE)="","",VLOOKUP(A519,Declarations!B$6:C$293,2,FALSE)))</f>
        <v/>
      </c>
      <c r="C519" s="161" t="str">
        <f>IF(ISNA(VLOOKUP(A519,Declarations!B$6:F$293,5,FALSE)),"",IF(VLOOKUP(A519,Declarations!B$6:F$293,5,FALSE)="","",VLOOKUP(A519,Declarations!B$6:F$293,5,FALSE)))</f>
        <v/>
      </c>
      <c r="D519" s="161" t="str">
        <f>IF(ISNA(VLOOKUP(A519,Declarations!B$6:F$293,4,FALSE)),"",IF(VLOOKUP(A519,Declarations!B$6:F$293,4,FALSE)="","",VLOOKUP(A519,Declarations!B$6:F$293,4,FALSE)))</f>
        <v/>
      </c>
      <c r="E519" s="161" t="str">
        <f>IF(ISNA(VLOOKUP(A519,Declarations!B$6:D$293,3,FALSE)),"",IF(VLOOKUP(A519,Declarations!B$6:D$293,3,FALSE)="","",VLOOKUP(A519,Declarations!B$6:D$293,3,FALSE)))</f>
        <v/>
      </c>
      <c r="F519" s="51" t="str">
        <f>IF(B519="","",IF(ISNA(VLOOKUP(A519,'75m'!F$5:G$302,2,FALSE)),"",VLOOKUP(A519,'75m'!F$5:G$302,2,FALSE)))</f>
        <v/>
      </c>
      <c r="G519" s="51">
        <f>IF(B519="",0,IF(ISNA(_xlfn.XLOOKUP(A519,'75m'!F$5:F$302,'75m'!M$5:M$302)),0,_xlfn.XLOOKUP(A519,'75m'!F$5:F$302,'75m'!M$5:M$302)))</f>
        <v>0</v>
      </c>
      <c r="H519" s="51" t="str">
        <f>IF(B519="","",IF(ISNA(VLOOKUP(A519,'75m'!F$5:K$302,5,FALSE)),"",VLOOKUP(A519,'75m'!F$5:K$302,5,FALSE)))</f>
        <v/>
      </c>
      <c r="I519" s="53">
        <f>IF(B519="",0,IF(ISNA(VLOOKUP(A519,'600m'!F$5:J$302,2,FALSE)),0,VLOOKUP(A519,'600m'!F$5:J$302,2,FALSE)))</f>
        <v>0</v>
      </c>
      <c r="J519" s="51">
        <f>IF(B519="",0,IF(ISNA(_xlfn.XLOOKUP(A519,'600m'!F$5:F$302,'600m'!M$5:M$302)),0,_xlfn.XLOOKUP(A519,'600m'!F$5:F$302,'600m'!M$5:M$302)))</f>
        <v>0</v>
      </c>
      <c r="K519" s="51" t="str">
        <f>IF(B519="","",IF(ISNA(VLOOKUP(A519,'600m'!F$5:K$302,5,FALSE)),"",VLOOKUP(A519,'600m'!F$5:K$302,5,FALSE)))</f>
        <v/>
      </c>
      <c r="L519" s="51" t="str">
        <f>IF(B519="","",IF(ISNA(VLOOKUP(A519,LongJump!F$5:G$302,2,FALSE)),"",VLOOKUP(A519,LongJump!F$5:G$302,2,FALSE)))</f>
        <v/>
      </c>
      <c r="M519" s="51">
        <f>IF(B519="",0,IF(ISNA(_xlfn.XLOOKUP(A519,LongJump!F$5:F$302,LongJump!M$5:M$302)),0,_xlfn.XLOOKUP(A519,LongJump!F$5:F$302,LongJump!M$5:M$302)))</f>
        <v>0</v>
      </c>
      <c r="N519" s="51">
        <f>IF(B519="",0,IF(ISNA(VLOOKUP(A519,LongJump!F$5:K$302,5,FALSE)),0,VLOOKUP(A519,LongJump!F$5:K$302,5,FALSE)))</f>
        <v>0</v>
      </c>
      <c r="O519" s="51" t="str">
        <f>IF(B519="","",IF(ISNA(VLOOKUP(A519,Vortex!F$5:J$302,2,FALSE)),"",VLOOKUP(A519,Vortex!F$5:J$302,2,FALSE)))</f>
        <v/>
      </c>
      <c r="P519" s="51">
        <f>IF(B519="",0,IF(ISNA(_xlfn.XLOOKUP(A519,Vortex!F$5:F$302,Vortex!M$5:M$302)),0,_xlfn.XLOOKUP(A519,Vortex!F$5:F$302,Vortex!M$5:M$302)))</f>
        <v>0</v>
      </c>
      <c r="Q519" s="51">
        <f t="shared" si="63"/>
        <v>0</v>
      </c>
      <c r="R519" s="51" t="str">
        <f t="shared" si="64"/>
        <v/>
      </c>
      <c r="S519" s="51" t="str">
        <f t="shared" si="65"/>
        <v/>
      </c>
      <c r="T519" s="51" t="str">
        <f t="shared" si="66"/>
        <v/>
      </c>
      <c r="U519" s="51" t="str">
        <f t="shared" si="67"/>
        <v/>
      </c>
    </row>
    <row r="520" spans="1:21">
      <c r="A520" s="51" t="str">
        <f>IF(Declarations!B148=0,"",Declarations!B148)</f>
        <v/>
      </c>
      <c r="B520" s="161" t="str">
        <f>IF(ISNA(VLOOKUP(A520,Declarations!B$6:C$293,2,FALSE)),"",IF(VLOOKUP(A520,Declarations!B$6:C$293,2,FALSE)="","",VLOOKUP(A520,Declarations!B$6:C$293,2,FALSE)))</f>
        <v/>
      </c>
      <c r="C520" s="161" t="str">
        <f>IF(ISNA(VLOOKUP(A520,Declarations!B$6:F$293,5,FALSE)),"",IF(VLOOKUP(A520,Declarations!B$6:F$293,5,FALSE)="","",VLOOKUP(A520,Declarations!B$6:F$293,5,FALSE)))</f>
        <v/>
      </c>
      <c r="D520" s="161" t="str">
        <f>IF(ISNA(VLOOKUP(A520,Declarations!B$6:F$293,4,FALSE)),"",IF(VLOOKUP(A520,Declarations!B$6:F$293,4,FALSE)="","",VLOOKUP(A520,Declarations!B$6:F$293,4,FALSE)))</f>
        <v/>
      </c>
      <c r="E520" s="161" t="str">
        <f>IF(ISNA(VLOOKUP(A520,Declarations!B$6:D$293,3,FALSE)),"",IF(VLOOKUP(A520,Declarations!B$6:D$293,3,FALSE)="","",VLOOKUP(A520,Declarations!B$6:D$293,3,FALSE)))</f>
        <v/>
      </c>
      <c r="F520" s="51" t="str">
        <f>IF(B520="","",IF(ISNA(VLOOKUP(A520,'75m'!F$5:G$302,2,FALSE)),"",VLOOKUP(A520,'75m'!F$5:G$302,2,FALSE)))</f>
        <v/>
      </c>
      <c r="G520" s="51">
        <f>IF(B520="",0,IF(ISNA(_xlfn.XLOOKUP(A520,'75m'!F$5:F$302,'75m'!M$5:M$302)),0,_xlfn.XLOOKUP(A520,'75m'!F$5:F$302,'75m'!M$5:M$302)))</f>
        <v>0</v>
      </c>
      <c r="H520" s="51" t="str">
        <f>IF(B520="","",IF(ISNA(VLOOKUP(A520,'75m'!F$5:K$302,5,FALSE)),"",VLOOKUP(A520,'75m'!F$5:K$302,5,FALSE)))</f>
        <v/>
      </c>
      <c r="I520" s="53">
        <f>IF(B520="",0,IF(ISNA(VLOOKUP(A520,'600m'!F$5:J$302,2,FALSE)),0,VLOOKUP(A520,'600m'!F$5:J$302,2,FALSE)))</f>
        <v>0</v>
      </c>
      <c r="J520" s="51">
        <f>IF(B520="",0,IF(ISNA(_xlfn.XLOOKUP(A520,'600m'!F$5:F$302,'600m'!M$5:M$302)),0,_xlfn.XLOOKUP(A520,'600m'!F$5:F$302,'600m'!M$5:M$302)))</f>
        <v>0</v>
      </c>
      <c r="K520" s="51" t="str">
        <f>IF(B520="","",IF(ISNA(VLOOKUP(A520,'600m'!F$5:K$302,5,FALSE)),"",VLOOKUP(A520,'600m'!F$5:K$302,5,FALSE)))</f>
        <v/>
      </c>
      <c r="L520" s="51" t="str">
        <f>IF(B520="","",IF(ISNA(VLOOKUP(A520,LongJump!F$5:G$302,2,FALSE)),"",VLOOKUP(A520,LongJump!F$5:G$302,2,FALSE)))</f>
        <v/>
      </c>
      <c r="M520" s="51">
        <f>IF(B520="",0,IF(ISNA(_xlfn.XLOOKUP(A520,LongJump!F$5:F$302,LongJump!M$5:M$302)),0,_xlfn.XLOOKUP(A520,LongJump!F$5:F$302,LongJump!M$5:M$302)))</f>
        <v>0</v>
      </c>
      <c r="N520" s="51">
        <f>IF(B520="",0,IF(ISNA(VLOOKUP(A520,LongJump!F$5:K$302,5,FALSE)),0,VLOOKUP(A520,LongJump!F$5:K$302,5,FALSE)))</f>
        <v>0</v>
      </c>
      <c r="O520" s="51" t="str">
        <f>IF(B520="","",IF(ISNA(VLOOKUP(A520,Vortex!F$5:J$302,2,FALSE)),"",VLOOKUP(A520,Vortex!F$5:J$302,2,FALSE)))</f>
        <v/>
      </c>
      <c r="P520" s="51">
        <f>IF(B520="",0,IF(ISNA(_xlfn.XLOOKUP(A520,Vortex!F$5:F$302,Vortex!M$5:M$302)),0,_xlfn.XLOOKUP(A520,Vortex!F$5:F$302,Vortex!M$5:M$302)))</f>
        <v>0</v>
      </c>
      <c r="Q520" s="51">
        <f t="shared" si="63"/>
        <v>0</v>
      </c>
      <c r="R520" s="51" t="str">
        <f t="shared" si="64"/>
        <v/>
      </c>
      <c r="S520" s="51" t="str">
        <f t="shared" si="65"/>
        <v/>
      </c>
      <c r="T520" s="51" t="str">
        <f t="shared" si="66"/>
        <v/>
      </c>
      <c r="U520" s="51" t="str">
        <f t="shared" si="67"/>
        <v/>
      </c>
    </row>
    <row r="521" spans="1:21">
      <c r="A521" s="51" t="str">
        <f>IF(Declarations!B149=0,"",Declarations!B149)</f>
        <v/>
      </c>
      <c r="B521" s="161" t="str">
        <f>IF(ISNA(VLOOKUP(A521,Declarations!B$6:C$293,2,FALSE)),"",IF(VLOOKUP(A521,Declarations!B$6:C$293,2,FALSE)="","",VLOOKUP(A521,Declarations!B$6:C$293,2,FALSE)))</f>
        <v/>
      </c>
      <c r="C521" s="161" t="str">
        <f>IF(ISNA(VLOOKUP(A521,Declarations!B$6:F$293,5,FALSE)),"",IF(VLOOKUP(A521,Declarations!B$6:F$293,5,FALSE)="","",VLOOKUP(A521,Declarations!B$6:F$293,5,FALSE)))</f>
        <v/>
      </c>
      <c r="D521" s="161" t="str">
        <f>IF(ISNA(VLOOKUP(A521,Declarations!B$6:F$293,4,FALSE)),"",IF(VLOOKUP(A521,Declarations!B$6:F$293,4,FALSE)="","",VLOOKUP(A521,Declarations!B$6:F$293,4,FALSE)))</f>
        <v/>
      </c>
      <c r="E521" s="161" t="str">
        <f>IF(ISNA(VLOOKUP(A521,Declarations!B$6:D$293,3,FALSE)),"",IF(VLOOKUP(A521,Declarations!B$6:D$293,3,FALSE)="","",VLOOKUP(A521,Declarations!B$6:D$293,3,FALSE)))</f>
        <v/>
      </c>
      <c r="F521" s="51" t="str">
        <f>IF(B521="","",IF(ISNA(VLOOKUP(A521,'75m'!F$5:G$302,2,FALSE)),"",VLOOKUP(A521,'75m'!F$5:G$302,2,FALSE)))</f>
        <v/>
      </c>
      <c r="G521" s="51">
        <f>IF(B521="",0,IF(ISNA(_xlfn.XLOOKUP(A521,'75m'!F$5:F$302,'75m'!M$5:M$302)),0,_xlfn.XLOOKUP(A521,'75m'!F$5:F$302,'75m'!M$5:M$302)))</f>
        <v>0</v>
      </c>
      <c r="H521" s="51" t="str">
        <f>IF(B521="","",IF(ISNA(VLOOKUP(A521,'75m'!F$5:K$302,5,FALSE)),"",VLOOKUP(A521,'75m'!F$5:K$302,5,FALSE)))</f>
        <v/>
      </c>
      <c r="I521" s="53">
        <f>IF(B521="",0,IF(ISNA(VLOOKUP(A521,'600m'!F$5:J$302,2,FALSE)),0,VLOOKUP(A521,'600m'!F$5:J$302,2,FALSE)))</f>
        <v>0</v>
      </c>
      <c r="J521" s="51">
        <f>IF(B521="",0,IF(ISNA(_xlfn.XLOOKUP(A521,'600m'!F$5:F$302,'600m'!M$5:M$302)),0,_xlfn.XLOOKUP(A521,'600m'!F$5:F$302,'600m'!M$5:M$302)))</f>
        <v>0</v>
      </c>
      <c r="K521" s="51" t="str">
        <f>IF(B521="","",IF(ISNA(VLOOKUP(A521,'600m'!F$5:K$302,5,FALSE)),"",VLOOKUP(A521,'600m'!F$5:K$302,5,FALSE)))</f>
        <v/>
      </c>
      <c r="L521" s="51" t="str">
        <f>IF(B521="","",IF(ISNA(VLOOKUP(A521,LongJump!F$5:G$302,2,FALSE)),"",VLOOKUP(A521,LongJump!F$5:G$302,2,FALSE)))</f>
        <v/>
      </c>
      <c r="M521" s="51">
        <f>IF(B521="",0,IF(ISNA(_xlfn.XLOOKUP(A521,LongJump!F$5:F$302,LongJump!M$5:M$302)),0,_xlfn.XLOOKUP(A521,LongJump!F$5:F$302,LongJump!M$5:M$302)))</f>
        <v>0</v>
      </c>
      <c r="N521" s="51">
        <f>IF(B521="",0,IF(ISNA(VLOOKUP(A521,LongJump!F$5:K$302,5,FALSE)),0,VLOOKUP(A521,LongJump!F$5:K$302,5,FALSE)))</f>
        <v>0</v>
      </c>
      <c r="O521" s="51" t="str">
        <f>IF(B521="","",IF(ISNA(VLOOKUP(A521,Vortex!F$5:J$302,2,FALSE)),"",VLOOKUP(A521,Vortex!F$5:J$302,2,FALSE)))</f>
        <v/>
      </c>
      <c r="P521" s="51">
        <f>IF(B521="",0,IF(ISNA(_xlfn.XLOOKUP(A521,Vortex!F$5:F$302,Vortex!M$5:M$302)),0,_xlfn.XLOOKUP(A521,Vortex!F$5:F$302,Vortex!M$5:M$302)))</f>
        <v>0</v>
      </c>
      <c r="Q521" s="51">
        <f t="shared" si="63"/>
        <v>0</v>
      </c>
      <c r="R521" s="51" t="str">
        <f t="shared" si="64"/>
        <v/>
      </c>
      <c r="S521" s="51" t="str">
        <f t="shared" si="65"/>
        <v/>
      </c>
      <c r="T521" s="51" t="str">
        <f t="shared" si="66"/>
        <v/>
      </c>
      <c r="U521" s="51" t="str">
        <f t="shared" si="67"/>
        <v/>
      </c>
    </row>
    <row r="522" spans="1:21">
      <c r="A522" s="51" t="str">
        <f>IF(Declarations!B150=0,"",Declarations!B150)</f>
        <v/>
      </c>
      <c r="B522" s="161" t="str">
        <f>IF(ISNA(VLOOKUP(A522,Declarations!B$6:C$293,2,FALSE)),"",IF(VLOOKUP(A522,Declarations!B$6:C$293,2,FALSE)="","",VLOOKUP(A522,Declarations!B$6:C$293,2,FALSE)))</f>
        <v/>
      </c>
      <c r="C522" s="161" t="str">
        <f>IF(ISNA(VLOOKUP(A522,Declarations!B$6:F$293,5,FALSE)),"",IF(VLOOKUP(A522,Declarations!B$6:F$293,5,FALSE)="","",VLOOKUP(A522,Declarations!B$6:F$293,5,FALSE)))</f>
        <v/>
      </c>
      <c r="D522" s="161" t="str">
        <f>IF(ISNA(VLOOKUP(A522,Declarations!B$6:F$293,4,FALSE)),"",IF(VLOOKUP(A522,Declarations!B$6:F$293,4,FALSE)="","",VLOOKUP(A522,Declarations!B$6:F$293,4,FALSE)))</f>
        <v/>
      </c>
      <c r="E522" s="161" t="str">
        <f>IF(ISNA(VLOOKUP(A522,Declarations!B$6:D$293,3,FALSE)),"",IF(VLOOKUP(A522,Declarations!B$6:D$293,3,FALSE)="","",VLOOKUP(A522,Declarations!B$6:D$293,3,FALSE)))</f>
        <v/>
      </c>
      <c r="F522" s="51" t="str">
        <f>IF(B522="","",IF(ISNA(VLOOKUP(A522,'75m'!F$5:G$302,2,FALSE)),"",VLOOKUP(A522,'75m'!F$5:G$302,2,FALSE)))</f>
        <v/>
      </c>
      <c r="G522" s="51">
        <f>IF(B522="",0,IF(ISNA(_xlfn.XLOOKUP(A522,'75m'!F$5:F$302,'75m'!M$5:M$302)),0,_xlfn.XLOOKUP(A522,'75m'!F$5:F$302,'75m'!M$5:M$302)))</f>
        <v>0</v>
      </c>
      <c r="H522" s="51" t="str">
        <f>IF(B522="","",IF(ISNA(VLOOKUP(A522,'75m'!F$5:K$302,5,FALSE)),"",VLOOKUP(A522,'75m'!F$5:K$302,5,FALSE)))</f>
        <v/>
      </c>
      <c r="I522" s="53">
        <f>IF(B522="",0,IF(ISNA(VLOOKUP(A522,'600m'!F$5:J$302,2,FALSE)),0,VLOOKUP(A522,'600m'!F$5:J$302,2,FALSE)))</f>
        <v>0</v>
      </c>
      <c r="J522" s="51">
        <f>IF(B522="",0,IF(ISNA(_xlfn.XLOOKUP(A522,'600m'!F$5:F$302,'600m'!M$5:M$302)),0,_xlfn.XLOOKUP(A522,'600m'!F$5:F$302,'600m'!M$5:M$302)))</f>
        <v>0</v>
      </c>
      <c r="K522" s="51" t="str">
        <f>IF(B522="","",IF(ISNA(VLOOKUP(A522,'600m'!F$5:K$302,5,FALSE)),"",VLOOKUP(A522,'600m'!F$5:K$302,5,FALSE)))</f>
        <v/>
      </c>
      <c r="L522" s="51" t="str">
        <f>IF(B522="","",IF(ISNA(VLOOKUP(A522,LongJump!F$5:G$302,2,FALSE)),"",VLOOKUP(A522,LongJump!F$5:G$302,2,FALSE)))</f>
        <v/>
      </c>
      <c r="M522" s="51">
        <f>IF(B522="",0,IF(ISNA(_xlfn.XLOOKUP(A522,LongJump!F$5:F$302,LongJump!M$5:M$302)),0,_xlfn.XLOOKUP(A522,LongJump!F$5:F$302,LongJump!M$5:M$302)))</f>
        <v>0</v>
      </c>
      <c r="N522" s="51">
        <f>IF(B522="",0,IF(ISNA(VLOOKUP(A522,LongJump!F$5:K$302,5,FALSE)),0,VLOOKUP(A522,LongJump!F$5:K$302,5,FALSE)))</f>
        <v>0</v>
      </c>
      <c r="O522" s="51" t="str">
        <f>IF(B522="","",IF(ISNA(VLOOKUP(A522,Vortex!F$5:J$302,2,FALSE)),"",VLOOKUP(A522,Vortex!F$5:J$302,2,FALSE)))</f>
        <v/>
      </c>
      <c r="P522" s="51">
        <f>IF(B522="",0,IF(ISNA(_xlfn.XLOOKUP(A522,Vortex!F$5:F$302,Vortex!M$5:M$302)),0,_xlfn.XLOOKUP(A522,Vortex!F$5:F$302,Vortex!M$5:M$302)))</f>
        <v>0</v>
      </c>
      <c r="Q522" s="51">
        <f t="shared" si="63"/>
        <v>0</v>
      </c>
      <c r="R522" s="51" t="str">
        <f t="shared" si="64"/>
        <v/>
      </c>
      <c r="S522" s="51" t="str">
        <f t="shared" si="65"/>
        <v/>
      </c>
      <c r="T522" s="51" t="str">
        <f t="shared" si="66"/>
        <v/>
      </c>
      <c r="U522" s="51" t="str">
        <f t="shared" si="67"/>
        <v/>
      </c>
    </row>
    <row r="523" spans="1:21">
      <c r="A523" s="51" t="str">
        <f>IF(Declarations!B151=0,"",Declarations!B151)</f>
        <v/>
      </c>
      <c r="B523" s="161" t="str">
        <f>IF(ISNA(VLOOKUP(A523,Declarations!B$6:C$293,2,FALSE)),"",IF(VLOOKUP(A523,Declarations!B$6:C$293,2,FALSE)="","",VLOOKUP(A523,Declarations!B$6:C$293,2,FALSE)))</f>
        <v/>
      </c>
      <c r="C523" s="161" t="str">
        <f>IF(ISNA(VLOOKUP(A523,Declarations!B$6:F$293,5,FALSE)),"",IF(VLOOKUP(A523,Declarations!B$6:F$293,5,FALSE)="","",VLOOKUP(A523,Declarations!B$6:F$293,5,FALSE)))</f>
        <v/>
      </c>
      <c r="D523" s="161" t="str">
        <f>IF(ISNA(VLOOKUP(A523,Declarations!B$6:F$293,4,FALSE)),"",IF(VLOOKUP(A523,Declarations!B$6:F$293,4,FALSE)="","",VLOOKUP(A523,Declarations!B$6:F$293,4,FALSE)))</f>
        <v/>
      </c>
      <c r="E523" s="161" t="str">
        <f>IF(ISNA(VLOOKUP(A523,Declarations!B$6:D$293,3,FALSE)),"",IF(VLOOKUP(A523,Declarations!B$6:D$293,3,FALSE)="","",VLOOKUP(A523,Declarations!B$6:D$293,3,FALSE)))</f>
        <v/>
      </c>
      <c r="F523" s="51" t="str">
        <f>IF(B523="","",IF(ISNA(VLOOKUP(A523,'75m'!F$5:G$302,2,FALSE)),"",VLOOKUP(A523,'75m'!F$5:G$302,2,FALSE)))</f>
        <v/>
      </c>
      <c r="G523" s="51">
        <f>IF(B523="",0,IF(ISNA(_xlfn.XLOOKUP(A523,'75m'!F$5:F$302,'75m'!M$5:M$302)),0,_xlfn.XLOOKUP(A523,'75m'!F$5:F$302,'75m'!M$5:M$302)))</f>
        <v>0</v>
      </c>
      <c r="H523" s="51" t="str">
        <f>IF(B523="","",IF(ISNA(VLOOKUP(A523,'75m'!F$5:K$302,5,FALSE)),"",VLOOKUP(A523,'75m'!F$5:K$302,5,FALSE)))</f>
        <v/>
      </c>
      <c r="I523" s="53">
        <f>IF(B523="",0,IF(ISNA(VLOOKUP(A523,'600m'!F$5:J$302,2,FALSE)),0,VLOOKUP(A523,'600m'!F$5:J$302,2,FALSE)))</f>
        <v>0</v>
      </c>
      <c r="J523" s="51">
        <f>IF(B523="",0,IF(ISNA(_xlfn.XLOOKUP(A523,'600m'!F$5:F$302,'600m'!M$5:M$302)),0,_xlfn.XLOOKUP(A523,'600m'!F$5:F$302,'600m'!M$5:M$302)))</f>
        <v>0</v>
      </c>
      <c r="K523" s="51" t="str">
        <f>IF(B523="","",IF(ISNA(VLOOKUP(A523,'600m'!F$5:K$302,5,FALSE)),"",VLOOKUP(A523,'600m'!F$5:K$302,5,FALSE)))</f>
        <v/>
      </c>
      <c r="L523" s="51" t="str">
        <f>IF(B523="","",IF(ISNA(VLOOKUP(A523,LongJump!F$5:G$302,2,FALSE)),"",VLOOKUP(A523,LongJump!F$5:G$302,2,FALSE)))</f>
        <v/>
      </c>
      <c r="M523" s="51">
        <f>IF(B523="",0,IF(ISNA(_xlfn.XLOOKUP(A523,LongJump!F$5:F$302,LongJump!M$5:M$302)),0,_xlfn.XLOOKUP(A523,LongJump!F$5:F$302,LongJump!M$5:M$302)))</f>
        <v>0</v>
      </c>
      <c r="N523" s="51">
        <f>IF(B523="",0,IF(ISNA(VLOOKUP(A523,LongJump!F$5:K$302,5,FALSE)),0,VLOOKUP(A523,LongJump!F$5:K$302,5,FALSE)))</f>
        <v>0</v>
      </c>
      <c r="O523" s="51" t="str">
        <f>IF(B523="","",IF(ISNA(VLOOKUP(A523,Vortex!F$5:J$302,2,FALSE)),"",VLOOKUP(A523,Vortex!F$5:J$302,2,FALSE)))</f>
        <v/>
      </c>
      <c r="P523" s="51">
        <f>IF(B523="",0,IF(ISNA(_xlfn.XLOOKUP(A523,Vortex!F$5:F$302,Vortex!M$5:M$302)),0,_xlfn.XLOOKUP(A523,Vortex!F$5:F$302,Vortex!M$5:M$302)))</f>
        <v>0</v>
      </c>
      <c r="Q523" s="51">
        <f t="shared" si="63"/>
        <v>0</v>
      </c>
      <c r="R523" s="51" t="str">
        <f t="shared" si="64"/>
        <v/>
      </c>
      <c r="S523" s="51" t="str">
        <f t="shared" si="65"/>
        <v/>
      </c>
      <c r="T523" s="51" t="str">
        <f t="shared" si="66"/>
        <v/>
      </c>
      <c r="U523" s="51" t="str">
        <f t="shared" si="67"/>
        <v/>
      </c>
    </row>
    <row r="524" spans="1:21">
      <c r="A524" s="51" t="str">
        <f>IF(Declarations!B152=0,"",Declarations!B152)</f>
        <v/>
      </c>
      <c r="B524" s="161" t="str">
        <f>IF(ISNA(VLOOKUP(A524,Declarations!B$6:C$293,2,FALSE)),"",IF(VLOOKUP(A524,Declarations!B$6:C$293,2,FALSE)="","",VLOOKUP(A524,Declarations!B$6:C$293,2,FALSE)))</f>
        <v/>
      </c>
      <c r="C524" s="161" t="str">
        <f>IF(ISNA(VLOOKUP(A524,Declarations!B$6:F$293,5,FALSE)),"",IF(VLOOKUP(A524,Declarations!B$6:F$293,5,FALSE)="","",VLOOKUP(A524,Declarations!B$6:F$293,5,FALSE)))</f>
        <v/>
      </c>
      <c r="D524" s="161" t="str">
        <f>IF(ISNA(VLOOKUP(A524,Declarations!B$6:F$293,4,FALSE)),"",IF(VLOOKUP(A524,Declarations!B$6:F$293,4,FALSE)="","",VLOOKUP(A524,Declarations!B$6:F$293,4,FALSE)))</f>
        <v/>
      </c>
      <c r="E524" s="161" t="str">
        <f>IF(ISNA(VLOOKUP(A524,Declarations!B$6:D$293,3,FALSE)),"",IF(VLOOKUP(A524,Declarations!B$6:D$293,3,FALSE)="","",VLOOKUP(A524,Declarations!B$6:D$293,3,FALSE)))</f>
        <v/>
      </c>
      <c r="F524" s="51" t="str">
        <f>IF(B524="","",IF(ISNA(VLOOKUP(A524,'75m'!F$5:G$302,2,FALSE)),"",VLOOKUP(A524,'75m'!F$5:G$302,2,FALSE)))</f>
        <v/>
      </c>
      <c r="G524" s="51">
        <f>IF(B524="",0,IF(ISNA(_xlfn.XLOOKUP(A524,'75m'!F$5:F$302,'75m'!M$5:M$302)),0,_xlfn.XLOOKUP(A524,'75m'!F$5:F$302,'75m'!M$5:M$302)))</f>
        <v>0</v>
      </c>
      <c r="H524" s="51" t="str">
        <f>IF(B524="","",IF(ISNA(VLOOKUP(A524,'75m'!F$5:K$302,5,FALSE)),"",VLOOKUP(A524,'75m'!F$5:K$302,5,FALSE)))</f>
        <v/>
      </c>
      <c r="I524" s="53">
        <f>IF(B524="",0,IF(ISNA(VLOOKUP(A524,'600m'!F$5:J$302,2,FALSE)),0,VLOOKUP(A524,'600m'!F$5:J$302,2,FALSE)))</f>
        <v>0</v>
      </c>
      <c r="J524" s="51">
        <f>IF(B524="",0,IF(ISNA(_xlfn.XLOOKUP(A524,'600m'!F$5:F$302,'600m'!M$5:M$302)),0,_xlfn.XLOOKUP(A524,'600m'!F$5:F$302,'600m'!M$5:M$302)))</f>
        <v>0</v>
      </c>
      <c r="K524" s="51" t="str">
        <f>IF(B524="","",IF(ISNA(VLOOKUP(A524,'600m'!F$5:K$302,5,FALSE)),"",VLOOKUP(A524,'600m'!F$5:K$302,5,FALSE)))</f>
        <v/>
      </c>
      <c r="L524" s="51" t="str">
        <f>IF(B524="","",IF(ISNA(VLOOKUP(A524,LongJump!F$5:G$302,2,FALSE)),"",VLOOKUP(A524,LongJump!F$5:G$302,2,FALSE)))</f>
        <v/>
      </c>
      <c r="M524" s="51">
        <f>IF(B524="",0,IF(ISNA(_xlfn.XLOOKUP(A524,LongJump!F$5:F$302,LongJump!M$5:M$302)),0,_xlfn.XLOOKUP(A524,LongJump!F$5:F$302,LongJump!M$5:M$302)))</f>
        <v>0</v>
      </c>
      <c r="N524" s="51">
        <f>IF(B524="",0,IF(ISNA(VLOOKUP(A524,LongJump!F$5:K$302,5,FALSE)),0,VLOOKUP(A524,LongJump!F$5:K$302,5,FALSE)))</f>
        <v>0</v>
      </c>
      <c r="O524" s="51" t="str">
        <f>IF(B524="","",IF(ISNA(VLOOKUP(A524,Vortex!F$5:J$302,2,FALSE)),"",VLOOKUP(A524,Vortex!F$5:J$302,2,FALSE)))</f>
        <v/>
      </c>
      <c r="P524" s="51">
        <f>IF(B524="",0,IF(ISNA(_xlfn.XLOOKUP(A524,Vortex!F$5:F$302,Vortex!M$5:M$302)),0,_xlfn.XLOOKUP(A524,Vortex!F$5:F$302,Vortex!M$5:M$302)))</f>
        <v>0</v>
      </c>
      <c r="Q524" s="51">
        <f t="shared" si="63"/>
        <v>0</v>
      </c>
      <c r="R524" s="51" t="str">
        <f t="shared" si="64"/>
        <v/>
      </c>
      <c r="S524" s="51" t="str">
        <f t="shared" si="65"/>
        <v/>
      </c>
      <c r="T524" s="51" t="str">
        <f t="shared" si="66"/>
        <v/>
      </c>
      <c r="U524" s="51" t="str">
        <f t="shared" si="67"/>
        <v/>
      </c>
    </row>
    <row r="525" spans="1:21">
      <c r="A525" s="51" t="str">
        <f>IF(Declarations!B153=0,"",Declarations!B153)</f>
        <v/>
      </c>
      <c r="B525" s="161" t="str">
        <f>IF(ISNA(VLOOKUP(A525,Declarations!B$6:C$293,2,FALSE)),"",IF(VLOOKUP(A525,Declarations!B$6:C$293,2,FALSE)="","",VLOOKUP(A525,Declarations!B$6:C$293,2,FALSE)))</f>
        <v/>
      </c>
      <c r="C525" s="161" t="str">
        <f>IF(ISNA(VLOOKUP(A525,Declarations!B$6:F$293,5,FALSE)),"",IF(VLOOKUP(A525,Declarations!B$6:F$293,5,FALSE)="","",VLOOKUP(A525,Declarations!B$6:F$293,5,FALSE)))</f>
        <v/>
      </c>
      <c r="D525" s="161" t="str">
        <f>IF(ISNA(VLOOKUP(A525,Declarations!B$6:F$293,4,FALSE)),"",IF(VLOOKUP(A525,Declarations!B$6:F$293,4,FALSE)="","",VLOOKUP(A525,Declarations!B$6:F$293,4,FALSE)))</f>
        <v/>
      </c>
      <c r="E525" s="161" t="str">
        <f>IF(ISNA(VLOOKUP(A525,Declarations!B$6:D$293,3,FALSE)),"",IF(VLOOKUP(A525,Declarations!B$6:D$293,3,FALSE)="","",VLOOKUP(A525,Declarations!B$6:D$293,3,FALSE)))</f>
        <v/>
      </c>
      <c r="F525" s="51" t="str">
        <f>IF(B525="","",IF(ISNA(VLOOKUP(A525,'75m'!F$5:G$302,2,FALSE)),"",VLOOKUP(A525,'75m'!F$5:G$302,2,FALSE)))</f>
        <v/>
      </c>
      <c r="G525" s="51">
        <f>IF(B525="",0,IF(ISNA(_xlfn.XLOOKUP(A525,'75m'!F$5:F$302,'75m'!M$5:M$302)),0,_xlfn.XLOOKUP(A525,'75m'!F$5:F$302,'75m'!M$5:M$302)))</f>
        <v>0</v>
      </c>
      <c r="H525" s="51" t="str">
        <f>IF(B525="","",IF(ISNA(VLOOKUP(A525,'75m'!F$5:K$302,5,FALSE)),"",VLOOKUP(A525,'75m'!F$5:K$302,5,FALSE)))</f>
        <v/>
      </c>
      <c r="I525" s="53">
        <f>IF(B525="",0,IF(ISNA(VLOOKUP(A525,'600m'!F$5:J$302,2,FALSE)),0,VLOOKUP(A525,'600m'!F$5:J$302,2,FALSE)))</f>
        <v>0</v>
      </c>
      <c r="J525" s="51">
        <f>IF(B525="",0,IF(ISNA(_xlfn.XLOOKUP(A525,'600m'!F$5:F$302,'600m'!M$5:M$302)),0,_xlfn.XLOOKUP(A525,'600m'!F$5:F$302,'600m'!M$5:M$302)))</f>
        <v>0</v>
      </c>
      <c r="K525" s="51" t="str">
        <f>IF(B525="","",IF(ISNA(VLOOKUP(A525,'600m'!F$5:K$302,5,FALSE)),"",VLOOKUP(A525,'600m'!F$5:K$302,5,FALSE)))</f>
        <v/>
      </c>
      <c r="L525" s="51" t="str">
        <f>IF(B525="","",IF(ISNA(VLOOKUP(A525,LongJump!F$5:G$302,2,FALSE)),"",VLOOKUP(A525,LongJump!F$5:G$302,2,FALSE)))</f>
        <v/>
      </c>
      <c r="M525" s="51">
        <f>IF(B525="",0,IF(ISNA(_xlfn.XLOOKUP(A525,LongJump!F$5:F$302,LongJump!M$5:M$302)),0,_xlfn.XLOOKUP(A525,LongJump!F$5:F$302,LongJump!M$5:M$302)))</f>
        <v>0</v>
      </c>
      <c r="N525" s="51">
        <f>IF(B525="",0,IF(ISNA(VLOOKUP(A525,LongJump!F$5:K$302,5,FALSE)),0,VLOOKUP(A525,LongJump!F$5:K$302,5,FALSE)))</f>
        <v>0</v>
      </c>
      <c r="O525" s="51" t="str">
        <f>IF(B525="","",IF(ISNA(VLOOKUP(A525,Vortex!F$5:J$302,2,FALSE)),"",VLOOKUP(A525,Vortex!F$5:J$302,2,FALSE)))</f>
        <v/>
      </c>
      <c r="P525" s="51">
        <f>IF(B525="",0,IF(ISNA(_xlfn.XLOOKUP(A525,Vortex!F$5:F$302,Vortex!M$5:M$302)),0,_xlfn.XLOOKUP(A525,Vortex!F$5:F$302,Vortex!M$5:M$302)))</f>
        <v>0</v>
      </c>
      <c r="Q525" s="51">
        <f t="shared" si="63"/>
        <v>0</v>
      </c>
      <c r="R525" s="51" t="str">
        <f t="shared" si="64"/>
        <v/>
      </c>
      <c r="S525" s="51" t="str">
        <f t="shared" si="65"/>
        <v/>
      </c>
      <c r="T525" s="51" t="str">
        <f t="shared" si="66"/>
        <v/>
      </c>
      <c r="U525" s="51" t="str">
        <f t="shared" si="67"/>
        <v/>
      </c>
    </row>
    <row r="526" spans="1:21">
      <c r="A526" s="51" t="str">
        <f>IF(Declarations!B154=0,"",Declarations!B154)</f>
        <v/>
      </c>
      <c r="B526" s="161" t="str">
        <f>IF(ISNA(VLOOKUP(A526,Declarations!B$6:C$293,2,FALSE)),"",IF(VLOOKUP(A526,Declarations!B$6:C$293,2,FALSE)="","",VLOOKUP(A526,Declarations!B$6:C$293,2,FALSE)))</f>
        <v/>
      </c>
      <c r="C526" s="161" t="str">
        <f>IF(ISNA(VLOOKUP(A526,Declarations!B$6:F$293,5,FALSE)),"",IF(VLOOKUP(A526,Declarations!B$6:F$293,5,FALSE)="","",VLOOKUP(A526,Declarations!B$6:F$293,5,FALSE)))</f>
        <v/>
      </c>
      <c r="D526" s="161" t="str">
        <f>IF(ISNA(VLOOKUP(A526,Declarations!B$6:F$293,4,FALSE)),"",IF(VLOOKUP(A526,Declarations!B$6:F$293,4,FALSE)="","",VLOOKUP(A526,Declarations!B$6:F$293,4,FALSE)))</f>
        <v/>
      </c>
      <c r="E526" s="161" t="str">
        <f>IF(ISNA(VLOOKUP(A526,Declarations!B$6:D$293,3,FALSE)),"",IF(VLOOKUP(A526,Declarations!B$6:D$293,3,FALSE)="","",VLOOKUP(A526,Declarations!B$6:D$293,3,FALSE)))</f>
        <v/>
      </c>
      <c r="F526" s="51" t="str">
        <f>IF(B526="","",IF(ISNA(VLOOKUP(A526,'75m'!F$5:G$302,2,FALSE)),"",VLOOKUP(A526,'75m'!F$5:G$302,2,FALSE)))</f>
        <v/>
      </c>
      <c r="G526" s="51">
        <f>IF(B526="",0,IF(ISNA(_xlfn.XLOOKUP(A526,'75m'!F$5:F$302,'75m'!M$5:M$302)),0,_xlfn.XLOOKUP(A526,'75m'!F$5:F$302,'75m'!M$5:M$302)))</f>
        <v>0</v>
      </c>
      <c r="H526" s="51" t="str">
        <f>IF(B526="","",IF(ISNA(VLOOKUP(A526,'75m'!F$5:K$302,5,FALSE)),"",VLOOKUP(A526,'75m'!F$5:K$302,5,FALSE)))</f>
        <v/>
      </c>
      <c r="I526" s="53">
        <f>IF(B526="",0,IF(ISNA(VLOOKUP(A526,'600m'!F$5:J$302,2,FALSE)),0,VLOOKUP(A526,'600m'!F$5:J$302,2,FALSE)))</f>
        <v>0</v>
      </c>
      <c r="J526" s="51">
        <f>IF(B526="",0,IF(ISNA(_xlfn.XLOOKUP(A526,'600m'!F$5:F$302,'600m'!M$5:M$302)),0,_xlfn.XLOOKUP(A526,'600m'!F$5:F$302,'600m'!M$5:M$302)))</f>
        <v>0</v>
      </c>
      <c r="K526" s="51" t="str">
        <f>IF(B526="","",IF(ISNA(VLOOKUP(A526,'600m'!F$5:K$302,5,FALSE)),"",VLOOKUP(A526,'600m'!F$5:K$302,5,FALSE)))</f>
        <v/>
      </c>
      <c r="L526" s="51" t="str">
        <f>IF(B526="","",IF(ISNA(VLOOKUP(A526,LongJump!F$5:G$302,2,FALSE)),"",VLOOKUP(A526,LongJump!F$5:G$302,2,FALSE)))</f>
        <v/>
      </c>
      <c r="M526" s="51">
        <f>IF(B526="",0,IF(ISNA(_xlfn.XLOOKUP(A526,LongJump!F$5:F$302,LongJump!M$5:M$302)),0,_xlfn.XLOOKUP(A526,LongJump!F$5:F$302,LongJump!M$5:M$302)))</f>
        <v>0</v>
      </c>
      <c r="N526" s="51">
        <f>IF(B526="",0,IF(ISNA(VLOOKUP(A526,LongJump!F$5:K$302,5,FALSE)),0,VLOOKUP(A526,LongJump!F$5:K$302,5,FALSE)))</f>
        <v>0</v>
      </c>
      <c r="O526" s="51" t="str">
        <f>IF(B526="","",IF(ISNA(VLOOKUP(A526,Vortex!F$5:J$302,2,FALSE)),"",VLOOKUP(A526,Vortex!F$5:J$302,2,FALSE)))</f>
        <v/>
      </c>
      <c r="P526" s="51">
        <f>IF(B526="",0,IF(ISNA(_xlfn.XLOOKUP(A526,Vortex!F$5:F$302,Vortex!M$5:M$302)),0,_xlfn.XLOOKUP(A526,Vortex!F$5:F$302,Vortex!M$5:M$302)))</f>
        <v>0</v>
      </c>
      <c r="Q526" s="51">
        <f t="shared" si="63"/>
        <v>0</v>
      </c>
      <c r="R526" s="51" t="str">
        <f t="shared" si="64"/>
        <v/>
      </c>
      <c r="S526" s="51" t="str">
        <f t="shared" si="65"/>
        <v/>
      </c>
      <c r="T526" s="51" t="str">
        <f t="shared" si="66"/>
        <v/>
      </c>
      <c r="U526" s="51" t="str">
        <f t="shared" si="67"/>
        <v/>
      </c>
    </row>
    <row r="527" spans="1:21">
      <c r="A527" s="51" t="str">
        <f>IF(Declarations!B155=0,"",Declarations!B155)</f>
        <v/>
      </c>
      <c r="B527" s="161" t="str">
        <f>IF(ISNA(VLOOKUP(A527,Declarations!B$6:C$293,2,FALSE)),"",IF(VLOOKUP(A527,Declarations!B$6:C$293,2,FALSE)="","",VLOOKUP(A527,Declarations!B$6:C$293,2,FALSE)))</f>
        <v/>
      </c>
      <c r="C527" s="161" t="str">
        <f>IF(ISNA(VLOOKUP(A527,Declarations!B$6:F$293,5,FALSE)),"",IF(VLOOKUP(A527,Declarations!B$6:F$293,5,FALSE)="","",VLOOKUP(A527,Declarations!B$6:F$293,5,FALSE)))</f>
        <v/>
      </c>
      <c r="D527" s="161" t="str">
        <f>IF(ISNA(VLOOKUP(A527,Declarations!B$6:F$293,4,FALSE)),"",IF(VLOOKUP(A527,Declarations!B$6:F$293,4,FALSE)="","",VLOOKUP(A527,Declarations!B$6:F$293,4,FALSE)))</f>
        <v/>
      </c>
      <c r="E527" s="161" t="str">
        <f>IF(ISNA(VLOOKUP(A527,Declarations!B$6:D$293,3,FALSE)),"",IF(VLOOKUP(A527,Declarations!B$6:D$293,3,FALSE)="","",VLOOKUP(A527,Declarations!B$6:D$293,3,FALSE)))</f>
        <v/>
      </c>
      <c r="F527" s="51" t="str">
        <f>IF(B527="","",IF(ISNA(VLOOKUP(A527,'75m'!F$5:G$302,2,FALSE)),"",VLOOKUP(A527,'75m'!F$5:G$302,2,FALSE)))</f>
        <v/>
      </c>
      <c r="G527" s="51">
        <f>IF(B527="",0,IF(ISNA(_xlfn.XLOOKUP(A527,'75m'!F$5:F$302,'75m'!M$5:M$302)),0,_xlfn.XLOOKUP(A527,'75m'!F$5:F$302,'75m'!M$5:M$302)))</f>
        <v>0</v>
      </c>
      <c r="H527" s="51" t="str">
        <f>IF(B527="","",IF(ISNA(VLOOKUP(A527,'75m'!F$5:K$302,5,FALSE)),"",VLOOKUP(A527,'75m'!F$5:K$302,5,FALSE)))</f>
        <v/>
      </c>
      <c r="I527" s="53">
        <f>IF(B527="",0,IF(ISNA(VLOOKUP(A527,'600m'!F$5:J$302,2,FALSE)),0,VLOOKUP(A527,'600m'!F$5:J$302,2,FALSE)))</f>
        <v>0</v>
      </c>
      <c r="J527" s="51">
        <f>IF(B527="",0,IF(ISNA(_xlfn.XLOOKUP(A527,'600m'!F$5:F$302,'600m'!M$5:M$302)),0,_xlfn.XLOOKUP(A527,'600m'!F$5:F$302,'600m'!M$5:M$302)))</f>
        <v>0</v>
      </c>
      <c r="K527" s="51" t="str">
        <f>IF(B527="","",IF(ISNA(VLOOKUP(A527,'600m'!F$5:K$302,5,FALSE)),"",VLOOKUP(A527,'600m'!F$5:K$302,5,FALSE)))</f>
        <v/>
      </c>
      <c r="L527" s="51" t="str">
        <f>IF(B527="","",IF(ISNA(VLOOKUP(A527,LongJump!F$5:G$302,2,FALSE)),"",VLOOKUP(A527,LongJump!F$5:G$302,2,FALSE)))</f>
        <v/>
      </c>
      <c r="M527" s="51">
        <f>IF(B527="",0,IF(ISNA(_xlfn.XLOOKUP(A527,LongJump!F$5:F$302,LongJump!M$5:M$302)),0,_xlfn.XLOOKUP(A527,LongJump!F$5:F$302,LongJump!M$5:M$302)))</f>
        <v>0</v>
      </c>
      <c r="N527" s="51">
        <f>IF(B527="",0,IF(ISNA(VLOOKUP(A527,LongJump!F$5:K$302,5,FALSE)),0,VLOOKUP(A527,LongJump!F$5:K$302,5,FALSE)))</f>
        <v>0</v>
      </c>
      <c r="O527" s="51" t="str">
        <f>IF(B527="","",IF(ISNA(VLOOKUP(A527,Vortex!F$5:J$302,2,FALSE)),"",VLOOKUP(A527,Vortex!F$5:J$302,2,FALSE)))</f>
        <v/>
      </c>
      <c r="P527" s="51">
        <f>IF(B527="",0,IF(ISNA(_xlfn.XLOOKUP(A527,Vortex!F$5:F$302,Vortex!M$5:M$302)),0,_xlfn.XLOOKUP(A527,Vortex!F$5:F$302,Vortex!M$5:M$302)))</f>
        <v>0</v>
      </c>
      <c r="Q527" s="51">
        <f t="shared" si="63"/>
        <v>0</v>
      </c>
      <c r="R527" s="51" t="str">
        <f t="shared" si="64"/>
        <v/>
      </c>
      <c r="S527" s="51" t="str">
        <f t="shared" si="65"/>
        <v/>
      </c>
      <c r="T527" s="51" t="str">
        <f t="shared" si="66"/>
        <v/>
      </c>
      <c r="U527" s="51" t="str">
        <f t="shared" si="67"/>
        <v/>
      </c>
    </row>
    <row r="528" spans="1:21">
      <c r="A528" s="51" t="str">
        <f>IF(Declarations!B156=0,"",Declarations!B156)</f>
        <v/>
      </c>
      <c r="B528" s="161" t="str">
        <f>IF(ISNA(VLOOKUP(A528,Declarations!B$6:C$293,2,FALSE)),"",IF(VLOOKUP(A528,Declarations!B$6:C$293,2,FALSE)="","",VLOOKUP(A528,Declarations!B$6:C$293,2,FALSE)))</f>
        <v/>
      </c>
      <c r="C528" s="161" t="str">
        <f>IF(ISNA(VLOOKUP(A528,Declarations!B$6:F$293,5,FALSE)),"",IF(VLOOKUP(A528,Declarations!B$6:F$293,5,FALSE)="","",VLOOKUP(A528,Declarations!B$6:F$293,5,FALSE)))</f>
        <v/>
      </c>
      <c r="D528" s="161" t="str">
        <f>IF(ISNA(VLOOKUP(A528,Declarations!B$6:F$293,4,FALSE)),"",IF(VLOOKUP(A528,Declarations!B$6:F$293,4,FALSE)="","",VLOOKUP(A528,Declarations!B$6:F$293,4,FALSE)))</f>
        <v/>
      </c>
      <c r="E528" s="161" t="str">
        <f>IF(ISNA(VLOOKUP(A528,Declarations!B$6:D$293,3,FALSE)),"",IF(VLOOKUP(A528,Declarations!B$6:D$293,3,FALSE)="","",VLOOKUP(A528,Declarations!B$6:D$293,3,FALSE)))</f>
        <v/>
      </c>
      <c r="F528" s="51" t="str">
        <f>IF(B528="","",IF(ISNA(VLOOKUP(A528,'75m'!F$5:G$302,2,FALSE)),"",VLOOKUP(A528,'75m'!F$5:G$302,2,FALSE)))</f>
        <v/>
      </c>
      <c r="G528" s="51">
        <f>IF(B528="",0,IF(ISNA(_xlfn.XLOOKUP(A528,'75m'!F$5:F$302,'75m'!M$5:M$302)),0,_xlfn.XLOOKUP(A528,'75m'!F$5:F$302,'75m'!M$5:M$302)))</f>
        <v>0</v>
      </c>
      <c r="H528" s="51" t="str">
        <f>IF(B528="","",IF(ISNA(VLOOKUP(A528,'75m'!F$5:K$302,5,FALSE)),"",VLOOKUP(A528,'75m'!F$5:K$302,5,FALSE)))</f>
        <v/>
      </c>
      <c r="I528" s="53">
        <f>IF(B528="",0,IF(ISNA(VLOOKUP(A528,'600m'!F$5:J$302,2,FALSE)),0,VLOOKUP(A528,'600m'!F$5:J$302,2,FALSE)))</f>
        <v>0</v>
      </c>
      <c r="J528" s="51">
        <f>IF(B528="",0,IF(ISNA(_xlfn.XLOOKUP(A528,'600m'!F$5:F$302,'600m'!M$5:M$302)),0,_xlfn.XLOOKUP(A528,'600m'!F$5:F$302,'600m'!M$5:M$302)))</f>
        <v>0</v>
      </c>
      <c r="K528" s="51" t="str">
        <f>IF(B528="","",IF(ISNA(VLOOKUP(A528,'600m'!F$5:K$302,5,FALSE)),"",VLOOKUP(A528,'600m'!F$5:K$302,5,FALSE)))</f>
        <v/>
      </c>
      <c r="L528" s="51" t="str">
        <f>IF(B528="","",IF(ISNA(VLOOKUP(A528,LongJump!F$5:G$302,2,FALSE)),"",VLOOKUP(A528,LongJump!F$5:G$302,2,FALSE)))</f>
        <v/>
      </c>
      <c r="M528" s="51">
        <f>IF(B528="",0,IF(ISNA(_xlfn.XLOOKUP(A528,LongJump!F$5:F$302,LongJump!M$5:M$302)),0,_xlfn.XLOOKUP(A528,LongJump!F$5:F$302,LongJump!M$5:M$302)))</f>
        <v>0</v>
      </c>
      <c r="N528" s="51">
        <f>IF(B528="",0,IF(ISNA(VLOOKUP(A528,LongJump!F$5:K$302,5,FALSE)),0,VLOOKUP(A528,LongJump!F$5:K$302,5,FALSE)))</f>
        <v>0</v>
      </c>
      <c r="O528" s="51" t="str">
        <f>IF(B528="","",IF(ISNA(VLOOKUP(A528,Vortex!F$5:J$302,2,FALSE)),"",VLOOKUP(A528,Vortex!F$5:J$302,2,FALSE)))</f>
        <v/>
      </c>
      <c r="P528" s="51">
        <f>IF(B528="",0,IF(ISNA(_xlfn.XLOOKUP(A528,Vortex!F$5:F$302,Vortex!M$5:M$302)),0,_xlfn.XLOOKUP(A528,Vortex!F$5:F$302,Vortex!M$5:M$302)))</f>
        <v>0</v>
      </c>
      <c r="Q528" s="51">
        <f t="shared" si="63"/>
        <v>0</v>
      </c>
      <c r="R528" s="51" t="str">
        <f t="shared" si="64"/>
        <v/>
      </c>
      <c r="S528" s="51" t="str">
        <f t="shared" si="65"/>
        <v/>
      </c>
      <c r="T528" s="51" t="str">
        <f t="shared" si="66"/>
        <v/>
      </c>
      <c r="U528" s="51" t="str">
        <f t="shared" si="67"/>
        <v/>
      </c>
    </row>
    <row r="529" spans="1:21">
      <c r="A529" s="51" t="str">
        <f>IF(Declarations!B157=0,"",Declarations!B157)</f>
        <v/>
      </c>
      <c r="B529" s="161" t="str">
        <f>IF(ISNA(VLOOKUP(A529,Declarations!B$6:C$293,2,FALSE)),"",IF(VLOOKUP(A529,Declarations!B$6:C$293,2,FALSE)="","",VLOOKUP(A529,Declarations!B$6:C$293,2,FALSE)))</f>
        <v/>
      </c>
      <c r="C529" s="161" t="str">
        <f>IF(ISNA(VLOOKUP(A529,Declarations!B$6:F$293,5,FALSE)),"",IF(VLOOKUP(A529,Declarations!B$6:F$293,5,FALSE)="","",VLOOKUP(A529,Declarations!B$6:F$293,5,FALSE)))</f>
        <v/>
      </c>
      <c r="D529" s="161" t="str">
        <f>IF(ISNA(VLOOKUP(A529,Declarations!B$6:F$293,4,FALSE)),"",IF(VLOOKUP(A529,Declarations!B$6:F$293,4,FALSE)="","",VLOOKUP(A529,Declarations!B$6:F$293,4,FALSE)))</f>
        <v/>
      </c>
      <c r="E529" s="161" t="str">
        <f>IF(ISNA(VLOOKUP(A529,Declarations!B$6:D$293,3,FALSE)),"",IF(VLOOKUP(A529,Declarations!B$6:D$293,3,FALSE)="","",VLOOKUP(A529,Declarations!B$6:D$293,3,FALSE)))</f>
        <v/>
      </c>
      <c r="F529" s="51" t="str">
        <f>IF(B529="","",IF(ISNA(VLOOKUP(A529,'75m'!F$5:G$302,2,FALSE)),"",VLOOKUP(A529,'75m'!F$5:G$302,2,FALSE)))</f>
        <v/>
      </c>
      <c r="G529" s="51">
        <f>IF(B529="",0,IF(ISNA(_xlfn.XLOOKUP(A529,'75m'!F$5:F$302,'75m'!M$5:M$302)),0,_xlfn.XLOOKUP(A529,'75m'!F$5:F$302,'75m'!M$5:M$302)))</f>
        <v>0</v>
      </c>
      <c r="H529" s="51" t="str">
        <f>IF(B529="","",IF(ISNA(VLOOKUP(A529,'75m'!F$5:K$302,5,FALSE)),"",VLOOKUP(A529,'75m'!F$5:K$302,5,FALSE)))</f>
        <v/>
      </c>
      <c r="I529" s="53">
        <f>IF(B529="",0,IF(ISNA(VLOOKUP(A529,'600m'!F$5:J$302,2,FALSE)),0,VLOOKUP(A529,'600m'!F$5:J$302,2,FALSE)))</f>
        <v>0</v>
      </c>
      <c r="J529" s="51">
        <f>IF(B529="",0,IF(ISNA(_xlfn.XLOOKUP(A529,'600m'!F$5:F$302,'600m'!M$5:M$302)),0,_xlfn.XLOOKUP(A529,'600m'!F$5:F$302,'600m'!M$5:M$302)))</f>
        <v>0</v>
      </c>
      <c r="K529" s="51" t="str">
        <f>IF(B529="","",IF(ISNA(VLOOKUP(A529,'600m'!F$5:K$302,5,FALSE)),"",VLOOKUP(A529,'600m'!F$5:K$302,5,FALSE)))</f>
        <v/>
      </c>
      <c r="L529" s="51" t="str">
        <f>IF(B529="","",IF(ISNA(VLOOKUP(A529,LongJump!F$5:G$302,2,FALSE)),"",VLOOKUP(A529,LongJump!F$5:G$302,2,FALSE)))</f>
        <v/>
      </c>
      <c r="M529" s="51">
        <f>IF(B529="",0,IF(ISNA(_xlfn.XLOOKUP(A529,LongJump!F$5:F$302,LongJump!M$5:M$302)),0,_xlfn.XLOOKUP(A529,LongJump!F$5:F$302,LongJump!M$5:M$302)))</f>
        <v>0</v>
      </c>
      <c r="N529" s="51">
        <f>IF(B529="",0,IF(ISNA(VLOOKUP(A529,LongJump!F$5:K$302,5,FALSE)),0,VLOOKUP(A529,LongJump!F$5:K$302,5,FALSE)))</f>
        <v>0</v>
      </c>
      <c r="O529" s="51" t="str">
        <f>IF(B529="","",IF(ISNA(VLOOKUP(A529,Vortex!F$5:J$302,2,FALSE)),"",VLOOKUP(A529,Vortex!F$5:J$302,2,FALSE)))</f>
        <v/>
      </c>
      <c r="P529" s="51">
        <f>IF(B529="",0,IF(ISNA(_xlfn.XLOOKUP(A529,Vortex!F$5:F$302,Vortex!M$5:M$302)),0,_xlfn.XLOOKUP(A529,Vortex!F$5:F$302,Vortex!M$5:M$302)))</f>
        <v>0</v>
      </c>
      <c r="Q529" s="51">
        <f t="shared" si="63"/>
        <v>0</v>
      </c>
      <c r="R529" s="51" t="str">
        <f t="shared" si="64"/>
        <v/>
      </c>
      <c r="S529" s="51" t="str">
        <f t="shared" si="65"/>
        <v/>
      </c>
      <c r="T529" s="51" t="str">
        <f t="shared" si="66"/>
        <v/>
      </c>
      <c r="U529" s="51" t="str">
        <f t="shared" si="67"/>
        <v/>
      </c>
    </row>
    <row r="530" spans="1:21">
      <c r="A530" s="51" t="str">
        <f>IF(Declarations!B158=0,"",Declarations!B158)</f>
        <v/>
      </c>
      <c r="B530" s="161" t="str">
        <f>IF(ISNA(VLOOKUP(A530,Declarations!B$6:C$293,2,FALSE)),"",IF(VLOOKUP(A530,Declarations!B$6:C$293,2,FALSE)="","",VLOOKUP(A530,Declarations!B$6:C$293,2,FALSE)))</f>
        <v/>
      </c>
      <c r="C530" s="161" t="str">
        <f>IF(ISNA(VLOOKUP(A530,Declarations!B$6:F$293,5,FALSE)),"",IF(VLOOKUP(A530,Declarations!B$6:F$293,5,FALSE)="","",VLOOKUP(A530,Declarations!B$6:F$293,5,FALSE)))</f>
        <v/>
      </c>
      <c r="D530" s="161" t="str">
        <f>IF(ISNA(VLOOKUP(A530,Declarations!B$6:F$293,4,FALSE)),"",IF(VLOOKUP(A530,Declarations!B$6:F$293,4,FALSE)="","",VLOOKUP(A530,Declarations!B$6:F$293,4,FALSE)))</f>
        <v/>
      </c>
      <c r="E530" s="161" t="str">
        <f>IF(ISNA(VLOOKUP(A530,Declarations!B$6:D$293,3,FALSE)),"",IF(VLOOKUP(A530,Declarations!B$6:D$293,3,FALSE)="","",VLOOKUP(A530,Declarations!B$6:D$293,3,FALSE)))</f>
        <v/>
      </c>
      <c r="F530" s="51" t="str">
        <f>IF(B530="","",IF(ISNA(VLOOKUP(A530,'75m'!F$5:G$302,2,FALSE)),"",VLOOKUP(A530,'75m'!F$5:G$302,2,FALSE)))</f>
        <v/>
      </c>
      <c r="G530" s="51">
        <f>IF(B530="",0,IF(ISNA(_xlfn.XLOOKUP(A530,'75m'!F$5:F$302,'75m'!M$5:M$302)),0,_xlfn.XLOOKUP(A530,'75m'!F$5:F$302,'75m'!M$5:M$302)))</f>
        <v>0</v>
      </c>
      <c r="H530" s="51" t="str">
        <f>IF(B530="","",IF(ISNA(VLOOKUP(A530,'75m'!F$5:K$302,5,FALSE)),"",VLOOKUP(A530,'75m'!F$5:K$302,5,FALSE)))</f>
        <v/>
      </c>
      <c r="I530" s="53">
        <f>IF(B530="",0,IF(ISNA(VLOOKUP(A530,'600m'!F$5:J$302,2,FALSE)),0,VLOOKUP(A530,'600m'!F$5:J$302,2,FALSE)))</f>
        <v>0</v>
      </c>
      <c r="J530" s="51">
        <f>IF(B530="",0,IF(ISNA(_xlfn.XLOOKUP(A530,'600m'!F$5:F$302,'600m'!M$5:M$302)),0,_xlfn.XLOOKUP(A530,'600m'!F$5:F$302,'600m'!M$5:M$302)))</f>
        <v>0</v>
      </c>
      <c r="K530" s="51" t="str">
        <f>IF(B530="","",IF(ISNA(VLOOKUP(A530,'600m'!F$5:K$302,5,FALSE)),"",VLOOKUP(A530,'600m'!F$5:K$302,5,FALSE)))</f>
        <v/>
      </c>
      <c r="L530" s="51" t="str">
        <f>IF(B530="","",IF(ISNA(VLOOKUP(A530,LongJump!F$5:G$302,2,FALSE)),"",VLOOKUP(A530,LongJump!F$5:G$302,2,FALSE)))</f>
        <v/>
      </c>
      <c r="M530" s="51">
        <f>IF(B530="",0,IF(ISNA(_xlfn.XLOOKUP(A530,LongJump!F$5:F$302,LongJump!M$5:M$302)),0,_xlfn.XLOOKUP(A530,LongJump!F$5:F$302,LongJump!M$5:M$302)))</f>
        <v>0</v>
      </c>
      <c r="N530" s="51">
        <f>IF(B530="",0,IF(ISNA(VLOOKUP(A530,LongJump!F$5:K$302,5,FALSE)),0,VLOOKUP(A530,LongJump!F$5:K$302,5,FALSE)))</f>
        <v>0</v>
      </c>
      <c r="O530" s="51" t="str">
        <f>IF(B530="","",IF(ISNA(VLOOKUP(A530,Vortex!F$5:J$302,2,FALSE)),"",VLOOKUP(A530,Vortex!F$5:J$302,2,FALSE)))</f>
        <v/>
      </c>
      <c r="P530" s="51">
        <f>IF(B530="",0,IF(ISNA(_xlfn.XLOOKUP(A530,Vortex!F$5:F$302,Vortex!M$5:M$302)),0,_xlfn.XLOOKUP(A530,Vortex!F$5:F$302,Vortex!M$5:M$302)))</f>
        <v>0</v>
      </c>
      <c r="Q530" s="51">
        <f t="shared" si="63"/>
        <v>0</v>
      </c>
      <c r="R530" s="51" t="str">
        <f t="shared" si="64"/>
        <v/>
      </c>
      <c r="S530" s="51" t="str">
        <f t="shared" si="65"/>
        <v/>
      </c>
      <c r="T530" s="51" t="str">
        <f t="shared" si="66"/>
        <v/>
      </c>
      <c r="U530" s="51" t="str">
        <f t="shared" si="67"/>
        <v/>
      </c>
    </row>
    <row r="531" spans="1:21">
      <c r="A531" s="51" t="str">
        <f>IF(Declarations!B159=0,"",Declarations!B159)</f>
        <v/>
      </c>
      <c r="B531" s="161" t="str">
        <f>IF(ISNA(VLOOKUP(A531,Declarations!B$6:C$293,2,FALSE)),"",IF(VLOOKUP(A531,Declarations!B$6:C$293,2,FALSE)="","",VLOOKUP(A531,Declarations!B$6:C$293,2,FALSE)))</f>
        <v/>
      </c>
      <c r="C531" s="161" t="str">
        <f>IF(ISNA(VLOOKUP(A531,Declarations!B$6:F$293,5,FALSE)),"",IF(VLOOKUP(A531,Declarations!B$6:F$293,5,FALSE)="","",VLOOKUP(A531,Declarations!B$6:F$293,5,FALSE)))</f>
        <v/>
      </c>
      <c r="D531" s="161" t="str">
        <f>IF(ISNA(VLOOKUP(A531,Declarations!B$6:F$293,4,FALSE)),"",IF(VLOOKUP(A531,Declarations!B$6:F$293,4,FALSE)="","",VLOOKUP(A531,Declarations!B$6:F$293,4,FALSE)))</f>
        <v/>
      </c>
      <c r="E531" s="161" t="str">
        <f>IF(ISNA(VLOOKUP(A531,Declarations!B$6:D$293,3,FALSE)),"",IF(VLOOKUP(A531,Declarations!B$6:D$293,3,FALSE)="","",VLOOKUP(A531,Declarations!B$6:D$293,3,FALSE)))</f>
        <v/>
      </c>
      <c r="F531" s="51" t="str">
        <f>IF(B531="","",IF(ISNA(VLOOKUP(A531,'75m'!F$5:G$302,2,FALSE)),"",VLOOKUP(A531,'75m'!F$5:G$302,2,FALSE)))</f>
        <v/>
      </c>
      <c r="G531" s="51">
        <f>IF(B531="",0,IF(ISNA(_xlfn.XLOOKUP(A531,'75m'!F$5:F$302,'75m'!M$5:M$302)),0,_xlfn.XLOOKUP(A531,'75m'!F$5:F$302,'75m'!M$5:M$302)))</f>
        <v>0</v>
      </c>
      <c r="H531" s="51" t="str">
        <f>IF(B531="","",IF(ISNA(VLOOKUP(A531,'75m'!F$5:K$302,5,FALSE)),"",VLOOKUP(A531,'75m'!F$5:K$302,5,FALSE)))</f>
        <v/>
      </c>
      <c r="I531" s="53">
        <f>IF(B531="",0,IF(ISNA(VLOOKUP(A531,'600m'!F$5:J$302,2,FALSE)),0,VLOOKUP(A531,'600m'!F$5:J$302,2,FALSE)))</f>
        <v>0</v>
      </c>
      <c r="J531" s="51">
        <f>IF(B531="",0,IF(ISNA(_xlfn.XLOOKUP(A531,'600m'!F$5:F$302,'600m'!M$5:M$302)),0,_xlfn.XLOOKUP(A531,'600m'!F$5:F$302,'600m'!M$5:M$302)))</f>
        <v>0</v>
      </c>
      <c r="K531" s="51" t="str">
        <f>IF(B531="","",IF(ISNA(VLOOKUP(A531,'600m'!F$5:K$302,5,FALSE)),"",VLOOKUP(A531,'600m'!F$5:K$302,5,FALSE)))</f>
        <v/>
      </c>
      <c r="L531" s="51" t="str">
        <f>IF(B531="","",IF(ISNA(VLOOKUP(A531,LongJump!F$5:G$302,2,FALSE)),"",VLOOKUP(A531,LongJump!F$5:G$302,2,FALSE)))</f>
        <v/>
      </c>
      <c r="M531" s="51">
        <f>IF(B531="",0,IF(ISNA(_xlfn.XLOOKUP(A531,LongJump!F$5:F$302,LongJump!M$5:M$302)),0,_xlfn.XLOOKUP(A531,LongJump!F$5:F$302,LongJump!M$5:M$302)))</f>
        <v>0</v>
      </c>
      <c r="N531" s="51">
        <f>IF(B531="",0,IF(ISNA(VLOOKUP(A531,LongJump!F$5:K$302,5,FALSE)),0,VLOOKUP(A531,LongJump!F$5:K$302,5,FALSE)))</f>
        <v>0</v>
      </c>
      <c r="O531" s="51" t="str">
        <f>IF(B531="","",IF(ISNA(VLOOKUP(A531,Vortex!F$5:J$302,2,FALSE)),"",VLOOKUP(A531,Vortex!F$5:J$302,2,FALSE)))</f>
        <v/>
      </c>
      <c r="P531" s="51">
        <f>IF(B531="",0,IF(ISNA(_xlfn.XLOOKUP(A531,Vortex!F$5:F$302,Vortex!M$5:M$302)),0,_xlfn.XLOOKUP(A531,Vortex!F$5:F$302,Vortex!M$5:M$302)))</f>
        <v>0</v>
      </c>
      <c r="Q531" s="51">
        <f t="shared" si="63"/>
        <v>0</v>
      </c>
      <c r="R531" s="51" t="str">
        <f t="shared" si="64"/>
        <v/>
      </c>
      <c r="S531" s="51" t="str">
        <f t="shared" si="65"/>
        <v/>
      </c>
      <c r="T531" s="51" t="str">
        <f t="shared" si="66"/>
        <v/>
      </c>
      <c r="U531" s="51" t="str">
        <f t="shared" si="67"/>
        <v/>
      </c>
    </row>
    <row r="532" spans="1:21">
      <c r="A532" s="51" t="str">
        <f>IF(Declarations!B160=0,"",Declarations!B160)</f>
        <v/>
      </c>
      <c r="B532" s="161" t="str">
        <f>IF(ISNA(VLOOKUP(A532,Declarations!B$6:C$293,2,FALSE)),"",IF(VLOOKUP(A532,Declarations!B$6:C$293,2,FALSE)="","",VLOOKUP(A532,Declarations!B$6:C$293,2,FALSE)))</f>
        <v/>
      </c>
      <c r="C532" s="161" t="str">
        <f>IF(ISNA(VLOOKUP(A532,Declarations!B$6:F$293,5,FALSE)),"",IF(VLOOKUP(A532,Declarations!B$6:F$293,5,FALSE)="","",VLOOKUP(A532,Declarations!B$6:F$293,5,FALSE)))</f>
        <v/>
      </c>
      <c r="D532" s="161" t="str">
        <f>IF(ISNA(VLOOKUP(A532,Declarations!B$6:F$293,4,FALSE)),"",IF(VLOOKUP(A532,Declarations!B$6:F$293,4,FALSE)="","",VLOOKUP(A532,Declarations!B$6:F$293,4,FALSE)))</f>
        <v/>
      </c>
      <c r="E532" s="161" t="str">
        <f>IF(ISNA(VLOOKUP(A532,Declarations!B$6:D$293,3,FALSE)),"",IF(VLOOKUP(A532,Declarations!B$6:D$293,3,FALSE)="","",VLOOKUP(A532,Declarations!B$6:D$293,3,FALSE)))</f>
        <v/>
      </c>
      <c r="F532" s="51" t="str">
        <f>IF(B532="","",IF(ISNA(VLOOKUP(A532,'75m'!F$5:G$302,2,FALSE)),"",VLOOKUP(A532,'75m'!F$5:G$302,2,FALSE)))</f>
        <v/>
      </c>
      <c r="G532" s="51">
        <f>IF(B532="",0,IF(ISNA(_xlfn.XLOOKUP(A532,'75m'!F$5:F$302,'75m'!M$5:M$302)),0,_xlfn.XLOOKUP(A532,'75m'!F$5:F$302,'75m'!M$5:M$302)))</f>
        <v>0</v>
      </c>
      <c r="H532" s="51" t="str">
        <f>IF(B532="","",IF(ISNA(VLOOKUP(A532,'75m'!F$5:K$302,5,FALSE)),"",VLOOKUP(A532,'75m'!F$5:K$302,5,FALSE)))</f>
        <v/>
      </c>
      <c r="I532" s="53">
        <f>IF(B532="",0,IF(ISNA(VLOOKUP(A532,'600m'!F$5:J$302,2,FALSE)),0,VLOOKUP(A532,'600m'!F$5:J$302,2,FALSE)))</f>
        <v>0</v>
      </c>
      <c r="J532" s="51">
        <f>IF(B532="",0,IF(ISNA(_xlfn.XLOOKUP(A532,'600m'!F$5:F$302,'600m'!M$5:M$302)),0,_xlfn.XLOOKUP(A532,'600m'!F$5:F$302,'600m'!M$5:M$302)))</f>
        <v>0</v>
      </c>
      <c r="K532" s="51" t="str">
        <f>IF(B532="","",IF(ISNA(VLOOKUP(A532,'600m'!F$5:K$302,5,FALSE)),"",VLOOKUP(A532,'600m'!F$5:K$302,5,FALSE)))</f>
        <v/>
      </c>
      <c r="L532" s="51" t="str">
        <f>IF(B532="","",IF(ISNA(VLOOKUP(A532,LongJump!F$5:G$302,2,FALSE)),"",VLOOKUP(A532,LongJump!F$5:G$302,2,FALSE)))</f>
        <v/>
      </c>
      <c r="M532" s="51">
        <f>IF(B532="",0,IF(ISNA(_xlfn.XLOOKUP(A532,LongJump!F$5:F$302,LongJump!M$5:M$302)),0,_xlfn.XLOOKUP(A532,LongJump!F$5:F$302,LongJump!M$5:M$302)))</f>
        <v>0</v>
      </c>
      <c r="N532" s="51">
        <f>IF(B532="",0,IF(ISNA(VLOOKUP(A532,LongJump!F$5:K$302,5,FALSE)),0,VLOOKUP(A532,LongJump!F$5:K$302,5,FALSE)))</f>
        <v>0</v>
      </c>
      <c r="O532" s="51" t="str">
        <f>IF(B532="","",IF(ISNA(VLOOKUP(A532,Vortex!F$5:J$302,2,FALSE)),"",VLOOKUP(A532,Vortex!F$5:J$302,2,FALSE)))</f>
        <v/>
      </c>
      <c r="P532" s="51">
        <f>IF(B532="",0,IF(ISNA(_xlfn.XLOOKUP(A532,Vortex!F$5:F$302,Vortex!M$5:M$302)),0,_xlfn.XLOOKUP(A532,Vortex!F$5:F$302,Vortex!M$5:M$302)))</f>
        <v>0</v>
      </c>
      <c r="Q532" s="51">
        <f t="shared" si="63"/>
        <v>0</v>
      </c>
      <c r="R532" s="51" t="str">
        <f t="shared" si="64"/>
        <v/>
      </c>
      <c r="S532" s="51" t="str">
        <f t="shared" si="65"/>
        <v/>
      </c>
      <c r="T532" s="51" t="str">
        <f t="shared" si="66"/>
        <v/>
      </c>
      <c r="U532" s="51" t="str">
        <f t="shared" si="67"/>
        <v/>
      </c>
    </row>
    <row r="533" spans="1:21">
      <c r="A533" s="51" t="str">
        <f>IF(Declarations!B161=0,"",Declarations!B161)</f>
        <v/>
      </c>
      <c r="B533" s="161" t="str">
        <f>IF(ISNA(VLOOKUP(A533,Declarations!B$6:C$293,2,FALSE)),"",IF(VLOOKUP(A533,Declarations!B$6:C$293,2,FALSE)="","",VLOOKUP(A533,Declarations!B$6:C$293,2,FALSE)))</f>
        <v/>
      </c>
      <c r="C533" s="161" t="str">
        <f>IF(ISNA(VLOOKUP(A533,Declarations!B$6:F$293,5,FALSE)),"",IF(VLOOKUP(A533,Declarations!B$6:F$293,5,FALSE)="","",VLOOKUP(A533,Declarations!B$6:F$293,5,FALSE)))</f>
        <v/>
      </c>
      <c r="D533" s="161" t="str">
        <f>IF(ISNA(VLOOKUP(A533,Declarations!B$6:F$293,4,FALSE)),"",IF(VLOOKUP(A533,Declarations!B$6:F$293,4,FALSE)="","",VLOOKUP(A533,Declarations!B$6:F$293,4,FALSE)))</f>
        <v/>
      </c>
      <c r="E533" s="161" t="str">
        <f>IF(ISNA(VLOOKUP(A533,Declarations!B$6:D$293,3,FALSE)),"",IF(VLOOKUP(A533,Declarations!B$6:D$293,3,FALSE)="","",VLOOKUP(A533,Declarations!B$6:D$293,3,FALSE)))</f>
        <v/>
      </c>
      <c r="F533" s="51" t="str">
        <f>IF(B533="","",IF(ISNA(VLOOKUP(A533,'75m'!F$5:G$302,2,FALSE)),"",VLOOKUP(A533,'75m'!F$5:G$302,2,FALSE)))</f>
        <v/>
      </c>
      <c r="G533" s="51">
        <f>IF(B533="",0,IF(ISNA(_xlfn.XLOOKUP(A533,'75m'!F$5:F$302,'75m'!M$5:M$302)),0,_xlfn.XLOOKUP(A533,'75m'!F$5:F$302,'75m'!M$5:M$302)))</f>
        <v>0</v>
      </c>
      <c r="H533" s="51" t="str">
        <f>IF(B533="","",IF(ISNA(VLOOKUP(A533,'75m'!F$5:K$302,5,FALSE)),"",VLOOKUP(A533,'75m'!F$5:K$302,5,FALSE)))</f>
        <v/>
      </c>
      <c r="I533" s="53">
        <f>IF(B533="",0,IF(ISNA(VLOOKUP(A533,'600m'!F$5:J$302,2,FALSE)),0,VLOOKUP(A533,'600m'!F$5:J$302,2,FALSE)))</f>
        <v>0</v>
      </c>
      <c r="J533" s="51">
        <f>IF(B533="",0,IF(ISNA(_xlfn.XLOOKUP(A533,'600m'!F$5:F$302,'600m'!M$5:M$302)),0,_xlfn.XLOOKUP(A533,'600m'!F$5:F$302,'600m'!M$5:M$302)))</f>
        <v>0</v>
      </c>
      <c r="K533" s="51" t="str">
        <f>IF(B533="","",IF(ISNA(VLOOKUP(A533,'600m'!F$5:K$302,5,FALSE)),"",VLOOKUP(A533,'600m'!F$5:K$302,5,FALSE)))</f>
        <v/>
      </c>
      <c r="L533" s="51" t="str">
        <f>IF(B533="","",IF(ISNA(VLOOKUP(A533,LongJump!F$5:G$302,2,FALSE)),"",VLOOKUP(A533,LongJump!F$5:G$302,2,FALSE)))</f>
        <v/>
      </c>
      <c r="M533" s="51">
        <f>IF(B533="",0,IF(ISNA(_xlfn.XLOOKUP(A533,LongJump!F$5:F$302,LongJump!M$5:M$302)),0,_xlfn.XLOOKUP(A533,LongJump!F$5:F$302,LongJump!M$5:M$302)))</f>
        <v>0</v>
      </c>
      <c r="N533" s="51">
        <f>IF(B533="",0,IF(ISNA(VLOOKUP(A533,LongJump!F$5:K$302,5,FALSE)),0,VLOOKUP(A533,LongJump!F$5:K$302,5,FALSE)))</f>
        <v>0</v>
      </c>
      <c r="O533" s="51" t="str">
        <f>IF(B533="","",IF(ISNA(VLOOKUP(A533,Vortex!F$5:J$302,2,FALSE)),"",VLOOKUP(A533,Vortex!F$5:J$302,2,FALSE)))</f>
        <v/>
      </c>
      <c r="P533" s="51">
        <f>IF(B533="",0,IF(ISNA(_xlfn.XLOOKUP(A533,Vortex!F$5:F$302,Vortex!M$5:M$302)),0,_xlfn.XLOOKUP(A533,Vortex!F$5:F$302,Vortex!M$5:M$302)))</f>
        <v>0</v>
      </c>
      <c r="Q533" s="51">
        <f t="shared" si="63"/>
        <v>0</v>
      </c>
      <c r="R533" s="51" t="str">
        <f t="shared" si="64"/>
        <v/>
      </c>
      <c r="S533" s="51" t="str">
        <f t="shared" si="65"/>
        <v/>
      </c>
      <c r="T533" s="51" t="str">
        <f t="shared" si="66"/>
        <v/>
      </c>
      <c r="U533" s="51" t="str">
        <f t="shared" si="67"/>
        <v/>
      </c>
    </row>
    <row r="534" spans="1:21">
      <c r="A534" s="51" t="str">
        <f>IF(Declarations!B162=0,"",Declarations!B162)</f>
        <v/>
      </c>
      <c r="B534" s="161" t="str">
        <f>IF(ISNA(VLOOKUP(A534,Declarations!B$6:C$293,2,FALSE)),"",IF(VLOOKUP(A534,Declarations!B$6:C$293,2,FALSE)="","",VLOOKUP(A534,Declarations!B$6:C$293,2,FALSE)))</f>
        <v/>
      </c>
      <c r="C534" s="161" t="str">
        <f>IF(ISNA(VLOOKUP(A534,Declarations!B$6:F$293,5,FALSE)),"",IF(VLOOKUP(A534,Declarations!B$6:F$293,5,FALSE)="","",VLOOKUP(A534,Declarations!B$6:F$293,5,FALSE)))</f>
        <v/>
      </c>
      <c r="D534" s="161" t="str">
        <f>IF(ISNA(VLOOKUP(A534,Declarations!B$6:F$293,4,FALSE)),"",IF(VLOOKUP(A534,Declarations!B$6:F$293,4,FALSE)="","",VLOOKUP(A534,Declarations!B$6:F$293,4,FALSE)))</f>
        <v/>
      </c>
      <c r="E534" s="161" t="str">
        <f>IF(ISNA(VLOOKUP(A534,Declarations!B$6:D$293,3,FALSE)),"",IF(VLOOKUP(A534,Declarations!B$6:D$293,3,FALSE)="","",VLOOKUP(A534,Declarations!B$6:D$293,3,FALSE)))</f>
        <v/>
      </c>
      <c r="F534" s="51" t="str">
        <f>IF(B534="","",IF(ISNA(VLOOKUP(A534,'75m'!F$5:G$302,2,FALSE)),"",VLOOKUP(A534,'75m'!F$5:G$302,2,FALSE)))</f>
        <v/>
      </c>
      <c r="G534" s="51">
        <f>IF(B534="",0,IF(ISNA(_xlfn.XLOOKUP(A534,'75m'!F$5:F$302,'75m'!M$5:M$302)),0,_xlfn.XLOOKUP(A534,'75m'!F$5:F$302,'75m'!M$5:M$302)))</f>
        <v>0</v>
      </c>
      <c r="H534" s="51" t="str">
        <f>IF(B534="","",IF(ISNA(VLOOKUP(A534,'75m'!F$5:K$302,5,FALSE)),"",VLOOKUP(A534,'75m'!F$5:K$302,5,FALSE)))</f>
        <v/>
      </c>
      <c r="I534" s="53">
        <f>IF(B534="",0,IF(ISNA(VLOOKUP(A534,'600m'!F$5:J$302,2,FALSE)),0,VLOOKUP(A534,'600m'!F$5:J$302,2,FALSE)))</f>
        <v>0</v>
      </c>
      <c r="J534" s="51">
        <f>IF(B534="",0,IF(ISNA(_xlfn.XLOOKUP(A534,'600m'!F$5:F$302,'600m'!M$5:M$302)),0,_xlfn.XLOOKUP(A534,'600m'!F$5:F$302,'600m'!M$5:M$302)))</f>
        <v>0</v>
      </c>
      <c r="K534" s="51" t="str">
        <f>IF(B534="","",IF(ISNA(VLOOKUP(A534,'600m'!F$5:K$302,5,FALSE)),"",VLOOKUP(A534,'600m'!F$5:K$302,5,FALSE)))</f>
        <v/>
      </c>
      <c r="L534" s="51" t="str">
        <f>IF(B534="","",IF(ISNA(VLOOKUP(A534,LongJump!F$5:G$302,2,FALSE)),"",VLOOKUP(A534,LongJump!F$5:G$302,2,FALSE)))</f>
        <v/>
      </c>
      <c r="M534" s="51">
        <f>IF(B534="",0,IF(ISNA(_xlfn.XLOOKUP(A534,LongJump!F$5:F$302,LongJump!M$5:M$302)),0,_xlfn.XLOOKUP(A534,LongJump!F$5:F$302,LongJump!M$5:M$302)))</f>
        <v>0</v>
      </c>
      <c r="N534" s="51">
        <f>IF(B534="",0,IF(ISNA(VLOOKUP(A534,LongJump!F$5:K$302,5,FALSE)),0,VLOOKUP(A534,LongJump!F$5:K$302,5,FALSE)))</f>
        <v>0</v>
      </c>
      <c r="O534" s="51" t="str">
        <f>IF(B534="","",IF(ISNA(VLOOKUP(A534,Vortex!F$5:J$302,2,FALSE)),"",VLOOKUP(A534,Vortex!F$5:J$302,2,FALSE)))</f>
        <v/>
      </c>
      <c r="P534" s="51">
        <f>IF(B534="",0,IF(ISNA(_xlfn.XLOOKUP(A534,Vortex!F$5:F$302,Vortex!M$5:M$302)),0,_xlfn.XLOOKUP(A534,Vortex!F$5:F$302,Vortex!M$5:M$302)))</f>
        <v>0</v>
      </c>
      <c r="Q534" s="51">
        <f t="shared" si="63"/>
        <v>0</v>
      </c>
      <c r="R534" s="51" t="str">
        <f t="shared" si="64"/>
        <v/>
      </c>
      <c r="S534" s="51" t="str">
        <f t="shared" si="65"/>
        <v/>
      </c>
      <c r="T534" s="51" t="str">
        <f t="shared" si="66"/>
        <v/>
      </c>
      <c r="U534" s="51" t="str">
        <f t="shared" si="67"/>
        <v/>
      </c>
    </row>
    <row r="535" spans="1:21">
      <c r="A535" s="51" t="str">
        <f>IF(Declarations!B163=0,"",Declarations!B163)</f>
        <v/>
      </c>
      <c r="B535" s="161" t="str">
        <f>IF(ISNA(VLOOKUP(A535,Declarations!B$6:C$293,2,FALSE)),"",IF(VLOOKUP(A535,Declarations!B$6:C$293,2,FALSE)="","",VLOOKUP(A535,Declarations!B$6:C$293,2,FALSE)))</f>
        <v/>
      </c>
      <c r="C535" s="161" t="str">
        <f>IF(ISNA(VLOOKUP(A535,Declarations!B$6:F$293,5,FALSE)),"",IF(VLOOKUP(A535,Declarations!B$6:F$293,5,FALSE)="","",VLOOKUP(A535,Declarations!B$6:F$293,5,FALSE)))</f>
        <v/>
      </c>
      <c r="D535" s="161" t="str">
        <f>IF(ISNA(VLOOKUP(A535,Declarations!B$6:F$293,4,FALSE)),"",IF(VLOOKUP(A535,Declarations!B$6:F$293,4,FALSE)="","",VLOOKUP(A535,Declarations!B$6:F$293,4,FALSE)))</f>
        <v/>
      </c>
      <c r="E535" s="161" t="str">
        <f>IF(ISNA(VLOOKUP(A535,Declarations!B$6:D$293,3,FALSE)),"",IF(VLOOKUP(A535,Declarations!B$6:D$293,3,FALSE)="","",VLOOKUP(A535,Declarations!B$6:D$293,3,FALSE)))</f>
        <v/>
      </c>
      <c r="F535" s="51" t="str">
        <f>IF(B535="","",IF(ISNA(VLOOKUP(A535,'75m'!F$5:G$302,2,FALSE)),"",VLOOKUP(A535,'75m'!F$5:G$302,2,FALSE)))</f>
        <v/>
      </c>
      <c r="G535" s="51">
        <f>IF(B535="",0,IF(ISNA(_xlfn.XLOOKUP(A535,'75m'!F$5:F$302,'75m'!M$5:M$302)),0,_xlfn.XLOOKUP(A535,'75m'!F$5:F$302,'75m'!M$5:M$302)))</f>
        <v>0</v>
      </c>
      <c r="H535" s="51" t="str">
        <f>IF(B535="","",IF(ISNA(VLOOKUP(A535,'75m'!F$5:K$302,5,FALSE)),"",VLOOKUP(A535,'75m'!F$5:K$302,5,FALSE)))</f>
        <v/>
      </c>
      <c r="I535" s="53">
        <f>IF(B535="",0,IF(ISNA(VLOOKUP(A535,'600m'!F$5:J$302,2,FALSE)),0,VLOOKUP(A535,'600m'!F$5:J$302,2,FALSE)))</f>
        <v>0</v>
      </c>
      <c r="J535" s="51">
        <f>IF(B535="",0,IF(ISNA(_xlfn.XLOOKUP(A535,'600m'!F$5:F$302,'600m'!M$5:M$302)),0,_xlfn.XLOOKUP(A535,'600m'!F$5:F$302,'600m'!M$5:M$302)))</f>
        <v>0</v>
      </c>
      <c r="K535" s="51" t="str">
        <f>IF(B535="","",IF(ISNA(VLOOKUP(A535,'600m'!F$5:K$302,5,FALSE)),"",VLOOKUP(A535,'600m'!F$5:K$302,5,FALSE)))</f>
        <v/>
      </c>
      <c r="L535" s="51" t="str">
        <f>IF(B535="","",IF(ISNA(VLOOKUP(A535,LongJump!F$5:G$302,2,FALSE)),"",VLOOKUP(A535,LongJump!F$5:G$302,2,FALSE)))</f>
        <v/>
      </c>
      <c r="M535" s="51">
        <f>IF(B535="",0,IF(ISNA(_xlfn.XLOOKUP(A535,LongJump!F$5:F$302,LongJump!M$5:M$302)),0,_xlfn.XLOOKUP(A535,LongJump!F$5:F$302,LongJump!M$5:M$302)))</f>
        <v>0</v>
      </c>
      <c r="N535" s="51">
        <f>IF(B535="",0,IF(ISNA(VLOOKUP(A535,LongJump!F$5:K$302,5,FALSE)),0,VLOOKUP(A535,LongJump!F$5:K$302,5,FALSE)))</f>
        <v>0</v>
      </c>
      <c r="O535" s="51" t="str">
        <f>IF(B535="","",IF(ISNA(VLOOKUP(A535,Vortex!F$5:J$302,2,FALSE)),"",VLOOKUP(A535,Vortex!F$5:J$302,2,FALSE)))</f>
        <v/>
      </c>
      <c r="P535" s="51">
        <f>IF(B535="",0,IF(ISNA(_xlfn.XLOOKUP(A535,Vortex!F$5:F$302,Vortex!M$5:M$302)),0,_xlfn.XLOOKUP(A535,Vortex!F$5:F$302,Vortex!M$5:M$302)))</f>
        <v>0</v>
      </c>
      <c r="Q535" s="51">
        <f t="shared" si="63"/>
        <v>0</v>
      </c>
      <c r="R535" s="51" t="str">
        <f t="shared" si="64"/>
        <v/>
      </c>
      <c r="S535" s="51" t="str">
        <f t="shared" si="65"/>
        <v/>
      </c>
      <c r="T535" s="51" t="str">
        <f t="shared" si="66"/>
        <v/>
      </c>
      <c r="U535" s="51" t="str">
        <f t="shared" si="67"/>
        <v/>
      </c>
    </row>
    <row r="536" spans="1:21">
      <c r="A536" s="51" t="str">
        <f>IF(Declarations!B164=0,"",Declarations!B164)</f>
        <v/>
      </c>
      <c r="B536" s="161" t="str">
        <f>IF(ISNA(VLOOKUP(A536,Declarations!B$6:C$293,2,FALSE)),"",IF(VLOOKUP(A536,Declarations!B$6:C$293,2,FALSE)="","",VLOOKUP(A536,Declarations!B$6:C$293,2,FALSE)))</f>
        <v/>
      </c>
      <c r="C536" s="161" t="str">
        <f>IF(ISNA(VLOOKUP(A536,Declarations!B$6:F$293,5,FALSE)),"",IF(VLOOKUP(A536,Declarations!B$6:F$293,5,FALSE)="","",VLOOKUP(A536,Declarations!B$6:F$293,5,FALSE)))</f>
        <v/>
      </c>
      <c r="D536" s="161" t="str">
        <f>IF(ISNA(VLOOKUP(A536,Declarations!B$6:F$293,4,FALSE)),"",IF(VLOOKUP(A536,Declarations!B$6:F$293,4,FALSE)="","",VLOOKUP(A536,Declarations!B$6:F$293,4,FALSE)))</f>
        <v/>
      </c>
      <c r="E536" s="161" t="str">
        <f>IF(ISNA(VLOOKUP(A536,Declarations!B$6:D$293,3,FALSE)),"",IF(VLOOKUP(A536,Declarations!B$6:D$293,3,FALSE)="","",VLOOKUP(A536,Declarations!B$6:D$293,3,FALSE)))</f>
        <v/>
      </c>
      <c r="F536" s="51" t="str">
        <f>IF(B536="","",IF(ISNA(VLOOKUP(A536,'75m'!F$5:G$302,2,FALSE)),"",VLOOKUP(A536,'75m'!F$5:G$302,2,FALSE)))</f>
        <v/>
      </c>
      <c r="G536" s="51">
        <f>IF(B536="",0,IF(ISNA(_xlfn.XLOOKUP(A536,'75m'!F$5:F$302,'75m'!M$5:M$302)),0,_xlfn.XLOOKUP(A536,'75m'!F$5:F$302,'75m'!M$5:M$302)))</f>
        <v>0</v>
      </c>
      <c r="H536" s="51" t="str">
        <f>IF(B536="","",IF(ISNA(VLOOKUP(A536,'75m'!F$5:K$302,5,FALSE)),"",VLOOKUP(A536,'75m'!F$5:K$302,5,FALSE)))</f>
        <v/>
      </c>
      <c r="I536" s="53">
        <f>IF(B536="",0,IF(ISNA(VLOOKUP(A536,'600m'!F$5:J$302,2,FALSE)),0,VLOOKUP(A536,'600m'!F$5:J$302,2,FALSE)))</f>
        <v>0</v>
      </c>
      <c r="J536" s="51">
        <f>IF(B536="",0,IF(ISNA(_xlfn.XLOOKUP(A536,'600m'!F$5:F$302,'600m'!M$5:M$302)),0,_xlfn.XLOOKUP(A536,'600m'!F$5:F$302,'600m'!M$5:M$302)))</f>
        <v>0</v>
      </c>
      <c r="K536" s="51" t="str">
        <f>IF(B536="","",IF(ISNA(VLOOKUP(A536,'600m'!F$5:K$302,5,FALSE)),"",VLOOKUP(A536,'600m'!F$5:K$302,5,FALSE)))</f>
        <v/>
      </c>
      <c r="L536" s="51" t="str">
        <f>IF(B536="","",IF(ISNA(VLOOKUP(A536,LongJump!F$5:G$302,2,FALSE)),"",VLOOKUP(A536,LongJump!F$5:G$302,2,FALSE)))</f>
        <v/>
      </c>
      <c r="M536" s="51">
        <f>IF(B536="",0,IF(ISNA(_xlfn.XLOOKUP(A536,LongJump!F$5:F$302,LongJump!M$5:M$302)),0,_xlfn.XLOOKUP(A536,LongJump!F$5:F$302,LongJump!M$5:M$302)))</f>
        <v>0</v>
      </c>
      <c r="N536" s="51">
        <f>IF(B536="",0,IF(ISNA(VLOOKUP(A536,LongJump!F$5:K$302,5,FALSE)),0,VLOOKUP(A536,LongJump!F$5:K$302,5,FALSE)))</f>
        <v>0</v>
      </c>
      <c r="O536" s="51" t="str">
        <f>IF(B536="","",IF(ISNA(VLOOKUP(A536,Vortex!F$5:J$302,2,FALSE)),"",VLOOKUP(A536,Vortex!F$5:J$302,2,FALSE)))</f>
        <v/>
      </c>
      <c r="P536" s="51">
        <f>IF(B536="",0,IF(ISNA(_xlfn.XLOOKUP(A536,Vortex!F$5:F$302,Vortex!M$5:M$302)),0,_xlfn.XLOOKUP(A536,Vortex!F$5:F$302,Vortex!M$5:M$302)))</f>
        <v>0</v>
      </c>
      <c r="Q536" s="51">
        <f t="shared" si="63"/>
        <v>0</v>
      </c>
      <c r="R536" s="51" t="str">
        <f t="shared" si="64"/>
        <v/>
      </c>
      <c r="S536" s="51" t="str">
        <f t="shared" si="65"/>
        <v/>
      </c>
      <c r="T536" s="51" t="str">
        <f t="shared" si="66"/>
        <v/>
      </c>
      <c r="U536" s="51" t="str">
        <f t="shared" si="67"/>
        <v/>
      </c>
    </row>
    <row r="537" spans="1:21">
      <c r="A537" s="51" t="str">
        <f>IF(Declarations!B165=0,"",Declarations!B165)</f>
        <v/>
      </c>
      <c r="B537" s="161" t="str">
        <f>IF(ISNA(VLOOKUP(A537,Declarations!B$6:C$293,2,FALSE)),"",IF(VLOOKUP(A537,Declarations!B$6:C$293,2,FALSE)="","",VLOOKUP(A537,Declarations!B$6:C$293,2,FALSE)))</f>
        <v/>
      </c>
      <c r="C537" s="161" t="str">
        <f>IF(ISNA(VLOOKUP(A537,Declarations!B$6:F$293,5,FALSE)),"",IF(VLOOKUP(A537,Declarations!B$6:F$293,5,FALSE)="","",VLOOKUP(A537,Declarations!B$6:F$293,5,FALSE)))</f>
        <v/>
      </c>
      <c r="D537" s="161" t="str">
        <f>IF(ISNA(VLOOKUP(A537,Declarations!B$6:F$293,4,FALSE)),"",IF(VLOOKUP(A537,Declarations!B$6:F$293,4,FALSE)="","",VLOOKUP(A537,Declarations!B$6:F$293,4,FALSE)))</f>
        <v/>
      </c>
      <c r="E537" s="161" t="str">
        <f>IF(ISNA(VLOOKUP(A537,Declarations!B$6:D$293,3,FALSE)),"",IF(VLOOKUP(A537,Declarations!B$6:D$293,3,FALSE)="","",VLOOKUP(A537,Declarations!B$6:D$293,3,FALSE)))</f>
        <v/>
      </c>
      <c r="F537" s="51" t="str">
        <f>IF(B537="","",IF(ISNA(VLOOKUP(A537,'75m'!F$5:G$302,2,FALSE)),"",VLOOKUP(A537,'75m'!F$5:G$302,2,FALSE)))</f>
        <v/>
      </c>
      <c r="G537" s="51">
        <f>IF(B537="",0,IF(ISNA(_xlfn.XLOOKUP(A537,'75m'!F$5:F$302,'75m'!M$5:M$302)),0,_xlfn.XLOOKUP(A537,'75m'!F$5:F$302,'75m'!M$5:M$302)))</f>
        <v>0</v>
      </c>
      <c r="H537" s="51" t="str">
        <f>IF(B537="","",IF(ISNA(VLOOKUP(A537,'75m'!F$5:K$302,5,FALSE)),"",VLOOKUP(A537,'75m'!F$5:K$302,5,FALSE)))</f>
        <v/>
      </c>
      <c r="I537" s="53">
        <f>IF(B537="",0,IF(ISNA(VLOOKUP(A537,'600m'!F$5:J$302,2,FALSE)),0,VLOOKUP(A537,'600m'!F$5:J$302,2,FALSE)))</f>
        <v>0</v>
      </c>
      <c r="J537" s="51">
        <f>IF(B537="",0,IF(ISNA(_xlfn.XLOOKUP(A537,'600m'!F$5:F$302,'600m'!M$5:M$302)),0,_xlfn.XLOOKUP(A537,'600m'!F$5:F$302,'600m'!M$5:M$302)))</f>
        <v>0</v>
      </c>
      <c r="K537" s="51" t="str">
        <f>IF(B537="","",IF(ISNA(VLOOKUP(A537,'600m'!F$5:K$302,5,FALSE)),"",VLOOKUP(A537,'600m'!F$5:K$302,5,FALSE)))</f>
        <v/>
      </c>
      <c r="L537" s="51" t="str">
        <f>IF(B537="","",IF(ISNA(VLOOKUP(A537,LongJump!F$5:G$302,2,FALSE)),"",VLOOKUP(A537,LongJump!F$5:G$302,2,FALSE)))</f>
        <v/>
      </c>
      <c r="M537" s="51">
        <f>IF(B537="",0,IF(ISNA(_xlfn.XLOOKUP(A537,LongJump!F$5:F$302,LongJump!M$5:M$302)),0,_xlfn.XLOOKUP(A537,LongJump!F$5:F$302,LongJump!M$5:M$302)))</f>
        <v>0</v>
      </c>
      <c r="N537" s="51">
        <f>IF(B537="",0,IF(ISNA(VLOOKUP(A537,LongJump!F$5:K$302,5,FALSE)),0,VLOOKUP(A537,LongJump!F$5:K$302,5,FALSE)))</f>
        <v>0</v>
      </c>
      <c r="O537" s="51" t="str">
        <f>IF(B537="","",IF(ISNA(VLOOKUP(A537,Vortex!F$5:J$302,2,FALSE)),"",VLOOKUP(A537,Vortex!F$5:J$302,2,FALSE)))</f>
        <v/>
      </c>
      <c r="P537" s="51">
        <f>IF(B537="",0,IF(ISNA(_xlfn.XLOOKUP(A537,Vortex!F$5:F$302,Vortex!M$5:M$302)),0,_xlfn.XLOOKUP(A537,Vortex!F$5:F$302,Vortex!M$5:M$302)))</f>
        <v>0</v>
      </c>
      <c r="Q537" s="51">
        <f t="shared" si="63"/>
        <v>0</v>
      </c>
      <c r="R537" s="51" t="str">
        <f t="shared" si="64"/>
        <v/>
      </c>
      <c r="S537" s="51" t="str">
        <f t="shared" si="65"/>
        <v/>
      </c>
      <c r="T537" s="51" t="str">
        <f t="shared" si="66"/>
        <v/>
      </c>
      <c r="U537" s="51" t="str">
        <f t="shared" si="67"/>
        <v/>
      </c>
    </row>
    <row r="538" spans="1:21">
      <c r="A538" s="51" t="str">
        <f>IF(Declarations!B166=0,"",Declarations!B166)</f>
        <v/>
      </c>
      <c r="B538" s="161" t="str">
        <f>IF(ISNA(VLOOKUP(A538,Declarations!B$6:C$293,2,FALSE)),"",IF(VLOOKUP(A538,Declarations!B$6:C$293,2,FALSE)="","",VLOOKUP(A538,Declarations!B$6:C$293,2,FALSE)))</f>
        <v/>
      </c>
      <c r="C538" s="161" t="str">
        <f>IF(ISNA(VLOOKUP(A538,Declarations!B$6:F$293,5,FALSE)),"",IF(VLOOKUP(A538,Declarations!B$6:F$293,5,FALSE)="","",VLOOKUP(A538,Declarations!B$6:F$293,5,FALSE)))</f>
        <v/>
      </c>
      <c r="D538" s="161" t="str">
        <f>IF(ISNA(VLOOKUP(A538,Declarations!B$6:F$293,4,FALSE)),"",IF(VLOOKUP(A538,Declarations!B$6:F$293,4,FALSE)="","",VLOOKUP(A538,Declarations!B$6:F$293,4,FALSE)))</f>
        <v/>
      </c>
      <c r="E538" s="161" t="str">
        <f>IF(ISNA(VLOOKUP(A538,Declarations!B$6:D$293,3,FALSE)),"",IF(VLOOKUP(A538,Declarations!B$6:D$293,3,FALSE)="","",VLOOKUP(A538,Declarations!B$6:D$293,3,FALSE)))</f>
        <v/>
      </c>
      <c r="F538" s="51" t="str">
        <f>IF(B538="","",IF(ISNA(VLOOKUP(A538,'75m'!F$5:G$302,2,FALSE)),"",VLOOKUP(A538,'75m'!F$5:G$302,2,FALSE)))</f>
        <v/>
      </c>
      <c r="G538" s="51">
        <f>IF(B538="",0,IF(ISNA(_xlfn.XLOOKUP(A538,'75m'!F$5:F$302,'75m'!M$5:M$302)),0,_xlfn.XLOOKUP(A538,'75m'!F$5:F$302,'75m'!M$5:M$302)))</f>
        <v>0</v>
      </c>
      <c r="H538" s="51" t="str">
        <f>IF(B538="","",IF(ISNA(VLOOKUP(A538,'75m'!F$5:K$302,5,FALSE)),"",VLOOKUP(A538,'75m'!F$5:K$302,5,FALSE)))</f>
        <v/>
      </c>
      <c r="I538" s="53">
        <f>IF(B538="",0,IF(ISNA(VLOOKUP(A538,'600m'!F$5:J$302,2,FALSE)),0,VLOOKUP(A538,'600m'!F$5:J$302,2,FALSE)))</f>
        <v>0</v>
      </c>
      <c r="J538" s="51">
        <f>IF(B538="",0,IF(ISNA(_xlfn.XLOOKUP(A538,'600m'!F$5:F$302,'600m'!M$5:M$302)),0,_xlfn.XLOOKUP(A538,'600m'!F$5:F$302,'600m'!M$5:M$302)))</f>
        <v>0</v>
      </c>
      <c r="K538" s="51" t="str">
        <f>IF(B538="","",IF(ISNA(VLOOKUP(A538,'600m'!F$5:K$302,5,FALSE)),"",VLOOKUP(A538,'600m'!F$5:K$302,5,FALSE)))</f>
        <v/>
      </c>
      <c r="L538" s="51" t="str">
        <f>IF(B538="","",IF(ISNA(VLOOKUP(A538,LongJump!F$5:G$302,2,FALSE)),"",VLOOKUP(A538,LongJump!F$5:G$302,2,FALSE)))</f>
        <v/>
      </c>
      <c r="M538" s="51">
        <f>IF(B538="",0,IF(ISNA(_xlfn.XLOOKUP(A538,LongJump!F$5:F$302,LongJump!M$5:M$302)),0,_xlfn.XLOOKUP(A538,LongJump!F$5:F$302,LongJump!M$5:M$302)))</f>
        <v>0</v>
      </c>
      <c r="N538" s="51">
        <f>IF(B538="",0,IF(ISNA(VLOOKUP(A538,LongJump!F$5:K$302,5,FALSE)),0,VLOOKUP(A538,LongJump!F$5:K$302,5,FALSE)))</f>
        <v>0</v>
      </c>
      <c r="O538" s="51" t="str">
        <f>IF(B538="","",IF(ISNA(VLOOKUP(A538,Vortex!F$5:J$302,2,FALSE)),"",VLOOKUP(A538,Vortex!F$5:J$302,2,FALSE)))</f>
        <v/>
      </c>
      <c r="P538" s="51">
        <f>IF(B538="",0,IF(ISNA(_xlfn.XLOOKUP(A538,Vortex!F$5:F$302,Vortex!M$5:M$302)),0,_xlfn.XLOOKUP(A538,Vortex!F$5:F$302,Vortex!M$5:M$302)))</f>
        <v>0</v>
      </c>
      <c r="Q538" s="51">
        <f t="shared" si="63"/>
        <v>0</v>
      </c>
      <c r="R538" s="51" t="str">
        <f t="shared" si="64"/>
        <v/>
      </c>
      <c r="S538" s="51" t="str">
        <f t="shared" si="65"/>
        <v/>
      </c>
      <c r="T538" s="51" t="str">
        <f t="shared" si="66"/>
        <v/>
      </c>
      <c r="U538" s="51" t="str">
        <f t="shared" si="67"/>
        <v/>
      </c>
    </row>
    <row r="539" spans="1:21">
      <c r="A539" s="51" t="str">
        <f>IF(Declarations!B167=0,"",Declarations!B167)</f>
        <v/>
      </c>
      <c r="B539" s="161" t="str">
        <f>IF(ISNA(VLOOKUP(A539,Declarations!B$6:C$293,2,FALSE)),"",IF(VLOOKUP(A539,Declarations!B$6:C$293,2,FALSE)="","",VLOOKUP(A539,Declarations!B$6:C$293,2,FALSE)))</f>
        <v/>
      </c>
      <c r="C539" s="161" t="str">
        <f>IF(ISNA(VLOOKUP(A539,Declarations!B$6:F$293,5,FALSE)),"",IF(VLOOKUP(A539,Declarations!B$6:F$293,5,FALSE)="","",VLOOKUP(A539,Declarations!B$6:F$293,5,FALSE)))</f>
        <v/>
      </c>
      <c r="D539" s="161" t="str">
        <f>IF(ISNA(VLOOKUP(A539,Declarations!B$6:F$293,4,FALSE)),"",IF(VLOOKUP(A539,Declarations!B$6:F$293,4,FALSE)="","",VLOOKUP(A539,Declarations!B$6:F$293,4,FALSE)))</f>
        <v/>
      </c>
      <c r="E539" s="161" t="str">
        <f>IF(ISNA(VLOOKUP(A539,Declarations!B$6:D$293,3,FALSE)),"",IF(VLOOKUP(A539,Declarations!B$6:D$293,3,FALSE)="","",VLOOKUP(A539,Declarations!B$6:D$293,3,FALSE)))</f>
        <v/>
      </c>
      <c r="F539" s="51" t="str">
        <f>IF(B539="","",IF(ISNA(VLOOKUP(A539,'75m'!F$5:G$302,2,FALSE)),"",VLOOKUP(A539,'75m'!F$5:G$302,2,FALSE)))</f>
        <v/>
      </c>
      <c r="G539" s="51">
        <f>IF(B539="",0,IF(ISNA(_xlfn.XLOOKUP(A539,'75m'!F$5:F$302,'75m'!M$5:M$302)),0,_xlfn.XLOOKUP(A539,'75m'!F$5:F$302,'75m'!M$5:M$302)))</f>
        <v>0</v>
      </c>
      <c r="H539" s="51" t="str">
        <f>IF(B539="","",IF(ISNA(VLOOKUP(A539,'75m'!F$5:K$302,5,FALSE)),"",VLOOKUP(A539,'75m'!F$5:K$302,5,FALSE)))</f>
        <v/>
      </c>
      <c r="I539" s="53">
        <f>IF(B539="",0,IF(ISNA(VLOOKUP(A539,'600m'!F$5:J$302,2,FALSE)),0,VLOOKUP(A539,'600m'!F$5:J$302,2,FALSE)))</f>
        <v>0</v>
      </c>
      <c r="J539" s="51">
        <f>IF(B539="",0,IF(ISNA(_xlfn.XLOOKUP(A539,'600m'!F$5:F$302,'600m'!M$5:M$302)),0,_xlfn.XLOOKUP(A539,'600m'!F$5:F$302,'600m'!M$5:M$302)))</f>
        <v>0</v>
      </c>
      <c r="K539" s="51" t="str">
        <f>IF(B539="","",IF(ISNA(VLOOKUP(A539,'600m'!F$5:K$302,5,FALSE)),"",VLOOKUP(A539,'600m'!F$5:K$302,5,FALSE)))</f>
        <v/>
      </c>
      <c r="L539" s="51" t="str">
        <f>IF(B539="","",IF(ISNA(VLOOKUP(A539,LongJump!F$5:G$302,2,FALSE)),"",VLOOKUP(A539,LongJump!F$5:G$302,2,FALSE)))</f>
        <v/>
      </c>
      <c r="M539" s="51">
        <f>IF(B539="",0,IF(ISNA(_xlfn.XLOOKUP(A539,LongJump!F$5:F$302,LongJump!M$5:M$302)),0,_xlfn.XLOOKUP(A539,LongJump!F$5:F$302,LongJump!M$5:M$302)))</f>
        <v>0</v>
      </c>
      <c r="N539" s="51">
        <f>IF(B539="",0,IF(ISNA(VLOOKUP(A539,LongJump!F$5:K$302,5,FALSE)),0,VLOOKUP(A539,LongJump!F$5:K$302,5,FALSE)))</f>
        <v>0</v>
      </c>
      <c r="O539" s="51" t="str">
        <f>IF(B539="","",IF(ISNA(VLOOKUP(A539,Vortex!F$5:J$302,2,FALSE)),"",VLOOKUP(A539,Vortex!F$5:J$302,2,FALSE)))</f>
        <v/>
      </c>
      <c r="P539" s="51">
        <f>IF(B539="",0,IF(ISNA(_xlfn.XLOOKUP(A539,Vortex!F$5:F$302,Vortex!M$5:M$302)),0,_xlfn.XLOOKUP(A539,Vortex!F$5:F$302,Vortex!M$5:M$302)))</f>
        <v>0</v>
      </c>
      <c r="Q539" s="51">
        <f t="shared" si="63"/>
        <v>0</v>
      </c>
      <c r="R539" s="51" t="str">
        <f t="shared" si="64"/>
        <v/>
      </c>
      <c r="S539" s="51" t="str">
        <f t="shared" si="65"/>
        <v/>
      </c>
      <c r="T539" s="51" t="str">
        <f t="shared" si="66"/>
        <v/>
      </c>
      <c r="U539" s="51" t="str">
        <f t="shared" si="67"/>
        <v/>
      </c>
    </row>
    <row r="540" spans="1:21">
      <c r="A540" s="51" t="str">
        <f>IF(Declarations!B168=0,"",Declarations!B168)</f>
        <v/>
      </c>
      <c r="B540" s="161" t="str">
        <f>IF(ISNA(VLOOKUP(A540,Declarations!B$6:C$293,2,FALSE)),"",IF(VLOOKUP(A540,Declarations!B$6:C$293,2,FALSE)="","",VLOOKUP(A540,Declarations!B$6:C$293,2,FALSE)))</f>
        <v/>
      </c>
      <c r="C540" s="161" t="str">
        <f>IF(ISNA(VLOOKUP(A540,Declarations!B$6:F$293,5,FALSE)),"",IF(VLOOKUP(A540,Declarations!B$6:F$293,5,FALSE)="","",VLOOKUP(A540,Declarations!B$6:F$293,5,FALSE)))</f>
        <v/>
      </c>
      <c r="D540" s="161" t="str">
        <f>IF(ISNA(VLOOKUP(A540,Declarations!B$6:F$293,4,FALSE)),"",IF(VLOOKUP(A540,Declarations!B$6:F$293,4,FALSE)="","",VLOOKUP(A540,Declarations!B$6:F$293,4,FALSE)))</f>
        <v/>
      </c>
      <c r="E540" s="161" t="str">
        <f>IF(ISNA(VLOOKUP(A540,Declarations!B$6:D$293,3,FALSE)),"",IF(VLOOKUP(A540,Declarations!B$6:D$293,3,FALSE)="","",VLOOKUP(A540,Declarations!B$6:D$293,3,FALSE)))</f>
        <v/>
      </c>
      <c r="F540" s="51" t="str">
        <f>IF(B540="","",IF(ISNA(VLOOKUP(A540,'75m'!F$5:G$302,2,FALSE)),"",VLOOKUP(A540,'75m'!F$5:G$302,2,FALSE)))</f>
        <v/>
      </c>
      <c r="G540" s="51">
        <f>IF(B540="",0,IF(ISNA(_xlfn.XLOOKUP(A540,'75m'!F$5:F$302,'75m'!M$5:M$302)),0,_xlfn.XLOOKUP(A540,'75m'!F$5:F$302,'75m'!M$5:M$302)))</f>
        <v>0</v>
      </c>
      <c r="H540" s="51" t="str">
        <f>IF(B540="","",IF(ISNA(VLOOKUP(A540,'75m'!F$5:K$302,5,FALSE)),"",VLOOKUP(A540,'75m'!F$5:K$302,5,FALSE)))</f>
        <v/>
      </c>
      <c r="I540" s="53">
        <f>IF(B540="",0,IF(ISNA(VLOOKUP(A540,'600m'!F$5:J$302,2,FALSE)),0,VLOOKUP(A540,'600m'!F$5:J$302,2,FALSE)))</f>
        <v>0</v>
      </c>
      <c r="J540" s="51">
        <f>IF(B540="",0,IF(ISNA(_xlfn.XLOOKUP(A540,'600m'!F$5:F$302,'600m'!M$5:M$302)),0,_xlfn.XLOOKUP(A540,'600m'!F$5:F$302,'600m'!M$5:M$302)))</f>
        <v>0</v>
      </c>
      <c r="K540" s="51" t="str">
        <f>IF(B540="","",IF(ISNA(VLOOKUP(A540,'600m'!F$5:K$302,5,FALSE)),"",VLOOKUP(A540,'600m'!F$5:K$302,5,FALSE)))</f>
        <v/>
      </c>
      <c r="L540" s="51" t="str">
        <f>IF(B540="","",IF(ISNA(VLOOKUP(A540,LongJump!F$5:G$302,2,FALSE)),"",VLOOKUP(A540,LongJump!F$5:G$302,2,FALSE)))</f>
        <v/>
      </c>
      <c r="M540" s="51">
        <f>IF(B540="",0,IF(ISNA(_xlfn.XLOOKUP(A540,LongJump!F$5:F$302,LongJump!M$5:M$302)),0,_xlfn.XLOOKUP(A540,LongJump!F$5:F$302,LongJump!M$5:M$302)))</f>
        <v>0</v>
      </c>
      <c r="N540" s="51">
        <f>IF(B540="",0,IF(ISNA(VLOOKUP(A540,LongJump!F$5:K$302,5,FALSE)),0,VLOOKUP(A540,LongJump!F$5:K$302,5,FALSE)))</f>
        <v>0</v>
      </c>
      <c r="O540" s="51" t="str">
        <f>IF(B540="","",IF(ISNA(VLOOKUP(A540,Vortex!F$5:J$302,2,FALSE)),"",VLOOKUP(A540,Vortex!F$5:J$302,2,FALSE)))</f>
        <v/>
      </c>
      <c r="P540" s="51">
        <f>IF(B540="",0,IF(ISNA(_xlfn.XLOOKUP(A540,Vortex!F$5:F$302,Vortex!M$5:M$302)),0,_xlfn.XLOOKUP(A540,Vortex!F$5:F$302,Vortex!M$5:M$302)))</f>
        <v>0</v>
      </c>
      <c r="Q540" s="51">
        <f t="shared" si="63"/>
        <v>0</v>
      </c>
      <c r="R540" s="51" t="str">
        <f t="shared" si="64"/>
        <v/>
      </c>
      <c r="S540" s="51" t="str">
        <f t="shared" si="65"/>
        <v/>
      </c>
      <c r="T540" s="51" t="str">
        <f t="shared" si="66"/>
        <v/>
      </c>
      <c r="U540" s="51" t="str">
        <f t="shared" si="67"/>
        <v/>
      </c>
    </row>
    <row r="541" spans="1:21">
      <c r="A541" s="51" t="str">
        <f>IF(Declarations!B169=0,"",Declarations!B169)</f>
        <v/>
      </c>
      <c r="B541" s="161" t="str">
        <f>IF(ISNA(VLOOKUP(A541,Declarations!B$6:C$293,2,FALSE)),"",IF(VLOOKUP(A541,Declarations!B$6:C$293,2,FALSE)="","",VLOOKUP(A541,Declarations!B$6:C$293,2,FALSE)))</f>
        <v/>
      </c>
      <c r="C541" s="161" t="str">
        <f>IF(ISNA(VLOOKUP(A541,Declarations!B$6:F$293,5,FALSE)),"",IF(VLOOKUP(A541,Declarations!B$6:F$293,5,FALSE)="","",VLOOKUP(A541,Declarations!B$6:F$293,5,FALSE)))</f>
        <v/>
      </c>
      <c r="D541" s="161" t="str">
        <f>IF(ISNA(VLOOKUP(A541,Declarations!B$6:F$293,4,FALSE)),"",IF(VLOOKUP(A541,Declarations!B$6:F$293,4,FALSE)="","",VLOOKUP(A541,Declarations!B$6:F$293,4,FALSE)))</f>
        <v/>
      </c>
      <c r="E541" s="161" t="str">
        <f>IF(ISNA(VLOOKUP(A541,Declarations!B$6:D$293,3,FALSE)),"",IF(VLOOKUP(A541,Declarations!B$6:D$293,3,FALSE)="","",VLOOKUP(A541,Declarations!B$6:D$293,3,FALSE)))</f>
        <v/>
      </c>
      <c r="F541" s="51" t="str">
        <f>IF(B541="","",IF(ISNA(VLOOKUP(A541,'75m'!F$5:G$302,2,FALSE)),"",VLOOKUP(A541,'75m'!F$5:G$302,2,FALSE)))</f>
        <v/>
      </c>
      <c r="G541" s="51">
        <f>IF(B541="",0,IF(ISNA(_xlfn.XLOOKUP(A541,'75m'!F$5:F$302,'75m'!M$5:M$302)),0,_xlfn.XLOOKUP(A541,'75m'!F$5:F$302,'75m'!M$5:M$302)))</f>
        <v>0</v>
      </c>
      <c r="H541" s="51" t="str">
        <f>IF(B541="","",IF(ISNA(VLOOKUP(A541,'75m'!F$5:K$302,5,FALSE)),"",VLOOKUP(A541,'75m'!F$5:K$302,5,FALSE)))</f>
        <v/>
      </c>
      <c r="I541" s="53">
        <f>IF(B541="",0,IF(ISNA(VLOOKUP(A541,'600m'!F$5:J$302,2,FALSE)),0,VLOOKUP(A541,'600m'!F$5:J$302,2,FALSE)))</f>
        <v>0</v>
      </c>
      <c r="J541" s="51">
        <f>IF(B541="",0,IF(ISNA(_xlfn.XLOOKUP(A541,'600m'!F$5:F$302,'600m'!M$5:M$302)),0,_xlfn.XLOOKUP(A541,'600m'!F$5:F$302,'600m'!M$5:M$302)))</f>
        <v>0</v>
      </c>
      <c r="K541" s="51" t="str">
        <f>IF(B541="","",IF(ISNA(VLOOKUP(A541,'600m'!F$5:K$302,5,FALSE)),"",VLOOKUP(A541,'600m'!F$5:K$302,5,FALSE)))</f>
        <v/>
      </c>
      <c r="L541" s="51" t="str">
        <f>IF(B541="","",IF(ISNA(VLOOKUP(A541,LongJump!F$5:G$302,2,FALSE)),"",VLOOKUP(A541,LongJump!F$5:G$302,2,FALSE)))</f>
        <v/>
      </c>
      <c r="M541" s="51">
        <f>IF(B541="",0,IF(ISNA(_xlfn.XLOOKUP(A541,LongJump!F$5:F$302,LongJump!M$5:M$302)),0,_xlfn.XLOOKUP(A541,LongJump!F$5:F$302,LongJump!M$5:M$302)))</f>
        <v>0</v>
      </c>
      <c r="N541" s="51">
        <f>IF(B541="",0,IF(ISNA(VLOOKUP(A541,LongJump!F$5:K$302,5,FALSE)),0,VLOOKUP(A541,LongJump!F$5:K$302,5,FALSE)))</f>
        <v>0</v>
      </c>
      <c r="O541" s="51" t="str">
        <f>IF(B541="","",IF(ISNA(VLOOKUP(A541,Vortex!F$5:J$302,2,FALSE)),"",VLOOKUP(A541,Vortex!F$5:J$302,2,FALSE)))</f>
        <v/>
      </c>
      <c r="P541" s="51">
        <f>IF(B541="",0,IF(ISNA(_xlfn.XLOOKUP(A541,Vortex!F$5:F$302,Vortex!M$5:M$302)),0,_xlfn.XLOOKUP(A541,Vortex!F$5:F$302,Vortex!M$5:M$302)))</f>
        <v>0</v>
      </c>
      <c r="Q541" s="51">
        <f t="shared" si="63"/>
        <v>0</v>
      </c>
      <c r="R541" s="51" t="str">
        <f t="shared" si="64"/>
        <v/>
      </c>
      <c r="S541" s="51" t="str">
        <f t="shared" si="65"/>
        <v/>
      </c>
      <c r="T541" s="51" t="str">
        <f t="shared" si="66"/>
        <v/>
      </c>
      <c r="U541" s="51" t="str">
        <f t="shared" si="67"/>
        <v/>
      </c>
    </row>
    <row r="542" spans="1:21">
      <c r="A542" s="51" t="str">
        <f>IF(Declarations!B170=0,"",Declarations!B170)</f>
        <v/>
      </c>
      <c r="B542" s="161" t="str">
        <f>IF(ISNA(VLOOKUP(A542,Declarations!B$6:C$293,2,FALSE)),"",IF(VLOOKUP(A542,Declarations!B$6:C$293,2,FALSE)="","",VLOOKUP(A542,Declarations!B$6:C$293,2,FALSE)))</f>
        <v/>
      </c>
      <c r="C542" s="161" t="str">
        <f>IF(ISNA(VLOOKUP(A542,Declarations!B$6:F$293,5,FALSE)),"",IF(VLOOKUP(A542,Declarations!B$6:F$293,5,FALSE)="","",VLOOKUP(A542,Declarations!B$6:F$293,5,FALSE)))</f>
        <v/>
      </c>
      <c r="D542" s="161" t="str">
        <f>IF(ISNA(VLOOKUP(A542,Declarations!B$6:F$293,4,FALSE)),"",IF(VLOOKUP(A542,Declarations!B$6:F$293,4,FALSE)="","",VLOOKUP(A542,Declarations!B$6:F$293,4,FALSE)))</f>
        <v/>
      </c>
      <c r="E542" s="161" t="str">
        <f>IF(ISNA(VLOOKUP(A542,Declarations!B$6:D$293,3,FALSE)),"",IF(VLOOKUP(A542,Declarations!B$6:D$293,3,FALSE)="","",VLOOKUP(A542,Declarations!B$6:D$293,3,FALSE)))</f>
        <v/>
      </c>
      <c r="F542" s="51" t="str">
        <f>IF(B542="","",IF(ISNA(VLOOKUP(A542,'75m'!F$5:G$302,2,FALSE)),"",VLOOKUP(A542,'75m'!F$5:G$302,2,FALSE)))</f>
        <v/>
      </c>
      <c r="G542" s="51">
        <f>IF(B542="",0,IF(ISNA(_xlfn.XLOOKUP(A542,'75m'!F$5:F$302,'75m'!M$5:M$302)),0,_xlfn.XLOOKUP(A542,'75m'!F$5:F$302,'75m'!M$5:M$302)))</f>
        <v>0</v>
      </c>
      <c r="H542" s="51" t="str">
        <f>IF(B542="","",IF(ISNA(VLOOKUP(A542,'75m'!F$5:K$302,5,FALSE)),"",VLOOKUP(A542,'75m'!F$5:K$302,5,FALSE)))</f>
        <v/>
      </c>
      <c r="I542" s="53">
        <f>IF(B542="",0,IF(ISNA(VLOOKUP(A542,'600m'!F$5:J$302,2,FALSE)),0,VLOOKUP(A542,'600m'!F$5:J$302,2,FALSE)))</f>
        <v>0</v>
      </c>
      <c r="J542" s="51">
        <f>IF(B542="",0,IF(ISNA(_xlfn.XLOOKUP(A542,'600m'!F$5:F$302,'600m'!M$5:M$302)),0,_xlfn.XLOOKUP(A542,'600m'!F$5:F$302,'600m'!M$5:M$302)))</f>
        <v>0</v>
      </c>
      <c r="K542" s="51" t="str">
        <f>IF(B542="","",IF(ISNA(VLOOKUP(A542,'600m'!F$5:K$302,5,FALSE)),"",VLOOKUP(A542,'600m'!F$5:K$302,5,FALSE)))</f>
        <v/>
      </c>
      <c r="L542" s="51" t="str">
        <f>IF(B542="","",IF(ISNA(VLOOKUP(A542,LongJump!F$5:G$302,2,FALSE)),"",VLOOKUP(A542,LongJump!F$5:G$302,2,FALSE)))</f>
        <v/>
      </c>
      <c r="M542" s="51">
        <f>IF(B542="",0,IF(ISNA(_xlfn.XLOOKUP(A542,LongJump!F$5:F$302,LongJump!M$5:M$302)),0,_xlfn.XLOOKUP(A542,LongJump!F$5:F$302,LongJump!M$5:M$302)))</f>
        <v>0</v>
      </c>
      <c r="N542" s="51">
        <f>IF(B542="",0,IF(ISNA(VLOOKUP(A542,LongJump!F$5:K$302,5,FALSE)),0,VLOOKUP(A542,LongJump!F$5:K$302,5,FALSE)))</f>
        <v>0</v>
      </c>
      <c r="O542" s="51" t="str">
        <f>IF(B542="","",IF(ISNA(VLOOKUP(A542,Vortex!F$5:J$302,2,FALSE)),"",VLOOKUP(A542,Vortex!F$5:J$302,2,FALSE)))</f>
        <v/>
      </c>
      <c r="P542" s="51">
        <f>IF(B542="",0,IF(ISNA(_xlfn.XLOOKUP(A542,Vortex!F$5:F$302,Vortex!M$5:M$302)),0,_xlfn.XLOOKUP(A542,Vortex!F$5:F$302,Vortex!M$5:M$302)))</f>
        <v>0</v>
      </c>
      <c r="Q542" s="51">
        <f t="shared" si="63"/>
        <v>0</v>
      </c>
      <c r="R542" s="51" t="str">
        <f t="shared" si="64"/>
        <v/>
      </c>
      <c r="S542" s="51" t="str">
        <f t="shared" si="65"/>
        <v/>
      </c>
      <c r="T542" s="51" t="str">
        <f t="shared" si="66"/>
        <v/>
      </c>
      <c r="U542" s="51" t="str">
        <f t="shared" si="67"/>
        <v/>
      </c>
    </row>
    <row r="543" spans="1:21">
      <c r="A543" s="51" t="str">
        <f>IF(Declarations!B171=0,"",Declarations!B171)</f>
        <v/>
      </c>
      <c r="B543" s="161" t="str">
        <f>IF(ISNA(VLOOKUP(A543,Declarations!B$6:C$293,2,FALSE)),"",IF(VLOOKUP(A543,Declarations!B$6:C$293,2,FALSE)="","",VLOOKUP(A543,Declarations!B$6:C$293,2,FALSE)))</f>
        <v/>
      </c>
      <c r="C543" s="161" t="str">
        <f>IF(ISNA(VLOOKUP(A543,Declarations!B$6:F$293,5,FALSE)),"",IF(VLOOKUP(A543,Declarations!B$6:F$293,5,FALSE)="","",VLOOKUP(A543,Declarations!B$6:F$293,5,FALSE)))</f>
        <v/>
      </c>
      <c r="D543" s="161" t="str">
        <f>IF(ISNA(VLOOKUP(A543,Declarations!B$6:F$293,4,FALSE)),"",IF(VLOOKUP(A543,Declarations!B$6:F$293,4,FALSE)="","",VLOOKUP(A543,Declarations!B$6:F$293,4,FALSE)))</f>
        <v/>
      </c>
      <c r="E543" s="161" t="str">
        <f>IF(ISNA(VLOOKUP(A543,Declarations!B$6:D$293,3,FALSE)),"",IF(VLOOKUP(A543,Declarations!B$6:D$293,3,FALSE)="","",VLOOKUP(A543,Declarations!B$6:D$293,3,FALSE)))</f>
        <v/>
      </c>
      <c r="F543" s="51" t="str">
        <f>IF(B543="","",IF(ISNA(VLOOKUP(A543,'75m'!F$5:G$302,2,FALSE)),"",VLOOKUP(A543,'75m'!F$5:G$302,2,FALSE)))</f>
        <v/>
      </c>
      <c r="G543" s="51">
        <f>IF(B543="",0,IF(ISNA(_xlfn.XLOOKUP(A543,'75m'!F$5:F$302,'75m'!M$5:M$302)),0,_xlfn.XLOOKUP(A543,'75m'!F$5:F$302,'75m'!M$5:M$302)))</f>
        <v>0</v>
      </c>
      <c r="H543" s="51" t="str">
        <f>IF(B543="","",IF(ISNA(VLOOKUP(A543,'75m'!F$5:K$302,5,FALSE)),"",VLOOKUP(A543,'75m'!F$5:K$302,5,FALSE)))</f>
        <v/>
      </c>
      <c r="I543" s="53">
        <f>IF(B543="",0,IF(ISNA(VLOOKUP(A543,'600m'!F$5:J$302,2,FALSE)),0,VLOOKUP(A543,'600m'!F$5:J$302,2,FALSE)))</f>
        <v>0</v>
      </c>
      <c r="J543" s="51">
        <f>IF(B543="",0,IF(ISNA(_xlfn.XLOOKUP(A543,'600m'!F$5:F$302,'600m'!M$5:M$302)),0,_xlfn.XLOOKUP(A543,'600m'!F$5:F$302,'600m'!M$5:M$302)))</f>
        <v>0</v>
      </c>
      <c r="K543" s="51" t="str">
        <f>IF(B543="","",IF(ISNA(VLOOKUP(A543,'600m'!F$5:K$302,5,FALSE)),"",VLOOKUP(A543,'600m'!F$5:K$302,5,FALSE)))</f>
        <v/>
      </c>
      <c r="L543" s="51" t="str">
        <f>IF(B543="","",IF(ISNA(VLOOKUP(A543,LongJump!F$5:G$302,2,FALSE)),"",VLOOKUP(A543,LongJump!F$5:G$302,2,FALSE)))</f>
        <v/>
      </c>
      <c r="M543" s="51">
        <f>IF(B543="",0,IF(ISNA(_xlfn.XLOOKUP(A543,LongJump!F$5:F$302,LongJump!M$5:M$302)),0,_xlfn.XLOOKUP(A543,LongJump!F$5:F$302,LongJump!M$5:M$302)))</f>
        <v>0</v>
      </c>
      <c r="N543" s="51">
        <f>IF(B543="",0,IF(ISNA(VLOOKUP(A543,LongJump!F$5:K$302,5,FALSE)),0,VLOOKUP(A543,LongJump!F$5:K$302,5,FALSE)))</f>
        <v>0</v>
      </c>
      <c r="O543" s="51" t="str">
        <f>IF(B543="","",IF(ISNA(VLOOKUP(A543,Vortex!F$5:J$302,2,FALSE)),"",VLOOKUP(A543,Vortex!F$5:J$302,2,FALSE)))</f>
        <v/>
      </c>
      <c r="P543" s="51">
        <f>IF(B543="",0,IF(ISNA(_xlfn.XLOOKUP(A543,Vortex!F$5:F$302,Vortex!M$5:M$302)),0,_xlfn.XLOOKUP(A543,Vortex!F$5:F$302,Vortex!M$5:M$302)))</f>
        <v>0</v>
      </c>
      <c r="Q543" s="51">
        <f t="shared" si="63"/>
        <v>0</v>
      </c>
      <c r="R543" s="51" t="str">
        <f t="shared" si="64"/>
        <v/>
      </c>
      <c r="S543" s="51" t="str">
        <f t="shared" si="65"/>
        <v/>
      </c>
      <c r="T543" s="51" t="str">
        <f t="shared" si="66"/>
        <v/>
      </c>
      <c r="U543" s="51" t="str">
        <f t="shared" si="67"/>
        <v/>
      </c>
    </row>
    <row r="544" spans="1:21">
      <c r="A544" s="51" t="str">
        <f>IF(Declarations!B172=0,"",Declarations!B172)</f>
        <v/>
      </c>
      <c r="B544" s="161" t="str">
        <f>IF(ISNA(VLOOKUP(A544,Declarations!B$6:C$293,2,FALSE)),"",IF(VLOOKUP(A544,Declarations!B$6:C$293,2,FALSE)="","",VLOOKUP(A544,Declarations!B$6:C$293,2,FALSE)))</f>
        <v/>
      </c>
      <c r="C544" s="161" t="str">
        <f>IF(ISNA(VLOOKUP(A544,Declarations!B$6:F$293,5,FALSE)),"",IF(VLOOKUP(A544,Declarations!B$6:F$293,5,FALSE)="","",VLOOKUP(A544,Declarations!B$6:F$293,5,FALSE)))</f>
        <v/>
      </c>
      <c r="D544" s="161" t="str">
        <f>IF(ISNA(VLOOKUP(A544,Declarations!B$6:F$293,4,FALSE)),"",IF(VLOOKUP(A544,Declarations!B$6:F$293,4,FALSE)="","",VLOOKUP(A544,Declarations!B$6:F$293,4,FALSE)))</f>
        <v/>
      </c>
      <c r="E544" s="161" t="str">
        <f>IF(ISNA(VLOOKUP(A544,Declarations!B$6:D$293,3,FALSE)),"",IF(VLOOKUP(A544,Declarations!B$6:D$293,3,FALSE)="","",VLOOKUP(A544,Declarations!B$6:D$293,3,FALSE)))</f>
        <v/>
      </c>
      <c r="F544" s="51" t="str">
        <f>IF(B544="","",IF(ISNA(VLOOKUP(A544,'75m'!F$5:G$302,2,FALSE)),"",VLOOKUP(A544,'75m'!F$5:G$302,2,FALSE)))</f>
        <v/>
      </c>
      <c r="G544" s="51">
        <f>IF(B544="",0,IF(ISNA(_xlfn.XLOOKUP(A544,'75m'!F$5:F$302,'75m'!M$5:M$302)),0,_xlfn.XLOOKUP(A544,'75m'!F$5:F$302,'75m'!M$5:M$302)))</f>
        <v>0</v>
      </c>
      <c r="H544" s="51" t="str">
        <f>IF(B544="","",IF(ISNA(VLOOKUP(A544,'75m'!F$5:K$302,5,FALSE)),"",VLOOKUP(A544,'75m'!F$5:K$302,5,FALSE)))</f>
        <v/>
      </c>
      <c r="I544" s="53">
        <f>IF(B544="",0,IF(ISNA(VLOOKUP(A544,'600m'!F$5:J$302,2,FALSE)),0,VLOOKUP(A544,'600m'!F$5:J$302,2,FALSE)))</f>
        <v>0</v>
      </c>
      <c r="J544" s="51">
        <f>IF(B544="",0,IF(ISNA(_xlfn.XLOOKUP(A544,'600m'!F$5:F$302,'600m'!M$5:M$302)),0,_xlfn.XLOOKUP(A544,'600m'!F$5:F$302,'600m'!M$5:M$302)))</f>
        <v>0</v>
      </c>
      <c r="K544" s="51" t="str">
        <f>IF(B544="","",IF(ISNA(VLOOKUP(A544,'600m'!F$5:K$302,5,FALSE)),"",VLOOKUP(A544,'600m'!F$5:K$302,5,FALSE)))</f>
        <v/>
      </c>
      <c r="L544" s="51" t="str">
        <f>IF(B544="","",IF(ISNA(VLOOKUP(A544,LongJump!F$5:G$302,2,FALSE)),"",VLOOKUP(A544,LongJump!F$5:G$302,2,FALSE)))</f>
        <v/>
      </c>
      <c r="M544" s="51">
        <f>IF(B544="",0,IF(ISNA(_xlfn.XLOOKUP(A544,LongJump!F$5:F$302,LongJump!M$5:M$302)),0,_xlfn.XLOOKUP(A544,LongJump!F$5:F$302,LongJump!M$5:M$302)))</f>
        <v>0</v>
      </c>
      <c r="N544" s="51">
        <f>IF(B544="",0,IF(ISNA(VLOOKUP(A544,LongJump!F$5:K$302,5,FALSE)),0,VLOOKUP(A544,LongJump!F$5:K$302,5,FALSE)))</f>
        <v>0</v>
      </c>
      <c r="O544" s="51" t="str">
        <f>IF(B544="","",IF(ISNA(VLOOKUP(A544,Vortex!F$5:J$302,2,FALSE)),"",VLOOKUP(A544,Vortex!F$5:J$302,2,FALSE)))</f>
        <v/>
      </c>
      <c r="P544" s="51">
        <f>IF(B544="",0,IF(ISNA(_xlfn.XLOOKUP(A544,Vortex!F$5:F$302,Vortex!M$5:M$302)),0,_xlfn.XLOOKUP(A544,Vortex!F$5:F$302,Vortex!M$5:M$302)))</f>
        <v>0</v>
      </c>
      <c r="Q544" s="51">
        <f t="shared" si="63"/>
        <v>0</v>
      </c>
      <c r="R544" s="51" t="str">
        <f t="shared" si="64"/>
        <v/>
      </c>
      <c r="S544" s="51" t="str">
        <f t="shared" si="65"/>
        <v/>
      </c>
      <c r="T544" s="51" t="str">
        <f t="shared" si="66"/>
        <v/>
      </c>
      <c r="U544" s="51" t="str">
        <f t="shared" si="67"/>
        <v/>
      </c>
    </row>
    <row r="545" spans="1:21">
      <c r="A545" s="51" t="str">
        <f>IF(Declarations!B173=0,"",Declarations!B173)</f>
        <v/>
      </c>
      <c r="B545" s="161" t="str">
        <f>IF(ISNA(VLOOKUP(A545,Declarations!B$6:C$293,2,FALSE)),"",IF(VLOOKUP(A545,Declarations!B$6:C$293,2,FALSE)="","",VLOOKUP(A545,Declarations!B$6:C$293,2,FALSE)))</f>
        <v/>
      </c>
      <c r="C545" s="161" t="str">
        <f>IF(ISNA(VLOOKUP(A545,Declarations!B$6:F$293,5,FALSE)),"",IF(VLOOKUP(A545,Declarations!B$6:F$293,5,FALSE)="","",VLOOKUP(A545,Declarations!B$6:F$293,5,FALSE)))</f>
        <v/>
      </c>
      <c r="D545" s="161" t="str">
        <f>IF(ISNA(VLOOKUP(A545,Declarations!B$6:F$293,4,FALSE)),"",IF(VLOOKUP(A545,Declarations!B$6:F$293,4,FALSE)="","",VLOOKUP(A545,Declarations!B$6:F$293,4,FALSE)))</f>
        <v/>
      </c>
      <c r="E545" s="161" t="str">
        <f>IF(ISNA(VLOOKUP(A545,Declarations!B$6:D$293,3,FALSE)),"",IF(VLOOKUP(A545,Declarations!B$6:D$293,3,FALSE)="","",VLOOKUP(A545,Declarations!B$6:D$293,3,FALSE)))</f>
        <v/>
      </c>
      <c r="F545" s="51" t="str">
        <f>IF(B545="","",IF(ISNA(VLOOKUP(A545,'75m'!F$5:G$302,2,FALSE)),"",VLOOKUP(A545,'75m'!F$5:G$302,2,FALSE)))</f>
        <v/>
      </c>
      <c r="G545" s="51">
        <f>IF(B545="",0,IF(ISNA(_xlfn.XLOOKUP(A545,'75m'!F$5:F$302,'75m'!M$5:M$302)),0,_xlfn.XLOOKUP(A545,'75m'!F$5:F$302,'75m'!M$5:M$302)))</f>
        <v>0</v>
      </c>
      <c r="H545" s="51" t="str">
        <f>IF(B545="","",IF(ISNA(VLOOKUP(A545,'75m'!F$5:K$302,5,FALSE)),"",VLOOKUP(A545,'75m'!F$5:K$302,5,FALSE)))</f>
        <v/>
      </c>
      <c r="I545" s="53">
        <f>IF(B545="",0,IF(ISNA(VLOOKUP(A545,'600m'!F$5:J$302,2,FALSE)),0,VLOOKUP(A545,'600m'!F$5:J$302,2,FALSE)))</f>
        <v>0</v>
      </c>
      <c r="J545" s="51">
        <f>IF(B545="",0,IF(ISNA(_xlfn.XLOOKUP(A545,'600m'!F$5:F$302,'600m'!M$5:M$302)),0,_xlfn.XLOOKUP(A545,'600m'!F$5:F$302,'600m'!M$5:M$302)))</f>
        <v>0</v>
      </c>
      <c r="K545" s="51" t="str">
        <f>IF(B545="","",IF(ISNA(VLOOKUP(A545,'600m'!F$5:K$302,5,FALSE)),"",VLOOKUP(A545,'600m'!F$5:K$302,5,FALSE)))</f>
        <v/>
      </c>
      <c r="L545" s="51" t="str">
        <f>IF(B545="","",IF(ISNA(VLOOKUP(A545,LongJump!F$5:G$302,2,FALSE)),"",VLOOKUP(A545,LongJump!F$5:G$302,2,FALSE)))</f>
        <v/>
      </c>
      <c r="M545" s="51">
        <f>IF(B545="",0,IF(ISNA(_xlfn.XLOOKUP(A545,LongJump!F$5:F$302,LongJump!M$5:M$302)),0,_xlfn.XLOOKUP(A545,LongJump!F$5:F$302,LongJump!M$5:M$302)))</f>
        <v>0</v>
      </c>
      <c r="N545" s="51">
        <f>IF(B545="",0,IF(ISNA(VLOOKUP(A545,LongJump!F$5:K$302,5,FALSE)),0,VLOOKUP(A545,LongJump!F$5:K$302,5,FALSE)))</f>
        <v>0</v>
      </c>
      <c r="O545" s="51" t="str">
        <f>IF(B545="","",IF(ISNA(VLOOKUP(A545,Vortex!F$5:J$302,2,FALSE)),"",VLOOKUP(A545,Vortex!F$5:J$302,2,FALSE)))</f>
        <v/>
      </c>
      <c r="P545" s="51">
        <f>IF(B545="",0,IF(ISNA(_xlfn.XLOOKUP(A545,Vortex!F$5:F$302,Vortex!M$5:M$302)),0,_xlfn.XLOOKUP(A545,Vortex!F$5:F$302,Vortex!M$5:M$302)))</f>
        <v>0</v>
      </c>
      <c r="Q545" s="51">
        <f t="shared" si="63"/>
        <v>0</v>
      </c>
      <c r="R545" s="51" t="str">
        <f t="shared" si="64"/>
        <v/>
      </c>
      <c r="S545" s="51" t="str">
        <f t="shared" si="65"/>
        <v/>
      </c>
      <c r="T545" s="51" t="str">
        <f t="shared" si="66"/>
        <v/>
      </c>
      <c r="U545" s="51" t="str">
        <f t="shared" si="67"/>
        <v/>
      </c>
    </row>
    <row r="546" spans="1:21">
      <c r="A546" s="51" t="str">
        <f>IF(Declarations!B174=0,"",Declarations!B174)</f>
        <v/>
      </c>
      <c r="B546" s="161" t="str">
        <f>IF(ISNA(VLOOKUP(A546,Declarations!B$6:C$293,2,FALSE)),"",IF(VLOOKUP(A546,Declarations!B$6:C$293,2,FALSE)="","",VLOOKUP(A546,Declarations!B$6:C$293,2,FALSE)))</f>
        <v/>
      </c>
      <c r="C546" s="161" t="str">
        <f>IF(ISNA(VLOOKUP(A546,Declarations!B$6:F$293,5,FALSE)),"",IF(VLOOKUP(A546,Declarations!B$6:F$293,5,FALSE)="","",VLOOKUP(A546,Declarations!B$6:F$293,5,FALSE)))</f>
        <v/>
      </c>
      <c r="D546" s="161" t="str">
        <f>IF(ISNA(VLOOKUP(A546,Declarations!B$6:F$293,4,FALSE)),"",IF(VLOOKUP(A546,Declarations!B$6:F$293,4,FALSE)="","",VLOOKUP(A546,Declarations!B$6:F$293,4,FALSE)))</f>
        <v/>
      </c>
      <c r="E546" s="161" t="str">
        <f>IF(ISNA(VLOOKUP(A546,Declarations!B$6:D$293,3,FALSE)),"",IF(VLOOKUP(A546,Declarations!B$6:D$293,3,FALSE)="","",VLOOKUP(A546,Declarations!B$6:D$293,3,FALSE)))</f>
        <v/>
      </c>
      <c r="F546" s="51" t="str">
        <f>IF(B546="","",IF(ISNA(VLOOKUP(A546,'75m'!F$5:G$302,2,FALSE)),"",VLOOKUP(A546,'75m'!F$5:G$302,2,FALSE)))</f>
        <v/>
      </c>
      <c r="G546" s="51">
        <f>IF(B546="",0,IF(ISNA(_xlfn.XLOOKUP(A546,'75m'!F$5:F$302,'75m'!M$5:M$302)),0,_xlfn.XLOOKUP(A546,'75m'!F$5:F$302,'75m'!M$5:M$302)))</f>
        <v>0</v>
      </c>
      <c r="H546" s="51" t="str">
        <f>IF(B546="","",IF(ISNA(VLOOKUP(A546,'75m'!F$5:K$302,5,FALSE)),"",VLOOKUP(A546,'75m'!F$5:K$302,5,FALSE)))</f>
        <v/>
      </c>
      <c r="I546" s="53">
        <f>IF(B546="",0,IF(ISNA(VLOOKUP(A546,'600m'!F$5:J$302,2,FALSE)),0,VLOOKUP(A546,'600m'!F$5:J$302,2,FALSE)))</f>
        <v>0</v>
      </c>
      <c r="J546" s="51">
        <f>IF(B546="",0,IF(ISNA(_xlfn.XLOOKUP(A546,'600m'!F$5:F$302,'600m'!M$5:M$302)),0,_xlfn.XLOOKUP(A546,'600m'!F$5:F$302,'600m'!M$5:M$302)))</f>
        <v>0</v>
      </c>
      <c r="K546" s="51" t="str">
        <f>IF(B546="","",IF(ISNA(VLOOKUP(A546,'600m'!F$5:K$302,5,FALSE)),"",VLOOKUP(A546,'600m'!F$5:K$302,5,FALSE)))</f>
        <v/>
      </c>
      <c r="L546" s="51" t="str">
        <f>IF(B546="","",IF(ISNA(VLOOKUP(A546,LongJump!F$5:G$302,2,FALSE)),"",VLOOKUP(A546,LongJump!F$5:G$302,2,FALSE)))</f>
        <v/>
      </c>
      <c r="M546" s="51">
        <f>IF(B546="",0,IF(ISNA(_xlfn.XLOOKUP(A546,LongJump!F$5:F$302,LongJump!M$5:M$302)),0,_xlfn.XLOOKUP(A546,LongJump!F$5:F$302,LongJump!M$5:M$302)))</f>
        <v>0</v>
      </c>
      <c r="N546" s="51">
        <f>IF(B546="",0,IF(ISNA(VLOOKUP(A546,LongJump!F$5:K$302,5,FALSE)),0,VLOOKUP(A546,LongJump!F$5:K$302,5,FALSE)))</f>
        <v>0</v>
      </c>
      <c r="O546" s="51" t="str">
        <f>IF(B546="","",IF(ISNA(VLOOKUP(A546,Vortex!F$5:J$302,2,FALSE)),"",VLOOKUP(A546,Vortex!F$5:J$302,2,FALSE)))</f>
        <v/>
      </c>
      <c r="P546" s="51">
        <f>IF(B546="",0,IF(ISNA(_xlfn.XLOOKUP(A546,Vortex!F$5:F$302,Vortex!M$5:M$302)),0,_xlfn.XLOOKUP(A546,Vortex!F$5:F$302,Vortex!M$5:M$302)))</f>
        <v>0</v>
      </c>
      <c r="Q546" s="51">
        <f t="shared" si="63"/>
        <v>0</v>
      </c>
      <c r="R546" s="51" t="str">
        <f t="shared" si="64"/>
        <v/>
      </c>
      <c r="S546" s="51" t="str">
        <f t="shared" si="65"/>
        <v/>
      </c>
      <c r="T546" s="51" t="str">
        <f t="shared" si="66"/>
        <v/>
      </c>
      <c r="U546" s="51" t="str">
        <f t="shared" si="67"/>
        <v/>
      </c>
    </row>
    <row r="547" spans="1:21">
      <c r="A547" s="51" t="str">
        <f>IF(Declarations!B175=0,"",Declarations!B175)</f>
        <v/>
      </c>
      <c r="B547" s="161" t="str">
        <f>IF(ISNA(VLOOKUP(A547,Declarations!B$6:C$293,2,FALSE)),"",IF(VLOOKUP(A547,Declarations!B$6:C$293,2,FALSE)="","",VLOOKUP(A547,Declarations!B$6:C$293,2,FALSE)))</f>
        <v/>
      </c>
      <c r="C547" s="161" t="str">
        <f>IF(ISNA(VLOOKUP(A547,Declarations!B$6:F$293,5,FALSE)),"",IF(VLOOKUP(A547,Declarations!B$6:F$293,5,FALSE)="","",VLOOKUP(A547,Declarations!B$6:F$293,5,FALSE)))</f>
        <v/>
      </c>
      <c r="D547" s="161" t="str">
        <f>IF(ISNA(VLOOKUP(A547,Declarations!B$6:F$293,4,FALSE)),"",IF(VLOOKUP(A547,Declarations!B$6:F$293,4,FALSE)="","",VLOOKUP(A547,Declarations!B$6:F$293,4,FALSE)))</f>
        <v/>
      </c>
      <c r="E547" s="161" t="str">
        <f>IF(ISNA(VLOOKUP(A547,Declarations!B$6:D$293,3,FALSE)),"",IF(VLOOKUP(A547,Declarations!B$6:D$293,3,FALSE)="","",VLOOKUP(A547,Declarations!B$6:D$293,3,FALSE)))</f>
        <v/>
      </c>
      <c r="F547" s="51" t="str">
        <f>IF(B547="","",IF(ISNA(VLOOKUP(A547,'75m'!F$5:G$302,2,FALSE)),"",VLOOKUP(A547,'75m'!F$5:G$302,2,FALSE)))</f>
        <v/>
      </c>
      <c r="G547" s="51">
        <f>IF(B547="",0,IF(ISNA(_xlfn.XLOOKUP(A547,'75m'!F$5:F$302,'75m'!M$5:M$302)),0,_xlfn.XLOOKUP(A547,'75m'!F$5:F$302,'75m'!M$5:M$302)))</f>
        <v>0</v>
      </c>
      <c r="H547" s="51" t="str">
        <f>IF(B547="","",IF(ISNA(VLOOKUP(A547,'75m'!F$5:K$302,5,FALSE)),"",VLOOKUP(A547,'75m'!F$5:K$302,5,FALSE)))</f>
        <v/>
      </c>
      <c r="I547" s="53">
        <f>IF(B547="",0,IF(ISNA(VLOOKUP(A547,'600m'!F$5:J$302,2,FALSE)),0,VLOOKUP(A547,'600m'!F$5:J$302,2,FALSE)))</f>
        <v>0</v>
      </c>
      <c r="J547" s="51">
        <f>IF(B547="",0,IF(ISNA(_xlfn.XLOOKUP(A547,'600m'!F$5:F$302,'600m'!M$5:M$302)),0,_xlfn.XLOOKUP(A547,'600m'!F$5:F$302,'600m'!M$5:M$302)))</f>
        <v>0</v>
      </c>
      <c r="K547" s="51" t="str">
        <f>IF(B547="","",IF(ISNA(VLOOKUP(A547,'600m'!F$5:K$302,5,FALSE)),"",VLOOKUP(A547,'600m'!F$5:K$302,5,FALSE)))</f>
        <v/>
      </c>
      <c r="L547" s="51" t="str">
        <f>IF(B547="","",IF(ISNA(VLOOKUP(A547,LongJump!F$5:G$302,2,FALSE)),"",VLOOKUP(A547,LongJump!F$5:G$302,2,FALSE)))</f>
        <v/>
      </c>
      <c r="M547" s="51">
        <f>IF(B547="",0,IF(ISNA(_xlfn.XLOOKUP(A547,LongJump!F$5:F$302,LongJump!M$5:M$302)),0,_xlfn.XLOOKUP(A547,LongJump!F$5:F$302,LongJump!M$5:M$302)))</f>
        <v>0</v>
      </c>
      <c r="N547" s="51">
        <f>IF(B547="",0,IF(ISNA(VLOOKUP(A547,LongJump!F$5:K$302,5,FALSE)),0,VLOOKUP(A547,LongJump!F$5:K$302,5,FALSE)))</f>
        <v>0</v>
      </c>
      <c r="O547" s="51" t="str">
        <f>IF(B547="","",IF(ISNA(VLOOKUP(A547,Vortex!F$5:J$302,2,FALSE)),"",VLOOKUP(A547,Vortex!F$5:J$302,2,FALSE)))</f>
        <v/>
      </c>
      <c r="P547" s="51">
        <f>IF(B547="",0,IF(ISNA(_xlfn.XLOOKUP(A547,Vortex!F$5:F$302,Vortex!M$5:M$302)),0,_xlfn.XLOOKUP(A547,Vortex!F$5:F$302,Vortex!M$5:M$302)))</f>
        <v>0</v>
      </c>
      <c r="Q547" s="51">
        <f t="shared" si="63"/>
        <v>0</v>
      </c>
      <c r="R547" s="51" t="str">
        <f t="shared" si="64"/>
        <v/>
      </c>
      <c r="S547" s="51" t="str">
        <f t="shared" si="65"/>
        <v/>
      </c>
      <c r="T547" s="51" t="str">
        <f t="shared" si="66"/>
        <v/>
      </c>
      <c r="U547" s="51" t="str">
        <f t="shared" si="67"/>
        <v/>
      </c>
    </row>
    <row r="548" spans="1:21">
      <c r="A548" s="51" t="str">
        <f>IF(Declarations!B176=0,"",Declarations!B176)</f>
        <v/>
      </c>
      <c r="B548" s="161" t="str">
        <f>IF(ISNA(VLOOKUP(A548,Declarations!B$6:C$293,2,FALSE)),"",IF(VLOOKUP(A548,Declarations!B$6:C$293,2,FALSE)="","",VLOOKUP(A548,Declarations!B$6:C$293,2,FALSE)))</f>
        <v/>
      </c>
      <c r="C548" s="161" t="str">
        <f>IF(ISNA(VLOOKUP(A548,Declarations!B$6:F$293,5,FALSE)),"",IF(VLOOKUP(A548,Declarations!B$6:F$293,5,FALSE)="","",VLOOKUP(A548,Declarations!B$6:F$293,5,FALSE)))</f>
        <v/>
      </c>
      <c r="D548" s="161" t="str">
        <f>IF(ISNA(VLOOKUP(A548,Declarations!B$6:F$293,4,FALSE)),"",IF(VLOOKUP(A548,Declarations!B$6:F$293,4,FALSE)="","",VLOOKUP(A548,Declarations!B$6:F$293,4,FALSE)))</f>
        <v/>
      </c>
      <c r="E548" s="161" t="str">
        <f>IF(ISNA(VLOOKUP(A548,Declarations!B$6:D$293,3,FALSE)),"",IF(VLOOKUP(A548,Declarations!B$6:D$293,3,FALSE)="","",VLOOKUP(A548,Declarations!B$6:D$293,3,FALSE)))</f>
        <v/>
      </c>
      <c r="F548" s="51" t="str">
        <f>IF(B548="","",IF(ISNA(VLOOKUP(A548,'75m'!F$5:G$302,2,FALSE)),"",VLOOKUP(A548,'75m'!F$5:G$302,2,FALSE)))</f>
        <v/>
      </c>
      <c r="G548" s="51">
        <f>IF(B548="",0,IF(ISNA(_xlfn.XLOOKUP(A548,'75m'!F$5:F$302,'75m'!M$5:M$302)),0,_xlfn.XLOOKUP(A548,'75m'!F$5:F$302,'75m'!M$5:M$302)))</f>
        <v>0</v>
      </c>
      <c r="H548" s="51" t="str">
        <f>IF(B548="","",IF(ISNA(VLOOKUP(A548,'75m'!F$5:K$302,5,FALSE)),"",VLOOKUP(A548,'75m'!F$5:K$302,5,FALSE)))</f>
        <v/>
      </c>
      <c r="I548" s="53">
        <f>IF(B548="",0,IF(ISNA(VLOOKUP(A548,'600m'!F$5:J$302,2,FALSE)),0,VLOOKUP(A548,'600m'!F$5:J$302,2,FALSE)))</f>
        <v>0</v>
      </c>
      <c r="J548" s="51">
        <f>IF(B548="",0,IF(ISNA(_xlfn.XLOOKUP(A548,'600m'!F$5:F$302,'600m'!M$5:M$302)),0,_xlfn.XLOOKUP(A548,'600m'!F$5:F$302,'600m'!M$5:M$302)))</f>
        <v>0</v>
      </c>
      <c r="K548" s="51" t="str">
        <f>IF(B548="","",IF(ISNA(VLOOKUP(A548,'600m'!F$5:K$302,5,FALSE)),"",VLOOKUP(A548,'600m'!F$5:K$302,5,FALSE)))</f>
        <v/>
      </c>
      <c r="L548" s="51" t="str">
        <f>IF(B548="","",IF(ISNA(VLOOKUP(A548,LongJump!F$5:G$302,2,FALSE)),"",VLOOKUP(A548,LongJump!F$5:G$302,2,FALSE)))</f>
        <v/>
      </c>
      <c r="M548" s="51">
        <f>IF(B548="",0,IF(ISNA(_xlfn.XLOOKUP(A548,LongJump!F$5:F$302,LongJump!M$5:M$302)),0,_xlfn.XLOOKUP(A548,LongJump!F$5:F$302,LongJump!M$5:M$302)))</f>
        <v>0</v>
      </c>
      <c r="N548" s="51">
        <f>IF(B548="",0,IF(ISNA(VLOOKUP(A548,LongJump!F$5:K$302,5,FALSE)),0,VLOOKUP(A548,LongJump!F$5:K$302,5,FALSE)))</f>
        <v>0</v>
      </c>
      <c r="O548" s="51" t="str">
        <f>IF(B548="","",IF(ISNA(VLOOKUP(A548,Vortex!F$5:J$302,2,FALSE)),"",VLOOKUP(A548,Vortex!F$5:J$302,2,FALSE)))</f>
        <v/>
      </c>
      <c r="P548" s="51">
        <f>IF(B548="",0,IF(ISNA(_xlfn.XLOOKUP(A548,Vortex!F$5:F$302,Vortex!M$5:M$302)),0,_xlfn.XLOOKUP(A548,Vortex!F$5:F$302,Vortex!M$5:M$302)))</f>
        <v>0</v>
      </c>
      <c r="Q548" s="51">
        <f t="shared" si="63"/>
        <v>0</v>
      </c>
      <c r="R548" s="51" t="str">
        <f t="shared" si="64"/>
        <v/>
      </c>
      <c r="S548" s="51" t="str">
        <f t="shared" si="65"/>
        <v/>
      </c>
      <c r="T548" s="51" t="str">
        <f t="shared" si="66"/>
        <v/>
      </c>
      <c r="U548" s="51" t="str">
        <f t="shared" si="67"/>
        <v/>
      </c>
    </row>
    <row r="549" spans="1:21">
      <c r="A549" s="51" t="str">
        <f>IF(Declarations!B177=0,"",Declarations!B177)</f>
        <v/>
      </c>
      <c r="B549" s="161" t="str">
        <f>IF(ISNA(VLOOKUP(A549,Declarations!B$6:C$293,2,FALSE)),"",IF(VLOOKUP(A549,Declarations!B$6:C$293,2,FALSE)="","",VLOOKUP(A549,Declarations!B$6:C$293,2,FALSE)))</f>
        <v/>
      </c>
      <c r="C549" s="161" t="str">
        <f>IF(ISNA(VLOOKUP(A549,Declarations!B$6:F$293,5,FALSE)),"",IF(VLOOKUP(A549,Declarations!B$6:F$293,5,FALSE)="","",VLOOKUP(A549,Declarations!B$6:F$293,5,FALSE)))</f>
        <v/>
      </c>
      <c r="D549" s="161" t="str">
        <f>IF(ISNA(VLOOKUP(A549,Declarations!B$6:F$293,4,FALSE)),"",IF(VLOOKUP(A549,Declarations!B$6:F$293,4,FALSE)="","",VLOOKUP(A549,Declarations!B$6:F$293,4,FALSE)))</f>
        <v/>
      </c>
      <c r="E549" s="161" t="str">
        <f>IF(ISNA(VLOOKUP(A549,Declarations!B$6:D$293,3,FALSE)),"",IF(VLOOKUP(A549,Declarations!B$6:D$293,3,FALSE)="","",VLOOKUP(A549,Declarations!B$6:D$293,3,FALSE)))</f>
        <v/>
      </c>
      <c r="F549" s="51" t="str">
        <f>IF(B549="","",IF(ISNA(VLOOKUP(A549,'75m'!F$5:G$302,2,FALSE)),"",VLOOKUP(A549,'75m'!F$5:G$302,2,FALSE)))</f>
        <v/>
      </c>
      <c r="G549" s="51">
        <f>IF(B549="",0,IF(ISNA(_xlfn.XLOOKUP(A549,'75m'!F$5:F$302,'75m'!M$5:M$302)),0,_xlfn.XLOOKUP(A549,'75m'!F$5:F$302,'75m'!M$5:M$302)))</f>
        <v>0</v>
      </c>
      <c r="H549" s="51" t="str">
        <f>IF(B549="","",IF(ISNA(VLOOKUP(A549,'75m'!F$5:K$302,5,FALSE)),"",VLOOKUP(A549,'75m'!F$5:K$302,5,FALSE)))</f>
        <v/>
      </c>
      <c r="I549" s="53">
        <f>IF(B549="",0,IF(ISNA(VLOOKUP(A549,'600m'!F$5:J$302,2,FALSE)),0,VLOOKUP(A549,'600m'!F$5:J$302,2,FALSE)))</f>
        <v>0</v>
      </c>
      <c r="J549" s="51">
        <f>IF(B549="",0,IF(ISNA(_xlfn.XLOOKUP(A549,'600m'!F$5:F$302,'600m'!M$5:M$302)),0,_xlfn.XLOOKUP(A549,'600m'!F$5:F$302,'600m'!M$5:M$302)))</f>
        <v>0</v>
      </c>
      <c r="K549" s="51" t="str">
        <f>IF(B549="","",IF(ISNA(VLOOKUP(A549,'600m'!F$5:K$302,5,FALSE)),"",VLOOKUP(A549,'600m'!F$5:K$302,5,FALSE)))</f>
        <v/>
      </c>
      <c r="L549" s="51" t="str">
        <f>IF(B549="","",IF(ISNA(VLOOKUP(A549,LongJump!F$5:G$302,2,FALSE)),"",VLOOKUP(A549,LongJump!F$5:G$302,2,FALSE)))</f>
        <v/>
      </c>
      <c r="M549" s="51">
        <f>IF(B549="",0,IF(ISNA(_xlfn.XLOOKUP(A549,LongJump!F$5:F$302,LongJump!M$5:M$302)),0,_xlfn.XLOOKUP(A549,LongJump!F$5:F$302,LongJump!M$5:M$302)))</f>
        <v>0</v>
      </c>
      <c r="N549" s="51">
        <f>IF(B549="",0,IF(ISNA(VLOOKUP(A549,LongJump!F$5:K$302,5,FALSE)),0,VLOOKUP(A549,LongJump!F$5:K$302,5,FALSE)))</f>
        <v>0</v>
      </c>
      <c r="O549" s="51" t="str">
        <f>IF(B549="","",IF(ISNA(VLOOKUP(A549,Vortex!F$5:J$302,2,FALSE)),"",VLOOKUP(A549,Vortex!F$5:J$302,2,FALSE)))</f>
        <v/>
      </c>
      <c r="P549" s="51">
        <f>IF(B549="",0,IF(ISNA(_xlfn.XLOOKUP(A549,Vortex!F$5:F$302,Vortex!M$5:M$302)),0,_xlfn.XLOOKUP(A549,Vortex!F$5:F$302,Vortex!M$5:M$302)))</f>
        <v>0</v>
      </c>
      <c r="Q549" s="51">
        <f t="shared" si="63"/>
        <v>0</v>
      </c>
      <c r="R549" s="51" t="str">
        <f t="shared" si="64"/>
        <v/>
      </c>
      <c r="S549" s="51" t="str">
        <f t="shared" si="65"/>
        <v/>
      </c>
      <c r="T549" s="51" t="str">
        <f t="shared" si="66"/>
        <v/>
      </c>
      <c r="U549" s="51" t="str">
        <f t="shared" si="67"/>
        <v/>
      </c>
    </row>
    <row r="550" spans="1:21">
      <c r="A550" s="51" t="str">
        <f>IF(Declarations!B178=0,"",Declarations!B178)</f>
        <v/>
      </c>
      <c r="B550" s="161" t="str">
        <f>IF(ISNA(VLOOKUP(A550,Declarations!B$6:C$293,2,FALSE)),"",IF(VLOOKUP(A550,Declarations!B$6:C$293,2,FALSE)="","",VLOOKUP(A550,Declarations!B$6:C$293,2,FALSE)))</f>
        <v/>
      </c>
      <c r="C550" s="161" t="str">
        <f>IF(ISNA(VLOOKUP(A550,Declarations!B$6:F$293,5,FALSE)),"",IF(VLOOKUP(A550,Declarations!B$6:F$293,5,FALSE)="","",VLOOKUP(A550,Declarations!B$6:F$293,5,FALSE)))</f>
        <v/>
      </c>
      <c r="D550" s="161" t="str">
        <f>IF(ISNA(VLOOKUP(A550,Declarations!B$6:F$293,4,FALSE)),"",IF(VLOOKUP(A550,Declarations!B$6:F$293,4,FALSE)="","",VLOOKUP(A550,Declarations!B$6:F$293,4,FALSE)))</f>
        <v/>
      </c>
      <c r="E550" s="161" t="str">
        <f>IF(ISNA(VLOOKUP(A550,Declarations!B$6:D$293,3,FALSE)),"",IF(VLOOKUP(A550,Declarations!B$6:D$293,3,FALSE)="","",VLOOKUP(A550,Declarations!B$6:D$293,3,FALSE)))</f>
        <v/>
      </c>
      <c r="F550" s="51" t="str">
        <f>IF(B550="","",IF(ISNA(VLOOKUP(A550,'75m'!F$5:G$302,2,FALSE)),"",VLOOKUP(A550,'75m'!F$5:G$302,2,FALSE)))</f>
        <v/>
      </c>
      <c r="G550" s="51">
        <f>IF(B550="",0,IF(ISNA(_xlfn.XLOOKUP(A550,'75m'!F$5:F$302,'75m'!M$5:M$302)),0,_xlfn.XLOOKUP(A550,'75m'!F$5:F$302,'75m'!M$5:M$302)))</f>
        <v>0</v>
      </c>
      <c r="H550" s="51" t="str">
        <f>IF(B550="","",IF(ISNA(VLOOKUP(A550,'75m'!F$5:K$302,5,FALSE)),"",VLOOKUP(A550,'75m'!F$5:K$302,5,FALSE)))</f>
        <v/>
      </c>
      <c r="I550" s="53">
        <f>IF(B550="",0,IF(ISNA(VLOOKUP(A550,'600m'!F$5:J$302,2,FALSE)),0,VLOOKUP(A550,'600m'!F$5:J$302,2,FALSE)))</f>
        <v>0</v>
      </c>
      <c r="J550" s="51">
        <f>IF(B550="",0,IF(ISNA(_xlfn.XLOOKUP(A550,'600m'!F$5:F$302,'600m'!M$5:M$302)),0,_xlfn.XLOOKUP(A550,'600m'!F$5:F$302,'600m'!M$5:M$302)))</f>
        <v>0</v>
      </c>
      <c r="K550" s="51" t="str">
        <f>IF(B550="","",IF(ISNA(VLOOKUP(A550,'600m'!F$5:K$302,5,FALSE)),"",VLOOKUP(A550,'600m'!F$5:K$302,5,FALSE)))</f>
        <v/>
      </c>
      <c r="L550" s="51" t="str">
        <f>IF(B550="","",IF(ISNA(VLOOKUP(A550,LongJump!F$5:G$302,2,FALSE)),"",VLOOKUP(A550,LongJump!F$5:G$302,2,FALSE)))</f>
        <v/>
      </c>
      <c r="M550" s="51">
        <f>IF(B550="",0,IF(ISNA(_xlfn.XLOOKUP(A550,LongJump!F$5:F$302,LongJump!M$5:M$302)),0,_xlfn.XLOOKUP(A550,LongJump!F$5:F$302,LongJump!M$5:M$302)))</f>
        <v>0</v>
      </c>
      <c r="N550" s="51">
        <f>IF(B550="",0,IF(ISNA(VLOOKUP(A550,LongJump!F$5:K$302,5,FALSE)),0,VLOOKUP(A550,LongJump!F$5:K$302,5,FALSE)))</f>
        <v>0</v>
      </c>
      <c r="O550" s="51" t="str">
        <f>IF(B550="","",IF(ISNA(VLOOKUP(A550,Vortex!F$5:J$302,2,FALSE)),"",VLOOKUP(A550,Vortex!F$5:J$302,2,FALSE)))</f>
        <v/>
      </c>
      <c r="P550" s="51">
        <f>IF(B550="",0,IF(ISNA(_xlfn.XLOOKUP(A550,Vortex!F$5:F$302,Vortex!M$5:M$302)),0,_xlfn.XLOOKUP(A550,Vortex!F$5:F$302,Vortex!M$5:M$302)))</f>
        <v>0</v>
      </c>
      <c r="Q550" s="51">
        <f t="shared" si="63"/>
        <v>0</v>
      </c>
      <c r="R550" s="51" t="str">
        <f t="shared" si="64"/>
        <v/>
      </c>
      <c r="S550" s="51" t="str">
        <f t="shared" si="65"/>
        <v/>
      </c>
      <c r="T550" s="51" t="str">
        <f t="shared" si="66"/>
        <v/>
      </c>
      <c r="U550" s="51" t="str">
        <f t="shared" si="67"/>
        <v/>
      </c>
    </row>
    <row r="551" spans="1:21">
      <c r="A551" s="51" t="str">
        <f>IF(Declarations!B179=0,"",Declarations!B179)</f>
        <v/>
      </c>
      <c r="B551" s="161" t="str">
        <f>IF(ISNA(VLOOKUP(A551,Declarations!B$6:C$293,2,FALSE)),"",IF(VLOOKUP(A551,Declarations!B$6:C$293,2,FALSE)="","",VLOOKUP(A551,Declarations!B$6:C$293,2,FALSE)))</f>
        <v/>
      </c>
      <c r="C551" s="161" t="str">
        <f>IF(ISNA(VLOOKUP(A551,Declarations!B$6:F$293,5,FALSE)),"",IF(VLOOKUP(A551,Declarations!B$6:F$293,5,FALSE)="","",VLOOKUP(A551,Declarations!B$6:F$293,5,FALSE)))</f>
        <v/>
      </c>
      <c r="D551" s="161" t="str">
        <f>IF(ISNA(VLOOKUP(A551,Declarations!B$6:F$293,4,FALSE)),"",IF(VLOOKUP(A551,Declarations!B$6:F$293,4,FALSE)="","",VLOOKUP(A551,Declarations!B$6:F$293,4,FALSE)))</f>
        <v/>
      </c>
      <c r="E551" s="161" t="str">
        <f>IF(ISNA(VLOOKUP(A551,Declarations!B$6:D$293,3,FALSE)),"",IF(VLOOKUP(A551,Declarations!B$6:D$293,3,FALSE)="","",VLOOKUP(A551,Declarations!B$6:D$293,3,FALSE)))</f>
        <v/>
      </c>
      <c r="F551" s="51" t="str">
        <f>IF(B551="","",IF(ISNA(VLOOKUP(A551,'75m'!F$5:G$302,2,FALSE)),"",VLOOKUP(A551,'75m'!F$5:G$302,2,FALSE)))</f>
        <v/>
      </c>
      <c r="G551" s="51">
        <f>IF(B551="",0,IF(ISNA(_xlfn.XLOOKUP(A551,'75m'!F$5:F$302,'75m'!M$5:M$302)),0,_xlfn.XLOOKUP(A551,'75m'!F$5:F$302,'75m'!M$5:M$302)))</f>
        <v>0</v>
      </c>
      <c r="H551" s="51" t="str">
        <f>IF(B551="","",IF(ISNA(VLOOKUP(A551,'75m'!F$5:K$302,5,FALSE)),"",VLOOKUP(A551,'75m'!F$5:K$302,5,FALSE)))</f>
        <v/>
      </c>
      <c r="I551" s="53">
        <f>IF(B551="",0,IF(ISNA(VLOOKUP(A551,'600m'!F$5:J$302,2,FALSE)),0,VLOOKUP(A551,'600m'!F$5:J$302,2,FALSE)))</f>
        <v>0</v>
      </c>
      <c r="J551" s="51">
        <f>IF(B551="",0,IF(ISNA(_xlfn.XLOOKUP(A551,'600m'!F$5:F$302,'600m'!M$5:M$302)),0,_xlfn.XLOOKUP(A551,'600m'!F$5:F$302,'600m'!M$5:M$302)))</f>
        <v>0</v>
      </c>
      <c r="K551" s="51" t="str">
        <f>IF(B551="","",IF(ISNA(VLOOKUP(A551,'600m'!F$5:K$302,5,FALSE)),"",VLOOKUP(A551,'600m'!F$5:K$302,5,FALSE)))</f>
        <v/>
      </c>
      <c r="L551" s="51" t="str">
        <f>IF(B551="","",IF(ISNA(VLOOKUP(A551,LongJump!F$5:G$302,2,FALSE)),"",VLOOKUP(A551,LongJump!F$5:G$302,2,FALSE)))</f>
        <v/>
      </c>
      <c r="M551" s="51">
        <f>IF(B551="",0,IF(ISNA(_xlfn.XLOOKUP(A551,LongJump!F$5:F$302,LongJump!M$5:M$302)),0,_xlfn.XLOOKUP(A551,LongJump!F$5:F$302,LongJump!M$5:M$302)))</f>
        <v>0</v>
      </c>
      <c r="N551" s="51">
        <f>IF(B551="",0,IF(ISNA(VLOOKUP(A551,LongJump!F$5:K$302,5,FALSE)),0,VLOOKUP(A551,LongJump!F$5:K$302,5,FALSE)))</f>
        <v>0</v>
      </c>
      <c r="O551" s="51" t="str">
        <f>IF(B551="","",IF(ISNA(VLOOKUP(A551,Vortex!F$5:J$302,2,FALSE)),"",VLOOKUP(A551,Vortex!F$5:J$302,2,FALSE)))</f>
        <v/>
      </c>
      <c r="P551" s="51">
        <f>IF(B551="",0,IF(ISNA(_xlfn.XLOOKUP(A551,Vortex!F$5:F$302,Vortex!M$5:M$302)),0,_xlfn.XLOOKUP(A551,Vortex!F$5:F$302,Vortex!M$5:M$302)))</f>
        <v>0</v>
      </c>
      <c r="Q551" s="51">
        <f t="shared" si="63"/>
        <v>0</v>
      </c>
      <c r="R551" s="51" t="str">
        <f t="shared" si="64"/>
        <v/>
      </c>
      <c r="S551" s="51" t="str">
        <f t="shared" si="65"/>
        <v/>
      </c>
      <c r="T551" s="51" t="str">
        <f t="shared" si="66"/>
        <v/>
      </c>
      <c r="U551" s="51" t="str">
        <f t="shared" si="67"/>
        <v/>
      </c>
    </row>
    <row r="552" spans="1:21">
      <c r="A552" s="51" t="str">
        <f>IF(Declarations!B180=0,"",Declarations!B180)</f>
        <v/>
      </c>
      <c r="B552" s="161" t="str">
        <f>IF(ISNA(VLOOKUP(A552,Declarations!B$6:C$293,2,FALSE)),"",IF(VLOOKUP(A552,Declarations!B$6:C$293,2,FALSE)="","",VLOOKUP(A552,Declarations!B$6:C$293,2,FALSE)))</f>
        <v/>
      </c>
      <c r="C552" s="161" t="str">
        <f>IF(ISNA(VLOOKUP(A552,Declarations!B$6:F$293,5,FALSE)),"",IF(VLOOKUP(A552,Declarations!B$6:F$293,5,FALSE)="","",VLOOKUP(A552,Declarations!B$6:F$293,5,FALSE)))</f>
        <v/>
      </c>
      <c r="D552" s="161" t="str">
        <f>IF(ISNA(VLOOKUP(A552,Declarations!B$6:F$293,4,FALSE)),"",IF(VLOOKUP(A552,Declarations!B$6:F$293,4,FALSE)="","",VLOOKUP(A552,Declarations!B$6:F$293,4,FALSE)))</f>
        <v/>
      </c>
      <c r="E552" s="161" t="str">
        <f>IF(ISNA(VLOOKUP(A552,Declarations!B$6:D$293,3,FALSE)),"",IF(VLOOKUP(A552,Declarations!B$6:D$293,3,FALSE)="","",VLOOKUP(A552,Declarations!B$6:D$293,3,FALSE)))</f>
        <v/>
      </c>
      <c r="F552" s="51" t="str">
        <f>IF(B552="","",IF(ISNA(VLOOKUP(A552,'75m'!F$5:G$302,2,FALSE)),"",VLOOKUP(A552,'75m'!F$5:G$302,2,FALSE)))</f>
        <v/>
      </c>
      <c r="G552" s="51">
        <f>IF(B552="",0,IF(ISNA(_xlfn.XLOOKUP(A552,'75m'!F$5:F$302,'75m'!M$5:M$302)),0,_xlfn.XLOOKUP(A552,'75m'!F$5:F$302,'75m'!M$5:M$302)))</f>
        <v>0</v>
      </c>
      <c r="H552" s="51" t="str">
        <f>IF(B552="","",IF(ISNA(VLOOKUP(A552,'75m'!F$5:K$302,5,FALSE)),"",VLOOKUP(A552,'75m'!F$5:K$302,5,FALSE)))</f>
        <v/>
      </c>
      <c r="I552" s="53">
        <f>IF(B552="",0,IF(ISNA(VLOOKUP(A552,'600m'!F$5:J$302,2,FALSE)),0,VLOOKUP(A552,'600m'!F$5:J$302,2,FALSE)))</f>
        <v>0</v>
      </c>
      <c r="J552" s="51">
        <f>IF(B552="",0,IF(ISNA(_xlfn.XLOOKUP(A552,'600m'!F$5:F$302,'600m'!M$5:M$302)),0,_xlfn.XLOOKUP(A552,'600m'!F$5:F$302,'600m'!M$5:M$302)))</f>
        <v>0</v>
      </c>
      <c r="K552" s="51" t="str">
        <f>IF(B552="","",IF(ISNA(VLOOKUP(A552,'600m'!F$5:K$302,5,FALSE)),"",VLOOKUP(A552,'600m'!F$5:K$302,5,FALSE)))</f>
        <v/>
      </c>
      <c r="L552" s="51" t="str">
        <f>IF(B552="","",IF(ISNA(VLOOKUP(A552,LongJump!F$5:G$302,2,FALSE)),"",VLOOKUP(A552,LongJump!F$5:G$302,2,FALSE)))</f>
        <v/>
      </c>
      <c r="M552" s="51">
        <f>IF(B552="",0,IF(ISNA(_xlfn.XLOOKUP(A552,LongJump!F$5:F$302,LongJump!M$5:M$302)),0,_xlfn.XLOOKUP(A552,LongJump!F$5:F$302,LongJump!M$5:M$302)))</f>
        <v>0</v>
      </c>
      <c r="N552" s="51">
        <f>IF(B552="",0,IF(ISNA(VLOOKUP(A552,LongJump!F$5:K$302,5,FALSE)),0,VLOOKUP(A552,LongJump!F$5:K$302,5,FALSE)))</f>
        <v>0</v>
      </c>
      <c r="O552" s="51" t="str">
        <f>IF(B552="","",IF(ISNA(VLOOKUP(A552,Vortex!F$5:J$302,2,FALSE)),"",VLOOKUP(A552,Vortex!F$5:J$302,2,FALSE)))</f>
        <v/>
      </c>
      <c r="P552" s="51">
        <f>IF(B552="",0,IF(ISNA(_xlfn.XLOOKUP(A552,Vortex!F$5:F$302,Vortex!M$5:M$302)),0,_xlfn.XLOOKUP(A552,Vortex!F$5:F$302,Vortex!M$5:M$302)))</f>
        <v>0</v>
      </c>
      <c r="Q552" s="51">
        <f t="shared" si="63"/>
        <v>0</v>
      </c>
      <c r="R552" s="51" t="str">
        <f t="shared" si="64"/>
        <v/>
      </c>
      <c r="S552" s="51" t="str">
        <f t="shared" si="65"/>
        <v/>
      </c>
      <c r="T552" s="51" t="str">
        <f t="shared" si="66"/>
        <v/>
      </c>
      <c r="U552" s="51" t="str">
        <f t="shared" si="67"/>
        <v/>
      </c>
    </row>
    <row r="553" spans="1:21">
      <c r="A553" s="51" t="str">
        <f>IF(Declarations!B181=0,"",Declarations!B181)</f>
        <v/>
      </c>
      <c r="B553" s="161" t="str">
        <f>IF(ISNA(VLOOKUP(A553,Declarations!B$6:C$293,2,FALSE)),"",IF(VLOOKUP(A553,Declarations!B$6:C$293,2,FALSE)="","",VLOOKUP(A553,Declarations!B$6:C$293,2,FALSE)))</f>
        <v/>
      </c>
      <c r="C553" s="161" t="str">
        <f>IF(ISNA(VLOOKUP(A553,Declarations!B$6:F$293,5,FALSE)),"",IF(VLOOKUP(A553,Declarations!B$6:F$293,5,FALSE)="","",VLOOKUP(A553,Declarations!B$6:F$293,5,FALSE)))</f>
        <v/>
      </c>
      <c r="D553" s="161" t="str">
        <f>IF(ISNA(VLOOKUP(A553,Declarations!B$6:F$293,4,FALSE)),"",IF(VLOOKUP(A553,Declarations!B$6:F$293,4,FALSE)="","",VLOOKUP(A553,Declarations!B$6:F$293,4,FALSE)))</f>
        <v/>
      </c>
      <c r="E553" s="161" t="str">
        <f>IF(ISNA(VLOOKUP(A553,Declarations!B$6:D$293,3,FALSE)),"",IF(VLOOKUP(A553,Declarations!B$6:D$293,3,FALSE)="","",VLOOKUP(A553,Declarations!B$6:D$293,3,FALSE)))</f>
        <v/>
      </c>
      <c r="F553" s="51" t="str">
        <f>IF(B553="","",IF(ISNA(VLOOKUP(A553,'75m'!F$5:G$302,2,FALSE)),"",VLOOKUP(A553,'75m'!F$5:G$302,2,FALSE)))</f>
        <v/>
      </c>
      <c r="G553" s="51">
        <f>IF(B553="",0,IF(ISNA(_xlfn.XLOOKUP(A553,'75m'!F$5:F$302,'75m'!M$5:M$302)),0,_xlfn.XLOOKUP(A553,'75m'!F$5:F$302,'75m'!M$5:M$302)))</f>
        <v>0</v>
      </c>
      <c r="H553" s="51" t="str">
        <f>IF(B553="","",IF(ISNA(VLOOKUP(A553,'75m'!F$5:K$302,5,FALSE)),"",VLOOKUP(A553,'75m'!F$5:K$302,5,FALSE)))</f>
        <v/>
      </c>
      <c r="I553" s="53">
        <f>IF(B553="",0,IF(ISNA(VLOOKUP(A553,'600m'!F$5:J$302,2,FALSE)),0,VLOOKUP(A553,'600m'!F$5:J$302,2,FALSE)))</f>
        <v>0</v>
      </c>
      <c r="J553" s="51">
        <f>IF(B553="",0,IF(ISNA(_xlfn.XLOOKUP(A553,'600m'!F$5:F$302,'600m'!M$5:M$302)),0,_xlfn.XLOOKUP(A553,'600m'!F$5:F$302,'600m'!M$5:M$302)))</f>
        <v>0</v>
      </c>
      <c r="K553" s="51" t="str">
        <f>IF(B553="","",IF(ISNA(VLOOKUP(A553,'600m'!F$5:K$302,5,FALSE)),"",VLOOKUP(A553,'600m'!F$5:K$302,5,FALSE)))</f>
        <v/>
      </c>
      <c r="L553" s="51" t="str">
        <f>IF(B553="","",IF(ISNA(VLOOKUP(A553,LongJump!F$5:G$302,2,FALSE)),"",VLOOKUP(A553,LongJump!F$5:G$302,2,FALSE)))</f>
        <v/>
      </c>
      <c r="M553" s="51">
        <f>IF(B553="",0,IF(ISNA(_xlfn.XLOOKUP(A553,LongJump!F$5:F$302,LongJump!M$5:M$302)),0,_xlfn.XLOOKUP(A553,LongJump!F$5:F$302,LongJump!M$5:M$302)))</f>
        <v>0</v>
      </c>
      <c r="N553" s="51">
        <f>IF(B553="",0,IF(ISNA(VLOOKUP(A553,LongJump!F$5:K$302,5,FALSE)),0,VLOOKUP(A553,LongJump!F$5:K$302,5,FALSE)))</f>
        <v>0</v>
      </c>
      <c r="O553" s="51" t="str">
        <f>IF(B553="","",IF(ISNA(VLOOKUP(A553,Vortex!F$5:J$302,2,FALSE)),"",VLOOKUP(A553,Vortex!F$5:J$302,2,FALSE)))</f>
        <v/>
      </c>
      <c r="P553" s="51">
        <f>IF(B553="",0,IF(ISNA(_xlfn.XLOOKUP(A553,Vortex!F$5:F$302,Vortex!M$5:M$302)),0,_xlfn.XLOOKUP(A553,Vortex!F$5:F$302,Vortex!M$5:M$302)))</f>
        <v>0</v>
      </c>
      <c r="Q553" s="51">
        <f t="shared" si="63"/>
        <v>0</v>
      </c>
      <c r="R553" s="51" t="str">
        <f t="shared" si="64"/>
        <v/>
      </c>
      <c r="S553" s="51" t="str">
        <f t="shared" si="65"/>
        <v/>
      </c>
      <c r="T553" s="51" t="str">
        <f t="shared" si="66"/>
        <v/>
      </c>
      <c r="U553" s="51" t="str">
        <f t="shared" si="67"/>
        <v/>
      </c>
    </row>
    <row r="554" spans="1:21">
      <c r="A554" s="51" t="str">
        <f>IF(Declarations!B182=0,"",Declarations!B182)</f>
        <v/>
      </c>
      <c r="B554" s="161" t="str">
        <f>IF(ISNA(VLOOKUP(A554,Declarations!B$6:C$293,2,FALSE)),"",IF(VLOOKUP(A554,Declarations!B$6:C$293,2,FALSE)="","",VLOOKUP(A554,Declarations!B$6:C$293,2,FALSE)))</f>
        <v/>
      </c>
      <c r="C554" s="161" t="str">
        <f>IF(ISNA(VLOOKUP(A554,Declarations!B$6:F$293,5,FALSE)),"",IF(VLOOKUP(A554,Declarations!B$6:F$293,5,FALSE)="","",VLOOKUP(A554,Declarations!B$6:F$293,5,FALSE)))</f>
        <v/>
      </c>
      <c r="D554" s="161" t="str">
        <f>IF(ISNA(VLOOKUP(A554,Declarations!B$6:F$293,4,FALSE)),"",IF(VLOOKUP(A554,Declarations!B$6:F$293,4,FALSE)="","",VLOOKUP(A554,Declarations!B$6:F$293,4,FALSE)))</f>
        <v/>
      </c>
      <c r="E554" s="161" t="str">
        <f>IF(ISNA(VLOOKUP(A554,Declarations!B$6:D$293,3,FALSE)),"",IF(VLOOKUP(A554,Declarations!B$6:D$293,3,FALSE)="","",VLOOKUP(A554,Declarations!B$6:D$293,3,FALSE)))</f>
        <v/>
      </c>
      <c r="F554" s="51" t="str">
        <f>IF(B554="","",IF(ISNA(VLOOKUP(A554,'75m'!F$5:G$302,2,FALSE)),"",VLOOKUP(A554,'75m'!F$5:G$302,2,FALSE)))</f>
        <v/>
      </c>
      <c r="G554" s="51">
        <f>IF(B554="",0,IF(ISNA(_xlfn.XLOOKUP(A554,'75m'!F$5:F$302,'75m'!M$5:M$302)),0,_xlfn.XLOOKUP(A554,'75m'!F$5:F$302,'75m'!M$5:M$302)))</f>
        <v>0</v>
      </c>
      <c r="H554" s="51" t="str">
        <f>IF(B554="","",IF(ISNA(VLOOKUP(A554,'75m'!F$5:K$302,5,FALSE)),"",VLOOKUP(A554,'75m'!F$5:K$302,5,FALSE)))</f>
        <v/>
      </c>
      <c r="I554" s="53">
        <f>IF(B554="",0,IF(ISNA(VLOOKUP(A554,'600m'!F$5:J$302,2,FALSE)),0,VLOOKUP(A554,'600m'!F$5:J$302,2,FALSE)))</f>
        <v>0</v>
      </c>
      <c r="J554" s="51">
        <f>IF(B554="",0,IF(ISNA(_xlfn.XLOOKUP(A554,'600m'!F$5:F$302,'600m'!M$5:M$302)),0,_xlfn.XLOOKUP(A554,'600m'!F$5:F$302,'600m'!M$5:M$302)))</f>
        <v>0</v>
      </c>
      <c r="K554" s="51" t="str">
        <f>IF(B554="","",IF(ISNA(VLOOKUP(A554,'600m'!F$5:K$302,5,FALSE)),"",VLOOKUP(A554,'600m'!F$5:K$302,5,FALSE)))</f>
        <v/>
      </c>
      <c r="L554" s="51" t="str">
        <f>IF(B554="","",IF(ISNA(VLOOKUP(A554,LongJump!F$5:G$302,2,FALSE)),"",VLOOKUP(A554,LongJump!F$5:G$302,2,FALSE)))</f>
        <v/>
      </c>
      <c r="M554" s="51">
        <f>IF(B554="",0,IF(ISNA(_xlfn.XLOOKUP(A554,LongJump!F$5:F$302,LongJump!M$5:M$302)),0,_xlfn.XLOOKUP(A554,LongJump!F$5:F$302,LongJump!M$5:M$302)))</f>
        <v>0</v>
      </c>
      <c r="N554" s="51">
        <f>IF(B554="",0,IF(ISNA(VLOOKUP(A554,LongJump!F$5:K$302,5,FALSE)),0,VLOOKUP(A554,LongJump!F$5:K$302,5,FALSE)))</f>
        <v>0</v>
      </c>
      <c r="O554" s="51" t="str">
        <f>IF(B554="","",IF(ISNA(VLOOKUP(A554,Vortex!F$5:J$302,2,FALSE)),"",VLOOKUP(A554,Vortex!F$5:J$302,2,FALSE)))</f>
        <v/>
      </c>
      <c r="P554" s="51">
        <f>IF(B554="",0,IF(ISNA(_xlfn.XLOOKUP(A554,Vortex!F$5:F$302,Vortex!M$5:M$302)),0,_xlfn.XLOOKUP(A554,Vortex!F$5:F$302,Vortex!M$5:M$302)))</f>
        <v>0</v>
      </c>
      <c r="Q554" s="51">
        <f t="shared" si="63"/>
        <v>0</v>
      </c>
      <c r="R554" s="51" t="str">
        <f t="shared" si="64"/>
        <v/>
      </c>
      <c r="S554" s="51" t="str">
        <f t="shared" si="65"/>
        <v/>
      </c>
      <c r="T554" s="51" t="str">
        <f t="shared" si="66"/>
        <v/>
      </c>
      <c r="U554" s="51" t="str">
        <f t="shared" si="67"/>
        <v/>
      </c>
    </row>
    <row r="555" spans="1:21">
      <c r="A555" s="51" t="str">
        <f>IF(Declarations!B183=0,"",Declarations!B183)</f>
        <v/>
      </c>
      <c r="B555" s="161" t="str">
        <f>IF(ISNA(VLOOKUP(A555,Declarations!B$6:C$293,2,FALSE)),"",IF(VLOOKUP(A555,Declarations!B$6:C$293,2,FALSE)="","",VLOOKUP(A555,Declarations!B$6:C$293,2,FALSE)))</f>
        <v/>
      </c>
      <c r="C555" s="161" t="str">
        <f>IF(ISNA(VLOOKUP(A555,Declarations!B$6:F$293,5,FALSE)),"",IF(VLOOKUP(A555,Declarations!B$6:F$293,5,FALSE)="","",VLOOKUP(A555,Declarations!B$6:F$293,5,FALSE)))</f>
        <v/>
      </c>
      <c r="D555" s="161" t="str">
        <f>IF(ISNA(VLOOKUP(A555,Declarations!B$6:F$293,4,FALSE)),"",IF(VLOOKUP(A555,Declarations!B$6:F$293,4,FALSE)="","",VLOOKUP(A555,Declarations!B$6:F$293,4,FALSE)))</f>
        <v/>
      </c>
      <c r="E555" s="161" t="str">
        <f>IF(ISNA(VLOOKUP(A555,Declarations!B$6:D$293,3,FALSE)),"",IF(VLOOKUP(A555,Declarations!B$6:D$293,3,FALSE)="","",VLOOKUP(A555,Declarations!B$6:D$293,3,FALSE)))</f>
        <v/>
      </c>
      <c r="F555" s="51" t="str">
        <f>IF(B555="","",IF(ISNA(VLOOKUP(A555,'75m'!F$5:G$302,2,FALSE)),"",VLOOKUP(A555,'75m'!F$5:G$302,2,FALSE)))</f>
        <v/>
      </c>
      <c r="G555" s="51">
        <f>IF(B555="",0,IF(ISNA(_xlfn.XLOOKUP(A555,'75m'!F$5:F$302,'75m'!M$5:M$302)),0,_xlfn.XLOOKUP(A555,'75m'!F$5:F$302,'75m'!M$5:M$302)))</f>
        <v>0</v>
      </c>
      <c r="H555" s="51" t="str">
        <f>IF(B555="","",IF(ISNA(VLOOKUP(A555,'75m'!F$5:K$302,5,FALSE)),"",VLOOKUP(A555,'75m'!F$5:K$302,5,FALSE)))</f>
        <v/>
      </c>
      <c r="I555" s="53">
        <f>IF(B555="",0,IF(ISNA(VLOOKUP(A555,'600m'!F$5:J$302,2,FALSE)),0,VLOOKUP(A555,'600m'!F$5:J$302,2,FALSE)))</f>
        <v>0</v>
      </c>
      <c r="J555" s="51">
        <f>IF(B555="",0,IF(ISNA(_xlfn.XLOOKUP(A555,'600m'!F$5:F$302,'600m'!M$5:M$302)),0,_xlfn.XLOOKUP(A555,'600m'!F$5:F$302,'600m'!M$5:M$302)))</f>
        <v>0</v>
      </c>
      <c r="K555" s="51" t="str">
        <f>IF(B555="","",IF(ISNA(VLOOKUP(A555,'600m'!F$5:K$302,5,FALSE)),"",VLOOKUP(A555,'600m'!F$5:K$302,5,FALSE)))</f>
        <v/>
      </c>
      <c r="L555" s="51" t="str">
        <f>IF(B555="","",IF(ISNA(VLOOKUP(A555,LongJump!F$5:G$302,2,FALSE)),"",VLOOKUP(A555,LongJump!F$5:G$302,2,FALSE)))</f>
        <v/>
      </c>
      <c r="M555" s="51">
        <f>IF(B555="",0,IF(ISNA(_xlfn.XLOOKUP(A555,LongJump!F$5:F$302,LongJump!M$5:M$302)),0,_xlfn.XLOOKUP(A555,LongJump!F$5:F$302,LongJump!M$5:M$302)))</f>
        <v>0</v>
      </c>
      <c r="N555" s="51">
        <f>IF(B555="",0,IF(ISNA(VLOOKUP(A555,LongJump!F$5:K$302,5,FALSE)),0,VLOOKUP(A555,LongJump!F$5:K$302,5,FALSE)))</f>
        <v>0</v>
      </c>
      <c r="O555" s="51" t="str">
        <f>IF(B555="","",IF(ISNA(VLOOKUP(A555,Vortex!F$5:J$302,2,FALSE)),"",VLOOKUP(A555,Vortex!F$5:J$302,2,FALSE)))</f>
        <v/>
      </c>
      <c r="P555" s="51">
        <f>IF(B555="",0,IF(ISNA(_xlfn.XLOOKUP(A555,Vortex!F$5:F$302,Vortex!M$5:M$302)),0,_xlfn.XLOOKUP(A555,Vortex!F$5:F$302,Vortex!M$5:M$302)))</f>
        <v>0</v>
      </c>
      <c r="Q555" s="51">
        <f t="shared" si="63"/>
        <v>0</v>
      </c>
      <c r="R555" s="51" t="str">
        <f t="shared" si="64"/>
        <v/>
      </c>
      <c r="S555" s="51" t="str">
        <f t="shared" si="65"/>
        <v/>
      </c>
      <c r="T555" s="51" t="str">
        <f t="shared" si="66"/>
        <v/>
      </c>
      <c r="U555" s="51" t="str">
        <f t="shared" si="67"/>
        <v/>
      </c>
    </row>
    <row r="556" spans="1:21">
      <c r="A556" s="51" t="str">
        <f>IF(Declarations!B184=0,"",Declarations!B184)</f>
        <v/>
      </c>
      <c r="B556" s="161" t="str">
        <f>IF(ISNA(VLOOKUP(A556,Declarations!B$6:C$293,2,FALSE)),"",IF(VLOOKUP(A556,Declarations!B$6:C$293,2,FALSE)="","",VLOOKUP(A556,Declarations!B$6:C$293,2,FALSE)))</f>
        <v/>
      </c>
      <c r="C556" s="161" t="str">
        <f>IF(ISNA(VLOOKUP(A556,Declarations!B$6:F$293,5,FALSE)),"",IF(VLOOKUP(A556,Declarations!B$6:F$293,5,FALSE)="","",VLOOKUP(A556,Declarations!B$6:F$293,5,FALSE)))</f>
        <v/>
      </c>
      <c r="D556" s="161" t="str">
        <f>IF(ISNA(VLOOKUP(A556,Declarations!B$6:F$293,4,FALSE)),"",IF(VLOOKUP(A556,Declarations!B$6:F$293,4,FALSE)="","",VLOOKUP(A556,Declarations!B$6:F$293,4,FALSE)))</f>
        <v/>
      </c>
      <c r="E556" s="161" t="str">
        <f>IF(ISNA(VLOOKUP(A556,Declarations!B$6:D$293,3,FALSE)),"",IF(VLOOKUP(A556,Declarations!B$6:D$293,3,FALSE)="","",VLOOKUP(A556,Declarations!B$6:D$293,3,FALSE)))</f>
        <v/>
      </c>
      <c r="F556" s="51" t="str">
        <f>IF(B556="","",IF(ISNA(VLOOKUP(A556,'75m'!F$5:G$302,2,FALSE)),"",VLOOKUP(A556,'75m'!F$5:G$302,2,FALSE)))</f>
        <v/>
      </c>
      <c r="G556" s="51">
        <f>IF(B556="",0,IF(ISNA(_xlfn.XLOOKUP(A556,'75m'!F$5:F$302,'75m'!M$5:M$302)),0,_xlfn.XLOOKUP(A556,'75m'!F$5:F$302,'75m'!M$5:M$302)))</f>
        <v>0</v>
      </c>
      <c r="H556" s="51" t="str">
        <f>IF(B556="","",IF(ISNA(VLOOKUP(A556,'75m'!F$5:K$302,5,FALSE)),"",VLOOKUP(A556,'75m'!F$5:K$302,5,FALSE)))</f>
        <v/>
      </c>
      <c r="I556" s="53">
        <f>IF(B556="",0,IF(ISNA(VLOOKUP(A556,'600m'!F$5:J$302,2,FALSE)),0,VLOOKUP(A556,'600m'!F$5:J$302,2,FALSE)))</f>
        <v>0</v>
      </c>
      <c r="J556" s="51">
        <f>IF(B556="",0,IF(ISNA(_xlfn.XLOOKUP(A556,'600m'!F$5:F$302,'600m'!M$5:M$302)),0,_xlfn.XLOOKUP(A556,'600m'!F$5:F$302,'600m'!M$5:M$302)))</f>
        <v>0</v>
      </c>
      <c r="K556" s="51" t="str">
        <f>IF(B556="","",IF(ISNA(VLOOKUP(A556,'600m'!F$5:K$302,5,FALSE)),"",VLOOKUP(A556,'600m'!F$5:K$302,5,FALSE)))</f>
        <v/>
      </c>
      <c r="L556" s="51" t="str">
        <f>IF(B556="","",IF(ISNA(VLOOKUP(A556,LongJump!F$5:G$302,2,FALSE)),"",VLOOKUP(A556,LongJump!F$5:G$302,2,FALSE)))</f>
        <v/>
      </c>
      <c r="M556" s="51">
        <f>IF(B556="",0,IF(ISNA(_xlfn.XLOOKUP(A556,LongJump!F$5:F$302,LongJump!M$5:M$302)),0,_xlfn.XLOOKUP(A556,LongJump!F$5:F$302,LongJump!M$5:M$302)))</f>
        <v>0</v>
      </c>
      <c r="N556" s="51">
        <f>IF(B556="",0,IF(ISNA(VLOOKUP(A556,LongJump!F$5:K$302,5,FALSE)),0,VLOOKUP(A556,LongJump!F$5:K$302,5,FALSE)))</f>
        <v>0</v>
      </c>
      <c r="O556" s="51" t="str">
        <f>IF(B556="","",IF(ISNA(VLOOKUP(A556,Vortex!F$5:J$302,2,FALSE)),"",VLOOKUP(A556,Vortex!F$5:J$302,2,FALSE)))</f>
        <v/>
      </c>
      <c r="P556" s="51">
        <f>IF(B556="",0,IF(ISNA(_xlfn.XLOOKUP(A556,Vortex!F$5:F$302,Vortex!M$5:M$302)),0,_xlfn.XLOOKUP(A556,Vortex!F$5:F$302,Vortex!M$5:M$302)))</f>
        <v>0</v>
      </c>
      <c r="Q556" s="51">
        <f t="shared" si="63"/>
        <v>0</v>
      </c>
      <c r="R556" s="51" t="str">
        <f t="shared" si="64"/>
        <v/>
      </c>
      <c r="S556" s="51" t="str">
        <f t="shared" si="65"/>
        <v/>
      </c>
      <c r="T556" s="51" t="str">
        <f t="shared" si="66"/>
        <v/>
      </c>
      <c r="U556" s="51" t="str">
        <f t="shared" si="67"/>
        <v/>
      </c>
    </row>
    <row r="557" spans="1:21">
      <c r="A557" s="51" t="str">
        <f>IF(Declarations!B185=0,"",Declarations!B185)</f>
        <v/>
      </c>
      <c r="B557" s="161" t="str">
        <f>IF(ISNA(VLOOKUP(A557,Declarations!B$6:C$293,2,FALSE)),"",IF(VLOOKUP(A557,Declarations!B$6:C$293,2,FALSE)="","",VLOOKUP(A557,Declarations!B$6:C$293,2,FALSE)))</f>
        <v/>
      </c>
      <c r="C557" s="161" t="str">
        <f>IF(ISNA(VLOOKUP(A557,Declarations!B$6:F$293,5,FALSE)),"",IF(VLOOKUP(A557,Declarations!B$6:F$293,5,FALSE)="","",VLOOKUP(A557,Declarations!B$6:F$293,5,FALSE)))</f>
        <v/>
      </c>
      <c r="D557" s="161" t="str">
        <f>IF(ISNA(VLOOKUP(A557,Declarations!B$6:F$293,4,FALSE)),"",IF(VLOOKUP(A557,Declarations!B$6:F$293,4,FALSE)="","",VLOOKUP(A557,Declarations!B$6:F$293,4,FALSE)))</f>
        <v/>
      </c>
      <c r="E557" s="161" t="str">
        <f>IF(ISNA(VLOOKUP(A557,Declarations!B$6:D$293,3,FALSE)),"",IF(VLOOKUP(A557,Declarations!B$6:D$293,3,FALSE)="","",VLOOKUP(A557,Declarations!B$6:D$293,3,FALSE)))</f>
        <v/>
      </c>
      <c r="F557" s="51" t="str">
        <f>IF(B557="","",IF(ISNA(VLOOKUP(A557,'75m'!F$5:G$302,2,FALSE)),"",VLOOKUP(A557,'75m'!F$5:G$302,2,FALSE)))</f>
        <v/>
      </c>
      <c r="G557" s="51">
        <f>IF(B557="",0,IF(ISNA(_xlfn.XLOOKUP(A557,'75m'!F$5:F$302,'75m'!M$5:M$302)),0,_xlfn.XLOOKUP(A557,'75m'!F$5:F$302,'75m'!M$5:M$302)))</f>
        <v>0</v>
      </c>
      <c r="H557" s="51" t="str">
        <f>IF(B557="","",IF(ISNA(VLOOKUP(A557,'75m'!F$5:K$302,5,FALSE)),"",VLOOKUP(A557,'75m'!F$5:K$302,5,FALSE)))</f>
        <v/>
      </c>
      <c r="I557" s="53">
        <f>IF(B557="",0,IF(ISNA(VLOOKUP(A557,'600m'!F$5:J$302,2,FALSE)),0,VLOOKUP(A557,'600m'!F$5:J$302,2,FALSE)))</f>
        <v>0</v>
      </c>
      <c r="J557" s="51">
        <f>IF(B557="",0,IF(ISNA(_xlfn.XLOOKUP(A557,'600m'!F$5:F$302,'600m'!M$5:M$302)),0,_xlfn.XLOOKUP(A557,'600m'!F$5:F$302,'600m'!M$5:M$302)))</f>
        <v>0</v>
      </c>
      <c r="K557" s="51" t="str">
        <f>IF(B557="","",IF(ISNA(VLOOKUP(A557,'600m'!F$5:K$302,5,FALSE)),"",VLOOKUP(A557,'600m'!F$5:K$302,5,FALSE)))</f>
        <v/>
      </c>
      <c r="L557" s="51" t="str">
        <f>IF(B557="","",IF(ISNA(VLOOKUP(A557,LongJump!F$5:G$302,2,FALSE)),"",VLOOKUP(A557,LongJump!F$5:G$302,2,FALSE)))</f>
        <v/>
      </c>
      <c r="M557" s="51">
        <f>IF(B557="",0,IF(ISNA(_xlfn.XLOOKUP(A557,LongJump!F$5:F$302,LongJump!M$5:M$302)),0,_xlfn.XLOOKUP(A557,LongJump!F$5:F$302,LongJump!M$5:M$302)))</f>
        <v>0</v>
      </c>
      <c r="N557" s="51">
        <f>IF(B557="",0,IF(ISNA(VLOOKUP(A557,LongJump!F$5:K$302,5,FALSE)),0,VLOOKUP(A557,LongJump!F$5:K$302,5,FALSE)))</f>
        <v>0</v>
      </c>
      <c r="O557" s="51" t="str">
        <f>IF(B557="","",IF(ISNA(VLOOKUP(A557,Vortex!F$5:J$302,2,FALSE)),"",VLOOKUP(A557,Vortex!F$5:J$302,2,FALSE)))</f>
        <v/>
      </c>
      <c r="P557" s="51">
        <f>IF(B557="",0,IF(ISNA(_xlfn.XLOOKUP(A557,Vortex!F$5:F$302,Vortex!M$5:M$302)),0,_xlfn.XLOOKUP(A557,Vortex!F$5:F$302,Vortex!M$5:M$302)))</f>
        <v>0</v>
      </c>
      <c r="Q557" s="51">
        <f t="shared" si="63"/>
        <v>0</v>
      </c>
      <c r="R557" s="51" t="str">
        <f t="shared" si="64"/>
        <v/>
      </c>
      <c r="S557" s="51" t="str">
        <f t="shared" si="65"/>
        <v/>
      </c>
      <c r="T557" s="51" t="str">
        <f t="shared" si="66"/>
        <v/>
      </c>
      <c r="U557" s="51" t="str">
        <f t="shared" si="67"/>
        <v/>
      </c>
    </row>
    <row r="558" spans="1:21">
      <c r="A558" s="51" t="str">
        <f>IF(Declarations!B186=0,"",Declarations!B186)</f>
        <v/>
      </c>
      <c r="B558" s="161" t="str">
        <f>IF(ISNA(VLOOKUP(A558,Declarations!B$6:C$293,2,FALSE)),"",IF(VLOOKUP(A558,Declarations!B$6:C$293,2,FALSE)="","",VLOOKUP(A558,Declarations!B$6:C$293,2,FALSE)))</f>
        <v/>
      </c>
      <c r="C558" s="161" t="str">
        <f>IF(ISNA(VLOOKUP(A558,Declarations!B$6:F$293,5,FALSE)),"",IF(VLOOKUP(A558,Declarations!B$6:F$293,5,FALSE)="","",VLOOKUP(A558,Declarations!B$6:F$293,5,FALSE)))</f>
        <v/>
      </c>
      <c r="D558" s="161" t="str">
        <f>IF(ISNA(VLOOKUP(A558,Declarations!B$6:F$293,4,FALSE)),"",IF(VLOOKUP(A558,Declarations!B$6:F$293,4,FALSE)="","",VLOOKUP(A558,Declarations!B$6:F$293,4,FALSE)))</f>
        <v/>
      </c>
      <c r="E558" s="161" t="str">
        <f>IF(ISNA(VLOOKUP(A558,Declarations!B$6:D$293,3,FALSE)),"",IF(VLOOKUP(A558,Declarations!B$6:D$293,3,FALSE)="","",VLOOKUP(A558,Declarations!B$6:D$293,3,FALSE)))</f>
        <v/>
      </c>
      <c r="F558" s="51" t="str">
        <f>IF(B558="","",IF(ISNA(VLOOKUP(A558,'75m'!F$5:G$302,2,FALSE)),"",VLOOKUP(A558,'75m'!F$5:G$302,2,FALSE)))</f>
        <v/>
      </c>
      <c r="G558" s="51">
        <f>IF(B558="",0,IF(ISNA(_xlfn.XLOOKUP(A558,'75m'!F$5:F$302,'75m'!M$5:M$302)),0,_xlfn.XLOOKUP(A558,'75m'!F$5:F$302,'75m'!M$5:M$302)))</f>
        <v>0</v>
      </c>
      <c r="H558" s="51" t="str">
        <f>IF(B558="","",IF(ISNA(VLOOKUP(A558,'75m'!F$5:K$302,5,FALSE)),"",VLOOKUP(A558,'75m'!F$5:K$302,5,FALSE)))</f>
        <v/>
      </c>
      <c r="I558" s="53">
        <f>IF(B558="",0,IF(ISNA(VLOOKUP(A558,'600m'!F$5:J$302,2,FALSE)),0,VLOOKUP(A558,'600m'!F$5:J$302,2,FALSE)))</f>
        <v>0</v>
      </c>
      <c r="J558" s="51">
        <f>IF(B558="",0,IF(ISNA(_xlfn.XLOOKUP(A558,'600m'!F$5:F$302,'600m'!M$5:M$302)),0,_xlfn.XLOOKUP(A558,'600m'!F$5:F$302,'600m'!M$5:M$302)))</f>
        <v>0</v>
      </c>
      <c r="K558" s="51" t="str">
        <f>IF(B558="","",IF(ISNA(VLOOKUP(A558,'600m'!F$5:K$302,5,FALSE)),"",VLOOKUP(A558,'600m'!F$5:K$302,5,FALSE)))</f>
        <v/>
      </c>
      <c r="L558" s="51" t="str">
        <f>IF(B558="","",IF(ISNA(VLOOKUP(A558,LongJump!F$5:G$302,2,FALSE)),"",VLOOKUP(A558,LongJump!F$5:G$302,2,FALSE)))</f>
        <v/>
      </c>
      <c r="M558" s="51">
        <f>IF(B558="",0,IF(ISNA(_xlfn.XLOOKUP(A558,LongJump!F$5:F$302,LongJump!M$5:M$302)),0,_xlfn.XLOOKUP(A558,LongJump!F$5:F$302,LongJump!M$5:M$302)))</f>
        <v>0</v>
      </c>
      <c r="N558" s="51">
        <f>IF(B558="",0,IF(ISNA(VLOOKUP(A558,LongJump!F$5:K$302,5,FALSE)),0,VLOOKUP(A558,LongJump!F$5:K$302,5,FALSE)))</f>
        <v>0</v>
      </c>
      <c r="O558" s="51" t="str">
        <f>IF(B558="","",IF(ISNA(VLOOKUP(A558,Vortex!F$5:J$302,2,FALSE)),"",VLOOKUP(A558,Vortex!F$5:J$302,2,FALSE)))</f>
        <v/>
      </c>
      <c r="P558" s="51">
        <f>IF(B558="",0,IF(ISNA(_xlfn.XLOOKUP(A558,Vortex!F$5:F$302,Vortex!M$5:M$302)),0,_xlfn.XLOOKUP(A558,Vortex!F$5:F$302,Vortex!M$5:M$302)))</f>
        <v>0</v>
      </c>
      <c r="Q558" s="51">
        <f t="shared" si="63"/>
        <v>0</v>
      </c>
      <c r="R558" s="51" t="str">
        <f t="shared" si="64"/>
        <v/>
      </c>
      <c r="S558" s="51" t="str">
        <f t="shared" si="65"/>
        <v/>
      </c>
      <c r="T558" s="51" t="str">
        <f t="shared" si="66"/>
        <v/>
      </c>
      <c r="U558" s="51" t="str">
        <f t="shared" si="67"/>
        <v/>
      </c>
    </row>
    <row r="559" spans="1:21">
      <c r="A559" s="51" t="str">
        <f>IF(Declarations!B187=0,"",Declarations!B187)</f>
        <v/>
      </c>
      <c r="B559" s="161" t="str">
        <f>IF(ISNA(VLOOKUP(A559,Declarations!B$6:C$293,2,FALSE)),"",IF(VLOOKUP(A559,Declarations!B$6:C$293,2,FALSE)="","",VLOOKUP(A559,Declarations!B$6:C$293,2,FALSE)))</f>
        <v/>
      </c>
      <c r="C559" s="161" t="str">
        <f>IF(ISNA(VLOOKUP(A559,Declarations!B$6:F$293,5,FALSE)),"",IF(VLOOKUP(A559,Declarations!B$6:F$293,5,FALSE)="","",VLOOKUP(A559,Declarations!B$6:F$293,5,FALSE)))</f>
        <v/>
      </c>
      <c r="D559" s="161" t="str">
        <f>IF(ISNA(VLOOKUP(A559,Declarations!B$6:F$293,4,FALSE)),"",IF(VLOOKUP(A559,Declarations!B$6:F$293,4,FALSE)="","",VLOOKUP(A559,Declarations!B$6:F$293,4,FALSE)))</f>
        <v/>
      </c>
      <c r="E559" s="161" t="str">
        <f>IF(ISNA(VLOOKUP(A559,Declarations!B$6:D$293,3,FALSE)),"",IF(VLOOKUP(A559,Declarations!B$6:D$293,3,FALSE)="","",VLOOKUP(A559,Declarations!B$6:D$293,3,FALSE)))</f>
        <v/>
      </c>
      <c r="F559" s="51" t="str">
        <f>IF(B559="","",IF(ISNA(VLOOKUP(A559,'75m'!F$5:G$302,2,FALSE)),"",VLOOKUP(A559,'75m'!F$5:G$302,2,FALSE)))</f>
        <v/>
      </c>
      <c r="G559" s="51">
        <f>IF(B559="",0,IF(ISNA(_xlfn.XLOOKUP(A559,'75m'!F$5:F$302,'75m'!M$5:M$302)),0,_xlfn.XLOOKUP(A559,'75m'!F$5:F$302,'75m'!M$5:M$302)))</f>
        <v>0</v>
      </c>
      <c r="H559" s="51" t="str">
        <f>IF(B559="","",IF(ISNA(VLOOKUP(A559,'75m'!F$5:K$302,5,FALSE)),"",VLOOKUP(A559,'75m'!F$5:K$302,5,FALSE)))</f>
        <v/>
      </c>
      <c r="I559" s="53">
        <f>IF(B559="",0,IF(ISNA(VLOOKUP(A559,'600m'!F$5:J$302,2,FALSE)),0,VLOOKUP(A559,'600m'!F$5:J$302,2,FALSE)))</f>
        <v>0</v>
      </c>
      <c r="J559" s="51">
        <f>IF(B559="",0,IF(ISNA(_xlfn.XLOOKUP(A559,'600m'!F$5:F$302,'600m'!M$5:M$302)),0,_xlfn.XLOOKUP(A559,'600m'!F$5:F$302,'600m'!M$5:M$302)))</f>
        <v>0</v>
      </c>
      <c r="K559" s="51" t="str">
        <f>IF(B559="","",IF(ISNA(VLOOKUP(A559,'600m'!F$5:K$302,5,FALSE)),"",VLOOKUP(A559,'600m'!F$5:K$302,5,FALSE)))</f>
        <v/>
      </c>
      <c r="L559" s="51" t="str">
        <f>IF(B559="","",IF(ISNA(VLOOKUP(A559,LongJump!F$5:G$302,2,FALSE)),"",VLOOKUP(A559,LongJump!F$5:G$302,2,FALSE)))</f>
        <v/>
      </c>
      <c r="M559" s="51">
        <f>IF(B559="",0,IF(ISNA(_xlfn.XLOOKUP(A559,LongJump!F$5:F$302,LongJump!M$5:M$302)),0,_xlfn.XLOOKUP(A559,LongJump!F$5:F$302,LongJump!M$5:M$302)))</f>
        <v>0</v>
      </c>
      <c r="N559" s="51">
        <f>IF(B559="",0,IF(ISNA(VLOOKUP(A559,LongJump!F$5:K$302,5,FALSE)),0,VLOOKUP(A559,LongJump!F$5:K$302,5,FALSE)))</f>
        <v>0</v>
      </c>
      <c r="O559" s="51" t="str">
        <f>IF(B559="","",IF(ISNA(VLOOKUP(A559,Vortex!F$5:J$302,2,FALSE)),"",VLOOKUP(A559,Vortex!F$5:J$302,2,FALSE)))</f>
        <v/>
      </c>
      <c r="P559" s="51">
        <f>IF(B559="",0,IF(ISNA(_xlfn.XLOOKUP(A559,Vortex!F$5:F$302,Vortex!M$5:M$302)),0,_xlfn.XLOOKUP(A559,Vortex!F$5:F$302,Vortex!M$5:M$302)))</f>
        <v>0</v>
      </c>
      <c r="Q559" s="51">
        <f t="shared" si="63"/>
        <v>0</v>
      </c>
      <c r="R559" s="51" t="str">
        <f t="shared" si="64"/>
        <v/>
      </c>
      <c r="S559" s="51" t="str">
        <f t="shared" si="65"/>
        <v/>
      </c>
      <c r="T559" s="51" t="str">
        <f t="shared" si="66"/>
        <v/>
      </c>
      <c r="U559" s="51" t="str">
        <f t="shared" si="67"/>
        <v/>
      </c>
    </row>
    <row r="560" spans="1:21">
      <c r="A560" s="51" t="str">
        <f>IF(Declarations!B188=0,"",Declarations!B188)</f>
        <v/>
      </c>
      <c r="B560" s="161" t="str">
        <f>IF(ISNA(VLOOKUP(A560,Declarations!B$6:C$293,2,FALSE)),"",IF(VLOOKUP(A560,Declarations!B$6:C$293,2,FALSE)="","",VLOOKUP(A560,Declarations!B$6:C$293,2,FALSE)))</f>
        <v/>
      </c>
      <c r="C560" s="161" t="str">
        <f>IF(ISNA(VLOOKUP(A560,Declarations!B$6:F$293,5,FALSE)),"",IF(VLOOKUP(A560,Declarations!B$6:F$293,5,FALSE)="","",VLOOKUP(A560,Declarations!B$6:F$293,5,FALSE)))</f>
        <v/>
      </c>
      <c r="D560" s="161" t="str">
        <f>IF(ISNA(VLOOKUP(A560,Declarations!B$6:F$293,4,FALSE)),"",IF(VLOOKUP(A560,Declarations!B$6:F$293,4,FALSE)="","",VLOOKUP(A560,Declarations!B$6:F$293,4,FALSE)))</f>
        <v/>
      </c>
      <c r="E560" s="161" t="str">
        <f>IF(ISNA(VLOOKUP(A560,Declarations!B$6:D$293,3,FALSE)),"",IF(VLOOKUP(A560,Declarations!B$6:D$293,3,FALSE)="","",VLOOKUP(A560,Declarations!B$6:D$293,3,FALSE)))</f>
        <v/>
      </c>
      <c r="F560" s="51" t="str">
        <f>IF(B560="","",IF(ISNA(VLOOKUP(A560,'75m'!F$5:G$302,2,FALSE)),"",VLOOKUP(A560,'75m'!F$5:G$302,2,FALSE)))</f>
        <v/>
      </c>
      <c r="G560" s="51">
        <f>IF(B560="",0,IF(ISNA(_xlfn.XLOOKUP(A560,'75m'!F$5:F$302,'75m'!M$5:M$302)),0,_xlfn.XLOOKUP(A560,'75m'!F$5:F$302,'75m'!M$5:M$302)))</f>
        <v>0</v>
      </c>
      <c r="H560" s="51" t="str">
        <f>IF(B560="","",IF(ISNA(VLOOKUP(A560,'75m'!F$5:K$302,5,FALSE)),"",VLOOKUP(A560,'75m'!F$5:K$302,5,FALSE)))</f>
        <v/>
      </c>
      <c r="I560" s="53">
        <f>IF(B560="",0,IF(ISNA(VLOOKUP(A560,'600m'!F$5:J$302,2,FALSE)),0,VLOOKUP(A560,'600m'!F$5:J$302,2,FALSE)))</f>
        <v>0</v>
      </c>
      <c r="J560" s="51">
        <f>IF(B560="",0,IF(ISNA(_xlfn.XLOOKUP(A560,'600m'!F$5:F$302,'600m'!M$5:M$302)),0,_xlfn.XLOOKUP(A560,'600m'!F$5:F$302,'600m'!M$5:M$302)))</f>
        <v>0</v>
      </c>
      <c r="K560" s="51" t="str">
        <f>IF(B560="","",IF(ISNA(VLOOKUP(A560,'600m'!F$5:K$302,5,FALSE)),"",VLOOKUP(A560,'600m'!F$5:K$302,5,FALSE)))</f>
        <v/>
      </c>
      <c r="L560" s="51" t="str">
        <f>IF(B560="","",IF(ISNA(VLOOKUP(A560,LongJump!F$5:G$302,2,FALSE)),"",VLOOKUP(A560,LongJump!F$5:G$302,2,FALSE)))</f>
        <v/>
      </c>
      <c r="M560" s="51">
        <f>IF(B560="",0,IF(ISNA(_xlfn.XLOOKUP(A560,LongJump!F$5:F$302,LongJump!M$5:M$302)),0,_xlfn.XLOOKUP(A560,LongJump!F$5:F$302,LongJump!M$5:M$302)))</f>
        <v>0</v>
      </c>
      <c r="N560" s="51">
        <f>IF(B560="",0,IF(ISNA(VLOOKUP(A560,LongJump!F$5:K$302,5,FALSE)),0,VLOOKUP(A560,LongJump!F$5:K$302,5,FALSE)))</f>
        <v>0</v>
      </c>
      <c r="O560" s="51" t="str">
        <f>IF(B560="","",IF(ISNA(VLOOKUP(A560,Vortex!F$5:J$302,2,FALSE)),"",VLOOKUP(A560,Vortex!F$5:J$302,2,FALSE)))</f>
        <v/>
      </c>
      <c r="P560" s="51">
        <f>IF(B560="",0,IF(ISNA(_xlfn.XLOOKUP(A560,Vortex!F$5:F$302,Vortex!M$5:M$302)),0,_xlfn.XLOOKUP(A560,Vortex!F$5:F$302,Vortex!M$5:M$302)))</f>
        <v>0</v>
      </c>
      <c r="Q560" s="51">
        <f t="shared" si="63"/>
        <v>0</v>
      </c>
      <c r="R560" s="51" t="str">
        <f t="shared" si="64"/>
        <v/>
      </c>
      <c r="S560" s="51" t="str">
        <f t="shared" si="65"/>
        <v/>
      </c>
      <c r="T560" s="51" t="str">
        <f t="shared" si="66"/>
        <v/>
      </c>
      <c r="U560" s="51" t="str">
        <f t="shared" si="67"/>
        <v/>
      </c>
    </row>
    <row r="561" spans="1:21">
      <c r="A561" s="51" t="str">
        <f>IF(Declarations!B189=0,"",Declarations!B189)</f>
        <v/>
      </c>
      <c r="B561" s="161" t="str">
        <f>IF(ISNA(VLOOKUP(A561,Declarations!B$6:C$293,2,FALSE)),"",IF(VLOOKUP(A561,Declarations!B$6:C$293,2,FALSE)="","",VLOOKUP(A561,Declarations!B$6:C$293,2,FALSE)))</f>
        <v/>
      </c>
      <c r="C561" s="161" t="str">
        <f>IF(ISNA(VLOOKUP(A561,Declarations!B$6:F$293,5,FALSE)),"",IF(VLOOKUP(A561,Declarations!B$6:F$293,5,FALSE)="","",VLOOKUP(A561,Declarations!B$6:F$293,5,FALSE)))</f>
        <v/>
      </c>
      <c r="D561" s="161" t="str">
        <f>IF(ISNA(VLOOKUP(A561,Declarations!B$6:F$293,4,FALSE)),"",IF(VLOOKUP(A561,Declarations!B$6:F$293,4,FALSE)="","",VLOOKUP(A561,Declarations!B$6:F$293,4,FALSE)))</f>
        <v/>
      </c>
      <c r="E561" s="161" t="str">
        <f>IF(ISNA(VLOOKUP(A561,Declarations!B$6:D$293,3,FALSE)),"",IF(VLOOKUP(A561,Declarations!B$6:D$293,3,FALSE)="","",VLOOKUP(A561,Declarations!B$6:D$293,3,FALSE)))</f>
        <v/>
      </c>
      <c r="F561" s="51" t="str">
        <f>IF(B561="","",IF(ISNA(VLOOKUP(A561,'75m'!F$5:G$302,2,FALSE)),"",VLOOKUP(A561,'75m'!F$5:G$302,2,FALSE)))</f>
        <v/>
      </c>
      <c r="G561" s="51">
        <f>IF(B561="",0,IF(ISNA(_xlfn.XLOOKUP(A561,'75m'!F$5:F$302,'75m'!M$5:M$302)),0,_xlfn.XLOOKUP(A561,'75m'!F$5:F$302,'75m'!M$5:M$302)))</f>
        <v>0</v>
      </c>
      <c r="H561" s="51" t="str">
        <f>IF(B561="","",IF(ISNA(VLOOKUP(A561,'75m'!F$5:K$302,5,FALSE)),"",VLOOKUP(A561,'75m'!F$5:K$302,5,FALSE)))</f>
        <v/>
      </c>
      <c r="I561" s="53">
        <f>IF(B561="",0,IF(ISNA(VLOOKUP(A561,'600m'!F$5:J$302,2,FALSE)),0,VLOOKUP(A561,'600m'!F$5:J$302,2,FALSE)))</f>
        <v>0</v>
      </c>
      <c r="J561" s="51">
        <f>IF(B561="",0,IF(ISNA(_xlfn.XLOOKUP(A561,'600m'!F$5:F$302,'600m'!M$5:M$302)),0,_xlfn.XLOOKUP(A561,'600m'!F$5:F$302,'600m'!M$5:M$302)))</f>
        <v>0</v>
      </c>
      <c r="K561" s="51" t="str">
        <f>IF(B561="","",IF(ISNA(VLOOKUP(A561,'600m'!F$5:K$302,5,FALSE)),"",VLOOKUP(A561,'600m'!F$5:K$302,5,FALSE)))</f>
        <v/>
      </c>
      <c r="L561" s="51" t="str">
        <f>IF(B561="","",IF(ISNA(VLOOKUP(A561,LongJump!F$5:G$302,2,FALSE)),"",VLOOKUP(A561,LongJump!F$5:G$302,2,FALSE)))</f>
        <v/>
      </c>
      <c r="M561" s="51">
        <f>IF(B561="",0,IF(ISNA(_xlfn.XLOOKUP(A561,LongJump!F$5:F$302,LongJump!M$5:M$302)),0,_xlfn.XLOOKUP(A561,LongJump!F$5:F$302,LongJump!M$5:M$302)))</f>
        <v>0</v>
      </c>
      <c r="N561" s="51">
        <f>IF(B561="",0,IF(ISNA(VLOOKUP(A561,LongJump!F$5:K$302,5,FALSE)),0,VLOOKUP(A561,LongJump!F$5:K$302,5,FALSE)))</f>
        <v>0</v>
      </c>
      <c r="O561" s="51" t="str">
        <f>IF(B561="","",IF(ISNA(VLOOKUP(A561,Vortex!F$5:J$302,2,FALSE)),"",VLOOKUP(A561,Vortex!F$5:J$302,2,FALSE)))</f>
        <v/>
      </c>
      <c r="P561" s="51">
        <f>IF(B561="",0,IF(ISNA(_xlfn.XLOOKUP(A561,Vortex!F$5:F$302,Vortex!M$5:M$302)),0,_xlfn.XLOOKUP(A561,Vortex!F$5:F$302,Vortex!M$5:M$302)))</f>
        <v>0</v>
      </c>
      <c r="Q561" s="51">
        <f t="shared" si="63"/>
        <v>0</v>
      </c>
      <c r="R561" s="51" t="str">
        <f t="shared" si="64"/>
        <v/>
      </c>
      <c r="S561" s="51" t="str">
        <f t="shared" si="65"/>
        <v/>
      </c>
      <c r="T561" s="51" t="str">
        <f t="shared" si="66"/>
        <v/>
      </c>
      <c r="U561" s="51" t="str">
        <f t="shared" si="67"/>
        <v/>
      </c>
    </row>
    <row r="562" spans="1:21">
      <c r="A562" s="51" t="str">
        <f>IF(Declarations!B190=0,"",Declarations!B190)</f>
        <v/>
      </c>
      <c r="B562" s="161" t="str">
        <f>IF(ISNA(VLOOKUP(A562,Declarations!B$6:C$293,2,FALSE)),"",IF(VLOOKUP(A562,Declarations!B$6:C$293,2,FALSE)="","",VLOOKUP(A562,Declarations!B$6:C$293,2,FALSE)))</f>
        <v/>
      </c>
      <c r="C562" s="161" t="str">
        <f>IF(ISNA(VLOOKUP(A562,Declarations!B$6:F$293,5,FALSE)),"",IF(VLOOKUP(A562,Declarations!B$6:F$293,5,FALSE)="","",VLOOKUP(A562,Declarations!B$6:F$293,5,FALSE)))</f>
        <v/>
      </c>
      <c r="D562" s="161" t="str">
        <f>IF(ISNA(VLOOKUP(A562,Declarations!B$6:F$293,4,FALSE)),"",IF(VLOOKUP(A562,Declarations!B$6:F$293,4,FALSE)="","",VLOOKUP(A562,Declarations!B$6:F$293,4,FALSE)))</f>
        <v/>
      </c>
      <c r="E562" s="161" t="str">
        <f>IF(ISNA(VLOOKUP(A562,Declarations!B$6:D$293,3,FALSE)),"",IF(VLOOKUP(A562,Declarations!B$6:D$293,3,FALSE)="","",VLOOKUP(A562,Declarations!B$6:D$293,3,FALSE)))</f>
        <v/>
      </c>
      <c r="F562" s="51" t="str">
        <f>IF(B562="","",IF(ISNA(VLOOKUP(A562,'75m'!F$5:G$302,2,FALSE)),"",VLOOKUP(A562,'75m'!F$5:G$302,2,FALSE)))</f>
        <v/>
      </c>
      <c r="G562" s="51">
        <f>IF(B562="",0,IF(ISNA(_xlfn.XLOOKUP(A562,'75m'!F$5:F$302,'75m'!M$5:M$302)),0,_xlfn.XLOOKUP(A562,'75m'!F$5:F$302,'75m'!M$5:M$302)))</f>
        <v>0</v>
      </c>
      <c r="H562" s="51" t="str">
        <f>IF(B562="","",IF(ISNA(VLOOKUP(A562,'75m'!F$5:K$302,5,FALSE)),"",VLOOKUP(A562,'75m'!F$5:K$302,5,FALSE)))</f>
        <v/>
      </c>
      <c r="I562" s="53">
        <f>IF(B562="",0,IF(ISNA(VLOOKUP(A562,'600m'!F$5:J$302,2,FALSE)),0,VLOOKUP(A562,'600m'!F$5:J$302,2,FALSE)))</f>
        <v>0</v>
      </c>
      <c r="J562" s="51">
        <f>IF(B562="",0,IF(ISNA(_xlfn.XLOOKUP(A562,'600m'!F$5:F$302,'600m'!M$5:M$302)),0,_xlfn.XLOOKUP(A562,'600m'!F$5:F$302,'600m'!M$5:M$302)))</f>
        <v>0</v>
      </c>
      <c r="K562" s="51" t="str">
        <f>IF(B562="","",IF(ISNA(VLOOKUP(A562,'600m'!F$5:K$302,5,FALSE)),"",VLOOKUP(A562,'600m'!F$5:K$302,5,FALSE)))</f>
        <v/>
      </c>
      <c r="L562" s="51" t="str">
        <f>IF(B562="","",IF(ISNA(VLOOKUP(A562,LongJump!F$5:G$302,2,FALSE)),"",VLOOKUP(A562,LongJump!F$5:G$302,2,FALSE)))</f>
        <v/>
      </c>
      <c r="M562" s="51">
        <f>IF(B562="",0,IF(ISNA(_xlfn.XLOOKUP(A562,LongJump!F$5:F$302,LongJump!M$5:M$302)),0,_xlfn.XLOOKUP(A562,LongJump!F$5:F$302,LongJump!M$5:M$302)))</f>
        <v>0</v>
      </c>
      <c r="N562" s="51">
        <f>IF(B562="",0,IF(ISNA(VLOOKUP(A562,LongJump!F$5:K$302,5,FALSE)),0,VLOOKUP(A562,LongJump!F$5:K$302,5,FALSE)))</f>
        <v>0</v>
      </c>
      <c r="O562" s="51" t="str">
        <f>IF(B562="","",IF(ISNA(VLOOKUP(A562,Vortex!F$5:J$302,2,FALSE)),"",VLOOKUP(A562,Vortex!F$5:J$302,2,FALSE)))</f>
        <v/>
      </c>
      <c r="P562" s="51">
        <f>IF(B562="",0,IF(ISNA(_xlfn.XLOOKUP(A562,Vortex!F$5:F$302,Vortex!M$5:M$302)),0,_xlfn.XLOOKUP(A562,Vortex!F$5:F$302,Vortex!M$5:M$302)))</f>
        <v>0</v>
      </c>
      <c r="Q562" s="51">
        <f t="shared" si="63"/>
        <v>0</v>
      </c>
      <c r="R562" s="51" t="str">
        <f t="shared" si="64"/>
        <v/>
      </c>
      <c r="S562" s="51" t="str">
        <f t="shared" si="65"/>
        <v/>
      </c>
      <c r="T562" s="51" t="str">
        <f t="shared" si="66"/>
        <v/>
      </c>
      <c r="U562" s="51" t="str">
        <f t="shared" si="67"/>
        <v/>
      </c>
    </row>
    <row r="563" spans="1:21">
      <c r="A563" s="51" t="str">
        <f>IF(Declarations!B191=0,"",Declarations!B191)</f>
        <v/>
      </c>
      <c r="B563" s="161" t="str">
        <f>IF(ISNA(VLOOKUP(A563,Declarations!B$6:C$293,2,FALSE)),"",IF(VLOOKUP(A563,Declarations!B$6:C$293,2,FALSE)="","",VLOOKUP(A563,Declarations!B$6:C$293,2,FALSE)))</f>
        <v/>
      </c>
      <c r="C563" s="161" t="str">
        <f>IF(ISNA(VLOOKUP(A563,Declarations!B$6:F$293,5,FALSE)),"",IF(VLOOKUP(A563,Declarations!B$6:F$293,5,FALSE)="","",VLOOKUP(A563,Declarations!B$6:F$293,5,FALSE)))</f>
        <v/>
      </c>
      <c r="D563" s="161" t="str">
        <f>IF(ISNA(VLOOKUP(A563,Declarations!B$6:F$293,4,FALSE)),"",IF(VLOOKUP(A563,Declarations!B$6:F$293,4,FALSE)="","",VLOOKUP(A563,Declarations!B$6:F$293,4,FALSE)))</f>
        <v/>
      </c>
      <c r="E563" s="161" t="str">
        <f>IF(ISNA(VLOOKUP(A563,Declarations!B$6:D$293,3,FALSE)),"",IF(VLOOKUP(A563,Declarations!B$6:D$293,3,FALSE)="","",VLOOKUP(A563,Declarations!B$6:D$293,3,FALSE)))</f>
        <v/>
      </c>
      <c r="F563" s="51" t="str">
        <f>IF(B563="","",IF(ISNA(VLOOKUP(A563,'75m'!F$5:G$302,2,FALSE)),"",VLOOKUP(A563,'75m'!F$5:G$302,2,FALSE)))</f>
        <v/>
      </c>
      <c r="G563" s="51">
        <f>IF(B563="",0,IF(ISNA(_xlfn.XLOOKUP(A563,'75m'!F$5:F$302,'75m'!M$5:M$302)),0,_xlfn.XLOOKUP(A563,'75m'!F$5:F$302,'75m'!M$5:M$302)))</f>
        <v>0</v>
      </c>
      <c r="H563" s="51" t="str">
        <f>IF(B563="","",IF(ISNA(VLOOKUP(A563,'75m'!F$5:K$302,5,FALSE)),"",VLOOKUP(A563,'75m'!F$5:K$302,5,FALSE)))</f>
        <v/>
      </c>
      <c r="I563" s="53">
        <f>IF(B563="",0,IF(ISNA(VLOOKUP(A563,'600m'!F$5:J$302,2,FALSE)),0,VLOOKUP(A563,'600m'!F$5:J$302,2,FALSE)))</f>
        <v>0</v>
      </c>
      <c r="J563" s="51">
        <f>IF(B563="",0,IF(ISNA(_xlfn.XLOOKUP(A563,'600m'!F$5:F$302,'600m'!M$5:M$302)),0,_xlfn.XLOOKUP(A563,'600m'!F$5:F$302,'600m'!M$5:M$302)))</f>
        <v>0</v>
      </c>
      <c r="K563" s="51" t="str">
        <f>IF(B563="","",IF(ISNA(VLOOKUP(A563,'600m'!F$5:K$302,5,FALSE)),"",VLOOKUP(A563,'600m'!F$5:K$302,5,FALSE)))</f>
        <v/>
      </c>
      <c r="L563" s="51" t="str">
        <f>IF(B563="","",IF(ISNA(VLOOKUP(A563,LongJump!F$5:G$302,2,FALSE)),"",VLOOKUP(A563,LongJump!F$5:G$302,2,FALSE)))</f>
        <v/>
      </c>
      <c r="M563" s="51">
        <f>IF(B563="",0,IF(ISNA(_xlfn.XLOOKUP(A563,LongJump!F$5:F$302,LongJump!M$5:M$302)),0,_xlfn.XLOOKUP(A563,LongJump!F$5:F$302,LongJump!M$5:M$302)))</f>
        <v>0</v>
      </c>
      <c r="N563" s="51">
        <f>IF(B563="",0,IF(ISNA(VLOOKUP(A563,LongJump!F$5:K$302,5,FALSE)),0,VLOOKUP(A563,LongJump!F$5:K$302,5,FALSE)))</f>
        <v>0</v>
      </c>
      <c r="O563" s="51" t="str">
        <f>IF(B563="","",IF(ISNA(VLOOKUP(A563,Vortex!F$5:J$302,2,FALSE)),"",VLOOKUP(A563,Vortex!F$5:J$302,2,FALSE)))</f>
        <v/>
      </c>
      <c r="P563" s="51">
        <f>IF(B563="",0,IF(ISNA(_xlfn.XLOOKUP(A563,Vortex!F$5:F$302,Vortex!M$5:M$302)),0,_xlfn.XLOOKUP(A563,Vortex!F$5:F$302,Vortex!M$5:M$302)))</f>
        <v>0</v>
      </c>
      <c r="Q563" s="51">
        <f t="shared" si="63"/>
        <v>0</v>
      </c>
      <c r="R563" s="51" t="str">
        <f t="shared" si="64"/>
        <v/>
      </c>
      <c r="S563" s="51" t="str">
        <f t="shared" si="65"/>
        <v/>
      </c>
      <c r="T563" s="51" t="str">
        <f t="shared" si="66"/>
        <v/>
      </c>
      <c r="U563" s="51" t="str">
        <f t="shared" si="67"/>
        <v/>
      </c>
    </row>
    <row r="564" spans="1:21">
      <c r="A564" s="51" t="str">
        <f>IF(Declarations!B192=0,"",Declarations!B192)</f>
        <v/>
      </c>
      <c r="B564" s="161" t="str">
        <f>IF(ISNA(VLOOKUP(A564,Declarations!B$6:C$293,2,FALSE)),"",IF(VLOOKUP(A564,Declarations!B$6:C$293,2,FALSE)="","",VLOOKUP(A564,Declarations!B$6:C$293,2,FALSE)))</f>
        <v/>
      </c>
      <c r="C564" s="161" t="str">
        <f>IF(ISNA(VLOOKUP(A564,Declarations!B$6:F$293,5,FALSE)),"",IF(VLOOKUP(A564,Declarations!B$6:F$293,5,FALSE)="","",VLOOKUP(A564,Declarations!B$6:F$293,5,FALSE)))</f>
        <v/>
      </c>
      <c r="D564" s="161" t="str">
        <f>IF(ISNA(VLOOKUP(A564,Declarations!B$6:F$293,4,FALSE)),"",IF(VLOOKUP(A564,Declarations!B$6:F$293,4,FALSE)="","",VLOOKUP(A564,Declarations!B$6:F$293,4,FALSE)))</f>
        <v/>
      </c>
      <c r="E564" s="161" t="str">
        <f>IF(ISNA(VLOOKUP(A564,Declarations!B$6:D$293,3,FALSE)),"",IF(VLOOKUP(A564,Declarations!B$6:D$293,3,FALSE)="","",VLOOKUP(A564,Declarations!B$6:D$293,3,FALSE)))</f>
        <v/>
      </c>
      <c r="F564" s="51" t="str">
        <f>IF(B564="","",IF(ISNA(VLOOKUP(A564,'75m'!F$5:G$302,2,FALSE)),"",VLOOKUP(A564,'75m'!F$5:G$302,2,FALSE)))</f>
        <v/>
      </c>
      <c r="G564" s="51">
        <f>IF(B564="",0,IF(ISNA(_xlfn.XLOOKUP(A564,'75m'!F$5:F$302,'75m'!M$5:M$302)),0,_xlfn.XLOOKUP(A564,'75m'!F$5:F$302,'75m'!M$5:M$302)))</f>
        <v>0</v>
      </c>
      <c r="H564" s="51" t="str">
        <f>IF(B564="","",IF(ISNA(VLOOKUP(A564,'75m'!F$5:K$302,5,FALSE)),"",VLOOKUP(A564,'75m'!F$5:K$302,5,FALSE)))</f>
        <v/>
      </c>
      <c r="I564" s="53">
        <f>IF(B564="",0,IF(ISNA(VLOOKUP(A564,'600m'!F$5:J$302,2,FALSE)),0,VLOOKUP(A564,'600m'!F$5:J$302,2,FALSE)))</f>
        <v>0</v>
      </c>
      <c r="J564" s="51">
        <f>IF(B564="",0,IF(ISNA(_xlfn.XLOOKUP(A564,'600m'!F$5:F$302,'600m'!M$5:M$302)),0,_xlfn.XLOOKUP(A564,'600m'!F$5:F$302,'600m'!M$5:M$302)))</f>
        <v>0</v>
      </c>
      <c r="K564" s="51" t="str">
        <f>IF(B564="","",IF(ISNA(VLOOKUP(A564,'600m'!F$5:K$302,5,FALSE)),"",VLOOKUP(A564,'600m'!F$5:K$302,5,FALSE)))</f>
        <v/>
      </c>
      <c r="L564" s="51" t="str">
        <f>IF(B564="","",IF(ISNA(VLOOKUP(A564,LongJump!F$5:G$302,2,FALSE)),"",VLOOKUP(A564,LongJump!F$5:G$302,2,FALSE)))</f>
        <v/>
      </c>
      <c r="M564" s="51">
        <f>IF(B564="",0,IF(ISNA(_xlfn.XLOOKUP(A564,LongJump!F$5:F$302,LongJump!M$5:M$302)),0,_xlfn.XLOOKUP(A564,LongJump!F$5:F$302,LongJump!M$5:M$302)))</f>
        <v>0</v>
      </c>
      <c r="N564" s="51">
        <f>IF(B564="",0,IF(ISNA(VLOOKUP(A564,LongJump!F$5:K$302,5,FALSE)),0,VLOOKUP(A564,LongJump!F$5:K$302,5,FALSE)))</f>
        <v>0</v>
      </c>
      <c r="O564" s="51" t="str">
        <f>IF(B564="","",IF(ISNA(VLOOKUP(A564,Vortex!F$5:J$302,2,FALSE)),"",VLOOKUP(A564,Vortex!F$5:J$302,2,FALSE)))</f>
        <v/>
      </c>
      <c r="P564" s="51">
        <f>IF(B564="",0,IF(ISNA(_xlfn.XLOOKUP(A564,Vortex!F$5:F$302,Vortex!M$5:M$302)),0,_xlfn.XLOOKUP(A564,Vortex!F$5:F$302,Vortex!M$5:M$302)))</f>
        <v>0</v>
      </c>
      <c r="Q564" s="51">
        <f t="shared" si="63"/>
        <v>0</v>
      </c>
      <c r="R564" s="51" t="str">
        <f t="shared" si="64"/>
        <v/>
      </c>
      <c r="S564" s="51" t="str">
        <f t="shared" si="65"/>
        <v/>
      </c>
      <c r="T564" s="51" t="str">
        <f t="shared" si="66"/>
        <v/>
      </c>
      <c r="U564" s="51" t="str">
        <f t="shared" si="67"/>
        <v/>
      </c>
    </row>
    <row r="565" spans="1:21">
      <c r="A565" s="51" t="str">
        <f>IF(Declarations!B193=0,"",Declarations!B193)</f>
        <v/>
      </c>
      <c r="B565" s="161" t="str">
        <f>IF(ISNA(VLOOKUP(A565,Declarations!B$6:C$293,2,FALSE)),"",IF(VLOOKUP(A565,Declarations!B$6:C$293,2,FALSE)="","",VLOOKUP(A565,Declarations!B$6:C$293,2,FALSE)))</f>
        <v/>
      </c>
      <c r="C565" s="161" t="str">
        <f>IF(ISNA(VLOOKUP(A565,Declarations!B$6:F$293,5,FALSE)),"",IF(VLOOKUP(A565,Declarations!B$6:F$293,5,FALSE)="","",VLOOKUP(A565,Declarations!B$6:F$293,5,FALSE)))</f>
        <v/>
      </c>
      <c r="D565" s="161" t="str">
        <f>IF(ISNA(VLOOKUP(A565,Declarations!B$6:F$293,4,FALSE)),"",IF(VLOOKUP(A565,Declarations!B$6:F$293,4,FALSE)="","",VLOOKUP(A565,Declarations!B$6:F$293,4,FALSE)))</f>
        <v/>
      </c>
      <c r="E565" s="161" t="str">
        <f>IF(ISNA(VLOOKUP(A565,Declarations!B$6:D$293,3,FALSE)),"",IF(VLOOKUP(A565,Declarations!B$6:D$293,3,FALSE)="","",VLOOKUP(A565,Declarations!B$6:D$293,3,FALSE)))</f>
        <v/>
      </c>
      <c r="F565" s="51" t="str">
        <f>IF(B565="","",IF(ISNA(VLOOKUP(A565,'75m'!F$5:G$302,2,FALSE)),"",VLOOKUP(A565,'75m'!F$5:G$302,2,FALSE)))</f>
        <v/>
      </c>
      <c r="G565" s="51">
        <f>IF(B565="",0,IF(ISNA(_xlfn.XLOOKUP(A565,'75m'!F$5:F$302,'75m'!M$5:M$302)),0,_xlfn.XLOOKUP(A565,'75m'!F$5:F$302,'75m'!M$5:M$302)))</f>
        <v>0</v>
      </c>
      <c r="H565" s="51" t="str">
        <f>IF(B565="","",IF(ISNA(VLOOKUP(A565,'75m'!F$5:K$302,5,FALSE)),"",VLOOKUP(A565,'75m'!F$5:K$302,5,FALSE)))</f>
        <v/>
      </c>
      <c r="I565" s="53">
        <f>IF(B565="",0,IF(ISNA(VLOOKUP(A565,'600m'!F$5:J$302,2,FALSE)),0,VLOOKUP(A565,'600m'!F$5:J$302,2,FALSE)))</f>
        <v>0</v>
      </c>
      <c r="J565" s="51">
        <f>IF(B565="",0,IF(ISNA(_xlfn.XLOOKUP(A565,'600m'!F$5:F$302,'600m'!M$5:M$302)),0,_xlfn.XLOOKUP(A565,'600m'!F$5:F$302,'600m'!M$5:M$302)))</f>
        <v>0</v>
      </c>
      <c r="K565" s="51" t="str">
        <f>IF(B565="","",IF(ISNA(VLOOKUP(A565,'600m'!F$5:K$302,5,FALSE)),"",VLOOKUP(A565,'600m'!F$5:K$302,5,FALSE)))</f>
        <v/>
      </c>
      <c r="L565" s="51" t="str">
        <f>IF(B565="","",IF(ISNA(VLOOKUP(A565,LongJump!F$5:G$302,2,FALSE)),"",VLOOKUP(A565,LongJump!F$5:G$302,2,FALSE)))</f>
        <v/>
      </c>
      <c r="M565" s="51">
        <f>IF(B565="",0,IF(ISNA(_xlfn.XLOOKUP(A565,LongJump!F$5:F$302,LongJump!M$5:M$302)),0,_xlfn.XLOOKUP(A565,LongJump!F$5:F$302,LongJump!M$5:M$302)))</f>
        <v>0</v>
      </c>
      <c r="N565" s="51">
        <f>IF(B565="",0,IF(ISNA(VLOOKUP(A565,LongJump!F$5:K$302,5,FALSE)),0,VLOOKUP(A565,LongJump!F$5:K$302,5,FALSE)))</f>
        <v>0</v>
      </c>
      <c r="O565" s="51" t="str">
        <f>IF(B565="","",IF(ISNA(VLOOKUP(A565,Vortex!F$5:J$302,2,FALSE)),"",VLOOKUP(A565,Vortex!F$5:J$302,2,FALSE)))</f>
        <v/>
      </c>
      <c r="P565" s="51">
        <f>IF(B565="",0,IF(ISNA(_xlfn.XLOOKUP(A565,Vortex!F$5:F$302,Vortex!M$5:M$302)),0,_xlfn.XLOOKUP(A565,Vortex!F$5:F$302,Vortex!M$5:M$302)))</f>
        <v>0</v>
      </c>
      <c r="Q565" s="51">
        <f t="shared" si="63"/>
        <v>0</v>
      </c>
      <c r="R565" s="51" t="str">
        <f t="shared" si="64"/>
        <v/>
      </c>
      <c r="S565" s="51" t="str">
        <f t="shared" si="65"/>
        <v/>
      </c>
      <c r="T565" s="51" t="str">
        <f t="shared" si="66"/>
        <v/>
      </c>
      <c r="U565" s="51" t="str">
        <f t="shared" si="67"/>
        <v/>
      </c>
    </row>
    <row r="566" spans="1:21">
      <c r="A566" s="51" t="str">
        <f>IF(Declarations!B194=0,"",Declarations!B194)</f>
        <v/>
      </c>
      <c r="B566" s="161" t="str">
        <f>IF(ISNA(VLOOKUP(A566,Declarations!B$6:C$293,2,FALSE)),"",IF(VLOOKUP(A566,Declarations!B$6:C$293,2,FALSE)="","",VLOOKUP(A566,Declarations!B$6:C$293,2,FALSE)))</f>
        <v/>
      </c>
      <c r="C566" s="161" t="str">
        <f>IF(ISNA(VLOOKUP(A566,Declarations!B$6:F$293,5,FALSE)),"",IF(VLOOKUP(A566,Declarations!B$6:F$293,5,FALSE)="","",VLOOKUP(A566,Declarations!B$6:F$293,5,FALSE)))</f>
        <v/>
      </c>
      <c r="D566" s="161" t="str">
        <f>IF(ISNA(VLOOKUP(A566,Declarations!B$6:F$293,4,FALSE)),"",IF(VLOOKUP(A566,Declarations!B$6:F$293,4,FALSE)="","",VLOOKUP(A566,Declarations!B$6:F$293,4,FALSE)))</f>
        <v/>
      </c>
      <c r="E566" s="161" t="str">
        <f>IF(ISNA(VLOOKUP(A566,Declarations!B$6:D$293,3,FALSE)),"",IF(VLOOKUP(A566,Declarations!B$6:D$293,3,FALSE)="","",VLOOKUP(A566,Declarations!B$6:D$293,3,FALSE)))</f>
        <v/>
      </c>
      <c r="F566" s="51" t="str">
        <f>IF(B566="","",IF(ISNA(VLOOKUP(A566,'75m'!F$5:G$302,2,FALSE)),"",VLOOKUP(A566,'75m'!F$5:G$302,2,FALSE)))</f>
        <v/>
      </c>
      <c r="G566" s="51">
        <f>IF(B566="",0,IF(ISNA(_xlfn.XLOOKUP(A566,'75m'!F$5:F$302,'75m'!M$5:M$302)),0,_xlfn.XLOOKUP(A566,'75m'!F$5:F$302,'75m'!M$5:M$302)))</f>
        <v>0</v>
      </c>
      <c r="H566" s="51" t="str">
        <f>IF(B566="","",IF(ISNA(VLOOKUP(A566,'75m'!F$5:K$302,5,FALSE)),"",VLOOKUP(A566,'75m'!F$5:K$302,5,FALSE)))</f>
        <v/>
      </c>
      <c r="I566" s="53">
        <f>IF(B566="",0,IF(ISNA(VLOOKUP(A566,'600m'!F$5:J$302,2,FALSE)),0,VLOOKUP(A566,'600m'!F$5:J$302,2,FALSE)))</f>
        <v>0</v>
      </c>
      <c r="J566" s="51">
        <f>IF(B566="",0,IF(ISNA(_xlfn.XLOOKUP(A566,'600m'!F$5:F$302,'600m'!M$5:M$302)),0,_xlfn.XLOOKUP(A566,'600m'!F$5:F$302,'600m'!M$5:M$302)))</f>
        <v>0</v>
      </c>
      <c r="K566" s="51" t="str">
        <f>IF(B566="","",IF(ISNA(VLOOKUP(A566,'600m'!F$5:K$302,5,FALSE)),"",VLOOKUP(A566,'600m'!F$5:K$302,5,FALSE)))</f>
        <v/>
      </c>
      <c r="L566" s="51" t="str">
        <f>IF(B566="","",IF(ISNA(VLOOKUP(A566,LongJump!F$5:G$302,2,FALSE)),"",VLOOKUP(A566,LongJump!F$5:G$302,2,FALSE)))</f>
        <v/>
      </c>
      <c r="M566" s="51">
        <f>IF(B566="",0,IF(ISNA(_xlfn.XLOOKUP(A566,LongJump!F$5:F$302,LongJump!M$5:M$302)),0,_xlfn.XLOOKUP(A566,LongJump!F$5:F$302,LongJump!M$5:M$302)))</f>
        <v>0</v>
      </c>
      <c r="N566" s="51">
        <f>IF(B566="",0,IF(ISNA(VLOOKUP(A566,LongJump!F$5:K$302,5,FALSE)),0,VLOOKUP(A566,LongJump!F$5:K$302,5,FALSE)))</f>
        <v>0</v>
      </c>
      <c r="O566" s="51" t="str">
        <f>IF(B566="","",IF(ISNA(VLOOKUP(A566,Vortex!F$5:J$302,2,FALSE)),"",VLOOKUP(A566,Vortex!F$5:J$302,2,FALSE)))</f>
        <v/>
      </c>
      <c r="P566" s="51">
        <f>IF(B566="",0,IF(ISNA(_xlfn.XLOOKUP(A566,Vortex!F$5:F$302,Vortex!M$5:M$302)),0,_xlfn.XLOOKUP(A566,Vortex!F$5:F$302,Vortex!M$5:M$302)))</f>
        <v>0</v>
      </c>
      <c r="Q566" s="51">
        <f t="shared" si="63"/>
        <v>0</v>
      </c>
      <c r="R566" s="51" t="str">
        <f t="shared" si="64"/>
        <v/>
      </c>
      <c r="S566" s="51" t="str">
        <f t="shared" si="65"/>
        <v/>
      </c>
      <c r="T566" s="51" t="str">
        <f t="shared" si="66"/>
        <v/>
      </c>
      <c r="U566" s="51" t="str">
        <f t="shared" si="67"/>
        <v/>
      </c>
    </row>
    <row r="567" spans="1:21">
      <c r="A567" s="51" t="str">
        <f>IF(Declarations!B195=0,"",Declarations!B195)</f>
        <v/>
      </c>
      <c r="B567" s="161" t="str">
        <f>IF(ISNA(VLOOKUP(A567,Declarations!B$6:C$293,2,FALSE)),"",IF(VLOOKUP(A567,Declarations!B$6:C$293,2,FALSE)="","",VLOOKUP(A567,Declarations!B$6:C$293,2,FALSE)))</f>
        <v/>
      </c>
      <c r="C567" s="161" t="str">
        <f>IF(ISNA(VLOOKUP(A567,Declarations!B$6:F$293,5,FALSE)),"",IF(VLOOKUP(A567,Declarations!B$6:F$293,5,FALSE)="","",VLOOKUP(A567,Declarations!B$6:F$293,5,FALSE)))</f>
        <v/>
      </c>
      <c r="D567" s="161" t="str">
        <f>IF(ISNA(VLOOKUP(A567,Declarations!B$6:F$293,4,FALSE)),"",IF(VLOOKUP(A567,Declarations!B$6:F$293,4,FALSE)="","",VLOOKUP(A567,Declarations!B$6:F$293,4,FALSE)))</f>
        <v/>
      </c>
      <c r="E567" s="161" t="str">
        <f>IF(ISNA(VLOOKUP(A567,Declarations!B$6:D$293,3,FALSE)),"",IF(VLOOKUP(A567,Declarations!B$6:D$293,3,FALSE)="","",VLOOKUP(A567,Declarations!B$6:D$293,3,FALSE)))</f>
        <v/>
      </c>
      <c r="F567" s="51" t="str">
        <f>IF(B567="","",IF(ISNA(VLOOKUP(A567,'75m'!F$5:G$302,2,FALSE)),"",VLOOKUP(A567,'75m'!F$5:G$302,2,FALSE)))</f>
        <v/>
      </c>
      <c r="G567" s="51">
        <f>IF(B567="",0,IF(ISNA(_xlfn.XLOOKUP(A567,'75m'!F$5:F$302,'75m'!M$5:M$302)),0,_xlfn.XLOOKUP(A567,'75m'!F$5:F$302,'75m'!M$5:M$302)))</f>
        <v>0</v>
      </c>
      <c r="H567" s="51" t="str">
        <f>IF(B567="","",IF(ISNA(VLOOKUP(A567,'75m'!F$5:K$302,5,FALSE)),"",VLOOKUP(A567,'75m'!F$5:K$302,5,FALSE)))</f>
        <v/>
      </c>
      <c r="I567" s="53">
        <f>IF(B567="",0,IF(ISNA(VLOOKUP(A567,'600m'!F$5:J$302,2,FALSE)),0,VLOOKUP(A567,'600m'!F$5:J$302,2,FALSE)))</f>
        <v>0</v>
      </c>
      <c r="J567" s="51">
        <f>IF(B567="",0,IF(ISNA(_xlfn.XLOOKUP(A567,'600m'!F$5:F$302,'600m'!M$5:M$302)),0,_xlfn.XLOOKUP(A567,'600m'!F$5:F$302,'600m'!M$5:M$302)))</f>
        <v>0</v>
      </c>
      <c r="K567" s="51" t="str">
        <f>IF(B567="","",IF(ISNA(VLOOKUP(A567,'600m'!F$5:K$302,5,FALSE)),"",VLOOKUP(A567,'600m'!F$5:K$302,5,FALSE)))</f>
        <v/>
      </c>
      <c r="L567" s="51" t="str">
        <f>IF(B567="","",IF(ISNA(VLOOKUP(A567,LongJump!F$5:G$302,2,FALSE)),"",VLOOKUP(A567,LongJump!F$5:G$302,2,FALSE)))</f>
        <v/>
      </c>
      <c r="M567" s="51">
        <f>IF(B567="",0,IF(ISNA(_xlfn.XLOOKUP(A567,LongJump!F$5:F$302,LongJump!M$5:M$302)),0,_xlfn.XLOOKUP(A567,LongJump!F$5:F$302,LongJump!M$5:M$302)))</f>
        <v>0</v>
      </c>
      <c r="N567" s="51">
        <f>IF(B567="",0,IF(ISNA(VLOOKUP(A567,LongJump!F$5:K$302,5,FALSE)),0,VLOOKUP(A567,LongJump!F$5:K$302,5,FALSE)))</f>
        <v>0</v>
      </c>
      <c r="O567" s="51" t="str">
        <f>IF(B567="","",IF(ISNA(VLOOKUP(A567,Vortex!F$5:J$302,2,FALSE)),"",VLOOKUP(A567,Vortex!F$5:J$302,2,FALSE)))</f>
        <v/>
      </c>
      <c r="P567" s="51">
        <f>IF(B567="",0,IF(ISNA(_xlfn.XLOOKUP(A567,Vortex!F$5:F$302,Vortex!M$5:M$302)),0,_xlfn.XLOOKUP(A567,Vortex!F$5:F$302,Vortex!M$5:M$302)))</f>
        <v>0</v>
      </c>
      <c r="Q567" s="51">
        <f t="shared" si="63"/>
        <v>0</v>
      </c>
      <c r="R567" s="51" t="str">
        <f t="shared" si="64"/>
        <v/>
      </c>
      <c r="S567" s="51" t="str">
        <f t="shared" si="65"/>
        <v/>
      </c>
      <c r="T567" s="51" t="str">
        <f t="shared" si="66"/>
        <v/>
      </c>
      <c r="U567" s="51" t="str">
        <f t="shared" si="67"/>
        <v/>
      </c>
    </row>
    <row r="568" spans="1:21">
      <c r="A568" s="51" t="str">
        <f>IF(Declarations!B196=0,"",Declarations!B196)</f>
        <v/>
      </c>
      <c r="B568" s="161" t="str">
        <f>IF(ISNA(VLOOKUP(A568,Declarations!B$6:C$293,2,FALSE)),"",IF(VLOOKUP(A568,Declarations!B$6:C$293,2,FALSE)="","",VLOOKUP(A568,Declarations!B$6:C$293,2,FALSE)))</f>
        <v/>
      </c>
      <c r="C568" s="161" t="str">
        <f>IF(ISNA(VLOOKUP(A568,Declarations!B$6:F$293,5,FALSE)),"",IF(VLOOKUP(A568,Declarations!B$6:F$293,5,FALSE)="","",VLOOKUP(A568,Declarations!B$6:F$293,5,FALSE)))</f>
        <v/>
      </c>
      <c r="D568" s="161" t="str">
        <f>IF(ISNA(VLOOKUP(A568,Declarations!B$6:F$293,4,FALSE)),"",IF(VLOOKUP(A568,Declarations!B$6:F$293,4,FALSE)="","",VLOOKUP(A568,Declarations!B$6:F$293,4,FALSE)))</f>
        <v/>
      </c>
      <c r="E568" s="161" t="str">
        <f>IF(ISNA(VLOOKUP(A568,Declarations!B$6:D$293,3,FALSE)),"",IF(VLOOKUP(A568,Declarations!B$6:D$293,3,FALSE)="","",VLOOKUP(A568,Declarations!B$6:D$293,3,FALSE)))</f>
        <v/>
      </c>
      <c r="F568" s="51" t="str">
        <f>IF(B568="","",IF(ISNA(VLOOKUP(A568,'75m'!F$5:G$302,2,FALSE)),"",VLOOKUP(A568,'75m'!F$5:G$302,2,FALSE)))</f>
        <v/>
      </c>
      <c r="G568" s="51">
        <f>IF(B568="",0,IF(ISNA(_xlfn.XLOOKUP(A568,'75m'!F$5:F$302,'75m'!M$5:M$302)),0,_xlfn.XLOOKUP(A568,'75m'!F$5:F$302,'75m'!M$5:M$302)))</f>
        <v>0</v>
      </c>
      <c r="H568" s="51" t="str">
        <f>IF(B568="","",IF(ISNA(VLOOKUP(A568,'75m'!F$5:K$302,5,FALSE)),"",VLOOKUP(A568,'75m'!F$5:K$302,5,FALSE)))</f>
        <v/>
      </c>
      <c r="I568" s="53">
        <f>IF(B568="",0,IF(ISNA(VLOOKUP(A568,'600m'!F$5:J$302,2,FALSE)),0,VLOOKUP(A568,'600m'!F$5:J$302,2,FALSE)))</f>
        <v>0</v>
      </c>
      <c r="J568" s="51">
        <f>IF(B568="",0,IF(ISNA(_xlfn.XLOOKUP(A568,'600m'!F$5:F$302,'600m'!M$5:M$302)),0,_xlfn.XLOOKUP(A568,'600m'!F$5:F$302,'600m'!M$5:M$302)))</f>
        <v>0</v>
      </c>
      <c r="K568" s="51" t="str">
        <f>IF(B568="","",IF(ISNA(VLOOKUP(A568,'600m'!F$5:K$302,5,FALSE)),"",VLOOKUP(A568,'600m'!F$5:K$302,5,FALSE)))</f>
        <v/>
      </c>
      <c r="L568" s="51" t="str">
        <f>IF(B568="","",IF(ISNA(VLOOKUP(A568,LongJump!F$5:G$302,2,FALSE)),"",VLOOKUP(A568,LongJump!F$5:G$302,2,FALSE)))</f>
        <v/>
      </c>
      <c r="M568" s="51">
        <f>IF(B568="",0,IF(ISNA(_xlfn.XLOOKUP(A568,LongJump!F$5:F$302,LongJump!M$5:M$302)),0,_xlfn.XLOOKUP(A568,LongJump!F$5:F$302,LongJump!M$5:M$302)))</f>
        <v>0</v>
      </c>
      <c r="N568" s="51">
        <f>IF(B568="",0,IF(ISNA(VLOOKUP(A568,LongJump!F$5:K$302,5,FALSE)),0,VLOOKUP(A568,LongJump!F$5:K$302,5,FALSE)))</f>
        <v>0</v>
      </c>
      <c r="O568" s="51" t="str">
        <f>IF(B568="","",IF(ISNA(VLOOKUP(A568,Vortex!F$5:J$302,2,FALSE)),"",VLOOKUP(A568,Vortex!F$5:J$302,2,FALSE)))</f>
        <v/>
      </c>
      <c r="P568" s="51">
        <f>IF(B568="",0,IF(ISNA(_xlfn.XLOOKUP(A568,Vortex!F$5:F$302,Vortex!M$5:M$302)),0,_xlfn.XLOOKUP(A568,Vortex!F$5:F$302,Vortex!M$5:M$302)))</f>
        <v>0</v>
      </c>
      <c r="Q568" s="51">
        <f t="shared" si="63"/>
        <v>0</v>
      </c>
      <c r="R568" s="51" t="str">
        <f t="shared" si="64"/>
        <v/>
      </c>
      <c r="S568" s="51" t="str">
        <f t="shared" si="65"/>
        <v/>
      </c>
      <c r="T568" s="51" t="str">
        <f t="shared" si="66"/>
        <v/>
      </c>
      <c r="U568" s="51" t="str">
        <f t="shared" si="67"/>
        <v/>
      </c>
    </row>
    <row r="569" spans="1:21">
      <c r="A569" s="51" t="str">
        <f>IF(Declarations!B197=0,"",Declarations!B197)</f>
        <v/>
      </c>
      <c r="B569" s="161" t="str">
        <f>IF(ISNA(VLOOKUP(A569,Declarations!B$6:C$293,2,FALSE)),"",IF(VLOOKUP(A569,Declarations!B$6:C$293,2,FALSE)="","",VLOOKUP(A569,Declarations!B$6:C$293,2,FALSE)))</f>
        <v/>
      </c>
      <c r="C569" s="161" t="str">
        <f>IF(ISNA(VLOOKUP(A569,Declarations!B$6:F$293,5,FALSE)),"",IF(VLOOKUP(A569,Declarations!B$6:F$293,5,FALSE)="","",VLOOKUP(A569,Declarations!B$6:F$293,5,FALSE)))</f>
        <v/>
      </c>
      <c r="D569" s="161" t="str">
        <f>IF(ISNA(VLOOKUP(A569,Declarations!B$6:F$293,4,FALSE)),"",IF(VLOOKUP(A569,Declarations!B$6:F$293,4,FALSE)="","",VLOOKUP(A569,Declarations!B$6:F$293,4,FALSE)))</f>
        <v/>
      </c>
      <c r="E569" s="161" t="str">
        <f>IF(ISNA(VLOOKUP(A569,Declarations!B$6:D$293,3,FALSE)),"",IF(VLOOKUP(A569,Declarations!B$6:D$293,3,FALSE)="","",VLOOKUP(A569,Declarations!B$6:D$293,3,FALSE)))</f>
        <v/>
      </c>
      <c r="F569" s="51" t="str">
        <f>IF(B569="","",IF(ISNA(VLOOKUP(A569,'75m'!F$5:G$302,2,FALSE)),"",VLOOKUP(A569,'75m'!F$5:G$302,2,FALSE)))</f>
        <v/>
      </c>
      <c r="G569" s="51">
        <f>IF(B569="",0,IF(ISNA(_xlfn.XLOOKUP(A569,'75m'!F$5:F$302,'75m'!M$5:M$302)),0,_xlfn.XLOOKUP(A569,'75m'!F$5:F$302,'75m'!M$5:M$302)))</f>
        <v>0</v>
      </c>
      <c r="H569" s="51" t="str">
        <f>IF(B569="","",IF(ISNA(VLOOKUP(A569,'75m'!F$5:K$302,5,FALSE)),"",VLOOKUP(A569,'75m'!F$5:K$302,5,FALSE)))</f>
        <v/>
      </c>
      <c r="I569" s="53">
        <f>IF(B569="",0,IF(ISNA(VLOOKUP(A569,'600m'!F$5:J$302,2,FALSE)),0,VLOOKUP(A569,'600m'!F$5:J$302,2,FALSE)))</f>
        <v>0</v>
      </c>
      <c r="J569" s="51">
        <f>IF(B569="",0,IF(ISNA(_xlfn.XLOOKUP(A569,'600m'!F$5:F$302,'600m'!M$5:M$302)),0,_xlfn.XLOOKUP(A569,'600m'!F$5:F$302,'600m'!M$5:M$302)))</f>
        <v>0</v>
      </c>
      <c r="K569" s="51" t="str">
        <f>IF(B569="","",IF(ISNA(VLOOKUP(A569,'600m'!F$5:K$302,5,FALSE)),"",VLOOKUP(A569,'600m'!F$5:K$302,5,FALSE)))</f>
        <v/>
      </c>
      <c r="L569" s="51" t="str">
        <f>IF(B569="","",IF(ISNA(VLOOKUP(A569,LongJump!F$5:G$302,2,FALSE)),"",VLOOKUP(A569,LongJump!F$5:G$302,2,FALSE)))</f>
        <v/>
      </c>
      <c r="M569" s="51">
        <f>IF(B569="",0,IF(ISNA(_xlfn.XLOOKUP(A569,LongJump!F$5:F$302,LongJump!M$5:M$302)),0,_xlfn.XLOOKUP(A569,LongJump!F$5:F$302,LongJump!M$5:M$302)))</f>
        <v>0</v>
      </c>
      <c r="N569" s="51">
        <f>IF(B569="",0,IF(ISNA(VLOOKUP(A569,LongJump!F$5:K$302,5,FALSE)),0,VLOOKUP(A569,LongJump!F$5:K$302,5,FALSE)))</f>
        <v>0</v>
      </c>
      <c r="O569" s="51" t="str">
        <f>IF(B569="","",IF(ISNA(VLOOKUP(A569,Vortex!F$5:J$302,2,FALSE)),"",VLOOKUP(A569,Vortex!F$5:J$302,2,FALSE)))</f>
        <v/>
      </c>
      <c r="P569" s="51">
        <f>IF(B569="",0,IF(ISNA(_xlfn.XLOOKUP(A569,Vortex!F$5:F$302,Vortex!M$5:M$302)),0,_xlfn.XLOOKUP(A569,Vortex!F$5:F$302,Vortex!M$5:M$302)))</f>
        <v>0</v>
      </c>
      <c r="Q569" s="51">
        <f t="shared" si="63"/>
        <v>0</v>
      </c>
      <c r="R569" s="51" t="str">
        <f t="shared" si="64"/>
        <v/>
      </c>
      <c r="S569" s="51" t="str">
        <f t="shared" si="65"/>
        <v/>
      </c>
      <c r="T569" s="51" t="str">
        <f t="shared" si="66"/>
        <v/>
      </c>
      <c r="U569" s="51" t="str">
        <f t="shared" si="67"/>
        <v/>
      </c>
    </row>
    <row r="570" spans="1:21">
      <c r="A570" s="51" t="str">
        <f>IF(Declarations!B198=0,"",Declarations!B198)</f>
        <v/>
      </c>
      <c r="B570" s="161" t="str">
        <f>IF(ISNA(VLOOKUP(A570,Declarations!B$6:C$293,2,FALSE)),"",IF(VLOOKUP(A570,Declarations!B$6:C$293,2,FALSE)="","",VLOOKUP(A570,Declarations!B$6:C$293,2,FALSE)))</f>
        <v/>
      </c>
      <c r="C570" s="161" t="str">
        <f>IF(ISNA(VLOOKUP(A570,Declarations!B$6:F$293,5,FALSE)),"",IF(VLOOKUP(A570,Declarations!B$6:F$293,5,FALSE)="","",VLOOKUP(A570,Declarations!B$6:F$293,5,FALSE)))</f>
        <v/>
      </c>
      <c r="D570" s="161" t="str">
        <f>IF(ISNA(VLOOKUP(A570,Declarations!B$6:F$293,4,FALSE)),"",IF(VLOOKUP(A570,Declarations!B$6:F$293,4,FALSE)="","",VLOOKUP(A570,Declarations!B$6:F$293,4,FALSE)))</f>
        <v/>
      </c>
      <c r="E570" s="161" t="str">
        <f>IF(ISNA(VLOOKUP(A570,Declarations!B$6:D$293,3,FALSE)),"",IF(VLOOKUP(A570,Declarations!B$6:D$293,3,FALSE)="","",VLOOKUP(A570,Declarations!B$6:D$293,3,FALSE)))</f>
        <v/>
      </c>
      <c r="F570" s="51" t="str">
        <f>IF(B570="","",IF(ISNA(VLOOKUP(A570,'75m'!F$5:G$302,2,FALSE)),"",VLOOKUP(A570,'75m'!F$5:G$302,2,FALSE)))</f>
        <v/>
      </c>
      <c r="G570" s="51">
        <f>IF(B570="",0,IF(ISNA(_xlfn.XLOOKUP(A570,'75m'!F$5:F$302,'75m'!M$5:M$302)),0,_xlfn.XLOOKUP(A570,'75m'!F$5:F$302,'75m'!M$5:M$302)))</f>
        <v>0</v>
      </c>
      <c r="H570" s="51" t="str">
        <f>IF(B570="","",IF(ISNA(VLOOKUP(A570,'75m'!F$5:K$302,5,FALSE)),"",VLOOKUP(A570,'75m'!F$5:K$302,5,FALSE)))</f>
        <v/>
      </c>
      <c r="I570" s="53">
        <f>IF(B570="",0,IF(ISNA(VLOOKUP(A570,'600m'!F$5:J$302,2,FALSE)),0,VLOOKUP(A570,'600m'!F$5:J$302,2,FALSE)))</f>
        <v>0</v>
      </c>
      <c r="J570" s="51">
        <f>IF(B570="",0,IF(ISNA(_xlfn.XLOOKUP(A570,'600m'!F$5:F$302,'600m'!M$5:M$302)),0,_xlfn.XLOOKUP(A570,'600m'!F$5:F$302,'600m'!M$5:M$302)))</f>
        <v>0</v>
      </c>
      <c r="K570" s="51" t="str">
        <f>IF(B570="","",IF(ISNA(VLOOKUP(A570,'600m'!F$5:K$302,5,FALSE)),"",VLOOKUP(A570,'600m'!F$5:K$302,5,FALSE)))</f>
        <v/>
      </c>
      <c r="L570" s="51" t="str">
        <f>IF(B570="","",IF(ISNA(VLOOKUP(A570,LongJump!F$5:G$302,2,FALSE)),"",VLOOKUP(A570,LongJump!F$5:G$302,2,FALSE)))</f>
        <v/>
      </c>
      <c r="M570" s="51">
        <f>IF(B570="",0,IF(ISNA(_xlfn.XLOOKUP(A570,LongJump!F$5:F$302,LongJump!M$5:M$302)),0,_xlfn.XLOOKUP(A570,LongJump!F$5:F$302,LongJump!M$5:M$302)))</f>
        <v>0</v>
      </c>
      <c r="N570" s="51">
        <f>IF(B570="",0,IF(ISNA(VLOOKUP(A570,LongJump!F$5:K$302,5,FALSE)),0,VLOOKUP(A570,LongJump!F$5:K$302,5,FALSE)))</f>
        <v>0</v>
      </c>
      <c r="O570" s="51" t="str">
        <f>IF(B570="","",IF(ISNA(VLOOKUP(A570,Vortex!F$5:J$302,2,FALSE)),"",VLOOKUP(A570,Vortex!F$5:J$302,2,FALSE)))</f>
        <v/>
      </c>
      <c r="P570" s="51">
        <f>IF(B570="",0,IF(ISNA(_xlfn.XLOOKUP(A570,Vortex!F$5:F$302,Vortex!M$5:M$302)),0,_xlfn.XLOOKUP(A570,Vortex!F$5:F$302,Vortex!M$5:M$302)))</f>
        <v>0</v>
      </c>
      <c r="Q570" s="51">
        <f t="shared" si="63"/>
        <v>0</v>
      </c>
      <c r="R570" s="51" t="str">
        <f t="shared" si="64"/>
        <v/>
      </c>
      <c r="S570" s="51" t="str">
        <f t="shared" si="65"/>
        <v/>
      </c>
      <c r="T570" s="51" t="str">
        <f t="shared" si="66"/>
        <v/>
      </c>
      <c r="U570" s="51" t="str">
        <f t="shared" si="67"/>
        <v/>
      </c>
    </row>
    <row r="571" spans="1:21">
      <c r="A571" s="51" t="str">
        <f>IF(Declarations!B199=0,"",Declarations!B199)</f>
        <v/>
      </c>
      <c r="B571" s="161" t="str">
        <f>IF(ISNA(VLOOKUP(A571,Declarations!B$6:C$293,2,FALSE)),"",IF(VLOOKUP(A571,Declarations!B$6:C$293,2,FALSE)="","",VLOOKUP(A571,Declarations!B$6:C$293,2,FALSE)))</f>
        <v/>
      </c>
      <c r="C571" s="161" t="str">
        <f>IF(ISNA(VLOOKUP(A571,Declarations!B$6:F$293,5,FALSE)),"",IF(VLOOKUP(A571,Declarations!B$6:F$293,5,FALSE)="","",VLOOKUP(A571,Declarations!B$6:F$293,5,FALSE)))</f>
        <v/>
      </c>
      <c r="D571" s="161" t="str">
        <f>IF(ISNA(VLOOKUP(A571,Declarations!B$6:F$293,4,FALSE)),"",IF(VLOOKUP(A571,Declarations!B$6:F$293,4,FALSE)="","",VLOOKUP(A571,Declarations!B$6:F$293,4,FALSE)))</f>
        <v/>
      </c>
      <c r="E571" s="161" t="str">
        <f>IF(ISNA(VLOOKUP(A571,Declarations!B$6:D$293,3,FALSE)),"",IF(VLOOKUP(A571,Declarations!B$6:D$293,3,FALSE)="","",VLOOKUP(A571,Declarations!B$6:D$293,3,FALSE)))</f>
        <v/>
      </c>
      <c r="F571" s="51" t="str">
        <f>IF(B571="","",IF(ISNA(VLOOKUP(A571,'75m'!F$5:G$302,2,FALSE)),"",VLOOKUP(A571,'75m'!F$5:G$302,2,FALSE)))</f>
        <v/>
      </c>
      <c r="G571" s="51">
        <f>IF(B571="",0,IF(ISNA(_xlfn.XLOOKUP(A571,'75m'!F$5:F$302,'75m'!M$5:M$302)),0,_xlfn.XLOOKUP(A571,'75m'!F$5:F$302,'75m'!M$5:M$302)))</f>
        <v>0</v>
      </c>
      <c r="H571" s="51" t="str">
        <f>IF(B571="","",IF(ISNA(VLOOKUP(A571,'75m'!F$5:K$302,5,FALSE)),"",VLOOKUP(A571,'75m'!F$5:K$302,5,FALSE)))</f>
        <v/>
      </c>
      <c r="I571" s="53">
        <f>IF(B571="",0,IF(ISNA(VLOOKUP(A571,'600m'!F$5:J$302,2,FALSE)),0,VLOOKUP(A571,'600m'!F$5:J$302,2,FALSE)))</f>
        <v>0</v>
      </c>
      <c r="J571" s="51">
        <f>IF(B571="",0,IF(ISNA(_xlfn.XLOOKUP(A571,'600m'!F$5:F$302,'600m'!M$5:M$302)),0,_xlfn.XLOOKUP(A571,'600m'!F$5:F$302,'600m'!M$5:M$302)))</f>
        <v>0</v>
      </c>
      <c r="K571" s="51" t="str">
        <f>IF(B571="","",IF(ISNA(VLOOKUP(A571,'600m'!F$5:K$302,5,FALSE)),"",VLOOKUP(A571,'600m'!F$5:K$302,5,FALSE)))</f>
        <v/>
      </c>
      <c r="L571" s="51" t="str">
        <f>IF(B571="","",IF(ISNA(VLOOKUP(A571,LongJump!F$5:G$302,2,FALSE)),"",VLOOKUP(A571,LongJump!F$5:G$302,2,FALSE)))</f>
        <v/>
      </c>
      <c r="M571" s="51">
        <f>IF(B571="",0,IF(ISNA(_xlfn.XLOOKUP(A571,LongJump!F$5:F$302,LongJump!M$5:M$302)),0,_xlfn.XLOOKUP(A571,LongJump!F$5:F$302,LongJump!M$5:M$302)))</f>
        <v>0</v>
      </c>
      <c r="N571" s="51">
        <f>IF(B571="",0,IF(ISNA(VLOOKUP(A571,LongJump!F$5:K$302,5,FALSE)),0,VLOOKUP(A571,LongJump!F$5:K$302,5,FALSE)))</f>
        <v>0</v>
      </c>
      <c r="O571" s="51" t="str">
        <f>IF(B571="","",IF(ISNA(VLOOKUP(A571,Vortex!F$5:J$302,2,FALSE)),"",VLOOKUP(A571,Vortex!F$5:J$302,2,FALSE)))</f>
        <v/>
      </c>
      <c r="P571" s="51">
        <f>IF(B571="",0,IF(ISNA(_xlfn.XLOOKUP(A571,Vortex!F$5:F$302,Vortex!M$5:M$302)),0,_xlfn.XLOOKUP(A571,Vortex!F$5:F$302,Vortex!M$5:M$302)))</f>
        <v>0</v>
      </c>
      <c r="Q571" s="51">
        <f t="shared" ref="Q571:Q634" si="68">G571+J571+M571+P571</f>
        <v>0</v>
      </c>
      <c r="R571" s="51" t="str">
        <f t="shared" ref="R571:R634" si="69">IF(OR($Q571=0,$E571&lt;&gt;"U10"),"",COUNTIFS($C$378:$C$665, $C571, $D$378:$D$665, $D571, $E$378:$E$665, $E571, $Q$378:$Q$665,"&gt;"&amp;$Q571)+1)</f>
        <v/>
      </c>
      <c r="S571" s="51" t="str">
        <f t="shared" ref="S571:S634" si="70">IF(OR($Q571=0,$E571&lt;&gt;"U12"),"",COUNTIFS($C$378:$C$665, $C571, $D$378:$D$665, $D571, $E$378:$E$665, $E571, $Q$378:$Q$665,"&gt;"&amp;$Q571)+1)</f>
        <v/>
      </c>
      <c r="T571" s="51" t="str">
        <f t="shared" ref="T571:T634" si="71">IF(OR($Q571=0,$E571&lt;&gt;"U10"),"",COUNTIFS($D$378:$D$665, $D571,$E$378:$E$665,$E571,$Q$378:$Q$665,"&gt;"&amp;$Q571)+1)</f>
        <v/>
      </c>
      <c r="U571" s="51" t="str">
        <f t="shared" ref="U571:U634" si="72">IF(OR($Q571=0,$E571&lt;&gt;"U12"),"",COUNTIFS($D$378:$D$665, $D571,$E$378:$E$665,$E571,$Q$378:$Q$665,"&gt;"&amp;$Q571)+1)</f>
        <v/>
      </c>
    </row>
    <row r="572" spans="1:21">
      <c r="A572" s="51" t="str">
        <f>IF(Declarations!B200=0,"",Declarations!B200)</f>
        <v/>
      </c>
      <c r="B572" s="161" t="str">
        <f>IF(ISNA(VLOOKUP(A572,Declarations!B$6:C$293,2,FALSE)),"",IF(VLOOKUP(A572,Declarations!B$6:C$293,2,FALSE)="","",VLOOKUP(A572,Declarations!B$6:C$293,2,FALSE)))</f>
        <v/>
      </c>
      <c r="C572" s="161" t="str">
        <f>IF(ISNA(VLOOKUP(A572,Declarations!B$6:F$293,5,FALSE)),"",IF(VLOOKUP(A572,Declarations!B$6:F$293,5,FALSE)="","",VLOOKUP(A572,Declarations!B$6:F$293,5,FALSE)))</f>
        <v/>
      </c>
      <c r="D572" s="161" t="str">
        <f>IF(ISNA(VLOOKUP(A572,Declarations!B$6:F$293,4,FALSE)),"",IF(VLOOKUP(A572,Declarations!B$6:F$293,4,FALSE)="","",VLOOKUP(A572,Declarations!B$6:F$293,4,FALSE)))</f>
        <v/>
      </c>
      <c r="E572" s="161" t="str">
        <f>IF(ISNA(VLOOKUP(A572,Declarations!B$6:D$293,3,FALSE)),"",IF(VLOOKUP(A572,Declarations!B$6:D$293,3,FALSE)="","",VLOOKUP(A572,Declarations!B$6:D$293,3,FALSE)))</f>
        <v/>
      </c>
      <c r="F572" s="51" t="str">
        <f>IF(B572="","",IF(ISNA(VLOOKUP(A572,'75m'!F$5:G$302,2,FALSE)),"",VLOOKUP(A572,'75m'!F$5:G$302,2,FALSE)))</f>
        <v/>
      </c>
      <c r="G572" s="51">
        <f>IF(B572="",0,IF(ISNA(_xlfn.XLOOKUP(A572,'75m'!F$5:F$302,'75m'!M$5:M$302)),0,_xlfn.XLOOKUP(A572,'75m'!F$5:F$302,'75m'!M$5:M$302)))</f>
        <v>0</v>
      </c>
      <c r="H572" s="51" t="str">
        <f>IF(B572="","",IF(ISNA(VLOOKUP(A572,'75m'!F$5:K$302,5,FALSE)),"",VLOOKUP(A572,'75m'!F$5:K$302,5,FALSE)))</f>
        <v/>
      </c>
      <c r="I572" s="53">
        <f>IF(B572="",0,IF(ISNA(VLOOKUP(A572,'600m'!F$5:J$302,2,FALSE)),0,VLOOKUP(A572,'600m'!F$5:J$302,2,FALSE)))</f>
        <v>0</v>
      </c>
      <c r="J572" s="51">
        <f>IF(B572="",0,IF(ISNA(_xlfn.XLOOKUP(A572,'600m'!F$5:F$302,'600m'!M$5:M$302)),0,_xlfn.XLOOKUP(A572,'600m'!F$5:F$302,'600m'!M$5:M$302)))</f>
        <v>0</v>
      </c>
      <c r="K572" s="51" t="str">
        <f>IF(B572="","",IF(ISNA(VLOOKUP(A572,'600m'!F$5:K$302,5,FALSE)),"",VLOOKUP(A572,'600m'!F$5:K$302,5,FALSE)))</f>
        <v/>
      </c>
      <c r="L572" s="51" t="str">
        <f>IF(B572="","",IF(ISNA(VLOOKUP(A572,LongJump!F$5:G$302,2,FALSE)),"",VLOOKUP(A572,LongJump!F$5:G$302,2,FALSE)))</f>
        <v/>
      </c>
      <c r="M572" s="51">
        <f>IF(B572="",0,IF(ISNA(_xlfn.XLOOKUP(A572,LongJump!F$5:F$302,LongJump!M$5:M$302)),0,_xlfn.XLOOKUP(A572,LongJump!F$5:F$302,LongJump!M$5:M$302)))</f>
        <v>0</v>
      </c>
      <c r="N572" s="51">
        <f>IF(B572="",0,IF(ISNA(VLOOKUP(A572,LongJump!F$5:K$302,5,FALSE)),0,VLOOKUP(A572,LongJump!F$5:K$302,5,FALSE)))</f>
        <v>0</v>
      </c>
      <c r="O572" s="51" t="str">
        <f>IF(B572="","",IF(ISNA(VLOOKUP(A572,Vortex!F$5:J$302,2,FALSE)),"",VLOOKUP(A572,Vortex!F$5:J$302,2,FALSE)))</f>
        <v/>
      </c>
      <c r="P572" s="51">
        <f>IF(B572="",0,IF(ISNA(_xlfn.XLOOKUP(A572,Vortex!F$5:F$302,Vortex!M$5:M$302)),0,_xlfn.XLOOKUP(A572,Vortex!F$5:F$302,Vortex!M$5:M$302)))</f>
        <v>0</v>
      </c>
      <c r="Q572" s="51">
        <f t="shared" si="68"/>
        <v>0</v>
      </c>
      <c r="R572" s="51" t="str">
        <f t="shared" si="69"/>
        <v/>
      </c>
      <c r="S572" s="51" t="str">
        <f t="shared" si="70"/>
        <v/>
      </c>
      <c r="T572" s="51" t="str">
        <f t="shared" si="71"/>
        <v/>
      </c>
      <c r="U572" s="51" t="str">
        <f t="shared" si="72"/>
        <v/>
      </c>
    </row>
    <row r="573" spans="1:21">
      <c r="A573" s="51" t="str">
        <f>IF(Declarations!B201=0,"",Declarations!B201)</f>
        <v/>
      </c>
      <c r="B573" s="161" t="str">
        <f>IF(ISNA(VLOOKUP(A573,Declarations!B$6:C$293,2,FALSE)),"",IF(VLOOKUP(A573,Declarations!B$6:C$293,2,FALSE)="","",VLOOKUP(A573,Declarations!B$6:C$293,2,FALSE)))</f>
        <v/>
      </c>
      <c r="C573" s="161" t="str">
        <f>IF(ISNA(VLOOKUP(A573,Declarations!B$6:F$293,5,FALSE)),"",IF(VLOOKUP(A573,Declarations!B$6:F$293,5,FALSE)="","",VLOOKUP(A573,Declarations!B$6:F$293,5,FALSE)))</f>
        <v/>
      </c>
      <c r="D573" s="161" t="str">
        <f>IF(ISNA(VLOOKUP(A573,Declarations!B$6:F$293,4,FALSE)),"",IF(VLOOKUP(A573,Declarations!B$6:F$293,4,FALSE)="","",VLOOKUP(A573,Declarations!B$6:F$293,4,FALSE)))</f>
        <v/>
      </c>
      <c r="E573" s="161" t="str">
        <f>IF(ISNA(VLOOKUP(A573,Declarations!B$6:D$293,3,FALSE)),"",IF(VLOOKUP(A573,Declarations!B$6:D$293,3,FALSE)="","",VLOOKUP(A573,Declarations!B$6:D$293,3,FALSE)))</f>
        <v/>
      </c>
      <c r="F573" s="51" t="str">
        <f>IF(B573="","",IF(ISNA(VLOOKUP(A573,'75m'!F$5:G$302,2,FALSE)),"",VLOOKUP(A573,'75m'!F$5:G$302,2,FALSE)))</f>
        <v/>
      </c>
      <c r="G573" s="51">
        <f>IF(B573="",0,IF(ISNA(_xlfn.XLOOKUP(A573,'75m'!F$5:F$302,'75m'!M$5:M$302)),0,_xlfn.XLOOKUP(A573,'75m'!F$5:F$302,'75m'!M$5:M$302)))</f>
        <v>0</v>
      </c>
      <c r="H573" s="51" t="str">
        <f>IF(B573="","",IF(ISNA(VLOOKUP(A573,'75m'!F$5:K$302,5,FALSE)),"",VLOOKUP(A573,'75m'!F$5:K$302,5,FALSE)))</f>
        <v/>
      </c>
      <c r="I573" s="53">
        <f>IF(B573="",0,IF(ISNA(VLOOKUP(A573,'600m'!F$5:J$302,2,FALSE)),0,VLOOKUP(A573,'600m'!F$5:J$302,2,FALSE)))</f>
        <v>0</v>
      </c>
      <c r="J573" s="51">
        <f>IF(B573="",0,IF(ISNA(_xlfn.XLOOKUP(A573,'600m'!F$5:F$302,'600m'!M$5:M$302)),0,_xlfn.XLOOKUP(A573,'600m'!F$5:F$302,'600m'!M$5:M$302)))</f>
        <v>0</v>
      </c>
      <c r="K573" s="51" t="str">
        <f>IF(B573="","",IF(ISNA(VLOOKUP(A573,'600m'!F$5:K$302,5,FALSE)),"",VLOOKUP(A573,'600m'!F$5:K$302,5,FALSE)))</f>
        <v/>
      </c>
      <c r="L573" s="51" t="str">
        <f>IF(B573="","",IF(ISNA(VLOOKUP(A573,LongJump!F$5:G$302,2,FALSE)),"",VLOOKUP(A573,LongJump!F$5:G$302,2,FALSE)))</f>
        <v/>
      </c>
      <c r="M573" s="51">
        <f>IF(B573="",0,IF(ISNA(_xlfn.XLOOKUP(A573,LongJump!F$5:F$302,LongJump!M$5:M$302)),0,_xlfn.XLOOKUP(A573,LongJump!F$5:F$302,LongJump!M$5:M$302)))</f>
        <v>0</v>
      </c>
      <c r="N573" s="51">
        <f>IF(B573="",0,IF(ISNA(VLOOKUP(A573,LongJump!F$5:K$302,5,FALSE)),0,VLOOKUP(A573,LongJump!F$5:K$302,5,FALSE)))</f>
        <v>0</v>
      </c>
      <c r="O573" s="51" t="str">
        <f>IF(B573="","",IF(ISNA(VLOOKUP(A573,Vortex!F$5:J$302,2,FALSE)),"",VLOOKUP(A573,Vortex!F$5:J$302,2,FALSE)))</f>
        <v/>
      </c>
      <c r="P573" s="51">
        <f>IF(B573="",0,IF(ISNA(_xlfn.XLOOKUP(A573,Vortex!F$5:F$302,Vortex!M$5:M$302)),0,_xlfn.XLOOKUP(A573,Vortex!F$5:F$302,Vortex!M$5:M$302)))</f>
        <v>0</v>
      </c>
      <c r="Q573" s="51">
        <f t="shared" si="68"/>
        <v>0</v>
      </c>
      <c r="R573" s="51" t="str">
        <f t="shared" si="69"/>
        <v/>
      </c>
      <c r="S573" s="51" t="str">
        <f t="shared" si="70"/>
        <v/>
      </c>
      <c r="T573" s="51" t="str">
        <f t="shared" si="71"/>
        <v/>
      </c>
      <c r="U573" s="51" t="str">
        <f t="shared" si="72"/>
        <v/>
      </c>
    </row>
    <row r="574" spans="1:21">
      <c r="A574" s="51" t="str">
        <f>IF(Declarations!B202=0,"",Declarations!B202)</f>
        <v/>
      </c>
      <c r="B574" s="161" t="str">
        <f>IF(ISNA(VLOOKUP(A574,Declarations!B$6:C$293,2,FALSE)),"",IF(VLOOKUP(A574,Declarations!B$6:C$293,2,FALSE)="","",VLOOKUP(A574,Declarations!B$6:C$293,2,FALSE)))</f>
        <v/>
      </c>
      <c r="C574" s="161" t="str">
        <f>IF(ISNA(VLOOKUP(A574,Declarations!B$6:F$293,5,FALSE)),"",IF(VLOOKUP(A574,Declarations!B$6:F$293,5,FALSE)="","",VLOOKUP(A574,Declarations!B$6:F$293,5,FALSE)))</f>
        <v/>
      </c>
      <c r="D574" s="161" t="str">
        <f>IF(ISNA(VLOOKUP(A574,Declarations!B$6:F$293,4,FALSE)),"",IF(VLOOKUP(A574,Declarations!B$6:F$293,4,FALSE)="","",VLOOKUP(A574,Declarations!B$6:F$293,4,FALSE)))</f>
        <v/>
      </c>
      <c r="E574" s="161" t="str">
        <f>IF(ISNA(VLOOKUP(A574,Declarations!B$6:D$293,3,FALSE)),"",IF(VLOOKUP(A574,Declarations!B$6:D$293,3,FALSE)="","",VLOOKUP(A574,Declarations!B$6:D$293,3,FALSE)))</f>
        <v/>
      </c>
      <c r="F574" s="51" t="str">
        <f>IF(B574="","",IF(ISNA(VLOOKUP(A574,'75m'!F$5:G$302,2,FALSE)),"",VLOOKUP(A574,'75m'!F$5:G$302,2,FALSE)))</f>
        <v/>
      </c>
      <c r="G574" s="51">
        <f>IF(B574="",0,IF(ISNA(_xlfn.XLOOKUP(A574,'75m'!F$5:F$302,'75m'!M$5:M$302)),0,_xlfn.XLOOKUP(A574,'75m'!F$5:F$302,'75m'!M$5:M$302)))</f>
        <v>0</v>
      </c>
      <c r="H574" s="51" t="str">
        <f>IF(B574="","",IF(ISNA(VLOOKUP(A574,'75m'!F$5:K$302,5,FALSE)),"",VLOOKUP(A574,'75m'!F$5:K$302,5,FALSE)))</f>
        <v/>
      </c>
      <c r="I574" s="53">
        <f>IF(B574="",0,IF(ISNA(VLOOKUP(A574,'600m'!F$5:J$302,2,FALSE)),0,VLOOKUP(A574,'600m'!F$5:J$302,2,FALSE)))</f>
        <v>0</v>
      </c>
      <c r="J574" s="51">
        <f>IF(B574="",0,IF(ISNA(_xlfn.XLOOKUP(A574,'600m'!F$5:F$302,'600m'!M$5:M$302)),0,_xlfn.XLOOKUP(A574,'600m'!F$5:F$302,'600m'!M$5:M$302)))</f>
        <v>0</v>
      </c>
      <c r="K574" s="51" t="str">
        <f>IF(B574="","",IF(ISNA(VLOOKUP(A574,'600m'!F$5:K$302,5,FALSE)),"",VLOOKUP(A574,'600m'!F$5:K$302,5,FALSE)))</f>
        <v/>
      </c>
      <c r="L574" s="51" t="str">
        <f>IF(B574="","",IF(ISNA(VLOOKUP(A574,LongJump!F$5:G$302,2,FALSE)),"",VLOOKUP(A574,LongJump!F$5:G$302,2,FALSE)))</f>
        <v/>
      </c>
      <c r="M574" s="51">
        <f>IF(B574="",0,IF(ISNA(_xlfn.XLOOKUP(A574,LongJump!F$5:F$302,LongJump!M$5:M$302)),0,_xlfn.XLOOKUP(A574,LongJump!F$5:F$302,LongJump!M$5:M$302)))</f>
        <v>0</v>
      </c>
      <c r="N574" s="51">
        <f>IF(B574="",0,IF(ISNA(VLOOKUP(A574,LongJump!F$5:K$302,5,FALSE)),0,VLOOKUP(A574,LongJump!F$5:K$302,5,FALSE)))</f>
        <v>0</v>
      </c>
      <c r="O574" s="51" t="str">
        <f>IF(B574="","",IF(ISNA(VLOOKUP(A574,Vortex!F$5:J$302,2,FALSE)),"",VLOOKUP(A574,Vortex!F$5:J$302,2,FALSE)))</f>
        <v/>
      </c>
      <c r="P574" s="51">
        <f>IF(B574="",0,IF(ISNA(_xlfn.XLOOKUP(A574,Vortex!F$5:F$302,Vortex!M$5:M$302)),0,_xlfn.XLOOKUP(A574,Vortex!F$5:F$302,Vortex!M$5:M$302)))</f>
        <v>0</v>
      </c>
      <c r="Q574" s="51">
        <f t="shared" si="68"/>
        <v>0</v>
      </c>
      <c r="R574" s="51" t="str">
        <f t="shared" si="69"/>
        <v/>
      </c>
      <c r="S574" s="51" t="str">
        <f t="shared" si="70"/>
        <v/>
      </c>
      <c r="T574" s="51" t="str">
        <f t="shared" si="71"/>
        <v/>
      </c>
      <c r="U574" s="51" t="str">
        <f t="shared" si="72"/>
        <v/>
      </c>
    </row>
    <row r="575" spans="1:21">
      <c r="A575" s="51" t="str">
        <f>IF(Declarations!B203=0,"",Declarations!B203)</f>
        <v/>
      </c>
      <c r="B575" s="161" t="str">
        <f>IF(ISNA(VLOOKUP(A575,Declarations!B$6:C$293,2,FALSE)),"",IF(VLOOKUP(A575,Declarations!B$6:C$293,2,FALSE)="","",VLOOKUP(A575,Declarations!B$6:C$293,2,FALSE)))</f>
        <v/>
      </c>
      <c r="C575" s="161" t="str">
        <f>IF(ISNA(VLOOKUP(A575,Declarations!B$6:F$293,5,FALSE)),"",IF(VLOOKUP(A575,Declarations!B$6:F$293,5,FALSE)="","",VLOOKUP(A575,Declarations!B$6:F$293,5,FALSE)))</f>
        <v/>
      </c>
      <c r="D575" s="161" t="str">
        <f>IF(ISNA(VLOOKUP(A575,Declarations!B$6:F$293,4,FALSE)),"",IF(VLOOKUP(A575,Declarations!B$6:F$293,4,FALSE)="","",VLOOKUP(A575,Declarations!B$6:F$293,4,FALSE)))</f>
        <v/>
      </c>
      <c r="E575" s="161" t="str">
        <f>IF(ISNA(VLOOKUP(A575,Declarations!B$6:D$293,3,FALSE)),"",IF(VLOOKUP(A575,Declarations!B$6:D$293,3,FALSE)="","",VLOOKUP(A575,Declarations!B$6:D$293,3,FALSE)))</f>
        <v/>
      </c>
      <c r="F575" s="51" t="str">
        <f>IF(B575="","",IF(ISNA(VLOOKUP(A575,'75m'!F$5:G$302,2,FALSE)),"",VLOOKUP(A575,'75m'!F$5:G$302,2,FALSE)))</f>
        <v/>
      </c>
      <c r="G575" s="51">
        <f>IF(B575="",0,IF(ISNA(_xlfn.XLOOKUP(A575,'75m'!F$5:F$302,'75m'!M$5:M$302)),0,_xlfn.XLOOKUP(A575,'75m'!F$5:F$302,'75m'!M$5:M$302)))</f>
        <v>0</v>
      </c>
      <c r="H575" s="51" t="str">
        <f>IF(B575="","",IF(ISNA(VLOOKUP(A575,'75m'!F$5:K$302,5,FALSE)),"",VLOOKUP(A575,'75m'!F$5:K$302,5,FALSE)))</f>
        <v/>
      </c>
      <c r="I575" s="53">
        <f>IF(B575="",0,IF(ISNA(VLOOKUP(A575,'600m'!F$5:J$302,2,FALSE)),0,VLOOKUP(A575,'600m'!F$5:J$302,2,FALSE)))</f>
        <v>0</v>
      </c>
      <c r="J575" s="51">
        <f>IF(B575="",0,IF(ISNA(_xlfn.XLOOKUP(A575,'600m'!F$5:F$302,'600m'!M$5:M$302)),0,_xlfn.XLOOKUP(A575,'600m'!F$5:F$302,'600m'!M$5:M$302)))</f>
        <v>0</v>
      </c>
      <c r="K575" s="51" t="str">
        <f>IF(B575="","",IF(ISNA(VLOOKUP(A575,'600m'!F$5:K$302,5,FALSE)),"",VLOOKUP(A575,'600m'!F$5:K$302,5,FALSE)))</f>
        <v/>
      </c>
      <c r="L575" s="51" t="str">
        <f>IF(B575="","",IF(ISNA(VLOOKUP(A575,LongJump!F$5:G$302,2,FALSE)),"",VLOOKUP(A575,LongJump!F$5:G$302,2,FALSE)))</f>
        <v/>
      </c>
      <c r="M575" s="51">
        <f>IF(B575="",0,IF(ISNA(_xlfn.XLOOKUP(A575,LongJump!F$5:F$302,LongJump!M$5:M$302)),0,_xlfn.XLOOKUP(A575,LongJump!F$5:F$302,LongJump!M$5:M$302)))</f>
        <v>0</v>
      </c>
      <c r="N575" s="51">
        <f>IF(B575="",0,IF(ISNA(VLOOKUP(A575,LongJump!F$5:K$302,5,FALSE)),0,VLOOKUP(A575,LongJump!F$5:K$302,5,FALSE)))</f>
        <v>0</v>
      </c>
      <c r="O575" s="51" t="str">
        <f>IF(B575="","",IF(ISNA(VLOOKUP(A575,Vortex!F$5:J$302,2,FALSE)),"",VLOOKUP(A575,Vortex!F$5:J$302,2,FALSE)))</f>
        <v/>
      </c>
      <c r="P575" s="51">
        <f>IF(B575="",0,IF(ISNA(_xlfn.XLOOKUP(A575,Vortex!F$5:F$302,Vortex!M$5:M$302)),0,_xlfn.XLOOKUP(A575,Vortex!F$5:F$302,Vortex!M$5:M$302)))</f>
        <v>0</v>
      </c>
      <c r="Q575" s="51">
        <f t="shared" si="68"/>
        <v>0</v>
      </c>
      <c r="R575" s="51" t="str">
        <f t="shared" si="69"/>
        <v/>
      </c>
      <c r="S575" s="51" t="str">
        <f t="shared" si="70"/>
        <v/>
      </c>
      <c r="T575" s="51" t="str">
        <f t="shared" si="71"/>
        <v/>
      </c>
      <c r="U575" s="51" t="str">
        <f t="shared" si="72"/>
        <v/>
      </c>
    </row>
    <row r="576" spans="1:21">
      <c r="A576" s="51" t="str">
        <f>IF(Declarations!B204=0,"",Declarations!B204)</f>
        <v/>
      </c>
      <c r="B576" s="161" t="str">
        <f>IF(ISNA(VLOOKUP(A576,Declarations!B$6:C$293,2,FALSE)),"",IF(VLOOKUP(A576,Declarations!B$6:C$293,2,FALSE)="","",VLOOKUP(A576,Declarations!B$6:C$293,2,FALSE)))</f>
        <v/>
      </c>
      <c r="C576" s="161" t="str">
        <f>IF(ISNA(VLOOKUP(A576,Declarations!B$6:F$293,5,FALSE)),"",IF(VLOOKUP(A576,Declarations!B$6:F$293,5,FALSE)="","",VLOOKUP(A576,Declarations!B$6:F$293,5,FALSE)))</f>
        <v/>
      </c>
      <c r="D576" s="161" t="str">
        <f>IF(ISNA(VLOOKUP(A576,Declarations!B$6:F$293,4,FALSE)),"",IF(VLOOKUP(A576,Declarations!B$6:F$293,4,FALSE)="","",VLOOKUP(A576,Declarations!B$6:F$293,4,FALSE)))</f>
        <v/>
      </c>
      <c r="E576" s="161" t="str">
        <f>IF(ISNA(VLOOKUP(A576,Declarations!B$6:D$293,3,FALSE)),"",IF(VLOOKUP(A576,Declarations!B$6:D$293,3,FALSE)="","",VLOOKUP(A576,Declarations!B$6:D$293,3,FALSE)))</f>
        <v/>
      </c>
      <c r="F576" s="51" t="str">
        <f>IF(B576="","",IF(ISNA(VLOOKUP(A576,'75m'!F$5:G$302,2,FALSE)),"",VLOOKUP(A576,'75m'!F$5:G$302,2,FALSE)))</f>
        <v/>
      </c>
      <c r="G576" s="51">
        <f>IF(B576="",0,IF(ISNA(_xlfn.XLOOKUP(A576,'75m'!F$5:F$302,'75m'!M$5:M$302)),0,_xlfn.XLOOKUP(A576,'75m'!F$5:F$302,'75m'!M$5:M$302)))</f>
        <v>0</v>
      </c>
      <c r="H576" s="51" t="str">
        <f>IF(B576="","",IF(ISNA(VLOOKUP(A576,'75m'!F$5:K$302,5,FALSE)),"",VLOOKUP(A576,'75m'!F$5:K$302,5,FALSE)))</f>
        <v/>
      </c>
      <c r="I576" s="53">
        <f>IF(B576="",0,IF(ISNA(VLOOKUP(A576,'600m'!F$5:J$302,2,FALSE)),0,VLOOKUP(A576,'600m'!F$5:J$302,2,FALSE)))</f>
        <v>0</v>
      </c>
      <c r="J576" s="51">
        <f>IF(B576="",0,IF(ISNA(_xlfn.XLOOKUP(A576,'600m'!F$5:F$302,'600m'!M$5:M$302)),0,_xlfn.XLOOKUP(A576,'600m'!F$5:F$302,'600m'!M$5:M$302)))</f>
        <v>0</v>
      </c>
      <c r="K576" s="51" t="str">
        <f>IF(B576="","",IF(ISNA(VLOOKUP(A576,'600m'!F$5:K$302,5,FALSE)),"",VLOOKUP(A576,'600m'!F$5:K$302,5,FALSE)))</f>
        <v/>
      </c>
      <c r="L576" s="51" t="str">
        <f>IF(B576="","",IF(ISNA(VLOOKUP(A576,LongJump!F$5:G$302,2,FALSE)),"",VLOOKUP(A576,LongJump!F$5:G$302,2,FALSE)))</f>
        <v/>
      </c>
      <c r="M576" s="51">
        <f>IF(B576="",0,IF(ISNA(_xlfn.XLOOKUP(A576,LongJump!F$5:F$302,LongJump!M$5:M$302)),0,_xlfn.XLOOKUP(A576,LongJump!F$5:F$302,LongJump!M$5:M$302)))</f>
        <v>0</v>
      </c>
      <c r="N576" s="51">
        <f>IF(B576="",0,IF(ISNA(VLOOKUP(A576,LongJump!F$5:K$302,5,FALSE)),0,VLOOKUP(A576,LongJump!F$5:K$302,5,FALSE)))</f>
        <v>0</v>
      </c>
      <c r="O576" s="51" t="str">
        <f>IF(B576="","",IF(ISNA(VLOOKUP(A576,Vortex!F$5:J$302,2,FALSE)),"",VLOOKUP(A576,Vortex!F$5:J$302,2,FALSE)))</f>
        <v/>
      </c>
      <c r="P576" s="51">
        <f>IF(B576="",0,IF(ISNA(_xlfn.XLOOKUP(A576,Vortex!F$5:F$302,Vortex!M$5:M$302)),0,_xlfn.XLOOKUP(A576,Vortex!F$5:F$302,Vortex!M$5:M$302)))</f>
        <v>0</v>
      </c>
      <c r="Q576" s="51">
        <f t="shared" si="68"/>
        <v>0</v>
      </c>
      <c r="R576" s="51" t="str">
        <f t="shared" si="69"/>
        <v/>
      </c>
      <c r="S576" s="51" t="str">
        <f t="shared" si="70"/>
        <v/>
      </c>
      <c r="T576" s="51" t="str">
        <f t="shared" si="71"/>
        <v/>
      </c>
      <c r="U576" s="51" t="str">
        <f t="shared" si="72"/>
        <v/>
      </c>
    </row>
    <row r="577" spans="1:21">
      <c r="A577" s="51" t="str">
        <f>IF(Declarations!B205=0,"",Declarations!B205)</f>
        <v/>
      </c>
      <c r="B577" s="161" t="str">
        <f>IF(ISNA(VLOOKUP(A577,Declarations!B$6:C$293,2,FALSE)),"",IF(VLOOKUP(A577,Declarations!B$6:C$293,2,FALSE)="","",VLOOKUP(A577,Declarations!B$6:C$293,2,FALSE)))</f>
        <v/>
      </c>
      <c r="C577" s="161" t="str">
        <f>IF(ISNA(VLOOKUP(A577,Declarations!B$6:F$293,5,FALSE)),"",IF(VLOOKUP(A577,Declarations!B$6:F$293,5,FALSE)="","",VLOOKUP(A577,Declarations!B$6:F$293,5,FALSE)))</f>
        <v/>
      </c>
      <c r="D577" s="161" t="str">
        <f>IF(ISNA(VLOOKUP(A577,Declarations!B$6:F$293,4,FALSE)),"",IF(VLOOKUP(A577,Declarations!B$6:F$293,4,FALSE)="","",VLOOKUP(A577,Declarations!B$6:F$293,4,FALSE)))</f>
        <v/>
      </c>
      <c r="E577" s="161" t="str">
        <f>IF(ISNA(VLOOKUP(A577,Declarations!B$6:D$293,3,FALSE)),"",IF(VLOOKUP(A577,Declarations!B$6:D$293,3,FALSE)="","",VLOOKUP(A577,Declarations!B$6:D$293,3,FALSE)))</f>
        <v/>
      </c>
      <c r="F577" s="51" t="str">
        <f>IF(B577="","",IF(ISNA(VLOOKUP(A577,'75m'!F$5:G$302,2,FALSE)),"",VLOOKUP(A577,'75m'!F$5:G$302,2,FALSE)))</f>
        <v/>
      </c>
      <c r="G577" s="51">
        <f>IF(B577="",0,IF(ISNA(_xlfn.XLOOKUP(A577,'75m'!F$5:F$302,'75m'!M$5:M$302)),0,_xlfn.XLOOKUP(A577,'75m'!F$5:F$302,'75m'!M$5:M$302)))</f>
        <v>0</v>
      </c>
      <c r="H577" s="51" t="str">
        <f>IF(B577="","",IF(ISNA(VLOOKUP(A577,'75m'!F$5:K$302,5,FALSE)),"",VLOOKUP(A577,'75m'!F$5:K$302,5,FALSE)))</f>
        <v/>
      </c>
      <c r="I577" s="53">
        <f>IF(B577="",0,IF(ISNA(VLOOKUP(A577,'600m'!F$5:J$302,2,FALSE)),0,VLOOKUP(A577,'600m'!F$5:J$302,2,FALSE)))</f>
        <v>0</v>
      </c>
      <c r="J577" s="51">
        <f>IF(B577="",0,IF(ISNA(_xlfn.XLOOKUP(A577,'600m'!F$5:F$302,'600m'!M$5:M$302)),0,_xlfn.XLOOKUP(A577,'600m'!F$5:F$302,'600m'!M$5:M$302)))</f>
        <v>0</v>
      </c>
      <c r="K577" s="51" t="str">
        <f>IF(B577="","",IF(ISNA(VLOOKUP(A577,'600m'!F$5:K$302,5,FALSE)),"",VLOOKUP(A577,'600m'!F$5:K$302,5,FALSE)))</f>
        <v/>
      </c>
      <c r="L577" s="51" t="str">
        <f>IF(B577="","",IF(ISNA(VLOOKUP(A577,LongJump!F$5:G$302,2,FALSE)),"",VLOOKUP(A577,LongJump!F$5:G$302,2,FALSE)))</f>
        <v/>
      </c>
      <c r="M577" s="51">
        <f>IF(B577="",0,IF(ISNA(_xlfn.XLOOKUP(A577,LongJump!F$5:F$302,LongJump!M$5:M$302)),0,_xlfn.XLOOKUP(A577,LongJump!F$5:F$302,LongJump!M$5:M$302)))</f>
        <v>0</v>
      </c>
      <c r="N577" s="51">
        <f>IF(B577="",0,IF(ISNA(VLOOKUP(A577,LongJump!F$5:K$302,5,FALSE)),0,VLOOKUP(A577,LongJump!F$5:K$302,5,FALSE)))</f>
        <v>0</v>
      </c>
      <c r="O577" s="51" t="str">
        <f>IF(B577="","",IF(ISNA(VLOOKUP(A577,Vortex!F$5:J$302,2,FALSE)),"",VLOOKUP(A577,Vortex!F$5:J$302,2,FALSE)))</f>
        <v/>
      </c>
      <c r="P577" s="51">
        <f>IF(B577="",0,IF(ISNA(_xlfn.XLOOKUP(A577,Vortex!F$5:F$302,Vortex!M$5:M$302)),0,_xlfn.XLOOKUP(A577,Vortex!F$5:F$302,Vortex!M$5:M$302)))</f>
        <v>0</v>
      </c>
      <c r="Q577" s="51">
        <f t="shared" si="68"/>
        <v>0</v>
      </c>
      <c r="R577" s="51" t="str">
        <f t="shared" si="69"/>
        <v/>
      </c>
      <c r="S577" s="51" t="str">
        <f t="shared" si="70"/>
        <v/>
      </c>
      <c r="T577" s="51" t="str">
        <f t="shared" si="71"/>
        <v/>
      </c>
      <c r="U577" s="51" t="str">
        <f t="shared" si="72"/>
        <v/>
      </c>
    </row>
    <row r="578" spans="1:21">
      <c r="A578" s="51" t="str">
        <f>IF(Declarations!B206=0,"",Declarations!B206)</f>
        <v/>
      </c>
      <c r="B578" s="161" t="str">
        <f>IF(ISNA(VLOOKUP(A578,Declarations!B$6:C$293,2,FALSE)),"",IF(VLOOKUP(A578,Declarations!B$6:C$293,2,FALSE)="","",VLOOKUP(A578,Declarations!B$6:C$293,2,FALSE)))</f>
        <v/>
      </c>
      <c r="C578" s="161" t="str">
        <f>IF(ISNA(VLOOKUP(A578,Declarations!B$6:F$293,5,FALSE)),"",IF(VLOOKUP(A578,Declarations!B$6:F$293,5,FALSE)="","",VLOOKUP(A578,Declarations!B$6:F$293,5,FALSE)))</f>
        <v/>
      </c>
      <c r="D578" s="161" t="str">
        <f>IF(ISNA(VLOOKUP(A578,Declarations!B$6:F$293,4,FALSE)),"",IF(VLOOKUP(A578,Declarations!B$6:F$293,4,FALSE)="","",VLOOKUP(A578,Declarations!B$6:F$293,4,FALSE)))</f>
        <v/>
      </c>
      <c r="E578" s="161" t="str">
        <f>IF(ISNA(VLOOKUP(A578,Declarations!B$6:D$293,3,FALSE)),"",IF(VLOOKUP(A578,Declarations!B$6:D$293,3,FALSE)="","",VLOOKUP(A578,Declarations!B$6:D$293,3,FALSE)))</f>
        <v/>
      </c>
      <c r="F578" s="51" t="str">
        <f>IF(B578="","",IF(ISNA(VLOOKUP(A578,'75m'!F$5:G$302,2,FALSE)),"",VLOOKUP(A578,'75m'!F$5:G$302,2,FALSE)))</f>
        <v/>
      </c>
      <c r="G578" s="51">
        <f>IF(B578="",0,IF(ISNA(_xlfn.XLOOKUP(A578,'75m'!F$5:F$302,'75m'!M$5:M$302)),0,_xlfn.XLOOKUP(A578,'75m'!F$5:F$302,'75m'!M$5:M$302)))</f>
        <v>0</v>
      </c>
      <c r="H578" s="51" t="str">
        <f>IF(B578="","",IF(ISNA(VLOOKUP(A578,'75m'!F$5:K$302,5,FALSE)),"",VLOOKUP(A578,'75m'!F$5:K$302,5,FALSE)))</f>
        <v/>
      </c>
      <c r="I578" s="53">
        <f>IF(B578="",0,IF(ISNA(VLOOKUP(A578,'600m'!F$5:J$302,2,FALSE)),0,VLOOKUP(A578,'600m'!F$5:J$302,2,FALSE)))</f>
        <v>0</v>
      </c>
      <c r="J578" s="51">
        <f>IF(B578="",0,IF(ISNA(_xlfn.XLOOKUP(A578,'600m'!F$5:F$302,'600m'!M$5:M$302)),0,_xlfn.XLOOKUP(A578,'600m'!F$5:F$302,'600m'!M$5:M$302)))</f>
        <v>0</v>
      </c>
      <c r="K578" s="51" t="str">
        <f>IF(B578="","",IF(ISNA(VLOOKUP(A578,'600m'!F$5:K$302,5,FALSE)),"",VLOOKUP(A578,'600m'!F$5:K$302,5,FALSE)))</f>
        <v/>
      </c>
      <c r="L578" s="51" t="str">
        <f>IF(B578="","",IF(ISNA(VLOOKUP(A578,LongJump!F$5:G$302,2,FALSE)),"",VLOOKUP(A578,LongJump!F$5:G$302,2,FALSE)))</f>
        <v/>
      </c>
      <c r="M578" s="51">
        <f>IF(B578="",0,IF(ISNA(_xlfn.XLOOKUP(A578,LongJump!F$5:F$302,LongJump!M$5:M$302)),0,_xlfn.XLOOKUP(A578,LongJump!F$5:F$302,LongJump!M$5:M$302)))</f>
        <v>0</v>
      </c>
      <c r="N578" s="51">
        <f>IF(B578="",0,IF(ISNA(VLOOKUP(A578,LongJump!F$5:K$302,5,FALSE)),0,VLOOKUP(A578,LongJump!F$5:K$302,5,FALSE)))</f>
        <v>0</v>
      </c>
      <c r="O578" s="51" t="str">
        <f>IF(B578="","",IF(ISNA(VLOOKUP(A578,Vortex!F$5:J$302,2,FALSE)),"",VLOOKUP(A578,Vortex!F$5:J$302,2,FALSE)))</f>
        <v/>
      </c>
      <c r="P578" s="51">
        <f>IF(B578="",0,IF(ISNA(_xlfn.XLOOKUP(A578,Vortex!F$5:F$302,Vortex!M$5:M$302)),0,_xlfn.XLOOKUP(A578,Vortex!F$5:F$302,Vortex!M$5:M$302)))</f>
        <v>0</v>
      </c>
      <c r="Q578" s="51">
        <f t="shared" si="68"/>
        <v>0</v>
      </c>
      <c r="R578" s="51" t="str">
        <f t="shared" si="69"/>
        <v/>
      </c>
      <c r="S578" s="51" t="str">
        <f t="shared" si="70"/>
        <v/>
      </c>
      <c r="T578" s="51" t="str">
        <f t="shared" si="71"/>
        <v/>
      </c>
      <c r="U578" s="51" t="str">
        <f t="shared" si="72"/>
        <v/>
      </c>
    </row>
    <row r="579" spans="1:21">
      <c r="A579" s="51" t="str">
        <f>IF(Declarations!B207=0,"",Declarations!B207)</f>
        <v/>
      </c>
      <c r="B579" s="161" t="str">
        <f>IF(ISNA(VLOOKUP(A579,Declarations!B$6:C$293,2,FALSE)),"",IF(VLOOKUP(A579,Declarations!B$6:C$293,2,FALSE)="","",VLOOKUP(A579,Declarations!B$6:C$293,2,FALSE)))</f>
        <v/>
      </c>
      <c r="C579" s="161" t="str">
        <f>IF(ISNA(VLOOKUP(A579,Declarations!B$6:F$293,5,FALSE)),"",IF(VLOOKUP(A579,Declarations!B$6:F$293,5,FALSE)="","",VLOOKUP(A579,Declarations!B$6:F$293,5,FALSE)))</f>
        <v/>
      </c>
      <c r="D579" s="161" t="str">
        <f>IF(ISNA(VLOOKUP(A579,Declarations!B$6:F$293,4,FALSE)),"",IF(VLOOKUP(A579,Declarations!B$6:F$293,4,FALSE)="","",VLOOKUP(A579,Declarations!B$6:F$293,4,FALSE)))</f>
        <v/>
      </c>
      <c r="E579" s="161" t="str">
        <f>IF(ISNA(VLOOKUP(A579,Declarations!B$6:D$293,3,FALSE)),"",IF(VLOOKUP(A579,Declarations!B$6:D$293,3,FALSE)="","",VLOOKUP(A579,Declarations!B$6:D$293,3,FALSE)))</f>
        <v/>
      </c>
      <c r="F579" s="51" t="str">
        <f>IF(B579="","",IF(ISNA(VLOOKUP(A579,'75m'!F$5:G$302,2,FALSE)),"",VLOOKUP(A579,'75m'!F$5:G$302,2,FALSE)))</f>
        <v/>
      </c>
      <c r="G579" s="51">
        <f>IF(B579="",0,IF(ISNA(_xlfn.XLOOKUP(A579,'75m'!F$5:F$302,'75m'!M$5:M$302)),0,_xlfn.XLOOKUP(A579,'75m'!F$5:F$302,'75m'!M$5:M$302)))</f>
        <v>0</v>
      </c>
      <c r="H579" s="51" t="str">
        <f>IF(B579="","",IF(ISNA(VLOOKUP(A579,'75m'!F$5:K$302,5,FALSE)),"",VLOOKUP(A579,'75m'!F$5:K$302,5,FALSE)))</f>
        <v/>
      </c>
      <c r="I579" s="53">
        <f>IF(B579="",0,IF(ISNA(VLOOKUP(A579,'600m'!F$5:J$302,2,FALSE)),0,VLOOKUP(A579,'600m'!F$5:J$302,2,FALSE)))</f>
        <v>0</v>
      </c>
      <c r="J579" s="51">
        <f>IF(B579="",0,IF(ISNA(_xlfn.XLOOKUP(A579,'600m'!F$5:F$302,'600m'!M$5:M$302)),0,_xlfn.XLOOKUP(A579,'600m'!F$5:F$302,'600m'!M$5:M$302)))</f>
        <v>0</v>
      </c>
      <c r="K579" s="51" t="str">
        <f>IF(B579="","",IF(ISNA(VLOOKUP(A579,'600m'!F$5:K$302,5,FALSE)),"",VLOOKUP(A579,'600m'!F$5:K$302,5,FALSE)))</f>
        <v/>
      </c>
      <c r="L579" s="51" t="str">
        <f>IF(B579="","",IF(ISNA(VLOOKUP(A579,LongJump!F$5:G$302,2,FALSE)),"",VLOOKUP(A579,LongJump!F$5:G$302,2,FALSE)))</f>
        <v/>
      </c>
      <c r="M579" s="51">
        <f>IF(B579="",0,IF(ISNA(_xlfn.XLOOKUP(A579,LongJump!F$5:F$302,LongJump!M$5:M$302)),0,_xlfn.XLOOKUP(A579,LongJump!F$5:F$302,LongJump!M$5:M$302)))</f>
        <v>0</v>
      </c>
      <c r="N579" s="51">
        <f>IF(B579="",0,IF(ISNA(VLOOKUP(A579,LongJump!F$5:K$302,5,FALSE)),0,VLOOKUP(A579,LongJump!F$5:K$302,5,FALSE)))</f>
        <v>0</v>
      </c>
      <c r="O579" s="51" t="str">
        <f>IF(B579="","",IF(ISNA(VLOOKUP(A579,Vortex!F$5:J$302,2,FALSE)),"",VLOOKUP(A579,Vortex!F$5:J$302,2,FALSE)))</f>
        <v/>
      </c>
      <c r="P579" s="51">
        <f>IF(B579="",0,IF(ISNA(_xlfn.XLOOKUP(A579,Vortex!F$5:F$302,Vortex!M$5:M$302)),0,_xlfn.XLOOKUP(A579,Vortex!F$5:F$302,Vortex!M$5:M$302)))</f>
        <v>0</v>
      </c>
      <c r="Q579" s="51">
        <f t="shared" si="68"/>
        <v>0</v>
      </c>
      <c r="R579" s="51" t="str">
        <f t="shared" si="69"/>
        <v/>
      </c>
      <c r="S579" s="51" t="str">
        <f t="shared" si="70"/>
        <v/>
      </c>
      <c r="T579" s="51" t="str">
        <f t="shared" si="71"/>
        <v/>
      </c>
      <c r="U579" s="51" t="str">
        <f t="shared" si="72"/>
        <v/>
      </c>
    </row>
    <row r="580" spans="1:21">
      <c r="A580" s="51" t="str">
        <f>IF(Declarations!B208=0,"",Declarations!B208)</f>
        <v/>
      </c>
      <c r="B580" s="161" t="str">
        <f>IF(ISNA(VLOOKUP(A580,Declarations!B$6:C$293,2,FALSE)),"",IF(VLOOKUP(A580,Declarations!B$6:C$293,2,FALSE)="","",VLOOKUP(A580,Declarations!B$6:C$293,2,FALSE)))</f>
        <v/>
      </c>
      <c r="C580" s="161" t="str">
        <f>IF(ISNA(VLOOKUP(A580,Declarations!B$6:F$293,5,FALSE)),"",IF(VLOOKUP(A580,Declarations!B$6:F$293,5,FALSE)="","",VLOOKUP(A580,Declarations!B$6:F$293,5,FALSE)))</f>
        <v/>
      </c>
      <c r="D580" s="161" t="str">
        <f>IF(ISNA(VLOOKUP(A580,Declarations!B$6:F$293,4,FALSE)),"",IF(VLOOKUP(A580,Declarations!B$6:F$293,4,FALSE)="","",VLOOKUP(A580,Declarations!B$6:F$293,4,FALSE)))</f>
        <v/>
      </c>
      <c r="E580" s="161" t="str">
        <f>IF(ISNA(VLOOKUP(A580,Declarations!B$6:D$293,3,FALSE)),"",IF(VLOOKUP(A580,Declarations!B$6:D$293,3,FALSE)="","",VLOOKUP(A580,Declarations!B$6:D$293,3,FALSE)))</f>
        <v/>
      </c>
      <c r="F580" s="51" t="str">
        <f>IF(B580="","",IF(ISNA(VLOOKUP(A580,'75m'!F$5:G$302,2,FALSE)),"",VLOOKUP(A580,'75m'!F$5:G$302,2,FALSE)))</f>
        <v/>
      </c>
      <c r="G580" s="51">
        <f>IF(B580="",0,IF(ISNA(_xlfn.XLOOKUP(A580,'75m'!F$5:F$302,'75m'!M$5:M$302)),0,_xlfn.XLOOKUP(A580,'75m'!F$5:F$302,'75m'!M$5:M$302)))</f>
        <v>0</v>
      </c>
      <c r="H580" s="51" t="str">
        <f>IF(B580="","",IF(ISNA(VLOOKUP(A580,'75m'!F$5:K$302,5,FALSE)),"",VLOOKUP(A580,'75m'!F$5:K$302,5,FALSE)))</f>
        <v/>
      </c>
      <c r="I580" s="53">
        <f>IF(B580="",0,IF(ISNA(VLOOKUP(A580,'600m'!F$5:J$302,2,FALSE)),0,VLOOKUP(A580,'600m'!F$5:J$302,2,FALSE)))</f>
        <v>0</v>
      </c>
      <c r="J580" s="51">
        <f>IF(B580="",0,IF(ISNA(_xlfn.XLOOKUP(A580,'600m'!F$5:F$302,'600m'!M$5:M$302)),0,_xlfn.XLOOKUP(A580,'600m'!F$5:F$302,'600m'!M$5:M$302)))</f>
        <v>0</v>
      </c>
      <c r="K580" s="51" t="str">
        <f>IF(B580="","",IF(ISNA(VLOOKUP(A580,'600m'!F$5:K$302,5,FALSE)),"",VLOOKUP(A580,'600m'!F$5:K$302,5,FALSE)))</f>
        <v/>
      </c>
      <c r="L580" s="51" t="str">
        <f>IF(B580="","",IF(ISNA(VLOOKUP(A580,LongJump!F$5:G$302,2,FALSE)),"",VLOOKUP(A580,LongJump!F$5:G$302,2,FALSE)))</f>
        <v/>
      </c>
      <c r="M580" s="51">
        <f>IF(B580="",0,IF(ISNA(_xlfn.XLOOKUP(A580,LongJump!F$5:F$302,LongJump!M$5:M$302)),0,_xlfn.XLOOKUP(A580,LongJump!F$5:F$302,LongJump!M$5:M$302)))</f>
        <v>0</v>
      </c>
      <c r="N580" s="51">
        <f>IF(B580="",0,IF(ISNA(VLOOKUP(A580,LongJump!F$5:K$302,5,FALSE)),0,VLOOKUP(A580,LongJump!F$5:K$302,5,FALSE)))</f>
        <v>0</v>
      </c>
      <c r="O580" s="51" t="str">
        <f>IF(B580="","",IF(ISNA(VLOOKUP(A580,Vortex!F$5:J$302,2,FALSE)),"",VLOOKUP(A580,Vortex!F$5:J$302,2,FALSE)))</f>
        <v/>
      </c>
      <c r="P580" s="51">
        <f>IF(B580="",0,IF(ISNA(_xlfn.XLOOKUP(A580,Vortex!F$5:F$302,Vortex!M$5:M$302)),0,_xlfn.XLOOKUP(A580,Vortex!F$5:F$302,Vortex!M$5:M$302)))</f>
        <v>0</v>
      </c>
      <c r="Q580" s="51">
        <f t="shared" si="68"/>
        <v>0</v>
      </c>
      <c r="R580" s="51" t="str">
        <f t="shared" si="69"/>
        <v/>
      </c>
      <c r="S580" s="51" t="str">
        <f t="shared" si="70"/>
        <v/>
      </c>
      <c r="T580" s="51" t="str">
        <f t="shared" si="71"/>
        <v/>
      </c>
      <c r="U580" s="51" t="str">
        <f t="shared" si="72"/>
        <v/>
      </c>
    </row>
    <row r="581" spans="1:21">
      <c r="A581" s="51" t="str">
        <f>IF(Declarations!B209=0,"",Declarations!B209)</f>
        <v/>
      </c>
      <c r="B581" s="161" t="str">
        <f>IF(ISNA(VLOOKUP(A581,Declarations!B$6:C$293,2,FALSE)),"",IF(VLOOKUP(A581,Declarations!B$6:C$293,2,FALSE)="","",VLOOKUP(A581,Declarations!B$6:C$293,2,FALSE)))</f>
        <v/>
      </c>
      <c r="C581" s="161" t="str">
        <f>IF(ISNA(VLOOKUP(A581,Declarations!B$6:F$293,5,FALSE)),"",IF(VLOOKUP(A581,Declarations!B$6:F$293,5,FALSE)="","",VLOOKUP(A581,Declarations!B$6:F$293,5,FALSE)))</f>
        <v/>
      </c>
      <c r="D581" s="161" t="str">
        <f>IF(ISNA(VLOOKUP(A581,Declarations!B$6:F$293,4,FALSE)),"",IF(VLOOKUP(A581,Declarations!B$6:F$293,4,FALSE)="","",VLOOKUP(A581,Declarations!B$6:F$293,4,FALSE)))</f>
        <v/>
      </c>
      <c r="E581" s="161" t="str">
        <f>IF(ISNA(VLOOKUP(A581,Declarations!B$6:D$293,3,FALSE)),"",IF(VLOOKUP(A581,Declarations!B$6:D$293,3,FALSE)="","",VLOOKUP(A581,Declarations!B$6:D$293,3,FALSE)))</f>
        <v/>
      </c>
      <c r="F581" s="51" t="str">
        <f>IF(B581="","",IF(ISNA(VLOOKUP(A581,'75m'!F$5:G$302,2,FALSE)),"",VLOOKUP(A581,'75m'!F$5:G$302,2,FALSE)))</f>
        <v/>
      </c>
      <c r="G581" s="51">
        <f>IF(B581="",0,IF(ISNA(_xlfn.XLOOKUP(A581,'75m'!F$5:F$302,'75m'!M$5:M$302)),0,_xlfn.XLOOKUP(A581,'75m'!F$5:F$302,'75m'!M$5:M$302)))</f>
        <v>0</v>
      </c>
      <c r="H581" s="51" t="str">
        <f>IF(B581="","",IF(ISNA(VLOOKUP(A581,'75m'!F$5:K$302,5,FALSE)),"",VLOOKUP(A581,'75m'!F$5:K$302,5,FALSE)))</f>
        <v/>
      </c>
      <c r="I581" s="53">
        <f>IF(B581="",0,IF(ISNA(VLOOKUP(A581,'600m'!F$5:J$302,2,FALSE)),0,VLOOKUP(A581,'600m'!F$5:J$302,2,FALSE)))</f>
        <v>0</v>
      </c>
      <c r="J581" s="51">
        <f>IF(B581="",0,IF(ISNA(_xlfn.XLOOKUP(A581,'600m'!F$5:F$302,'600m'!M$5:M$302)),0,_xlfn.XLOOKUP(A581,'600m'!F$5:F$302,'600m'!M$5:M$302)))</f>
        <v>0</v>
      </c>
      <c r="K581" s="51" t="str">
        <f>IF(B581="","",IF(ISNA(VLOOKUP(A581,'600m'!F$5:K$302,5,FALSE)),"",VLOOKUP(A581,'600m'!F$5:K$302,5,FALSE)))</f>
        <v/>
      </c>
      <c r="L581" s="51" t="str">
        <f>IF(B581="","",IF(ISNA(VLOOKUP(A581,LongJump!F$5:G$302,2,FALSE)),"",VLOOKUP(A581,LongJump!F$5:G$302,2,FALSE)))</f>
        <v/>
      </c>
      <c r="M581" s="51">
        <f>IF(B581="",0,IF(ISNA(_xlfn.XLOOKUP(A581,LongJump!F$5:F$302,LongJump!M$5:M$302)),0,_xlfn.XLOOKUP(A581,LongJump!F$5:F$302,LongJump!M$5:M$302)))</f>
        <v>0</v>
      </c>
      <c r="N581" s="51">
        <f>IF(B581="",0,IF(ISNA(VLOOKUP(A581,LongJump!F$5:K$302,5,FALSE)),0,VLOOKUP(A581,LongJump!F$5:K$302,5,FALSE)))</f>
        <v>0</v>
      </c>
      <c r="O581" s="51" t="str">
        <f>IF(B581="","",IF(ISNA(VLOOKUP(A581,Vortex!F$5:J$302,2,FALSE)),"",VLOOKUP(A581,Vortex!F$5:J$302,2,FALSE)))</f>
        <v/>
      </c>
      <c r="P581" s="51">
        <f>IF(B581="",0,IF(ISNA(_xlfn.XLOOKUP(A581,Vortex!F$5:F$302,Vortex!M$5:M$302)),0,_xlfn.XLOOKUP(A581,Vortex!F$5:F$302,Vortex!M$5:M$302)))</f>
        <v>0</v>
      </c>
      <c r="Q581" s="51">
        <f t="shared" si="68"/>
        <v>0</v>
      </c>
      <c r="R581" s="51" t="str">
        <f t="shared" si="69"/>
        <v/>
      </c>
      <c r="S581" s="51" t="str">
        <f t="shared" si="70"/>
        <v/>
      </c>
      <c r="T581" s="51" t="str">
        <f t="shared" si="71"/>
        <v/>
      </c>
      <c r="U581" s="51" t="str">
        <f t="shared" si="72"/>
        <v/>
      </c>
    </row>
    <row r="582" spans="1:21">
      <c r="A582" s="51" t="str">
        <f>IF(Declarations!B210=0,"",Declarations!B210)</f>
        <v/>
      </c>
      <c r="B582" s="161" t="str">
        <f>IF(ISNA(VLOOKUP(A582,Declarations!B$6:C$293,2,FALSE)),"",IF(VLOOKUP(A582,Declarations!B$6:C$293,2,FALSE)="","",VLOOKUP(A582,Declarations!B$6:C$293,2,FALSE)))</f>
        <v/>
      </c>
      <c r="C582" s="161" t="str">
        <f>IF(ISNA(VLOOKUP(A582,Declarations!B$6:F$293,5,FALSE)),"",IF(VLOOKUP(A582,Declarations!B$6:F$293,5,FALSE)="","",VLOOKUP(A582,Declarations!B$6:F$293,5,FALSE)))</f>
        <v/>
      </c>
      <c r="D582" s="161" t="str">
        <f>IF(ISNA(VLOOKUP(A582,Declarations!B$6:F$293,4,FALSE)),"",IF(VLOOKUP(A582,Declarations!B$6:F$293,4,FALSE)="","",VLOOKUP(A582,Declarations!B$6:F$293,4,FALSE)))</f>
        <v/>
      </c>
      <c r="E582" s="161" t="str">
        <f>IF(ISNA(VLOOKUP(A582,Declarations!B$6:D$293,3,FALSE)),"",IF(VLOOKUP(A582,Declarations!B$6:D$293,3,FALSE)="","",VLOOKUP(A582,Declarations!B$6:D$293,3,FALSE)))</f>
        <v/>
      </c>
      <c r="F582" s="51" t="str">
        <f>IF(B582="","",IF(ISNA(VLOOKUP(A582,'75m'!F$5:G$302,2,FALSE)),"",VLOOKUP(A582,'75m'!F$5:G$302,2,FALSE)))</f>
        <v/>
      </c>
      <c r="G582" s="51">
        <f>IF(B582="",0,IF(ISNA(_xlfn.XLOOKUP(A582,'75m'!F$5:F$302,'75m'!M$5:M$302)),0,_xlfn.XLOOKUP(A582,'75m'!F$5:F$302,'75m'!M$5:M$302)))</f>
        <v>0</v>
      </c>
      <c r="H582" s="51" t="str">
        <f>IF(B582="","",IF(ISNA(VLOOKUP(A582,'75m'!F$5:K$302,5,FALSE)),"",VLOOKUP(A582,'75m'!F$5:K$302,5,FALSE)))</f>
        <v/>
      </c>
      <c r="I582" s="53">
        <f>IF(B582="",0,IF(ISNA(VLOOKUP(A582,'600m'!F$5:J$302,2,FALSE)),0,VLOOKUP(A582,'600m'!F$5:J$302,2,FALSE)))</f>
        <v>0</v>
      </c>
      <c r="J582" s="51">
        <f>IF(B582="",0,IF(ISNA(_xlfn.XLOOKUP(A582,'600m'!F$5:F$302,'600m'!M$5:M$302)),0,_xlfn.XLOOKUP(A582,'600m'!F$5:F$302,'600m'!M$5:M$302)))</f>
        <v>0</v>
      </c>
      <c r="K582" s="51" t="str">
        <f>IF(B582="","",IF(ISNA(VLOOKUP(A582,'600m'!F$5:K$302,5,FALSE)),"",VLOOKUP(A582,'600m'!F$5:K$302,5,FALSE)))</f>
        <v/>
      </c>
      <c r="L582" s="51" t="str">
        <f>IF(B582="","",IF(ISNA(VLOOKUP(A582,LongJump!F$5:G$302,2,FALSE)),"",VLOOKUP(A582,LongJump!F$5:G$302,2,FALSE)))</f>
        <v/>
      </c>
      <c r="M582" s="51">
        <f>IF(B582="",0,IF(ISNA(_xlfn.XLOOKUP(A582,LongJump!F$5:F$302,LongJump!M$5:M$302)),0,_xlfn.XLOOKUP(A582,LongJump!F$5:F$302,LongJump!M$5:M$302)))</f>
        <v>0</v>
      </c>
      <c r="N582" s="51">
        <f>IF(B582="",0,IF(ISNA(VLOOKUP(A582,LongJump!F$5:K$302,5,FALSE)),0,VLOOKUP(A582,LongJump!F$5:K$302,5,FALSE)))</f>
        <v>0</v>
      </c>
      <c r="O582" s="51" t="str">
        <f>IF(B582="","",IF(ISNA(VLOOKUP(A582,Vortex!F$5:J$302,2,FALSE)),"",VLOOKUP(A582,Vortex!F$5:J$302,2,FALSE)))</f>
        <v/>
      </c>
      <c r="P582" s="51">
        <f>IF(B582="",0,IF(ISNA(_xlfn.XLOOKUP(A582,Vortex!F$5:F$302,Vortex!M$5:M$302)),0,_xlfn.XLOOKUP(A582,Vortex!F$5:F$302,Vortex!M$5:M$302)))</f>
        <v>0</v>
      </c>
      <c r="Q582" s="51">
        <f t="shared" si="68"/>
        <v>0</v>
      </c>
      <c r="R582" s="51" t="str">
        <f t="shared" si="69"/>
        <v/>
      </c>
      <c r="S582" s="51" t="str">
        <f t="shared" si="70"/>
        <v/>
      </c>
      <c r="T582" s="51" t="str">
        <f t="shared" si="71"/>
        <v/>
      </c>
      <c r="U582" s="51" t="str">
        <f t="shared" si="72"/>
        <v/>
      </c>
    </row>
    <row r="583" spans="1:21">
      <c r="A583" s="51" t="str">
        <f>IF(Declarations!B211=0,"",Declarations!B211)</f>
        <v/>
      </c>
      <c r="B583" s="161" t="str">
        <f>IF(ISNA(VLOOKUP(A583,Declarations!B$6:C$293,2,FALSE)),"",IF(VLOOKUP(A583,Declarations!B$6:C$293,2,FALSE)="","",VLOOKUP(A583,Declarations!B$6:C$293,2,FALSE)))</f>
        <v/>
      </c>
      <c r="C583" s="161" t="str">
        <f>IF(ISNA(VLOOKUP(A583,Declarations!B$6:F$293,5,FALSE)),"",IF(VLOOKUP(A583,Declarations!B$6:F$293,5,FALSE)="","",VLOOKUP(A583,Declarations!B$6:F$293,5,FALSE)))</f>
        <v/>
      </c>
      <c r="D583" s="161" t="str">
        <f>IF(ISNA(VLOOKUP(A583,Declarations!B$6:F$293,4,FALSE)),"",IF(VLOOKUP(A583,Declarations!B$6:F$293,4,FALSE)="","",VLOOKUP(A583,Declarations!B$6:F$293,4,FALSE)))</f>
        <v/>
      </c>
      <c r="E583" s="161" t="str">
        <f>IF(ISNA(VLOOKUP(A583,Declarations!B$6:D$293,3,FALSE)),"",IF(VLOOKUP(A583,Declarations!B$6:D$293,3,FALSE)="","",VLOOKUP(A583,Declarations!B$6:D$293,3,FALSE)))</f>
        <v/>
      </c>
      <c r="F583" s="51" t="str">
        <f>IF(B583="","",IF(ISNA(VLOOKUP(A583,'75m'!F$5:G$302,2,FALSE)),"",VLOOKUP(A583,'75m'!F$5:G$302,2,FALSE)))</f>
        <v/>
      </c>
      <c r="G583" s="51">
        <f>IF(B583="",0,IF(ISNA(_xlfn.XLOOKUP(A583,'75m'!F$5:F$302,'75m'!M$5:M$302)),0,_xlfn.XLOOKUP(A583,'75m'!F$5:F$302,'75m'!M$5:M$302)))</f>
        <v>0</v>
      </c>
      <c r="H583" s="51" t="str">
        <f>IF(B583="","",IF(ISNA(VLOOKUP(A583,'75m'!F$5:K$302,5,FALSE)),"",VLOOKUP(A583,'75m'!F$5:K$302,5,FALSE)))</f>
        <v/>
      </c>
      <c r="I583" s="53">
        <f>IF(B583="",0,IF(ISNA(VLOOKUP(A583,'600m'!F$5:J$302,2,FALSE)),0,VLOOKUP(A583,'600m'!F$5:J$302,2,FALSE)))</f>
        <v>0</v>
      </c>
      <c r="J583" s="51">
        <f>IF(B583="",0,IF(ISNA(_xlfn.XLOOKUP(A583,'600m'!F$5:F$302,'600m'!M$5:M$302)),0,_xlfn.XLOOKUP(A583,'600m'!F$5:F$302,'600m'!M$5:M$302)))</f>
        <v>0</v>
      </c>
      <c r="K583" s="51" t="str">
        <f>IF(B583="","",IF(ISNA(VLOOKUP(A583,'600m'!F$5:K$302,5,FALSE)),"",VLOOKUP(A583,'600m'!F$5:K$302,5,FALSE)))</f>
        <v/>
      </c>
      <c r="L583" s="51" t="str">
        <f>IF(B583="","",IF(ISNA(VLOOKUP(A583,LongJump!F$5:G$302,2,FALSE)),"",VLOOKUP(A583,LongJump!F$5:G$302,2,FALSE)))</f>
        <v/>
      </c>
      <c r="M583" s="51">
        <f>IF(B583="",0,IF(ISNA(_xlfn.XLOOKUP(A583,LongJump!F$5:F$302,LongJump!M$5:M$302)),0,_xlfn.XLOOKUP(A583,LongJump!F$5:F$302,LongJump!M$5:M$302)))</f>
        <v>0</v>
      </c>
      <c r="N583" s="51">
        <f>IF(B583="",0,IF(ISNA(VLOOKUP(A583,LongJump!F$5:K$302,5,FALSE)),0,VLOOKUP(A583,LongJump!F$5:K$302,5,FALSE)))</f>
        <v>0</v>
      </c>
      <c r="O583" s="51" t="str">
        <f>IF(B583="","",IF(ISNA(VLOOKUP(A583,Vortex!F$5:J$302,2,FALSE)),"",VLOOKUP(A583,Vortex!F$5:J$302,2,FALSE)))</f>
        <v/>
      </c>
      <c r="P583" s="51">
        <f>IF(B583="",0,IF(ISNA(_xlfn.XLOOKUP(A583,Vortex!F$5:F$302,Vortex!M$5:M$302)),0,_xlfn.XLOOKUP(A583,Vortex!F$5:F$302,Vortex!M$5:M$302)))</f>
        <v>0</v>
      </c>
      <c r="Q583" s="51">
        <f t="shared" si="68"/>
        <v>0</v>
      </c>
      <c r="R583" s="51" t="str">
        <f t="shared" si="69"/>
        <v/>
      </c>
      <c r="S583" s="51" t="str">
        <f t="shared" si="70"/>
        <v/>
      </c>
      <c r="T583" s="51" t="str">
        <f t="shared" si="71"/>
        <v/>
      </c>
      <c r="U583" s="51" t="str">
        <f t="shared" si="72"/>
        <v/>
      </c>
    </row>
    <row r="584" spans="1:21">
      <c r="A584" s="51" t="str">
        <f>IF(Declarations!B212=0,"",Declarations!B212)</f>
        <v/>
      </c>
      <c r="B584" s="161" t="str">
        <f>IF(ISNA(VLOOKUP(A584,Declarations!B$6:C$293,2,FALSE)),"",IF(VLOOKUP(A584,Declarations!B$6:C$293,2,FALSE)="","",VLOOKUP(A584,Declarations!B$6:C$293,2,FALSE)))</f>
        <v/>
      </c>
      <c r="C584" s="161" t="str">
        <f>IF(ISNA(VLOOKUP(A584,Declarations!B$6:F$293,5,FALSE)),"",IF(VLOOKUP(A584,Declarations!B$6:F$293,5,FALSE)="","",VLOOKUP(A584,Declarations!B$6:F$293,5,FALSE)))</f>
        <v/>
      </c>
      <c r="D584" s="161" t="str">
        <f>IF(ISNA(VLOOKUP(A584,Declarations!B$6:F$293,4,FALSE)),"",IF(VLOOKUP(A584,Declarations!B$6:F$293,4,FALSE)="","",VLOOKUP(A584,Declarations!B$6:F$293,4,FALSE)))</f>
        <v/>
      </c>
      <c r="E584" s="161" t="str">
        <f>IF(ISNA(VLOOKUP(A584,Declarations!B$6:D$293,3,FALSE)),"",IF(VLOOKUP(A584,Declarations!B$6:D$293,3,FALSE)="","",VLOOKUP(A584,Declarations!B$6:D$293,3,FALSE)))</f>
        <v/>
      </c>
      <c r="F584" s="51" t="str">
        <f>IF(B584="","",IF(ISNA(VLOOKUP(A584,'75m'!F$5:G$302,2,FALSE)),"",VLOOKUP(A584,'75m'!F$5:G$302,2,FALSE)))</f>
        <v/>
      </c>
      <c r="G584" s="51">
        <f>IF(B584="",0,IF(ISNA(_xlfn.XLOOKUP(A584,'75m'!F$5:F$302,'75m'!M$5:M$302)),0,_xlfn.XLOOKUP(A584,'75m'!F$5:F$302,'75m'!M$5:M$302)))</f>
        <v>0</v>
      </c>
      <c r="H584" s="51" t="str">
        <f>IF(B584="","",IF(ISNA(VLOOKUP(A584,'75m'!F$5:K$302,5,FALSE)),"",VLOOKUP(A584,'75m'!F$5:K$302,5,FALSE)))</f>
        <v/>
      </c>
      <c r="I584" s="53">
        <f>IF(B584="",0,IF(ISNA(VLOOKUP(A584,'600m'!F$5:J$302,2,FALSE)),0,VLOOKUP(A584,'600m'!F$5:J$302,2,FALSE)))</f>
        <v>0</v>
      </c>
      <c r="J584" s="51">
        <f>IF(B584="",0,IF(ISNA(_xlfn.XLOOKUP(A584,'600m'!F$5:F$302,'600m'!M$5:M$302)),0,_xlfn.XLOOKUP(A584,'600m'!F$5:F$302,'600m'!M$5:M$302)))</f>
        <v>0</v>
      </c>
      <c r="K584" s="51" t="str">
        <f>IF(B584="","",IF(ISNA(VLOOKUP(A584,'600m'!F$5:K$302,5,FALSE)),"",VLOOKUP(A584,'600m'!F$5:K$302,5,FALSE)))</f>
        <v/>
      </c>
      <c r="L584" s="51" t="str">
        <f>IF(B584="","",IF(ISNA(VLOOKUP(A584,LongJump!F$5:G$302,2,FALSE)),"",VLOOKUP(A584,LongJump!F$5:G$302,2,FALSE)))</f>
        <v/>
      </c>
      <c r="M584" s="51">
        <f>IF(B584="",0,IF(ISNA(_xlfn.XLOOKUP(A584,LongJump!F$5:F$302,LongJump!M$5:M$302)),0,_xlfn.XLOOKUP(A584,LongJump!F$5:F$302,LongJump!M$5:M$302)))</f>
        <v>0</v>
      </c>
      <c r="N584" s="51">
        <f>IF(B584="",0,IF(ISNA(VLOOKUP(A584,LongJump!F$5:K$302,5,FALSE)),0,VLOOKUP(A584,LongJump!F$5:K$302,5,FALSE)))</f>
        <v>0</v>
      </c>
      <c r="O584" s="51" t="str">
        <f>IF(B584="","",IF(ISNA(VLOOKUP(A584,Vortex!F$5:J$302,2,FALSE)),"",VLOOKUP(A584,Vortex!F$5:J$302,2,FALSE)))</f>
        <v/>
      </c>
      <c r="P584" s="51">
        <f>IF(B584="",0,IF(ISNA(_xlfn.XLOOKUP(A584,Vortex!F$5:F$302,Vortex!M$5:M$302)),0,_xlfn.XLOOKUP(A584,Vortex!F$5:F$302,Vortex!M$5:M$302)))</f>
        <v>0</v>
      </c>
      <c r="Q584" s="51">
        <f t="shared" si="68"/>
        <v>0</v>
      </c>
      <c r="R584" s="51" t="str">
        <f t="shared" si="69"/>
        <v/>
      </c>
      <c r="S584" s="51" t="str">
        <f t="shared" si="70"/>
        <v/>
      </c>
      <c r="T584" s="51" t="str">
        <f t="shared" si="71"/>
        <v/>
      </c>
      <c r="U584" s="51" t="str">
        <f t="shared" si="72"/>
        <v/>
      </c>
    </row>
    <row r="585" spans="1:21">
      <c r="A585" s="51" t="str">
        <f>IF(Declarations!B213=0,"",Declarations!B213)</f>
        <v/>
      </c>
      <c r="B585" s="161" t="str">
        <f>IF(ISNA(VLOOKUP(A585,Declarations!B$6:C$293,2,FALSE)),"",IF(VLOOKUP(A585,Declarations!B$6:C$293,2,FALSE)="","",VLOOKUP(A585,Declarations!B$6:C$293,2,FALSE)))</f>
        <v/>
      </c>
      <c r="C585" s="161" t="str">
        <f>IF(ISNA(VLOOKUP(A585,Declarations!B$6:F$293,5,FALSE)),"",IF(VLOOKUP(A585,Declarations!B$6:F$293,5,FALSE)="","",VLOOKUP(A585,Declarations!B$6:F$293,5,FALSE)))</f>
        <v/>
      </c>
      <c r="D585" s="161" t="str">
        <f>IF(ISNA(VLOOKUP(A585,Declarations!B$6:F$293,4,FALSE)),"",IF(VLOOKUP(A585,Declarations!B$6:F$293,4,FALSE)="","",VLOOKUP(A585,Declarations!B$6:F$293,4,FALSE)))</f>
        <v/>
      </c>
      <c r="E585" s="161" t="str">
        <f>IF(ISNA(VLOOKUP(A585,Declarations!B$6:D$293,3,FALSE)),"",IF(VLOOKUP(A585,Declarations!B$6:D$293,3,FALSE)="","",VLOOKUP(A585,Declarations!B$6:D$293,3,FALSE)))</f>
        <v/>
      </c>
      <c r="F585" s="51" t="str">
        <f>IF(B585="","",IF(ISNA(VLOOKUP(A585,'75m'!F$5:G$302,2,FALSE)),"",VLOOKUP(A585,'75m'!F$5:G$302,2,FALSE)))</f>
        <v/>
      </c>
      <c r="G585" s="51">
        <f>IF(B585="",0,IF(ISNA(_xlfn.XLOOKUP(A585,'75m'!F$5:F$302,'75m'!M$5:M$302)),0,_xlfn.XLOOKUP(A585,'75m'!F$5:F$302,'75m'!M$5:M$302)))</f>
        <v>0</v>
      </c>
      <c r="H585" s="51" t="str">
        <f>IF(B585="","",IF(ISNA(VLOOKUP(A585,'75m'!F$5:K$302,5,FALSE)),"",VLOOKUP(A585,'75m'!F$5:K$302,5,FALSE)))</f>
        <v/>
      </c>
      <c r="I585" s="53">
        <f>IF(B585="",0,IF(ISNA(VLOOKUP(A585,'600m'!F$5:J$302,2,FALSE)),0,VLOOKUP(A585,'600m'!F$5:J$302,2,FALSE)))</f>
        <v>0</v>
      </c>
      <c r="J585" s="51">
        <f>IF(B585="",0,IF(ISNA(_xlfn.XLOOKUP(A585,'600m'!F$5:F$302,'600m'!M$5:M$302)),0,_xlfn.XLOOKUP(A585,'600m'!F$5:F$302,'600m'!M$5:M$302)))</f>
        <v>0</v>
      </c>
      <c r="K585" s="51" t="str">
        <f>IF(B585="","",IF(ISNA(VLOOKUP(A585,'600m'!F$5:K$302,5,FALSE)),"",VLOOKUP(A585,'600m'!F$5:K$302,5,FALSE)))</f>
        <v/>
      </c>
      <c r="L585" s="51" t="str">
        <f>IF(B585="","",IF(ISNA(VLOOKUP(A585,LongJump!F$5:G$302,2,FALSE)),"",VLOOKUP(A585,LongJump!F$5:G$302,2,FALSE)))</f>
        <v/>
      </c>
      <c r="M585" s="51">
        <f>IF(B585="",0,IF(ISNA(_xlfn.XLOOKUP(A585,LongJump!F$5:F$302,LongJump!M$5:M$302)),0,_xlfn.XLOOKUP(A585,LongJump!F$5:F$302,LongJump!M$5:M$302)))</f>
        <v>0</v>
      </c>
      <c r="N585" s="51">
        <f>IF(B585="",0,IF(ISNA(VLOOKUP(A585,LongJump!F$5:K$302,5,FALSE)),0,VLOOKUP(A585,LongJump!F$5:K$302,5,FALSE)))</f>
        <v>0</v>
      </c>
      <c r="O585" s="51" t="str">
        <f>IF(B585="","",IF(ISNA(VLOOKUP(A585,Vortex!F$5:J$302,2,FALSE)),"",VLOOKUP(A585,Vortex!F$5:J$302,2,FALSE)))</f>
        <v/>
      </c>
      <c r="P585" s="51">
        <f>IF(B585="",0,IF(ISNA(_xlfn.XLOOKUP(A585,Vortex!F$5:F$302,Vortex!M$5:M$302)),0,_xlfn.XLOOKUP(A585,Vortex!F$5:F$302,Vortex!M$5:M$302)))</f>
        <v>0</v>
      </c>
      <c r="Q585" s="51">
        <f t="shared" si="68"/>
        <v>0</v>
      </c>
      <c r="R585" s="51" t="str">
        <f t="shared" si="69"/>
        <v/>
      </c>
      <c r="S585" s="51" t="str">
        <f t="shared" si="70"/>
        <v/>
      </c>
      <c r="T585" s="51" t="str">
        <f t="shared" si="71"/>
        <v/>
      </c>
      <c r="U585" s="51" t="str">
        <f t="shared" si="72"/>
        <v/>
      </c>
    </row>
    <row r="586" spans="1:21">
      <c r="A586" s="51" t="str">
        <f>IF(Declarations!B214=0,"",Declarations!B214)</f>
        <v/>
      </c>
      <c r="B586" s="161" t="str">
        <f>IF(ISNA(VLOOKUP(A586,Declarations!B$6:C$293,2,FALSE)),"",IF(VLOOKUP(A586,Declarations!B$6:C$293,2,FALSE)="","",VLOOKUP(A586,Declarations!B$6:C$293,2,FALSE)))</f>
        <v/>
      </c>
      <c r="C586" s="161" t="str">
        <f>IF(ISNA(VLOOKUP(A586,Declarations!B$6:F$293,5,FALSE)),"",IF(VLOOKUP(A586,Declarations!B$6:F$293,5,FALSE)="","",VLOOKUP(A586,Declarations!B$6:F$293,5,FALSE)))</f>
        <v/>
      </c>
      <c r="D586" s="161" t="str">
        <f>IF(ISNA(VLOOKUP(A586,Declarations!B$6:F$293,4,FALSE)),"",IF(VLOOKUP(A586,Declarations!B$6:F$293,4,FALSE)="","",VLOOKUP(A586,Declarations!B$6:F$293,4,FALSE)))</f>
        <v/>
      </c>
      <c r="E586" s="161" t="str">
        <f>IF(ISNA(VLOOKUP(A586,Declarations!B$6:D$293,3,FALSE)),"",IF(VLOOKUP(A586,Declarations!B$6:D$293,3,FALSE)="","",VLOOKUP(A586,Declarations!B$6:D$293,3,FALSE)))</f>
        <v/>
      </c>
      <c r="F586" s="51" t="str">
        <f>IF(B586="","",IF(ISNA(VLOOKUP(A586,'75m'!F$5:G$302,2,FALSE)),"",VLOOKUP(A586,'75m'!F$5:G$302,2,FALSE)))</f>
        <v/>
      </c>
      <c r="G586" s="51">
        <f>IF(B586="",0,IF(ISNA(_xlfn.XLOOKUP(A586,'75m'!F$5:F$302,'75m'!M$5:M$302)),0,_xlfn.XLOOKUP(A586,'75m'!F$5:F$302,'75m'!M$5:M$302)))</f>
        <v>0</v>
      </c>
      <c r="H586" s="51" t="str">
        <f>IF(B586="","",IF(ISNA(VLOOKUP(A586,'75m'!F$5:K$302,5,FALSE)),"",VLOOKUP(A586,'75m'!F$5:K$302,5,FALSE)))</f>
        <v/>
      </c>
      <c r="I586" s="53">
        <f>IF(B586="",0,IF(ISNA(VLOOKUP(A586,'600m'!F$5:J$302,2,FALSE)),0,VLOOKUP(A586,'600m'!F$5:J$302,2,FALSE)))</f>
        <v>0</v>
      </c>
      <c r="J586" s="51">
        <f>IF(B586="",0,IF(ISNA(_xlfn.XLOOKUP(A586,'600m'!F$5:F$302,'600m'!M$5:M$302)),0,_xlfn.XLOOKUP(A586,'600m'!F$5:F$302,'600m'!M$5:M$302)))</f>
        <v>0</v>
      </c>
      <c r="K586" s="51" t="str">
        <f>IF(B586="","",IF(ISNA(VLOOKUP(A586,'600m'!F$5:K$302,5,FALSE)),"",VLOOKUP(A586,'600m'!F$5:K$302,5,FALSE)))</f>
        <v/>
      </c>
      <c r="L586" s="51" t="str">
        <f>IF(B586="","",IF(ISNA(VLOOKUP(A586,LongJump!F$5:G$302,2,FALSE)),"",VLOOKUP(A586,LongJump!F$5:G$302,2,FALSE)))</f>
        <v/>
      </c>
      <c r="M586" s="51">
        <f>IF(B586="",0,IF(ISNA(_xlfn.XLOOKUP(A586,LongJump!F$5:F$302,LongJump!M$5:M$302)),0,_xlfn.XLOOKUP(A586,LongJump!F$5:F$302,LongJump!M$5:M$302)))</f>
        <v>0</v>
      </c>
      <c r="N586" s="51">
        <f>IF(B586="",0,IF(ISNA(VLOOKUP(A586,LongJump!F$5:K$302,5,FALSE)),0,VLOOKUP(A586,LongJump!F$5:K$302,5,FALSE)))</f>
        <v>0</v>
      </c>
      <c r="O586" s="51" t="str">
        <f>IF(B586="","",IF(ISNA(VLOOKUP(A586,Vortex!F$5:J$302,2,FALSE)),"",VLOOKUP(A586,Vortex!F$5:J$302,2,FALSE)))</f>
        <v/>
      </c>
      <c r="P586" s="51">
        <f>IF(B586="",0,IF(ISNA(_xlfn.XLOOKUP(A586,Vortex!F$5:F$302,Vortex!M$5:M$302)),0,_xlfn.XLOOKUP(A586,Vortex!F$5:F$302,Vortex!M$5:M$302)))</f>
        <v>0</v>
      </c>
      <c r="Q586" s="51">
        <f t="shared" si="68"/>
        <v>0</v>
      </c>
      <c r="R586" s="51" t="str">
        <f t="shared" si="69"/>
        <v/>
      </c>
      <c r="S586" s="51" t="str">
        <f t="shared" si="70"/>
        <v/>
      </c>
      <c r="T586" s="51" t="str">
        <f t="shared" si="71"/>
        <v/>
      </c>
      <c r="U586" s="51" t="str">
        <f t="shared" si="72"/>
        <v/>
      </c>
    </row>
    <row r="587" spans="1:21">
      <c r="A587" s="51" t="str">
        <f>IF(Declarations!B215=0,"",Declarations!B215)</f>
        <v/>
      </c>
      <c r="B587" s="161" t="str">
        <f>IF(ISNA(VLOOKUP(A587,Declarations!B$6:C$293,2,FALSE)),"",IF(VLOOKUP(A587,Declarations!B$6:C$293,2,FALSE)="","",VLOOKUP(A587,Declarations!B$6:C$293,2,FALSE)))</f>
        <v/>
      </c>
      <c r="C587" s="161" t="str">
        <f>IF(ISNA(VLOOKUP(A587,Declarations!B$6:F$293,5,FALSE)),"",IF(VLOOKUP(A587,Declarations!B$6:F$293,5,FALSE)="","",VLOOKUP(A587,Declarations!B$6:F$293,5,FALSE)))</f>
        <v/>
      </c>
      <c r="D587" s="161" t="str">
        <f>IF(ISNA(VLOOKUP(A587,Declarations!B$6:F$293,4,FALSE)),"",IF(VLOOKUP(A587,Declarations!B$6:F$293,4,FALSE)="","",VLOOKUP(A587,Declarations!B$6:F$293,4,FALSE)))</f>
        <v/>
      </c>
      <c r="E587" s="161" t="str">
        <f>IF(ISNA(VLOOKUP(A587,Declarations!B$6:D$293,3,FALSE)),"",IF(VLOOKUP(A587,Declarations!B$6:D$293,3,FALSE)="","",VLOOKUP(A587,Declarations!B$6:D$293,3,FALSE)))</f>
        <v/>
      </c>
      <c r="F587" s="51" t="str">
        <f>IF(B587="","",IF(ISNA(VLOOKUP(A587,'75m'!F$5:G$302,2,FALSE)),"",VLOOKUP(A587,'75m'!F$5:G$302,2,FALSE)))</f>
        <v/>
      </c>
      <c r="G587" s="51">
        <f>IF(B587="",0,IF(ISNA(_xlfn.XLOOKUP(A587,'75m'!F$5:F$302,'75m'!M$5:M$302)),0,_xlfn.XLOOKUP(A587,'75m'!F$5:F$302,'75m'!M$5:M$302)))</f>
        <v>0</v>
      </c>
      <c r="H587" s="51" t="str">
        <f>IF(B587="","",IF(ISNA(VLOOKUP(A587,'75m'!F$5:K$302,5,FALSE)),"",VLOOKUP(A587,'75m'!F$5:K$302,5,FALSE)))</f>
        <v/>
      </c>
      <c r="I587" s="53">
        <f>IF(B587="",0,IF(ISNA(VLOOKUP(A587,'600m'!F$5:J$302,2,FALSE)),0,VLOOKUP(A587,'600m'!F$5:J$302,2,FALSE)))</f>
        <v>0</v>
      </c>
      <c r="J587" s="51">
        <f>IF(B587="",0,IF(ISNA(_xlfn.XLOOKUP(A587,'600m'!F$5:F$302,'600m'!M$5:M$302)),0,_xlfn.XLOOKUP(A587,'600m'!F$5:F$302,'600m'!M$5:M$302)))</f>
        <v>0</v>
      </c>
      <c r="K587" s="51" t="str">
        <f>IF(B587="","",IF(ISNA(VLOOKUP(A587,'600m'!F$5:K$302,5,FALSE)),"",VLOOKUP(A587,'600m'!F$5:K$302,5,FALSE)))</f>
        <v/>
      </c>
      <c r="L587" s="51" t="str">
        <f>IF(B587="","",IF(ISNA(VLOOKUP(A587,LongJump!F$5:G$302,2,FALSE)),"",VLOOKUP(A587,LongJump!F$5:G$302,2,FALSE)))</f>
        <v/>
      </c>
      <c r="M587" s="51">
        <f>IF(B587="",0,IF(ISNA(_xlfn.XLOOKUP(A587,LongJump!F$5:F$302,LongJump!M$5:M$302)),0,_xlfn.XLOOKUP(A587,LongJump!F$5:F$302,LongJump!M$5:M$302)))</f>
        <v>0</v>
      </c>
      <c r="N587" s="51">
        <f>IF(B587="",0,IF(ISNA(VLOOKUP(A587,LongJump!F$5:K$302,5,FALSE)),0,VLOOKUP(A587,LongJump!F$5:K$302,5,FALSE)))</f>
        <v>0</v>
      </c>
      <c r="O587" s="51" t="str">
        <f>IF(B587="","",IF(ISNA(VLOOKUP(A587,Vortex!F$5:J$302,2,FALSE)),"",VLOOKUP(A587,Vortex!F$5:J$302,2,FALSE)))</f>
        <v/>
      </c>
      <c r="P587" s="51">
        <f>IF(B587="",0,IF(ISNA(_xlfn.XLOOKUP(A587,Vortex!F$5:F$302,Vortex!M$5:M$302)),0,_xlfn.XLOOKUP(A587,Vortex!F$5:F$302,Vortex!M$5:M$302)))</f>
        <v>0</v>
      </c>
      <c r="Q587" s="51">
        <f t="shared" si="68"/>
        <v>0</v>
      </c>
      <c r="R587" s="51" t="str">
        <f t="shared" si="69"/>
        <v/>
      </c>
      <c r="S587" s="51" t="str">
        <f t="shared" si="70"/>
        <v/>
      </c>
      <c r="T587" s="51" t="str">
        <f t="shared" si="71"/>
        <v/>
      </c>
      <c r="U587" s="51" t="str">
        <f t="shared" si="72"/>
        <v/>
      </c>
    </row>
    <row r="588" spans="1:21">
      <c r="A588" s="51" t="str">
        <f>IF(Declarations!B216=0,"",Declarations!B216)</f>
        <v/>
      </c>
      <c r="B588" s="161" t="str">
        <f>IF(ISNA(VLOOKUP(A588,Declarations!B$6:C$293,2,FALSE)),"",IF(VLOOKUP(A588,Declarations!B$6:C$293,2,FALSE)="","",VLOOKUP(A588,Declarations!B$6:C$293,2,FALSE)))</f>
        <v/>
      </c>
      <c r="C588" s="161" t="str">
        <f>IF(ISNA(VLOOKUP(A588,Declarations!B$6:F$293,5,FALSE)),"",IF(VLOOKUP(A588,Declarations!B$6:F$293,5,FALSE)="","",VLOOKUP(A588,Declarations!B$6:F$293,5,FALSE)))</f>
        <v/>
      </c>
      <c r="D588" s="161" t="str">
        <f>IF(ISNA(VLOOKUP(A588,Declarations!B$6:F$293,4,FALSE)),"",IF(VLOOKUP(A588,Declarations!B$6:F$293,4,FALSE)="","",VLOOKUP(A588,Declarations!B$6:F$293,4,FALSE)))</f>
        <v/>
      </c>
      <c r="E588" s="161" t="str">
        <f>IF(ISNA(VLOOKUP(A588,Declarations!B$6:D$293,3,FALSE)),"",IF(VLOOKUP(A588,Declarations!B$6:D$293,3,FALSE)="","",VLOOKUP(A588,Declarations!B$6:D$293,3,FALSE)))</f>
        <v/>
      </c>
      <c r="F588" s="51" t="str">
        <f>IF(B588="","",IF(ISNA(VLOOKUP(A588,'75m'!F$5:G$302,2,FALSE)),"",VLOOKUP(A588,'75m'!F$5:G$302,2,FALSE)))</f>
        <v/>
      </c>
      <c r="G588" s="51">
        <f>IF(B588="",0,IF(ISNA(_xlfn.XLOOKUP(A588,'75m'!F$5:F$302,'75m'!M$5:M$302)),0,_xlfn.XLOOKUP(A588,'75m'!F$5:F$302,'75m'!M$5:M$302)))</f>
        <v>0</v>
      </c>
      <c r="H588" s="51" t="str">
        <f>IF(B588="","",IF(ISNA(VLOOKUP(A588,'75m'!F$5:K$302,5,FALSE)),"",VLOOKUP(A588,'75m'!F$5:K$302,5,FALSE)))</f>
        <v/>
      </c>
      <c r="I588" s="53">
        <f>IF(B588="",0,IF(ISNA(VLOOKUP(A588,'600m'!F$5:J$302,2,FALSE)),0,VLOOKUP(A588,'600m'!F$5:J$302,2,FALSE)))</f>
        <v>0</v>
      </c>
      <c r="J588" s="51">
        <f>IF(B588="",0,IF(ISNA(_xlfn.XLOOKUP(A588,'600m'!F$5:F$302,'600m'!M$5:M$302)),0,_xlfn.XLOOKUP(A588,'600m'!F$5:F$302,'600m'!M$5:M$302)))</f>
        <v>0</v>
      </c>
      <c r="K588" s="51" t="str">
        <f>IF(B588="","",IF(ISNA(VLOOKUP(A588,'600m'!F$5:K$302,5,FALSE)),"",VLOOKUP(A588,'600m'!F$5:K$302,5,FALSE)))</f>
        <v/>
      </c>
      <c r="L588" s="51" t="str">
        <f>IF(B588="","",IF(ISNA(VLOOKUP(A588,LongJump!F$5:G$302,2,FALSE)),"",VLOOKUP(A588,LongJump!F$5:G$302,2,FALSE)))</f>
        <v/>
      </c>
      <c r="M588" s="51">
        <f>IF(B588="",0,IF(ISNA(_xlfn.XLOOKUP(A588,LongJump!F$5:F$302,LongJump!M$5:M$302)),0,_xlfn.XLOOKUP(A588,LongJump!F$5:F$302,LongJump!M$5:M$302)))</f>
        <v>0</v>
      </c>
      <c r="N588" s="51">
        <f>IF(B588="",0,IF(ISNA(VLOOKUP(A588,LongJump!F$5:K$302,5,FALSE)),0,VLOOKUP(A588,LongJump!F$5:K$302,5,FALSE)))</f>
        <v>0</v>
      </c>
      <c r="O588" s="51" t="str">
        <f>IF(B588="","",IF(ISNA(VLOOKUP(A588,Vortex!F$5:J$302,2,FALSE)),"",VLOOKUP(A588,Vortex!F$5:J$302,2,FALSE)))</f>
        <v/>
      </c>
      <c r="P588" s="51">
        <f>IF(B588="",0,IF(ISNA(_xlfn.XLOOKUP(A588,Vortex!F$5:F$302,Vortex!M$5:M$302)),0,_xlfn.XLOOKUP(A588,Vortex!F$5:F$302,Vortex!M$5:M$302)))</f>
        <v>0</v>
      </c>
      <c r="Q588" s="51">
        <f t="shared" si="68"/>
        <v>0</v>
      </c>
      <c r="R588" s="51" t="str">
        <f t="shared" si="69"/>
        <v/>
      </c>
      <c r="S588" s="51" t="str">
        <f t="shared" si="70"/>
        <v/>
      </c>
      <c r="T588" s="51" t="str">
        <f t="shared" si="71"/>
        <v/>
      </c>
      <c r="U588" s="51" t="str">
        <f t="shared" si="72"/>
        <v/>
      </c>
    </row>
    <row r="589" spans="1:21">
      <c r="A589" s="51" t="str">
        <f>IF(Declarations!B217=0,"",Declarations!B217)</f>
        <v/>
      </c>
      <c r="B589" s="161" t="str">
        <f>IF(ISNA(VLOOKUP(A589,Declarations!B$6:C$293,2,FALSE)),"",IF(VLOOKUP(A589,Declarations!B$6:C$293,2,FALSE)="","",VLOOKUP(A589,Declarations!B$6:C$293,2,FALSE)))</f>
        <v/>
      </c>
      <c r="C589" s="161" t="str">
        <f>IF(ISNA(VLOOKUP(A589,Declarations!B$6:F$293,5,FALSE)),"",IF(VLOOKUP(A589,Declarations!B$6:F$293,5,FALSE)="","",VLOOKUP(A589,Declarations!B$6:F$293,5,FALSE)))</f>
        <v/>
      </c>
      <c r="D589" s="161" t="str">
        <f>IF(ISNA(VLOOKUP(A589,Declarations!B$6:F$293,4,FALSE)),"",IF(VLOOKUP(A589,Declarations!B$6:F$293,4,FALSE)="","",VLOOKUP(A589,Declarations!B$6:F$293,4,FALSE)))</f>
        <v/>
      </c>
      <c r="E589" s="161" t="str">
        <f>IF(ISNA(VLOOKUP(A589,Declarations!B$6:D$293,3,FALSE)),"",IF(VLOOKUP(A589,Declarations!B$6:D$293,3,FALSE)="","",VLOOKUP(A589,Declarations!B$6:D$293,3,FALSE)))</f>
        <v/>
      </c>
      <c r="F589" s="51" t="str">
        <f>IF(B589="","",IF(ISNA(VLOOKUP(A589,'75m'!F$5:G$302,2,FALSE)),"",VLOOKUP(A589,'75m'!F$5:G$302,2,FALSE)))</f>
        <v/>
      </c>
      <c r="G589" s="51">
        <f>IF(B589="",0,IF(ISNA(_xlfn.XLOOKUP(A589,'75m'!F$5:F$302,'75m'!M$5:M$302)),0,_xlfn.XLOOKUP(A589,'75m'!F$5:F$302,'75m'!M$5:M$302)))</f>
        <v>0</v>
      </c>
      <c r="H589" s="51" t="str">
        <f>IF(B589="","",IF(ISNA(VLOOKUP(A589,'75m'!F$5:K$302,5,FALSE)),"",VLOOKUP(A589,'75m'!F$5:K$302,5,FALSE)))</f>
        <v/>
      </c>
      <c r="I589" s="53">
        <f>IF(B589="",0,IF(ISNA(VLOOKUP(A589,'600m'!F$5:J$302,2,FALSE)),0,VLOOKUP(A589,'600m'!F$5:J$302,2,FALSE)))</f>
        <v>0</v>
      </c>
      <c r="J589" s="51">
        <f>IF(B589="",0,IF(ISNA(_xlfn.XLOOKUP(A589,'600m'!F$5:F$302,'600m'!M$5:M$302)),0,_xlfn.XLOOKUP(A589,'600m'!F$5:F$302,'600m'!M$5:M$302)))</f>
        <v>0</v>
      </c>
      <c r="K589" s="51" t="str">
        <f>IF(B589="","",IF(ISNA(VLOOKUP(A589,'600m'!F$5:K$302,5,FALSE)),"",VLOOKUP(A589,'600m'!F$5:K$302,5,FALSE)))</f>
        <v/>
      </c>
      <c r="L589" s="51" t="str">
        <f>IF(B589="","",IF(ISNA(VLOOKUP(A589,LongJump!F$5:G$302,2,FALSE)),"",VLOOKUP(A589,LongJump!F$5:G$302,2,FALSE)))</f>
        <v/>
      </c>
      <c r="M589" s="51">
        <f>IF(B589="",0,IF(ISNA(_xlfn.XLOOKUP(A589,LongJump!F$5:F$302,LongJump!M$5:M$302)),0,_xlfn.XLOOKUP(A589,LongJump!F$5:F$302,LongJump!M$5:M$302)))</f>
        <v>0</v>
      </c>
      <c r="N589" s="51">
        <f>IF(B589="",0,IF(ISNA(VLOOKUP(A589,LongJump!F$5:K$302,5,FALSE)),0,VLOOKUP(A589,LongJump!F$5:K$302,5,FALSE)))</f>
        <v>0</v>
      </c>
      <c r="O589" s="51" t="str">
        <f>IF(B589="","",IF(ISNA(VLOOKUP(A589,Vortex!F$5:J$302,2,FALSE)),"",VLOOKUP(A589,Vortex!F$5:J$302,2,FALSE)))</f>
        <v/>
      </c>
      <c r="P589" s="51">
        <f>IF(B589="",0,IF(ISNA(_xlfn.XLOOKUP(A589,Vortex!F$5:F$302,Vortex!M$5:M$302)),0,_xlfn.XLOOKUP(A589,Vortex!F$5:F$302,Vortex!M$5:M$302)))</f>
        <v>0</v>
      </c>
      <c r="Q589" s="51">
        <f t="shared" si="68"/>
        <v>0</v>
      </c>
      <c r="R589" s="51" t="str">
        <f t="shared" si="69"/>
        <v/>
      </c>
      <c r="S589" s="51" t="str">
        <f t="shared" si="70"/>
        <v/>
      </c>
      <c r="T589" s="51" t="str">
        <f t="shared" si="71"/>
        <v/>
      </c>
      <c r="U589" s="51" t="str">
        <f t="shared" si="72"/>
        <v/>
      </c>
    </row>
    <row r="590" spans="1:21">
      <c r="A590" s="51" t="str">
        <f>IF(Declarations!B218=0,"",Declarations!B218)</f>
        <v/>
      </c>
      <c r="B590" s="161" t="str">
        <f>IF(ISNA(VLOOKUP(A590,Declarations!B$6:C$293,2,FALSE)),"",IF(VLOOKUP(A590,Declarations!B$6:C$293,2,FALSE)="","",VLOOKUP(A590,Declarations!B$6:C$293,2,FALSE)))</f>
        <v/>
      </c>
      <c r="C590" s="161" t="str">
        <f>IF(ISNA(VLOOKUP(A590,Declarations!B$6:F$293,5,FALSE)),"",IF(VLOOKUP(A590,Declarations!B$6:F$293,5,FALSE)="","",VLOOKUP(A590,Declarations!B$6:F$293,5,FALSE)))</f>
        <v/>
      </c>
      <c r="D590" s="161" t="str">
        <f>IF(ISNA(VLOOKUP(A590,Declarations!B$6:F$293,4,FALSE)),"",IF(VLOOKUP(A590,Declarations!B$6:F$293,4,FALSE)="","",VLOOKUP(A590,Declarations!B$6:F$293,4,FALSE)))</f>
        <v/>
      </c>
      <c r="E590" s="161" t="str">
        <f>IF(ISNA(VLOOKUP(A590,Declarations!B$6:D$293,3,FALSE)),"",IF(VLOOKUP(A590,Declarations!B$6:D$293,3,FALSE)="","",VLOOKUP(A590,Declarations!B$6:D$293,3,FALSE)))</f>
        <v/>
      </c>
      <c r="F590" s="51" t="str">
        <f>IF(B590="","",IF(ISNA(VLOOKUP(A590,'75m'!F$5:G$302,2,FALSE)),"",VLOOKUP(A590,'75m'!F$5:G$302,2,FALSE)))</f>
        <v/>
      </c>
      <c r="G590" s="51">
        <f>IF(B590="",0,IF(ISNA(_xlfn.XLOOKUP(A590,'75m'!F$5:F$302,'75m'!M$5:M$302)),0,_xlfn.XLOOKUP(A590,'75m'!F$5:F$302,'75m'!M$5:M$302)))</f>
        <v>0</v>
      </c>
      <c r="H590" s="51" t="str">
        <f>IF(B590="","",IF(ISNA(VLOOKUP(A590,'75m'!F$5:K$302,5,FALSE)),"",VLOOKUP(A590,'75m'!F$5:K$302,5,FALSE)))</f>
        <v/>
      </c>
      <c r="I590" s="53">
        <f>IF(B590="",0,IF(ISNA(VLOOKUP(A590,'600m'!F$5:J$302,2,FALSE)),0,VLOOKUP(A590,'600m'!F$5:J$302,2,FALSE)))</f>
        <v>0</v>
      </c>
      <c r="J590" s="51">
        <f>IF(B590="",0,IF(ISNA(_xlfn.XLOOKUP(A590,'600m'!F$5:F$302,'600m'!M$5:M$302)),0,_xlfn.XLOOKUP(A590,'600m'!F$5:F$302,'600m'!M$5:M$302)))</f>
        <v>0</v>
      </c>
      <c r="K590" s="51" t="str">
        <f>IF(B590="","",IF(ISNA(VLOOKUP(A590,'600m'!F$5:K$302,5,FALSE)),"",VLOOKUP(A590,'600m'!F$5:K$302,5,FALSE)))</f>
        <v/>
      </c>
      <c r="L590" s="51" t="str">
        <f>IF(B590="","",IF(ISNA(VLOOKUP(A590,LongJump!F$5:G$302,2,FALSE)),"",VLOOKUP(A590,LongJump!F$5:G$302,2,FALSE)))</f>
        <v/>
      </c>
      <c r="M590" s="51">
        <f>IF(B590="",0,IF(ISNA(_xlfn.XLOOKUP(A590,LongJump!F$5:F$302,LongJump!M$5:M$302)),0,_xlfn.XLOOKUP(A590,LongJump!F$5:F$302,LongJump!M$5:M$302)))</f>
        <v>0</v>
      </c>
      <c r="N590" s="51">
        <f>IF(B590="",0,IF(ISNA(VLOOKUP(A590,LongJump!F$5:K$302,5,FALSE)),0,VLOOKUP(A590,LongJump!F$5:K$302,5,FALSE)))</f>
        <v>0</v>
      </c>
      <c r="O590" s="51" t="str">
        <f>IF(B590="","",IF(ISNA(VLOOKUP(A590,Vortex!F$5:J$302,2,FALSE)),"",VLOOKUP(A590,Vortex!F$5:J$302,2,FALSE)))</f>
        <v/>
      </c>
      <c r="P590" s="51">
        <f>IF(B590="",0,IF(ISNA(_xlfn.XLOOKUP(A590,Vortex!F$5:F$302,Vortex!M$5:M$302)),0,_xlfn.XLOOKUP(A590,Vortex!F$5:F$302,Vortex!M$5:M$302)))</f>
        <v>0</v>
      </c>
      <c r="Q590" s="51">
        <f t="shared" si="68"/>
        <v>0</v>
      </c>
      <c r="R590" s="51" t="str">
        <f t="shared" si="69"/>
        <v/>
      </c>
      <c r="S590" s="51" t="str">
        <f t="shared" si="70"/>
        <v/>
      </c>
      <c r="T590" s="51" t="str">
        <f t="shared" si="71"/>
        <v/>
      </c>
      <c r="U590" s="51" t="str">
        <f t="shared" si="72"/>
        <v/>
      </c>
    </row>
    <row r="591" spans="1:21">
      <c r="A591" s="51" t="str">
        <f>IF(Declarations!B219=0,"",Declarations!B219)</f>
        <v/>
      </c>
      <c r="B591" s="161" t="str">
        <f>IF(ISNA(VLOOKUP(A591,Declarations!B$6:C$293,2,FALSE)),"",IF(VLOOKUP(A591,Declarations!B$6:C$293,2,FALSE)="","",VLOOKUP(A591,Declarations!B$6:C$293,2,FALSE)))</f>
        <v/>
      </c>
      <c r="C591" s="161" t="str">
        <f>IF(ISNA(VLOOKUP(A591,Declarations!B$6:F$293,5,FALSE)),"",IF(VLOOKUP(A591,Declarations!B$6:F$293,5,FALSE)="","",VLOOKUP(A591,Declarations!B$6:F$293,5,FALSE)))</f>
        <v/>
      </c>
      <c r="D591" s="161" t="str">
        <f>IF(ISNA(VLOOKUP(A591,Declarations!B$6:F$293,4,FALSE)),"",IF(VLOOKUP(A591,Declarations!B$6:F$293,4,FALSE)="","",VLOOKUP(A591,Declarations!B$6:F$293,4,FALSE)))</f>
        <v/>
      </c>
      <c r="E591" s="161" t="str">
        <f>IF(ISNA(VLOOKUP(A591,Declarations!B$6:D$293,3,FALSE)),"",IF(VLOOKUP(A591,Declarations!B$6:D$293,3,FALSE)="","",VLOOKUP(A591,Declarations!B$6:D$293,3,FALSE)))</f>
        <v/>
      </c>
      <c r="F591" s="51" t="str">
        <f>IF(B591="","",IF(ISNA(VLOOKUP(A591,'75m'!F$5:G$302,2,FALSE)),"",VLOOKUP(A591,'75m'!F$5:G$302,2,FALSE)))</f>
        <v/>
      </c>
      <c r="G591" s="51">
        <f>IF(B591="",0,IF(ISNA(_xlfn.XLOOKUP(A591,'75m'!F$5:F$302,'75m'!M$5:M$302)),0,_xlfn.XLOOKUP(A591,'75m'!F$5:F$302,'75m'!M$5:M$302)))</f>
        <v>0</v>
      </c>
      <c r="H591" s="51" t="str">
        <f>IF(B591="","",IF(ISNA(VLOOKUP(A591,'75m'!F$5:K$302,5,FALSE)),"",VLOOKUP(A591,'75m'!F$5:K$302,5,FALSE)))</f>
        <v/>
      </c>
      <c r="I591" s="53">
        <f>IF(B591="",0,IF(ISNA(VLOOKUP(A591,'600m'!F$5:J$302,2,FALSE)),0,VLOOKUP(A591,'600m'!F$5:J$302,2,FALSE)))</f>
        <v>0</v>
      </c>
      <c r="J591" s="51">
        <f>IF(B591="",0,IF(ISNA(_xlfn.XLOOKUP(A591,'600m'!F$5:F$302,'600m'!M$5:M$302)),0,_xlfn.XLOOKUP(A591,'600m'!F$5:F$302,'600m'!M$5:M$302)))</f>
        <v>0</v>
      </c>
      <c r="K591" s="51" t="str">
        <f>IF(B591="","",IF(ISNA(VLOOKUP(A591,'600m'!F$5:K$302,5,FALSE)),"",VLOOKUP(A591,'600m'!F$5:K$302,5,FALSE)))</f>
        <v/>
      </c>
      <c r="L591" s="51" t="str">
        <f>IF(B591="","",IF(ISNA(VLOOKUP(A591,LongJump!F$5:G$302,2,FALSE)),"",VLOOKUP(A591,LongJump!F$5:G$302,2,FALSE)))</f>
        <v/>
      </c>
      <c r="M591" s="51">
        <f>IF(B591="",0,IF(ISNA(_xlfn.XLOOKUP(A591,LongJump!F$5:F$302,LongJump!M$5:M$302)),0,_xlfn.XLOOKUP(A591,LongJump!F$5:F$302,LongJump!M$5:M$302)))</f>
        <v>0</v>
      </c>
      <c r="N591" s="51">
        <f>IF(B591="",0,IF(ISNA(VLOOKUP(A591,LongJump!F$5:K$302,5,FALSE)),0,VLOOKUP(A591,LongJump!F$5:K$302,5,FALSE)))</f>
        <v>0</v>
      </c>
      <c r="O591" s="51" t="str">
        <f>IF(B591="","",IF(ISNA(VLOOKUP(A591,Vortex!F$5:J$302,2,FALSE)),"",VLOOKUP(A591,Vortex!F$5:J$302,2,FALSE)))</f>
        <v/>
      </c>
      <c r="P591" s="51">
        <f>IF(B591="",0,IF(ISNA(_xlfn.XLOOKUP(A591,Vortex!F$5:F$302,Vortex!M$5:M$302)),0,_xlfn.XLOOKUP(A591,Vortex!F$5:F$302,Vortex!M$5:M$302)))</f>
        <v>0</v>
      </c>
      <c r="Q591" s="51">
        <f t="shared" si="68"/>
        <v>0</v>
      </c>
      <c r="R591" s="51" t="str">
        <f t="shared" si="69"/>
        <v/>
      </c>
      <c r="S591" s="51" t="str">
        <f t="shared" si="70"/>
        <v/>
      </c>
      <c r="T591" s="51" t="str">
        <f t="shared" si="71"/>
        <v/>
      </c>
      <c r="U591" s="51" t="str">
        <f t="shared" si="72"/>
        <v/>
      </c>
    </row>
    <row r="592" spans="1:21">
      <c r="A592" s="51" t="str">
        <f>IF(Declarations!B220=0,"",Declarations!B220)</f>
        <v/>
      </c>
      <c r="B592" s="161" t="str">
        <f>IF(ISNA(VLOOKUP(A592,Declarations!B$6:C$293,2,FALSE)),"",IF(VLOOKUP(A592,Declarations!B$6:C$293,2,FALSE)="","",VLOOKUP(A592,Declarations!B$6:C$293,2,FALSE)))</f>
        <v/>
      </c>
      <c r="C592" s="161" t="str">
        <f>IF(ISNA(VLOOKUP(A592,Declarations!B$6:F$293,5,FALSE)),"",IF(VLOOKUP(A592,Declarations!B$6:F$293,5,FALSE)="","",VLOOKUP(A592,Declarations!B$6:F$293,5,FALSE)))</f>
        <v/>
      </c>
      <c r="D592" s="161" t="str">
        <f>IF(ISNA(VLOOKUP(A592,Declarations!B$6:F$293,4,FALSE)),"",IF(VLOOKUP(A592,Declarations!B$6:F$293,4,FALSE)="","",VLOOKUP(A592,Declarations!B$6:F$293,4,FALSE)))</f>
        <v/>
      </c>
      <c r="E592" s="161" t="str">
        <f>IF(ISNA(VLOOKUP(A592,Declarations!B$6:D$293,3,FALSE)),"",IF(VLOOKUP(A592,Declarations!B$6:D$293,3,FALSE)="","",VLOOKUP(A592,Declarations!B$6:D$293,3,FALSE)))</f>
        <v/>
      </c>
      <c r="F592" s="51" t="str">
        <f>IF(B592="","",IF(ISNA(VLOOKUP(A592,'75m'!F$5:G$302,2,FALSE)),"",VLOOKUP(A592,'75m'!F$5:G$302,2,FALSE)))</f>
        <v/>
      </c>
      <c r="G592" s="51">
        <f>IF(B592="",0,IF(ISNA(_xlfn.XLOOKUP(A592,'75m'!F$5:F$302,'75m'!M$5:M$302)),0,_xlfn.XLOOKUP(A592,'75m'!F$5:F$302,'75m'!M$5:M$302)))</f>
        <v>0</v>
      </c>
      <c r="H592" s="51" t="str">
        <f>IF(B592="","",IF(ISNA(VLOOKUP(A592,'75m'!F$5:K$302,5,FALSE)),"",VLOOKUP(A592,'75m'!F$5:K$302,5,FALSE)))</f>
        <v/>
      </c>
      <c r="I592" s="53">
        <f>IF(B592="",0,IF(ISNA(VLOOKUP(A592,'600m'!F$5:J$302,2,FALSE)),0,VLOOKUP(A592,'600m'!F$5:J$302,2,FALSE)))</f>
        <v>0</v>
      </c>
      <c r="J592" s="51">
        <f>IF(B592="",0,IF(ISNA(_xlfn.XLOOKUP(A592,'600m'!F$5:F$302,'600m'!M$5:M$302)),0,_xlfn.XLOOKUP(A592,'600m'!F$5:F$302,'600m'!M$5:M$302)))</f>
        <v>0</v>
      </c>
      <c r="K592" s="51" t="str">
        <f>IF(B592="","",IF(ISNA(VLOOKUP(A592,'600m'!F$5:K$302,5,FALSE)),"",VLOOKUP(A592,'600m'!F$5:K$302,5,FALSE)))</f>
        <v/>
      </c>
      <c r="L592" s="51" t="str">
        <f>IF(B592="","",IF(ISNA(VLOOKUP(A592,LongJump!F$5:G$302,2,FALSE)),"",VLOOKUP(A592,LongJump!F$5:G$302,2,FALSE)))</f>
        <v/>
      </c>
      <c r="M592" s="51">
        <f>IF(B592="",0,IF(ISNA(_xlfn.XLOOKUP(A592,LongJump!F$5:F$302,LongJump!M$5:M$302)),0,_xlfn.XLOOKUP(A592,LongJump!F$5:F$302,LongJump!M$5:M$302)))</f>
        <v>0</v>
      </c>
      <c r="N592" s="51">
        <f>IF(B592="",0,IF(ISNA(VLOOKUP(A592,LongJump!F$5:K$302,5,FALSE)),0,VLOOKUP(A592,LongJump!F$5:K$302,5,FALSE)))</f>
        <v>0</v>
      </c>
      <c r="O592" s="51" t="str">
        <f>IF(B592="","",IF(ISNA(VLOOKUP(A592,Vortex!F$5:J$302,2,FALSE)),"",VLOOKUP(A592,Vortex!F$5:J$302,2,FALSE)))</f>
        <v/>
      </c>
      <c r="P592" s="51">
        <f>IF(B592="",0,IF(ISNA(_xlfn.XLOOKUP(A592,Vortex!F$5:F$302,Vortex!M$5:M$302)),0,_xlfn.XLOOKUP(A592,Vortex!F$5:F$302,Vortex!M$5:M$302)))</f>
        <v>0</v>
      </c>
      <c r="Q592" s="51">
        <f t="shared" si="68"/>
        <v>0</v>
      </c>
      <c r="R592" s="51" t="str">
        <f t="shared" si="69"/>
        <v/>
      </c>
      <c r="S592" s="51" t="str">
        <f t="shared" si="70"/>
        <v/>
      </c>
      <c r="T592" s="51" t="str">
        <f t="shared" si="71"/>
        <v/>
      </c>
      <c r="U592" s="51" t="str">
        <f t="shared" si="72"/>
        <v/>
      </c>
    </row>
    <row r="593" spans="1:21">
      <c r="A593" s="51" t="str">
        <f>IF(Declarations!B221=0,"",Declarations!B221)</f>
        <v/>
      </c>
      <c r="B593" s="161" t="str">
        <f>IF(ISNA(VLOOKUP(A593,Declarations!B$6:C$293,2,FALSE)),"",IF(VLOOKUP(A593,Declarations!B$6:C$293,2,FALSE)="","",VLOOKUP(A593,Declarations!B$6:C$293,2,FALSE)))</f>
        <v/>
      </c>
      <c r="C593" s="161" t="str">
        <f>IF(ISNA(VLOOKUP(A593,Declarations!B$6:F$293,5,FALSE)),"",IF(VLOOKUP(A593,Declarations!B$6:F$293,5,FALSE)="","",VLOOKUP(A593,Declarations!B$6:F$293,5,FALSE)))</f>
        <v/>
      </c>
      <c r="D593" s="161" t="str">
        <f>IF(ISNA(VLOOKUP(A593,Declarations!B$6:F$293,4,FALSE)),"",IF(VLOOKUP(A593,Declarations!B$6:F$293,4,FALSE)="","",VLOOKUP(A593,Declarations!B$6:F$293,4,FALSE)))</f>
        <v/>
      </c>
      <c r="E593" s="161" t="str">
        <f>IF(ISNA(VLOOKUP(A593,Declarations!B$6:D$293,3,FALSE)),"",IF(VLOOKUP(A593,Declarations!B$6:D$293,3,FALSE)="","",VLOOKUP(A593,Declarations!B$6:D$293,3,FALSE)))</f>
        <v/>
      </c>
      <c r="F593" s="51" t="str">
        <f>IF(B593="","",IF(ISNA(VLOOKUP(A593,'75m'!F$5:G$302,2,FALSE)),"",VLOOKUP(A593,'75m'!F$5:G$302,2,FALSE)))</f>
        <v/>
      </c>
      <c r="G593" s="51">
        <f>IF(B593="",0,IF(ISNA(_xlfn.XLOOKUP(A593,'75m'!F$5:F$302,'75m'!M$5:M$302)),0,_xlfn.XLOOKUP(A593,'75m'!F$5:F$302,'75m'!M$5:M$302)))</f>
        <v>0</v>
      </c>
      <c r="H593" s="51" t="str">
        <f>IF(B593="","",IF(ISNA(VLOOKUP(A593,'75m'!F$5:K$302,5,FALSE)),"",VLOOKUP(A593,'75m'!F$5:K$302,5,FALSE)))</f>
        <v/>
      </c>
      <c r="I593" s="53">
        <f>IF(B593="",0,IF(ISNA(VLOOKUP(A593,'600m'!F$5:J$302,2,FALSE)),0,VLOOKUP(A593,'600m'!F$5:J$302,2,FALSE)))</f>
        <v>0</v>
      </c>
      <c r="J593" s="51">
        <f>IF(B593="",0,IF(ISNA(_xlfn.XLOOKUP(A593,'600m'!F$5:F$302,'600m'!M$5:M$302)),0,_xlfn.XLOOKUP(A593,'600m'!F$5:F$302,'600m'!M$5:M$302)))</f>
        <v>0</v>
      </c>
      <c r="K593" s="51" t="str">
        <f>IF(B593="","",IF(ISNA(VLOOKUP(A593,'600m'!F$5:K$302,5,FALSE)),"",VLOOKUP(A593,'600m'!F$5:K$302,5,FALSE)))</f>
        <v/>
      </c>
      <c r="L593" s="51" t="str">
        <f>IF(B593="","",IF(ISNA(VLOOKUP(A593,LongJump!F$5:G$302,2,FALSE)),"",VLOOKUP(A593,LongJump!F$5:G$302,2,FALSE)))</f>
        <v/>
      </c>
      <c r="M593" s="51">
        <f>IF(B593="",0,IF(ISNA(_xlfn.XLOOKUP(A593,LongJump!F$5:F$302,LongJump!M$5:M$302)),0,_xlfn.XLOOKUP(A593,LongJump!F$5:F$302,LongJump!M$5:M$302)))</f>
        <v>0</v>
      </c>
      <c r="N593" s="51">
        <f>IF(B593="",0,IF(ISNA(VLOOKUP(A593,LongJump!F$5:K$302,5,FALSE)),0,VLOOKUP(A593,LongJump!F$5:K$302,5,FALSE)))</f>
        <v>0</v>
      </c>
      <c r="O593" s="51" t="str">
        <f>IF(B593="","",IF(ISNA(VLOOKUP(A593,Vortex!F$5:J$302,2,FALSE)),"",VLOOKUP(A593,Vortex!F$5:J$302,2,FALSE)))</f>
        <v/>
      </c>
      <c r="P593" s="51">
        <f>IF(B593="",0,IF(ISNA(_xlfn.XLOOKUP(A593,Vortex!F$5:F$302,Vortex!M$5:M$302)),0,_xlfn.XLOOKUP(A593,Vortex!F$5:F$302,Vortex!M$5:M$302)))</f>
        <v>0</v>
      </c>
      <c r="Q593" s="51">
        <f t="shared" si="68"/>
        <v>0</v>
      </c>
      <c r="R593" s="51" t="str">
        <f t="shared" si="69"/>
        <v/>
      </c>
      <c r="S593" s="51" t="str">
        <f t="shared" si="70"/>
        <v/>
      </c>
      <c r="T593" s="51" t="str">
        <f t="shared" si="71"/>
        <v/>
      </c>
      <c r="U593" s="51" t="str">
        <f t="shared" si="72"/>
        <v/>
      </c>
    </row>
    <row r="594" spans="1:21">
      <c r="A594" s="51" t="str">
        <f>IF(Declarations!B222=0,"",Declarations!B222)</f>
        <v/>
      </c>
      <c r="B594" s="161" t="str">
        <f>IF(ISNA(VLOOKUP(A594,Declarations!B$6:C$293,2,FALSE)),"",IF(VLOOKUP(A594,Declarations!B$6:C$293,2,FALSE)="","",VLOOKUP(A594,Declarations!B$6:C$293,2,FALSE)))</f>
        <v/>
      </c>
      <c r="C594" s="161" t="str">
        <f>IF(ISNA(VLOOKUP(A594,Declarations!B$6:F$293,5,FALSE)),"",IF(VLOOKUP(A594,Declarations!B$6:F$293,5,FALSE)="","",VLOOKUP(A594,Declarations!B$6:F$293,5,FALSE)))</f>
        <v/>
      </c>
      <c r="D594" s="161" t="str">
        <f>IF(ISNA(VLOOKUP(A594,Declarations!B$6:F$293,4,FALSE)),"",IF(VLOOKUP(A594,Declarations!B$6:F$293,4,FALSE)="","",VLOOKUP(A594,Declarations!B$6:F$293,4,FALSE)))</f>
        <v/>
      </c>
      <c r="E594" s="161" t="str">
        <f>IF(ISNA(VLOOKUP(A594,Declarations!B$6:D$293,3,FALSE)),"",IF(VLOOKUP(A594,Declarations!B$6:D$293,3,FALSE)="","",VLOOKUP(A594,Declarations!B$6:D$293,3,FALSE)))</f>
        <v/>
      </c>
      <c r="F594" s="51" t="str">
        <f>IF(B594="","",IF(ISNA(VLOOKUP(A594,'75m'!F$5:G$302,2,FALSE)),"",VLOOKUP(A594,'75m'!F$5:G$302,2,FALSE)))</f>
        <v/>
      </c>
      <c r="G594" s="51">
        <f>IF(B594="",0,IF(ISNA(_xlfn.XLOOKUP(A594,'75m'!F$5:F$302,'75m'!M$5:M$302)),0,_xlfn.XLOOKUP(A594,'75m'!F$5:F$302,'75m'!M$5:M$302)))</f>
        <v>0</v>
      </c>
      <c r="H594" s="51" t="str">
        <f>IF(B594="","",IF(ISNA(VLOOKUP(A594,'75m'!F$5:K$302,5,FALSE)),"",VLOOKUP(A594,'75m'!F$5:K$302,5,FALSE)))</f>
        <v/>
      </c>
      <c r="I594" s="53">
        <f>IF(B594="",0,IF(ISNA(VLOOKUP(A594,'600m'!F$5:J$302,2,FALSE)),0,VLOOKUP(A594,'600m'!F$5:J$302,2,FALSE)))</f>
        <v>0</v>
      </c>
      <c r="J594" s="51">
        <f>IF(B594="",0,IF(ISNA(_xlfn.XLOOKUP(A594,'600m'!F$5:F$302,'600m'!M$5:M$302)),0,_xlfn.XLOOKUP(A594,'600m'!F$5:F$302,'600m'!M$5:M$302)))</f>
        <v>0</v>
      </c>
      <c r="K594" s="51" t="str">
        <f>IF(B594="","",IF(ISNA(VLOOKUP(A594,'600m'!F$5:K$302,5,FALSE)),"",VLOOKUP(A594,'600m'!F$5:K$302,5,FALSE)))</f>
        <v/>
      </c>
      <c r="L594" s="51" t="str">
        <f>IF(B594="","",IF(ISNA(VLOOKUP(A594,LongJump!F$5:G$302,2,FALSE)),"",VLOOKUP(A594,LongJump!F$5:G$302,2,FALSE)))</f>
        <v/>
      </c>
      <c r="M594" s="51">
        <f>IF(B594="",0,IF(ISNA(_xlfn.XLOOKUP(A594,LongJump!F$5:F$302,LongJump!M$5:M$302)),0,_xlfn.XLOOKUP(A594,LongJump!F$5:F$302,LongJump!M$5:M$302)))</f>
        <v>0</v>
      </c>
      <c r="N594" s="51">
        <f>IF(B594="",0,IF(ISNA(VLOOKUP(A594,LongJump!F$5:K$302,5,FALSE)),0,VLOOKUP(A594,LongJump!F$5:K$302,5,FALSE)))</f>
        <v>0</v>
      </c>
      <c r="O594" s="51" t="str">
        <f>IF(B594="","",IF(ISNA(VLOOKUP(A594,Vortex!F$5:J$302,2,FALSE)),"",VLOOKUP(A594,Vortex!F$5:J$302,2,FALSE)))</f>
        <v/>
      </c>
      <c r="P594" s="51">
        <f>IF(B594="",0,IF(ISNA(_xlfn.XLOOKUP(A594,Vortex!F$5:F$302,Vortex!M$5:M$302)),0,_xlfn.XLOOKUP(A594,Vortex!F$5:F$302,Vortex!M$5:M$302)))</f>
        <v>0</v>
      </c>
      <c r="Q594" s="51">
        <f t="shared" si="68"/>
        <v>0</v>
      </c>
      <c r="R594" s="51" t="str">
        <f t="shared" si="69"/>
        <v/>
      </c>
      <c r="S594" s="51" t="str">
        <f t="shared" si="70"/>
        <v/>
      </c>
      <c r="T594" s="51" t="str">
        <f t="shared" si="71"/>
        <v/>
      </c>
      <c r="U594" s="51" t="str">
        <f t="shared" si="72"/>
        <v/>
      </c>
    </row>
    <row r="595" spans="1:21">
      <c r="A595" s="51" t="str">
        <f>IF(Declarations!B223=0,"",Declarations!B223)</f>
        <v/>
      </c>
      <c r="B595" s="161" t="str">
        <f>IF(ISNA(VLOOKUP(A595,Declarations!B$6:C$293,2,FALSE)),"",IF(VLOOKUP(A595,Declarations!B$6:C$293,2,FALSE)="","",VLOOKUP(A595,Declarations!B$6:C$293,2,FALSE)))</f>
        <v/>
      </c>
      <c r="C595" s="161" t="str">
        <f>IF(ISNA(VLOOKUP(A595,Declarations!B$6:F$293,5,FALSE)),"",IF(VLOOKUP(A595,Declarations!B$6:F$293,5,FALSE)="","",VLOOKUP(A595,Declarations!B$6:F$293,5,FALSE)))</f>
        <v/>
      </c>
      <c r="D595" s="161" t="str">
        <f>IF(ISNA(VLOOKUP(A595,Declarations!B$6:F$293,4,FALSE)),"",IF(VLOOKUP(A595,Declarations!B$6:F$293,4,FALSE)="","",VLOOKUP(A595,Declarations!B$6:F$293,4,FALSE)))</f>
        <v/>
      </c>
      <c r="E595" s="161" t="str">
        <f>IF(ISNA(VLOOKUP(A595,Declarations!B$6:D$293,3,FALSE)),"",IF(VLOOKUP(A595,Declarations!B$6:D$293,3,FALSE)="","",VLOOKUP(A595,Declarations!B$6:D$293,3,FALSE)))</f>
        <v/>
      </c>
      <c r="F595" s="51" t="str">
        <f>IF(B595="","",IF(ISNA(VLOOKUP(A595,'75m'!F$5:G$302,2,FALSE)),"",VLOOKUP(A595,'75m'!F$5:G$302,2,FALSE)))</f>
        <v/>
      </c>
      <c r="G595" s="51">
        <f>IF(B595="",0,IF(ISNA(_xlfn.XLOOKUP(A595,'75m'!F$5:F$302,'75m'!M$5:M$302)),0,_xlfn.XLOOKUP(A595,'75m'!F$5:F$302,'75m'!M$5:M$302)))</f>
        <v>0</v>
      </c>
      <c r="H595" s="51" t="str">
        <f>IF(B595="","",IF(ISNA(VLOOKUP(A595,'75m'!F$5:K$302,5,FALSE)),"",VLOOKUP(A595,'75m'!F$5:K$302,5,FALSE)))</f>
        <v/>
      </c>
      <c r="I595" s="53">
        <f>IF(B595="",0,IF(ISNA(VLOOKUP(A595,'600m'!F$5:J$302,2,FALSE)),0,VLOOKUP(A595,'600m'!F$5:J$302,2,FALSE)))</f>
        <v>0</v>
      </c>
      <c r="J595" s="51">
        <f>IF(B595="",0,IF(ISNA(_xlfn.XLOOKUP(A595,'600m'!F$5:F$302,'600m'!M$5:M$302)),0,_xlfn.XLOOKUP(A595,'600m'!F$5:F$302,'600m'!M$5:M$302)))</f>
        <v>0</v>
      </c>
      <c r="K595" s="51" t="str">
        <f>IF(B595="","",IF(ISNA(VLOOKUP(A595,'600m'!F$5:K$302,5,FALSE)),"",VLOOKUP(A595,'600m'!F$5:K$302,5,FALSE)))</f>
        <v/>
      </c>
      <c r="L595" s="51" t="str">
        <f>IF(B595="","",IF(ISNA(VLOOKUP(A595,LongJump!F$5:G$302,2,FALSE)),"",VLOOKUP(A595,LongJump!F$5:G$302,2,FALSE)))</f>
        <v/>
      </c>
      <c r="M595" s="51">
        <f>IF(B595="",0,IF(ISNA(_xlfn.XLOOKUP(A595,LongJump!F$5:F$302,LongJump!M$5:M$302)),0,_xlfn.XLOOKUP(A595,LongJump!F$5:F$302,LongJump!M$5:M$302)))</f>
        <v>0</v>
      </c>
      <c r="N595" s="51">
        <f>IF(B595="",0,IF(ISNA(VLOOKUP(A595,LongJump!F$5:K$302,5,FALSE)),0,VLOOKUP(A595,LongJump!F$5:K$302,5,FALSE)))</f>
        <v>0</v>
      </c>
      <c r="O595" s="51" t="str">
        <f>IF(B595="","",IF(ISNA(VLOOKUP(A595,Vortex!F$5:J$302,2,FALSE)),"",VLOOKUP(A595,Vortex!F$5:J$302,2,FALSE)))</f>
        <v/>
      </c>
      <c r="P595" s="51">
        <f>IF(B595="",0,IF(ISNA(_xlfn.XLOOKUP(A595,Vortex!F$5:F$302,Vortex!M$5:M$302)),0,_xlfn.XLOOKUP(A595,Vortex!F$5:F$302,Vortex!M$5:M$302)))</f>
        <v>0</v>
      </c>
      <c r="Q595" s="51">
        <f t="shared" si="68"/>
        <v>0</v>
      </c>
      <c r="R595" s="51" t="str">
        <f t="shared" si="69"/>
        <v/>
      </c>
      <c r="S595" s="51" t="str">
        <f t="shared" si="70"/>
        <v/>
      </c>
      <c r="T595" s="51" t="str">
        <f t="shared" si="71"/>
        <v/>
      </c>
      <c r="U595" s="51" t="str">
        <f t="shared" si="72"/>
        <v/>
      </c>
    </row>
    <row r="596" spans="1:21">
      <c r="A596" s="51" t="str">
        <f>IF(Declarations!B224=0,"",Declarations!B224)</f>
        <v/>
      </c>
      <c r="B596" s="161" t="str">
        <f>IF(ISNA(VLOOKUP(A596,Declarations!B$6:C$293,2,FALSE)),"",IF(VLOOKUP(A596,Declarations!B$6:C$293,2,FALSE)="","",VLOOKUP(A596,Declarations!B$6:C$293,2,FALSE)))</f>
        <v/>
      </c>
      <c r="C596" s="161" t="str">
        <f>IF(ISNA(VLOOKUP(A596,Declarations!B$6:F$293,5,FALSE)),"",IF(VLOOKUP(A596,Declarations!B$6:F$293,5,FALSE)="","",VLOOKUP(A596,Declarations!B$6:F$293,5,FALSE)))</f>
        <v/>
      </c>
      <c r="D596" s="161" t="str">
        <f>IF(ISNA(VLOOKUP(A596,Declarations!B$6:F$293,4,FALSE)),"",IF(VLOOKUP(A596,Declarations!B$6:F$293,4,FALSE)="","",VLOOKUP(A596,Declarations!B$6:F$293,4,FALSE)))</f>
        <v/>
      </c>
      <c r="E596" s="161" t="str">
        <f>IF(ISNA(VLOOKUP(A596,Declarations!B$6:D$293,3,FALSE)),"",IF(VLOOKUP(A596,Declarations!B$6:D$293,3,FALSE)="","",VLOOKUP(A596,Declarations!B$6:D$293,3,FALSE)))</f>
        <v/>
      </c>
      <c r="F596" s="51" t="str">
        <f>IF(B596="","",IF(ISNA(VLOOKUP(A596,'75m'!F$5:G$302,2,FALSE)),"",VLOOKUP(A596,'75m'!F$5:G$302,2,FALSE)))</f>
        <v/>
      </c>
      <c r="G596" s="51">
        <f>IF(B596="",0,IF(ISNA(_xlfn.XLOOKUP(A596,'75m'!F$5:F$302,'75m'!M$5:M$302)),0,_xlfn.XLOOKUP(A596,'75m'!F$5:F$302,'75m'!M$5:M$302)))</f>
        <v>0</v>
      </c>
      <c r="H596" s="51" t="str">
        <f>IF(B596="","",IF(ISNA(VLOOKUP(A596,'75m'!F$5:K$302,5,FALSE)),"",VLOOKUP(A596,'75m'!F$5:K$302,5,FALSE)))</f>
        <v/>
      </c>
      <c r="I596" s="53">
        <f>IF(B596="",0,IF(ISNA(VLOOKUP(A596,'600m'!F$5:J$302,2,FALSE)),0,VLOOKUP(A596,'600m'!F$5:J$302,2,FALSE)))</f>
        <v>0</v>
      </c>
      <c r="J596" s="51">
        <f>IF(B596="",0,IF(ISNA(_xlfn.XLOOKUP(A596,'600m'!F$5:F$302,'600m'!M$5:M$302)),0,_xlfn.XLOOKUP(A596,'600m'!F$5:F$302,'600m'!M$5:M$302)))</f>
        <v>0</v>
      </c>
      <c r="K596" s="51" t="str">
        <f>IF(B596="","",IF(ISNA(VLOOKUP(A596,'600m'!F$5:K$302,5,FALSE)),"",VLOOKUP(A596,'600m'!F$5:K$302,5,FALSE)))</f>
        <v/>
      </c>
      <c r="L596" s="51" t="str">
        <f>IF(B596="","",IF(ISNA(VLOOKUP(A596,LongJump!F$5:G$302,2,FALSE)),"",VLOOKUP(A596,LongJump!F$5:G$302,2,FALSE)))</f>
        <v/>
      </c>
      <c r="M596" s="51">
        <f>IF(B596="",0,IF(ISNA(_xlfn.XLOOKUP(A596,LongJump!F$5:F$302,LongJump!M$5:M$302)),0,_xlfn.XLOOKUP(A596,LongJump!F$5:F$302,LongJump!M$5:M$302)))</f>
        <v>0</v>
      </c>
      <c r="N596" s="51">
        <f>IF(B596="",0,IF(ISNA(VLOOKUP(A596,LongJump!F$5:K$302,5,FALSE)),0,VLOOKUP(A596,LongJump!F$5:K$302,5,FALSE)))</f>
        <v>0</v>
      </c>
      <c r="O596" s="51" t="str">
        <f>IF(B596="","",IF(ISNA(VLOOKUP(A596,Vortex!F$5:J$302,2,FALSE)),"",VLOOKUP(A596,Vortex!F$5:J$302,2,FALSE)))</f>
        <v/>
      </c>
      <c r="P596" s="51">
        <f>IF(B596="",0,IF(ISNA(_xlfn.XLOOKUP(A596,Vortex!F$5:F$302,Vortex!M$5:M$302)),0,_xlfn.XLOOKUP(A596,Vortex!F$5:F$302,Vortex!M$5:M$302)))</f>
        <v>0</v>
      </c>
      <c r="Q596" s="51">
        <f t="shared" si="68"/>
        <v>0</v>
      </c>
      <c r="R596" s="51" t="str">
        <f t="shared" si="69"/>
        <v/>
      </c>
      <c r="S596" s="51" t="str">
        <f t="shared" si="70"/>
        <v/>
      </c>
      <c r="T596" s="51" t="str">
        <f t="shared" si="71"/>
        <v/>
      </c>
      <c r="U596" s="51" t="str">
        <f t="shared" si="72"/>
        <v/>
      </c>
    </row>
    <row r="597" spans="1:21">
      <c r="A597" s="51" t="str">
        <f>IF(Declarations!B225=0,"",Declarations!B225)</f>
        <v/>
      </c>
      <c r="B597" s="161" t="str">
        <f>IF(ISNA(VLOOKUP(A597,Declarations!B$6:C$293,2,FALSE)),"",IF(VLOOKUP(A597,Declarations!B$6:C$293,2,FALSE)="","",VLOOKUP(A597,Declarations!B$6:C$293,2,FALSE)))</f>
        <v/>
      </c>
      <c r="C597" s="161" t="str">
        <f>IF(ISNA(VLOOKUP(A597,Declarations!B$6:F$293,5,FALSE)),"",IF(VLOOKUP(A597,Declarations!B$6:F$293,5,FALSE)="","",VLOOKUP(A597,Declarations!B$6:F$293,5,FALSE)))</f>
        <v/>
      </c>
      <c r="D597" s="161" t="str">
        <f>IF(ISNA(VLOOKUP(A597,Declarations!B$6:F$293,4,FALSE)),"",IF(VLOOKUP(A597,Declarations!B$6:F$293,4,FALSE)="","",VLOOKUP(A597,Declarations!B$6:F$293,4,FALSE)))</f>
        <v/>
      </c>
      <c r="E597" s="161" t="str">
        <f>IF(ISNA(VLOOKUP(A597,Declarations!B$6:D$293,3,FALSE)),"",IF(VLOOKUP(A597,Declarations!B$6:D$293,3,FALSE)="","",VLOOKUP(A597,Declarations!B$6:D$293,3,FALSE)))</f>
        <v/>
      </c>
      <c r="F597" s="51" t="str">
        <f>IF(B597="","",IF(ISNA(VLOOKUP(A597,'75m'!F$5:G$302,2,FALSE)),"",VLOOKUP(A597,'75m'!F$5:G$302,2,FALSE)))</f>
        <v/>
      </c>
      <c r="G597" s="51">
        <f>IF(B597="",0,IF(ISNA(_xlfn.XLOOKUP(A597,'75m'!F$5:F$302,'75m'!M$5:M$302)),0,_xlfn.XLOOKUP(A597,'75m'!F$5:F$302,'75m'!M$5:M$302)))</f>
        <v>0</v>
      </c>
      <c r="H597" s="51" t="str">
        <f>IF(B597="","",IF(ISNA(VLOOKUP(A597,'75m'!F$5:K$302,5,FALSE)),"",VLOOKUP(A597,'75m'!F$5:K$302,5,FALSE)))</f>
        <v/>
      </c>
      <c r="I597" s="53">
        <f>IF(B597="",0,IF(ISNA(VLOOKUP(A597,'600m'!F$5:J$302,2,FALSE)),0,VLOOKUP(A597,'600m'!F$5:J$302,2,FALSE)))</f>
        <v>0</v>
      </c>
      <c r="J597" s="51">
        <f>IF(B597="",0,IF(ISNA(_xlfn.XLOOKUP(A597,'600m'!F$5:F$302,'600m'!M$5:M$302)),0,_xlfn.XLOOKUP(A597,'600m'!F$5:F$302,'600m'!M$5:M$302)))</f>
        <v>0</v>
      </c>
      <c r="K597" s="51" t="str">
        <f>IF(B597="","",IF(ISNA(VLOOKUP(A597,'600m'!F$5:K$302,5,FALSE)),"",VLOOKUP(A597,'600m'!F$5:K$302,5,FALSE)))</f>
        <v/>
      </c>
      <c r="L597" s="51" t="str">
        <f>IF(B597="","",IF(ISNA(VLOOKUP(A597,LongJump!F$5:G$302,2,FALSE)),"",VLOOKUP(A597,LongJump!F$5:G$302,2,FALSE)))</f>
        <v/>
      </c>
      <c r="M597" s="51">
        <f>IF(B597="",0,IF(ISNA(_xlfn.XLOOKUP(A597,LongJump!F$5:F$302,LongJump!M$5:M$302)),0,_xlfn.XLOOKUP(A597,LongJump!F$5:F$302,LongJump!M$5:M$302)))</f>
        <v>0</v>
      </c>
      <c r="N597" s="51">
        <f>IF(B597="",0,IF(ISNA(VLOOKUP(A597,LongJump!F$5:K$302,5,FALSE)),0,VLOOKUP(A597,LongJump!F$5:K$302,5,FALSE)))</f>
        <v>0</v>
      </c>
      <c r="O597" s="51" t="str">
        <f>IF(B597="","",IF(ISNA(VLOOKUP(A597,Vortex!F$5:J$302,2,FALSE)),"",VLOOKUP(A597,Vortex!F$5:J$302,2,FALSE)))</f>
        <v/>
      </c>
      <c r="P597" s="51">
        <f>IF(B597="",0,IF(ISNA(_xlfn.XLOOKUP(A597,Vortex!F$5:F$302,Vortex!M$5:M$302)),0,_xlfn.XLOOKUP(A597,Vortex!F$5:F$302,Vortex!M$5:M$302)))</f>
        <v>0</v>
      </c>
      <c r="Q597" s="51">
        <f t="shared" si="68"/>
        <v>0</v>
      </c>
      <c r="R597" s="51" t="str">
        <f t="shared" si="69"/>
        <v/>
      </c>
      <c r="S597" s="51" t="str">
        <f t="shared" si="70"/>
        <v/>
      </c>
      <c r="T597" s="51" t="str">
        <f t="shared" si="71"/>
        <v/>
      </c>
      <c r="U597" s="51" t="str">
        <f t="shared" si="72"/>
        <v/>
      </c>
    </row>
    <row r="598" spans="1:21">
      <c r="A598" s="51" t="str">
        <f>IF(Declarations!B226=0,"",Declarations!B226)</f>
        <v/>
      </c>
      <c r="B598" s="161" t="str">
        <f>IF(ISNA(VLOOKUP(A598,Declarations!B$6:C$293,2,FALSE)),"",IF(VLOOKUP(A598,Declarations!B$6:C$293,2,FALSE)="","",VLOOKUP(A598,Declarations!B$6:C$293,2,FALSE)))</f>
        <v/>
      </c>
      <c r="C598" s="161" t="str">
        <f>IF(ISNA(VLOOKUP(A598,Declarations!B$6:F$293,5,FALSE)),"",IF(VLOOKUP(A598,Declarations!B$6:F$293,5,FALSE)="","",VLOOKUP(A598,Declarations!B$6:F$293,5,FALSE)))</f>
        <v/>
      </c>
      <c r="D598" s="161" t="str">
        <f>IF(ISNA(VLOOKUP(A598,Declarations!B$6:F$293,4,FALSE)),"",IF(VLOOKUP(A598,Declarations!B$6:F$293,4,FALSE)="","",VLOOKUP(A598,Declarations!B$6:F$293,4,FALSE)))</f>
        <v/>
      </c>
      <c r="E598" s="161" t="str">
        <f>IF(ISNA(VLOOKUP(A598,Declarations!B$6:D$293,3,FALSE)),"",IF(VLOOKUP(A598,Declarations!B$6:D$293,3,FALSE)="","",VLOOKUP(A598,Declarations!B$6:D$293,3,FALSE)))</f>
        <v/>
      </c>
      <c r="F598" s="51" t="str">
        <f>IF(B598="","",IF(ISNA(VLOOKUP(A598,'75m'!F$5:G$302,2,FALSE)),"",VLOOKUP(A598,'75m'!F$5:G$302,2,FALSE)))</f>
        <v/>
      </c>
      <c r="G598" s="51">
        <f>IF(B598="",0,IF(ISNA(_xlfn.XLOOKUP(A598,'75m'!F$5:F$302,'75m'!M$5:M$302)),0,_xlfn.XLOOKUP(A598,'75m'!F$5:F$302,'75m'!M$5:M$302)))</f>
        <v>0</v>
      </c>
      <c r="H598" s="51" t="str">
        <f>IF(B598="","",IF(ISNA(VLOOKUP(A598,'75m'!F$5:K$302,5,FALSE)),"",VLOOKUP(A598,'75m'!F$5:K$302,5,FALSE)))</f>
        <v/>
      </c>
      <c r="I598" s="53">
        <f>IF(B598="",0,IF(ISNA(VLOOKUP(A598,'600m'!F$5:J$302,2,FALSE)),0,VLOOKUP(A598,'600m'!F$5:J$302,2,FALSE)))</f>
        <v>0</v>
      </c>
      <c r="J598" s="51">
        <f>IF(B598="",0,IF(ISNA(_xlfn.XLOOKUP(A598,'600m'!F$5:F$302,'600m'!M$5:M$302)),0,_xlfn.XLOOKUP(A598,'600m'!F$5:F$302,'600m'!M$5:M$302)))</f>
        <v>0</v>
      </c>
      <c r="K598" s="51" t="str">
        <f>IF(B598="","",IF(ISNA(VLOOKUP(A598,'600m'!F$5:K$302,5,FALSE)),"",VLOOKUP(A598,'600m'!F$5:K$302,5,FALSE)))</f>
        <v/>
      </c>
      <c r="L598" s="51" t="str">
        <f>IF(B598="","",IF(ISNA(VLOOKUP(A598,LongJump!F$5:G$302,2,FALSE)),"",VLOOKUP(A598,LongJump!F$5:G$302,2,FALSE)))</f>
        <v/>
      </c>
      <c r="M598" s="51">
        <f>IF(B598="",0,IF(ISNA(_xlfn.XLOOKUP(A598,LongJump!F$5:F$302,LongJump!M$5:M$302)),0,_xlfn.XLOOKUP(A598,LongJump!F$5:F$302,LongJump!M$5:M$302)))</f>
        <v>0</v>
      </c>
      <c r="N598" s="51">
        <f>IF(B598="",0,IF(ISNA(VLOOKUP(A598,LongJump!F$5:K$302,5,FALSE)),0,VLOOKUP(A598,LongJump!F$5:K$302,5,FALSE)))</f>
        <v>0</v>
      </c>
      <c r="O598" s="51" t="str">
        <f>IF(B598="","",IF(ISNA(VLOOKUP(A598,Vortex!F$5:J$302,2,FALSE)),"",VLOOKUP(A598,Vortex!F$5:J$302,2,FALSE)))</f>
        <v/>
      </c>
      <c r="P598" s="51">
        <f>IF(B598="",0,IF(ISNA(_xlfn.XLOOKUP(A598,Vortex!F$5:F$302,Vortex!M$5:M$302)),0,_xlfn.XLOOKUP(A598,Vortex!F$5:F$302,Vortex!M$5:M$302)))</f>
        <v>0</v>
      </c>
      <c r="Q598" s="51">
        <f t="shared" si="68"/>
        <v>0</v>
      </c>
      <c r="R598" s="51" t="str">
        <f t="shared" si="69"/>
        <v/>
      </c>
      <c r="S598" s="51" t="str">
        <f t="shared" si="70"/>
        <v/>
      </c>
      <c r="T598" s="51" t="str">
        <f t="shared" si="71"/>
        <v/>
      </c>
      <c r="U598" s="51" t="str">
        <f t="shared" si="72"/>
        <v/>
      </c>
    </row>
    <row r="599" spans="1:21">
      <c r="A599" s="51" t="str">
        <f>IF(Declarations!B227=0,"",Declarations!B227)</f>
        <v/>
      </c>
      <c r="B599" s="161" t="str">
        <f>IF(ISNA(VLOOKUP(A599,Declarations!B$6:C$293,2,FALSE)),"",IF(VLOOKUP(A599,Declarations!B$6:C$293,2,FALSE)="","",VLOOKUP(A599,Declarations!B$6:C$293,2,FALSE)))</f>
        <v/>
      </c>
      <c r="C599" s="161" t="str">
        <f>IF(ISNA(VLOOKUP(A599,Declarations!B$6:F$293,5,FALSE)),"",IF(VLOOKUP(A599,Declarations!B$6:F$293,5,FALSE)="","",VLOOKUP(A599,Declarations!B$6:F$293,5,FALSE)))</f>
        <v/>
      </c>
      <c r="D599" s="161" t="str">
        <f>IF(ISNA(VLOOKUP(A599,Declarations!B$6:F$293,4,FALSE)),"",IF(VLOOKUP(A599,Declarations!B$6:F$293,4,FALSE)="","",VLOOKUP(A599,Declarations!B$6:F$293,4,FALSE)))</f>
        <v/>
      </c>
      <c r="E599" s="161" t="str">
        <f>IF(ISNA(VLOOKUP(A599,Declarations!B$6:D$293,3,FALSE)),"",IF(VLOOKUP(A599,Declarations!B$6:D$293,3,FALSE)="","",VLOOKUP(A599,Declarations!B$6:D$293,3,FALSE)))</f>
        <v/>
      </c>
      <c r="F599" s="51" t="str">
        <f>IF(B599="","",IF(ISNA(VLOOKUP(A599,'75m'!F$5:G$302,2,FALSE)),"",VLOOKUP(A599,'75m'!F$5:G$302,2,FALSE)))</f>
        <v/>
      </c>
      <c r="G599" s="51">
        <f>IF(B599="",0,IF(ISNA(_xlfn.XLOOKUP(A599,'75m'!F$5:F$302,'75m'!M$5:M$302)),0,_xlfn.XLOOKUP(A599,'75m'!F$5:F$302,'75m'!M$5:M$302)))</f>
        <v>0</v>
      </c>
      <c r="H599" s="51" t="str">
        <f>IF(B599="","",IF(ISNA(VLOOKUP(A599,'75m'!F$5:K$302,5,FALSE)),"",VLOOKUP(A599,'75m'!F$5:K$302,5,FALSE)))</f>
        <v/>
      </c>
      <c r="I599" s="53">
        <f>IF(B599="",0,IF(ISNA(VLOOKUP(A599,'600m'!F$5:J$302,2,FALSE)),0,VLOOKUP(A599,'600m'!F$5:J$302,2,FALSE)))</f>
        <v>0</v>
      </c>
      <c r="J599" s="51">
        <f>IF(B599="",0,IF(ISNA(_xlfn.XLOOKUP(A599,'600m'!F$5:F$302,'600m'!M$5:M$302)),0,_xlfn.XLOOKUP(A599,'600m'!F$5:F$302,'600m'!M$5:M$302)))</f>
        <v>0</v>
      </c>
      <c r="K599" s="51" t="str">
        <f>IF(B599="","",IF(ISNA(VLOOKUP(A599,'600m'!F$5:K$302,5,FALSE)),"",VLOOKUP(A599,'600m'!F$5:K$302,5,FALSE)))</f>
        <v/>
      </c>
      <c r="L599" s="51" t="str">
        <f>IF(B599="","",IF(ISNA(VLOOKUP(A599,LongJump!F$5:G$302,2,FALSE)),"",VLOOKUP(A599,LongJump!F$5:G$302,2,FALSE)))</f>
        <v/>
      </c>
      <c r="M599" s="51">
        <f>IF(B599="",0,IF(ISNA(_xlfn.XLOOKUP(A599,LongJump!F$5:F$302,LongJump!M$5:M$302)),0,_xlfn.XLOOKUP(A599,LongJump!F$5:F$302,LongJump!M$5:M$302)))</f>
        <v>0</v>
      </c>
      <c r="N599" s="51">
        <f>IF(B599="",0,IF(ISNA(VLOOKUP(A599,LongJump!F$5:K$302,5,FALSE)),0,VLOOKUP(A599,LongJump!F$5:K$302,5,FALSE)))</f>
        <v>0</v>
      </c>
      <c r="O599" s="51" t="str">
        <f>IF(B599="","",IF(ISNA(VLOOKUP(A599,Vortex!F$5:J$302,2,FALSE)),"",VLOOKUP(A599,Vortex!F$5:J$302,2,FALSE)))</f>
        <v/>
      </c>
      <c r="P599" s="51">
        <f>IF(B599="",0,IF(ISNA(_xlfn.XLOOKUP(A599,Vortex!F$5:F$302,Vortex!M$5:M$302)),0,_xlfn.XLOOKUP(A599,Vortex!F$5:F$302,Vortex!M$5:M$302)))</f>
        <v>0</v>
      </c>
      <c r="Q599" s="51">
        <f t="shared" si="68"/>
        <v>0</v>
      </c>
      <c r="R599" s="51" t="str">
        <f t="shared" si="69"/>
        <v/>
      </c>
      <c r="S599" s="51" t="str">
        <f t="shared" si="70"/>
        <v/>
      </c>
      <c r="T599" s="51" t="str">
        <f t="shared" si="71"/>
        <v/>
      </c>
      <c r="U599" s="51" t="str">
        <f t="shared" si="72"/>
        <v/>
      </c>
    </row>
    <row r="600" spans="1:21">
      <c r="A600" s="51" t="str">
        <f>IF(Declarations!B228=0,"",Declarations!B228)</f>
        <v/>
      </c>
      <c r="B600" s="161" t="str">
        <f>IF(ISNA(VLOOKUP(A600,Declarations!B$6:C$293,2,FALSE)),"",IF(VLOOKUP(A600,Declarations!B$6:C$293,2,FALSE)="","",VLOOKUP(A600,Declarations!B$6:C$293,2,FALSE)))</f>
        <v/>
      </c>
      <c r="C600" s="161" t="str">
        <f>IF(ISNA(VLOOKUP(A600,Declarations!B$6:F$293,5,FALSE)),"",IF(VLOOKUP(A600,Declarations!B$6:F$293,5,FALSE)="","",VLOOKUP(A600,Declarations!B$6:F$293,5,FALSE)))</f>
        <v/>
      </c>
      <c r="D600" s="161" t="str">
        <f>IF(ISNA(VLOOKUP(A600,Declarations!B$6:F$293,4,FALSE)),"",IF(VLOOKUP(A600,Declarations!B$6:F$293,4,FALSE)="","",VLOOKUP(A600,Declarations!B$6:F$293,4,FALSE)))</f>
        <v/>
      </c>
      <c r="E600" s="161" t="str">
        <f>IF(ISNA(VLOOKUP(A600,Declarations!B$6:D$293,3,FALSE)),"",IF(VLOOKUP(A600,Declarations!B$6:D$293,3,FALSE)="","",VLOOKUP(A600,Declarations!B$6:D$293,3,FALSE)))</f>
        <v/>
      </c>
      <c r="F600" s="51" t="str">
        <f>IF(B600="","",IF(ISNA(VLOOKUP(A600,'75m'!F$5:G$302,2,FALSE)),"",VLOOKUP(A600,'75m'!F$5:G$302,2,FALSE)))</f>
        <v/>
      </c>
      <c r="G600" s="51">
        <f>IF(B600="",0,IF(ISNA(_xlfn.XLOOKUP(A600,'75m'!F$5:F$302,'75m'!M$5:M$302)),0,_xlfn.XLOOKUP(A600,'75m'!F$5:F$302,'75m'!M$5:M$302)))</f>
        <v>0</v>
      </c>
      <c r="H600" s="51" t="str">
        <f>IF(B600="","",IF(ISNA(VLOOKUP(A600,'75m'!F$5:K$302,5,FALSE)),"",VLOOKUP(A600,'75m'!F$5:K$302,5,FALSE)))</f>
        <v/>
      </c>
      <c r="I600" s="53">
        <f>IF(B600="",0,IF(ISNA(VLOOKUP(A600,'600m'!F$5:J$302,2,FALSE)),0,VLOOKUP(A600,'600m'!F$5:J$302,2,FALSE)))</f>
        <v>0</v>
      </c>
      <c r="J600" s="51">
        <f>IF(B600="",0,IF(ISNA(_xlfn.XLOOKUP(A600,'600m'!F$5:F$302,'600m'!M$5:M$302)),0,_xlfn.XLOOKUP(A600,'600m'!F$5:F$302,'600m'!M$5:M$302)))</f>
        <v>0</v>
      </c>
      <c r="K600" s="51" t="str">
        <f>IF(B600="","",IF(ISNA(VLOOKUP(A600,'600m'!F$5:K$302,5,FALSE)),"",VLOOKUP(A600,'600m'!F$5:K$302,5,FALSE)))</f>
        <v/>
      </c>
      <c r="L600" s="51" t="str">
        <f>IF(B600="","",IF(ISNA(VLOOKUP(A600,LongJump!F$5:G$302,2,FALSE)),"",VLOOKUP(A600,LongJump!F$5:G$302,2,FALSE)))</f>
        <v/>
      </c>
      <c r="M600" s="51">
        <f>IF(B600="",0,IF(ISNA(_xlfn.XLOOKUP(A600,LongJump!F$5:F$302,LongJump!M$5:M$302)),0,_xlfn.XLOOKUP(A600,LongJump!F$5:F$302,LongJump!M$5:M$302)))</f>
        <v>0</v>
      </c>
      <c r="N600" s="51">
        <f>IF(B600="",0,IF(ISNA(VLOOKUP(A600,LongJump!F$5:K$302,5,FALSE)),0,VLOOKUP(A600,LongJump!F$5:K$302,5,FALSE)))</f>
        <v>0</v>
      </c>
      <c r="O600" s="51" t="str">
        <f>IF(B600="","",IF(ISNA(VLOOKUP(A600,Vortex!F$5:J$302,2,FALSE)),"",VLOOKUP(A600,Vortex!F$5:J$302,2,FALSE)))</f>
        <v/>
      </c>
      <c r="P600" s="51">
        <f>IF(B600="",0,IF(ISNA(_xlfn.XLOOKUP(A600,Vortex!F$5:F$302,Vortex!M$5:M$302)),0,_xlfn.XLOOKUP(A600,Vortex!F$5:F$302,Vortex!M$5:M$302)))</f>
        <v>0</v>
      </c>
      <c r="Q600" s="51">
        <f t="shared" si="68"/>
        <v>0</v>
      </c>
      <c r="R600" s="51" t="str">
        <f t="shared" si="69"/>
        <v/>
      </c>
      <c r="S600" s="51" t="str">
        <f t="shared" si="70"/>
        <v/>
      </c>
      <c r="T600" s="51" t="str">
        <f t="shared" si="71"/>
        <v/>
      </c>
      <c r="U600" s="51" t="str">
        <f t="shared" si="72"/>
        <v/>
      </c>
    </row>
    <row r="601" spans="1:21">
      <c r="A601" s="51" t="str">
        <f>IF(Declarations!B229=0,"",Declarations!B229)</f>
        <v/>
      </c>
      <c r="B601" s="161" t="str">
        <f>IF(ISNA(VLOOKUP(A601,Declarations!B$6:C$293,2,FALSE)),"",IF(VLOOKUP(A601,Declarations!B$6:C$293,2,FALSE)="","",VLOOKUP(A601,Declarations!B$6:C$293,2,FALSE)))</f>
        <v/>
      </c>
      <c r="C601" s="161" t="str">
        <f>IF(ISNA(VLOOKUP(A601,Declarations!B$6:F$293,5,FALSE)),"",IF(VLOOKUP(A601,Declarations!B$6:F$293,5,FALSE)="","",VLOOKUP(A601,Declarations!B$6:F$293,5,FALSE)))</f>
        <v/>
      </c>
      <c r="D601" s="161" t="str">
        <f>IF(ISNA(VLOOKUP(A601,Declarations!B$6:F$293,4,FALSE)),"",IF(VLOOKUP(A601,Declarations!B$6:F$293,4,FALSE)="","",VLOOKUP(A601,Declarations!B$6:F$293,4,FALSE)))</f>
        <v/>
      </c>
      <c r="E601" s="161" t="str">
        <f>IF(ISNA(VLOOKUP(A601,Declarations!B$6:D$293,3,FALSE)),"",IF(VLOOKUP(A601,Declarations!B$6:D$293,3,FALSE)="","",VLOOKUP(A601,Declarations!B$6:D$293,3,FALSE)))</f>
        <v/>
      </c>
      <c r="F601" s="51" t="str">
        <f>IF(B601="","",IF(ISNA(VLOOKUP(A601,'75m'!F$5:G$302,2,FALSE)),"",VLOOKUP(A601,'75m'!F$5:G$302,2,FALSE)))</f>
        <v/>
      </c>
      <c r="G601" s="51">
        <f>IF(B601="",0,IF(ISNA(_xlfn.XLOOKUP(A601,'75m'!F$5:F$302,'75m'!M$5:M$302)),0,_xlfn.XLOOKUP(A601,'75m'!F$5:F$302,'75m'!M$5:M$302)))</f>
        <v>0</v>
      </c>
      <c r="H601" s="51" t="str">
        <f>IF(B601="","",IF(ISNA(VLOOKUP(A601,'75m'!F$5:K$302,5,FALSE)),"",VLOOKUP(A601,'75m'!F$5:K$302,5,FALSE)))</f>
        <v/>
      </c>
      <c r="I601" s="53">
        <f>IF(B601="",0,IF(ISNA(VLOOKUP(A601,'600m'!F$5:J$302,2,FALSE)),0,VLOOKUP(A601,'600m'!F$5:J$302,2,FALSE)))</f>
        <v>0</v>
      </c>
      <c r="J601" s="51">
        <f>IF(B601="",0,IF(ISNA(_xlfn.XLOOKUP(A601,'600m'!F$5:F$302,'600m'!M$5:M$302)),0,_xlfn.XLOOKUP(A601,'600m'!F$5:F$302,'600m'!M$5:M$302)))</f>
        <v>0</v>
      </c>
      <c r="K601" s="51" t="str">
        <f>IF(B601="","",IF(ISNA(VLOOKUP(A601,'600m'!F$5:K$302,5,FALSE)),"",VLOOKUP(A601,'600m'!F$5:K$302,5,FALSE)))</f>
        <v/>
      </c>
      <c r="L601" s="51" t="str">
        <f>IF(B601="","",IF(ISNA(VLOOKUP(A601,LongJump!F$5:G$302,2,FALSE)),"",VLOOKUP(A601,LongJump!F$5:G$302,2,FALSE)))</f>
        <v/>
      </c>
      <c r="M601" s="51">
        <f>IF(B601="",0,IF(ISNA(_xlfn.XLOOKUP(A601,LongJump!F$5:F$302,LongJump!M$5:M$302)),0,_xlfn.XLOOKUP(A601,LongJump!F$5:F$302,LongJump!M$5:M$302)))</f>
        <v>0</v>
      </c>
      <c r="N601" s="51">
        <f>IF(B601="",0,IF(ISNA(VLOOKUP(A601,LongJump!F$5:K$302,5,FALSE)),0,VLOOKUP(A601,LongJump!F$5:K$302,5,FALSE)))</f>
        <v>0</v>
      </c>
      <c r="O601" s="51" t="str">
        <f>IF(B601="","",IF(ISNA(VLOOKUP(A601,Vortex!F$5:J$302,2,FALSE)),"",VLOOKUP(A601,Vortex!F$5:J$302,2,FALSE)))</f>
        <v/>
      </c>
      <c r="P601" s="51">
        <f>IF(B601="",0,IF(ISNA(_xlfn.XLOOKUP(A601,Vortex!F$5:F$302,Vortex!M$5:M$302)),0,_xlfn.XLOOKUP(A601,Vortex!F$5:F$302,Vortex!M$5:M$302)))</f>
        <v>0</v>
      </c>
      <c r="Q601" s="51">
        <f t="shared" si="68"/>
        <v>0</v>
      </c>
      <c r="R601" s="51" t="str">
        <f t="shared" si="69"/>
        <v/>
      </c>
      <c r="S601" s="51" t="str">
        <f t="shared" si="70"/>
        <v/>
      </c>
      <c r="T601" s="51" t="str">
        <f t="shared" si="71"/>
        <v/>
      </c>
      <c r="U601" s="51" t="str">
        <f t="shared" si="72"/>
        <v/>
      </c>
    </row>
    <row r="602" spans="1:21">
      <c r="A602" s="51" t="str">
        <f>IF(Declarations!B230=0,"",Declarations!B230)</f>
        <v/>
      </c>
      <c r="B602" s="161" t="str">
        <f>IF(ISNA(VLOOKUP(A602,Declarations!B$6:C$293,2,FALSE)),"",IF(VLOOKUP(A602,Declarations!B$6:C$293,2,FALSE)="","",VLOOKUP(A602,Declarations!B$6:C$293,2,FALSE)))</f>
        <v/>
      </c>
      <c r="C602" s="161" t="str">
        <f>IF(ISNA(VLOOKUP(A602,Declarations!B$6:F$293,5,FALSE)),"",IF(VLOOKUP(A602,Declarations!B$6:F$293,5,FALSE)="","",VLOOKUP(A602,Declarations!B$6:F$293,5,FALSE)))</f>
        <v/>
      </c>
      <c r="D602" s="161" t="str">
        <f>IF(ISNA(VLOOKUP(A602,Declarations!B$6:F$293,4,FALSE)),"",IF(VLOOKUP(A602,Declarations!B$6:F$293,4,FALSE)="","",VLOOKUP(A602,Declarations!B$6:F$293,4,FALSE)))</f>
        <v/>
      </c>
      <c r="E602" s="161" t="str">
        <f>IF(ISNA(VLOOKUP(A602,Declarations!B$6:D$293,3,FALSE)),"",IF(VLOOKUP(A602,Declarations!B$6:D$293,3,FALSE)="","",VLOOKUP(A602,Declarations!B$6:D$293,3,FALSE)))</f>
        <v/>
      </c>
      <c r="F602" s="51" t="str">
        <f>IF(B602="","",IF(ISNA(VLOOKUP(A602,'75m'!F$5:G$302,2,FALSE)),"",VLOOKUP(A602,'75m'!F$5:G$302,2,FALSE)))</f>
        <v/>
      </c>
      <c r="G602" s="51">
        <f>IF(B602="",0,IF(ISNA(_xlfn.XLOOKUP(A602,'75m'!F$5:F$302,'75m'!M$5:M$302)),0,_xlfn.XLOOKUP(A602,'75m'!F$5:F$302,'75m'!M$5:M$302)))</f>
        <v>0</v>
      </c>
      <c r="H602" s="51" t="str">
        <f>IF(B602="","",IF(ISNA(VLOOKUP(A602,'75m'!F$5:K$302,5,FALSE)),"",VLOOKUP(A602,'75m'!F$5:K$302,5,FALSE)))</f>
        <v/>
      </c>
      <c r="I602" s="53">
        <f>IF(B602="",0,IF(ISNA(VLOOKUP(A602,'600m'!F$5:J$302,2,FALSE)),0,VLOOKUP(A602,'600m'!F$5:J$302,2,FALSE)))</f>
        <v>0</v>
      </c>
      <c r="J602" s="51">
        <f>IF(B602="",0,IF(ISNA(_xlfn.XLOOKUP(A602,'600m'!F$5:F$302,'600m'!M$5:M$302)),0,_xlfn.XLOOKUP(A602,'600m'!F$5:F$302,'600m'!M$5:M$302)))</f>
        <v>0</v>
      </c>
      <c r="K602" s="51" t="str">
        <f>IF(B602="","",IF(ISNA(VLOOKUP(A602,'600m'!F$5:K$302,5,FALSE)),"",VLOOKUP(A602,'600m'!F$5:K$302,5,FALSE)))</f>
        <v/>
      </c>
      <c r="L602" s="51" t="str">
        <f>IF(B602="","",IF(ISNA(VLOOKUP(A602,LongJump!F$5:G$302,2,FALSE)),"",VLOOKUP(A602,LongJump!F$5:G$302,2,FALSE)))</f>
        <v/>
      </c>
      <c r="M602" s="51">
        <f>IF(B602="",0,IF(ISNA(_xlfn.XLOOKUP(A602,LongJump!F$5:F$302,LongJump!M$5:M$302)),0,_xlfn.XLOOKUP(A602,LongJump!F$5:F$302,LongJump!M$5:M$302)))</f>
        <v>0</v>
      </c>
      <c r="N602" s="51">
        <f>IF(B602="",0,IF(ISNA(VLOOKUP(A602,LongJump!F$5:K$302,5,FALSE)),0,VLOOKUP(A602,LongJump!F$5:K$302,5,FALSE)))</f>
        <v>0</v>
      </c>
      <c r="O602" s="51" t="str">
        <f>IF(B602="","",IF(ISNA(VLOOKUP(A602,Vortex!F$5:J$302,2,FALSE)),"",VLOOKUP(A602,Vortex!F$5:J$302,2,FALSE)))</f>
        <v/>
      </c>
      <c r="P602" s="51">
        <f>IF(B602="",0,IF(ISNA(_xlfn.XLOOKUP(A602,Vortex!F$5:F$302,Vortex!M$5:M$302)),0,_xlfn.XLOOKUP(A602,Vortex!F$5:F$302,Vortex!M$5:M$302)))</f>
        <v>0</v>
      </c>
      <c r="Q602" s="51">
        <f t="shared" si="68"/>
        <v>0</v>
      </c>
      <c r="R602" s="51" t="str">
        <f t="shared" si="69"/>
        <v/>
      </c>
      <c r="S602" s="51" t="str">
        <f t="shared" si="70"/>
        <v/>
      </c>
      <c r="T602" s="51" t="str">
        <f t="shared" si="71"/>
        <v/>
      </c>
      <c r="U602" s="51" t="str">
        <f t="shared" si="72"/>
        <v/>
      </c>
    </row>
    <row r="603" spans="1:21">
      <c r="A603" s="51" t="str">
        <f>IF(Declarations!B231=0,"",Declarations!B231)</f>
        <v/>
      </c>
      <c r="B603" s="161" t="str">
        <f>IF(ISNA(VLOOKUP(A603,Declarations!B$6:C$293,2,FALSE)),"",IF(VLOOKUP(A603,Declarations!B$6:C$293,2,FALSE)="","",VLOOKUP(A603,Declarations!B$6:C$293,2,FALSE)))</f>
        <v/>
      </c>
      <c r="C603" s="161" t="str">
        <f>IF(ISNA(VLOOKUP(A603,Declarations!B$6:F$293,5,FALSE)),"",IF(VLOOKUP(A603,Declarations!B$6:F$293,5,FALSE)="","",VLOOKUP(A603,Declarations!B$6:F$293,5,FALSE)))</f>
        <v/>
      </c>
      <c r="D603" s="161" t="str">
        <f>IF(ISNA(VLOOKUP(A603,Declarations!B$6:F$293,4,FALSE)),"",IF(VLOOKUP(A603,Declarations!B$6:F$293,4,FALSE)="","",VLOOKUP(A603,Declarations!B$6:F$293,4,FALSE)))</f>
        <v/>
      </c>
      <c r="E603" s="161" t="str">
        <f>IF(ISNA(VLOOKUP(A603,Declarations!B$6:D$293,3,FALSE)),"",IF(VLOOKUP(A603,Declarations!B$6:D$293,3,FALSE)="","",VLOOKUP(A603,Declarations!B$6:D$293,3,FALSE)))</f>
        <v/>
      </c>
      <c r="F603" s="51" t="str">
        <f>IF(B603="","",IF(ISNA(VLOOKUP(A603,'75m'!F$5:G$302,2,FALSE)),"",VLOOKUP(A603,'75m'!F$5:G$302,2,FALSE)))</f>
        <v/>
      </c>
      <c r="G603" s="51">
        <f>IF(B603="",0,IF(ISNA(_xlfn.XLOOKUP(A603,'75m'!F$5:F$302,'75m'!M$5:M$302)),0,_xlfn.XLOOKUP(A603,'75m'!F$5:F$302,'75m'!M$5:M$302)))</f>
        <v>0</v>
      </c>
      <c r="H603" s="51" t="str">
        <f>IF(B603="","",IF(ISNA(VLOOKUP(A603,'75m'!F$5:K$302,5,FALSE)),"",VLOOKUP(A603,'75m'!F$5:K$302,5,FALSE)))</f>
        <v/>
      </c>
      <c r="I603" s="53">
        <f>IF(B603="",0,IF(ISNA(VLOOKUP(A603,'600m'!F$5:J$302,2,FALSE)),0,VLOOKUP(A603,'600m'!F$5:J$302,2,FALSE)))</f>
        <v>0</v>
      </c>
      <c r="J603" s="51">
        <f>IF(B603="",0,IF(ISNA(_xlfn.XLOOKUP(A603,'600m'!F$5:F$302,'600m'!M$5:M$302)),0,_xlfn.XLOOKUP(A603,'600m'!F$5:F$302,'600m'!M$5:M$302)))</f>
        <v>0</v>
      </c>
      <c r="K603" s="51" t="str">
        <f>IF(B603="","",IF(ISNA(VLOOKUP(A603,'600m'!F$5:K$302,5,FALSE)),"",VLOOKUP(A603,'600m'!F$5:K$302,5,FALSE)))</f>
        <v/>
      </c>
      <c r="L603" s="51" t="str">
        <f>IF(B603="","",IF(ISNA(VLOOKUP(A603,LongJump!F$5:G$302,2,FALSE)),"",VLOOKUP(A603,LongJump!F$5:G$302,2,FALSE)))</f>
        <v/>
      </c>
      <c r="M603" s="51">
        <f>IF(B603="",0,IF(ISNA(_xlfn.XLOOKUP(A603,LongJump!F$5:F$302,LongJump!M$5:M$302)),0,_xlfn.XLOOKUP(A603,LongJump!F$5:F$302,LongJump!M$5:M$302)))</f>
        <v>0</v>
      </c>
      <c r="N603" s="51">
        <f>IF(B603="",0,IF(ISNA(VLOOKUP(A603,LongJump!F$5:K$302,5,FALSE)),0,VLOOKUP(A603,LongJump!F$5:K$302,5,FALSE)))</f>
        <v>0</v>
      </c>
      <c r="O603" s="51" t="str">
        <f>IF(B603="","",IF(ISNA(VLOOKUP(A603,Vortex!F$5:J$302,2,FALSE)),"",VLOOKUP(A603,Vortex!F$5:J$302,2,FALSE)))</f>
        <v/>
      </c>
      <c r="P603" s="51">
        <f>IF(B603="",0,IF(ISNA(_xlfn.XLOOKUP(A603,Vortex!F$5:F$302,Vortex!M$5:M$302)),0,_xlfn.XLOOKUP(A603,Vortex!F$5:F$302,Vortex!M$5:M$302)))</f>
        <v>0</v>
      </c>
      <c r="Q603" s="51">
        <f t="shared" si="68"/>
        <v>0</v>
      </c>
      <c r="R603" s="51" t="str">
        <f t="shared" si="69"/>
        <v/>
      </c>
      <c r="S603" s="51" t="str">
        <f t="shared" si="70"/>
        <v/>
      </c>
      <c r="T603" s="51" t="str">
        <f t="shared" si="71"/>
        <v/>
      </c>
      <c r="U603" s="51" t="str">
        <f t="shared" si="72"/>
        <v/>
      </c>
    </row>
    <row r="604" spans="1:21">
      <c r="A604" s="51" t="str">
        <f>IF(Declarations!B232=0,"",Declarations!B232)</f>
        <v/>
      </c>
      <c r="B604" s="161" t="str">
        <f>IF(ISNA(VLOOKUP(A604,Declarations!B$6:C$293,2,FALSE)),"",IF(VLOOKUP(A604,Declarations!B$6:C$293,2,FALSE)="","",VLOOKUP(A604,Declarations!B$6:C$293,2,FALSE)))</f>
        <v/>
      </c>
      <c r="C604" s="161" t="str">
        <f>IF(ISNA(VLOOKUP(A604,Declarations!B$6:F$293,5,FALSE)),"",IF(VLOOKUP(A604,Declarations!B$6:F$293,5,FALSE)="","",VLOOKUP(A604,Declarations!B$6:F$293,5,FALSE)))</f>
        <v/>
      </c>
      <c r="D604" s="161" t="str">
        <f>IF(ISNA(VLOOKUP(A604,Declarations!B$6:F$293,4,FALSE)),"",IF(VLOOKUP(A604,Declarations!B$6:F$293,4,FALSE)="","",VLOOKUP(A604,Declarations!B$6:F$293,4,FALSE)))</f>
        <v/>
      </c>
      <c r="E604" s="161" t="str">
        <f>IF(ISNA(VLOOKUP(A604,Declarations!B$6:D$293,3,FALSE)),"",IF(VLOOKUP(A604,Declarations!B$6:D$293,3,FALSE)="","",VLOOKUP(A604,Declarations!B$6:D$293,3,FALSE)))</f>
        <v/>
      </c>
      <c r="F604" s="51" t="str">
        <f>IF(B604="","",IF(ISNA(VLOOKUP(A604,'75m'!F$5:G$302,2,FALSE)),"",VLOOKUP(A604,'75m'!F$5:G$302,2,FALSE)))</f>
        <v/>
      </c>
      <c r="G604" s="51">
        <f>IF(B604="",0,IF(ISNA(_xlfn.XLOOKUP(A604,'75m'!F$5:F$302,'75m'!M$5:M$302)),0,_xlfn.XLOOKUP(A604,'75m'!F$5:F$302,'75m'!M$5:M$302)))</f>
        <v>0</v>
      </c>
      <c r="H604" s="51" t="str">
        <f>IF(B604="","",IF(ISNA(VLOOKUP(A604,'75m'!F$5:K$302,5,FALSE)),"",VLOOKUP(A604,'75m'!F$5:K$302,5,FALSE)))</f>
        <v/>
      </c>
      <c r="I604" s="53">
        <f>IF(B604="",0,IF(ISNA(VLOOKUP(A604,'600m'!F$5:J$302,2,FALSE)),0,VLOOKUP(A604,'600m'!F$5:J$302,2,FALSE)))</f>
        <v>0</v>
      </c>
      <c r="J604" s="51">
        <f>IF(B604="",0,IF(ISNA(_xlfn.XLOOKUP(A604,'600m'!F$5:F$302,'600m'!M$5:M$302)),0,_xlfn.XLOOKUP(A604,'600m'!F$5:F$302,'600m'!M$5:M$302)))</f>
        <v>0</v>
      </c>
      <c r="K604" s="51" t="str">
        <f>IF(B604="","",IF(ISNA(VLOOKUP(A604,'600m'!F$5:K$302,5,FALSE)),"",VLOOKUP(A604,'600m'!F$5:K$302,5,FALSE)))</f>
        <v/>
      </c>
      <c r="L604" s="51" t="str">
        <f>IF(B604="","",IF(ISNA(VLOOKUP(A604,LongJump!F$5:G$302,2,FALSE)),"",VLOOKUP(A604,LongJump!F$5:G$302,2,FALSE)))</f>
        <v/>
      </c>
      <c r="M604" s="51">
        <f>IF(B604="",0,IF(ISNA(_xlfn.XLOOKUP(A604,LongJump!F$5:F$302,LongJump!M$5:M$302)),0,_xlfn.XLOOKUP(A604,LongJump!F$5:F$302,LongJump!M$5:M$302)))</f>
        <v>0</v>
      </c>
      <c r="N604" s="51">
        <f>IF(B604="",0,IF(ISNA(VLOOKUP(A604,LongJump!F$5:K$302,5,FALSE)),0,VLOOKUP(A604,LongJump!F$5:K$302,5,FALSE)))</f>
        <v>0</v>
      </c>
      <c r="O604" s="51" t="str">
        <f>IF(B604="","",IF(ISNA(VLOOKUP(A604,Vortex!F$5:J$302,2,FALSE)),"",VLOOKUP(A604,Vortex!F$5:J$302,2,FALSE)))</f>
        <v/>
      </c>
      <c r="P604" s="51">
        <f>IF(B604="",0,IF(ISNA(_xlfn.XLOOKUP(A604,Vortex!F$5:F$302,Vortex!M$5:M$302)),0,_xlfn.XLOOKUP(A604,Vortex!F$5:F$302,Vortex!M$5:M$302)))</f>
        <v>0</v>
      </c>
      <c r="Q604" s="51">
        <f t="shared" si="68"/>
        <v>0</v>
      </c>
      <c r="R604" s="51" t="str">
        <f t="shared" si="69"/>
        <v/>
      </c>
      <c r="S604" s="51" t="str">
        <f t="shared" si="70"/>
        <v/>
      </c>
      <c r="T604" s="51" t="str">
        <f t="shared" si="71"/>
        <v/>
      </c>
      <c r="U604" s="51" t="str">
        <f t="shared" si="72"/>
        <v/>
      </c>
    </row>
    <row r="605" spans="1:21">
      <c r="A605" s="51" t="str">
        <f>IF(Declarations!B233=0,"",Declarations!B233)</f>
        <v/>
      </c>
      <c r="B605" s="161" t="str">
        <f>IF(ISNA(VLOOKUP(A605,Declarations!B$6:C$293,2,FALSE)),"",IF(VLOOKUP(A605,Declarations!B$6:C$293,2,FALSE)="","",VLOOKUP(A605,Declarations!B$6:C$293,2,FALSE)))</f>
        <v/>
      </c>
      <c r="C605" s="161" t="str">
        <f>IF(ISNA(VLOOKUP(A605,Declarations!B$6:F$293,5,FALSE)),"",IF(VLOOKUP(A605,Declarations!B$6:F$293,5,FALSE)="","",VLOOKUP(A605,Declarations!B$6:F$293,5,FALSE)))</f>
        <v/>
      </c>
      <c r="D605" s="161" t="str">
        <f>IF(ISNA(VLOOKUP(A605,Declarations!B$6:F$293,4,FALSE)),"",IF(VLOOKUP(A605,Declarations!B$6:F$293,4,FALSE)="","",VLOOKUP(A605,Declarations!B$6:F$293,4,FALSE)))</f>
        <v/>
      </c>
      <c r="E605" s="161" t="str">
        <f>IF(ISNA(VLOOKUP(A605,Declarations!B$6:D$293,3,FALSE)),"",IF(VLOOKUP(A605,Declarations!B$6:D$293,3,FALSE)="","",VLOOKUP(A605,Declarations!B$6:D$293,3,FALSE)))</f>
        <v/>
      </c>
      <c r="F605" s="51" t="str">
        <f>IF(B605="","",IF(ISNA(VLOOKUP(A605,'75m'!F$5:G$302,2,FALSE)),"",VLOOKUP(A605,'75m'!F$5:G$302,2,FALSE)))</f>
        <v/>
      </c>
      <c r="G605" s="51">
        <f>IF(B605="",0,IF(ISNA(_xlfn.XLOOKUP(A605,'75m'!F$5:F$302,'75m'!M$5:M$302)),0,_xlfn.XLOOKUP(A605,'75m'!F$5:F$302,'75m'!M$5:M$302)))</f>
        <v>0</v>
      </c>
      <c r="H605" s="51" t="str">
        <f>IF(B605="","",IF(ISNA(VLOOKUP(A605,'75m'!F$5:K$302,5,FALSE)),"",VLOOKUP(A605,'75m'!F$5:K$302,5,FALSE)))</f>
        <v/>
      </c>
      <c r="I605" s="53">
        <f>IF(B605="",0,IF(ISNA(VLOOKUP(A605,'600m'!F$5:J$302,2,FALSE)),0,VLOOKUP(A605,'600m'!F$5:J$302,2,FALSE)))</f>
        <v>0</v>
      </c>
      <c r="J605" s="51">
        <f>IF(B605="",0,IF(ISNA(_xlfn.XLOOKUP(A605,'600m'!F$5:F$302,'600m'!M$5:M$302)),0,_xlfn.XLOOKUP(A605,'600m'!F$5:F$302,'600m'!M$5:M$302)))</f>
        <v>0</v>
      </c>
      <c r="K605" s="51" t="str">
        <f>IF(B605="","",IF(ISNA(VLOOKUP(A605,'600m'!F$5:K$302,5,FALSE)),"",VLOOKUP(A605,'600m'!F$5:K$302,5,FALSE)))</f>
        <v/>
      </c>
      <c r="L605" s="51" t="str">
        <f>IF(B605="","",IF(ISNA(VLOOKUP(A605,LongJump!F$5:G$302,2,FALSE)),"",VLOOKUP(A605,LongJump!F$5:G$302,2,FALSE)))</f>
        <v/>
      </c>
      <c r="M605" s="51">
        <f>IF(B605="",0,IF(ISNA(_xlfn.XLOOKUP(A605,LongJump!F$5:F$302,LongJump!M$5:M$302)),0,_xlfn.XLOOKUP(A605,LongJump!F$5:F$302,LongJump!M$5:M$302)))</f>
        <v>0</v>
      </c>
      <c r="N605" s="51">
        <f>IF(B605="",0,IF(ISNA(VLOOKUP(A605,LongJump!F$5:K$302,5,FALSE)),0,VLOOKUP(A605,LongJump!F$5:K$302,5,FALSE)))</f>
        <v>0</v>
      </c>
      <c r="O605" s="51" t="str">
        <f>IF(B605="","",IF(ISNA(VLOOKUP(A605,Vortex!F$5:J$302,2,FALSE)),"",VLOOKUP(A605,Vortex!F$5:J$302,2,FALSE)))</f>
        <v/>
      </c>
      <c r="P605" s="51">
        <f>IF(B605="",0,IF(ISNA(_xlfn.XLOOKUP(A605,Vortex!F$5:F$302,Vortex!M$5:M$302)),0,_xlfn.XLOOKUP(A605,Vortex!F$5:F$302,Vortex!M$5:M$302)))</f>
        <v>0</v>
      </c>
      <c r="Q605" s="51">
        <f t="shared" si="68"/>
        <v>0</v>
      </c>
      <c r="R605" s="51" t="str">
        <f t="shared" si="69"/>
        <v/>
      </c>
      <c r="S605" s="51" t="str">
        <f t="shared" si="70"/>
        <v/>
      </c>
      <c r="T605" s="51" t="str">
        <f t="shared" si="71"/>
        <v/>
      </c>
      <c r="U605" s="51" t="str">
        <f t="shared" si="72"/>
        <v/>
      </c>
    </row>
    <row r="606" spans="1:21">
      <c r="A606" s="51" t="str">
        <f>IF(Declarations!B234=0,"",Declarations!B234)</f>
        <v/>
      </c>
      <c r="B606" s="161" t="str">
        <f>IF(ISNA(VLOOKUP(A606,Declarations!B$6:C$293,2,FALSE)),"",IF(VLOOKUP(A606,Declarations!B$6:C$293,2,FALSE)="","",VLOOKUP(A606,Declarations!B$6:C$293,2,FALSE)))</f>
        <v/>
      </c>
      <c r="C606" s="161" t="str">
        <f>IF(ISNA(VLOOKUP(A606,Declarations!B$6:F$293,5,FALSE)),"",IF(VLOOKUP(A606,Declarations!B$6:F$293,5,FALSE)="","",VLOOKUP(A606,Declarations!B$6:F$293,5,FALSE)))</f>
        <v/>
      </c>
      <c r="D606" s="161" t="str">
        <f>IF(ISNA(VLOOKUP(A606,Declarations!B$6:F$293,4,FALSE)),"",IF(VLOOKUP(A606,Declarations!B$6:F$293,4,FALSE)="","",VLOOKUP(A606,Declarations!B$6:F$293,4,FALSE)))</f>
        <v/>
      </c>
      <c r="E606" s="161" t="str">
        <f>IF(ISNA(VLOOKUP(A606,Declarations!B$6:D$293,3,FALSE)),"",IF(VLOOKUP(A606,Declarations!B$6:D$293,3,FALSE)="","",VLOOKUP(A606,Declarations!B$6:D$293,3,FALSE)))</f>
        <v/>
      </c>
      <c r="F606" s="51" t="str">
        <f>IF(B606="","",IF(ISNA(VLOOKUP(A606,'75m'!F$5:G$302,2,FALSE)),"",VLOOKUP(A606,'75m'!F$5:G$302,2,FALSE)))</f>
        <v/>
      </c>
      <c r="G606" s="51">
        <f>IF(B606="",0,IF(ISNA(_xlfn.XLOOKUP(A606,'75m'!F$5:F$302,'75m'!M$5:M$302)),0,_xlfn.XLOOKUP(A606,'75m'!F$5:F$302,'75m'!M$5:M$302)))</f>
        <v>0</v>
      </c>
      <c r="H606" s="51" t="str">
        <f>IF(B606="","",IF(ISNA(VLOOKUP(A606,'75m'!F$5:K$302,5,FALSE)),"",VLOOKUP(A606,'75m'!F$5:K$302,5,FALSE)))</f>
        <v/>
      </c>
      <c r="I606" s="53">
        <f>IF(B606="",0,IF(ISNA(VLOOKUP(A606,'600m'!F$5:J$302,2,FALSE)),0,VLOOKUP(A606,'600m'!F$5:J$302,2,FALSE)))</f>
        <v>0</v>
      </c>
      <c r="J606" s="51">
        <f>IF(B606="",0,IF(ISNA(_xlfn.XLOOKUP(A606,'600m'!F$5:F$302,'600m'!M$5:M$302)),0,_xlfn.XLOOKUP(A606,'600m'!F$5:F$302,'600m'!M$5:M$302)))</f>
        <v>0</v>
      </c>
      <c r="K606" s="51" t="str">
        <f>IF(B606="","",IF(ISNA(VLOOKUP(A606,'600m'!F$5:K$302,5,FALSE)),"",VLOOKUP(A606,'600m'!F$5:K$302,5,FALSE)))</f>
        <v/>
      </c>
      <c r="L606" s="51" t="str">
        <f>IF(B606="","",IF(ISNA(VLOOKUP(A606,LongJump!F$5:G$302,2,FALSE)),"",VLOOKUP(A606,LongJump!F$5:G$302,2,FALSE)))</f>
        <v/>
      </c>
      <c r="M606" s="51">
        <f>IF(B606="",0,IF(ISNA(_xlfn.XLOOKUP(A606,LongJump!F$5:F$302,LongJump!M$5:M$302)),0,_xlfn.XLOOKUP(A606,LongJump!F$5:F$302,LongJump!M$5:M$302)))</f>
        <v>0</v>
      </c>
      <c r="N606" s="51">
        <f>IF(B606="",0,IF(ISNA(VLOOKUP(A606,LongJump!F$5:K$302,5,FALSE)),0,VLOOKUP(A606,LongJump!F$5:K$302,5,FALSE)))</f>
        <v>0</v>
      </c>
      <c r="O606" s="51" t="str">
        <f>IF(B606="","",IF(ISNA(VLOOKUP(A606,Vortex!F$5:J$302,2,FALSE)),"",VLOOKUP(A606,Vortex!F$5:J$302,2,FALSE)))</f>
        <v/>
      </c>
      <c r="P606" s="51">
        <f>IF(B606="",0,IF(ISNA(_xlfn.XLOOKUP(A606,Vortex!F$5:F$302,Vortex!M$5:M$302)),0,_xlfn.XLOOKUP(A606,Vortex!F$5:F$302,Vortex!M$5:M$302)))</f>
        <v>0</v>
      </c>
      <c r="Q606" s="51">
        <f t="shared" si="68"/>
        <v>0</v>
      </c>
      <c r="R606" s="51" t="str">
        <f t="shared" si="69"/>
        <v/>
      </c>
      <c r="S606" s="51" t="str">
        <f t="shared" si="70"/>
        <v/>
      </c>
      <c r="T606" s="51" t="str">
        <f t="shared" si="71"/>
        <v/>
      </c>
      <c r="U606" s="51" t="str">
        <f t="shared" si="72"/>
        <v/>
      </c>
    </row>
    <row r="607" spans="1:21">
      <c r="A607" s="51" t="str">
        <f>IF(Declarations!B235=0,"",Declarations!B235)</f>
        <v/>
      </c>
      <c r="B607" s="161" t="str">
        <f>IF(ISNA(VLOOKUP(A607,Declarations!B$6:C$293,2,FALSE)),"",IF(VLOOKUP(A607,Declarations!B$6:C$293,2,FALSE)="","",VLOOKUP(A607,Declarations!B$6:C$293,2,FALSE)))</f>
        <v/>
      </c>
      <c r="C607" s="161" t="str">
        <f>IF(ISNA(VLOOKUP(A607,Declarations!B$6:F$293,5,FALSE)),"",IF(VLOOKUP(A607,Declarations!B$6:F$293,5,FALSE)="","",VLOOKUP(A607,Declarations!B$6:F$293,5,FALSE)))</f>
        <v/>
      </c>
      <c r="D607" s="161" t="str">
        <f>IF(ISNA(VLOOKUP(A607,Declarations!B$6:F$293,4,FALSE)),"",IF(VLOOKUP(A607,Declarations!B$6:F$293,4,FALSE)="","",VLOOKUP(A607,Declarations!B$6:F$293,4,FALSE)))</f>
        <v/>
      </c>
      <c r="E607" s="161" t="str">
        <f>IF(ISNA(VLOOKUP(A607,Declarations!B$6:D$293,3,FALSE)),"",IF(VLOOKUP(A607,Declarations!B$6:D$293,3,FALSE)="","",VLOOKUP(A607,Declarations!B$6:D$293,3,FALSE)))</f>
        <v/>
      </c>
      <c r="F607" s="51" t="str">
        <f>IF(B607="","",IF(ISNA(VLOOKUP(A607,'75m'!F$5:G$302,2,FALSE)),"",VLOOKUP(A607,'75m'!F$5:G$302,2,FALSE)))</f>
        <v/>
      </c>
      <c r="G607" s="51">
        <f>IF(B607="",0,IF(ISNA(_xlfn.XLOOKUP(A607,'75m'!F$5:F$302,'75m'!M$5:M$302)),0,_xlfn.XLOOKUP(A607,'75m'!F$5:F$302,'75m'!M$5:M$302)))</f>
        <v>0</v>
      </c>
      <c r="H607" s="51" t="str">
        <f>IF(B607="","",IF(ISNA(VLOOKUP(A607,'75m'!F$5:K$302,5,FALSE)),"",VLOOKUP(A607,'75m'!F$5:K$302,5,FALSE)))</f>
        <v/>
      </c>
      <c r="I607" s="53">
        <f>IF(B607="",0,IF(ISNA(VLOOKUP(A607,'600m'!F$5:J$302,2,FALSE)),0,VLOOKUP(A607,'600m'!F$5:J$302,2,FALSE)))</f>
        <v>0</v>
      </c>
      <c r="J607" s="51">
        <f>IF(B607="",0,IF(ISNA(_xlfn.XLOOKUP(A607,'600m'!F$5:F$302,'600m'!M$5:M$302)),0,_xlfn.XLOOKUP(A607,'600m'!F$5:F$302,'600m'!M$5:M$302)))</f>
        <v>0</v>
      </c>
      <c r="K607" s="51" t="str">
        <f>IF(B607="","",IF(ISNA(VLOOKUP(A607,'600m'!F$5:K$302,5,FALSE)),"",VLOOKUP(A607,'600m'!F$5:K$302,5,FALSE)))</f>
        <v/>
      </c>
      <c r="L607" s="51" t="str">
        <f>IF(B607="","",IF(ISNA(VLOOKUP(A607,LongJump!F$5:G$302,2,FALSE)),"",VLOOKUP(A607,LongJump!F$5:G$302,2,FALSE)))</f>
        <v/>
      </c>
      <c r="M607" s="51">
        <f>IF(B607="",0,IF(ISNA(_xlfn.XLOOKUP(A607,LongJump!F$5:F$302,LongJump!M$5:M$302)),0,_xlfn.XLOOKUP(A607,LongJump!F$5:F$302,LongJump!M$5:M$302)))</f>
        <v>0</v>
      </c>
      <c r="N607" s="51">
        <f>IF(B607="",0,IF(ISNA(VLOOKUP(A607,LongJump!F$5:K$302,5,FALSE)),0,VLOOKUP(A607,LongJump!F$5:K$302,5,FALSE)))</f>
        <v>0</v>
      </c>
      <c r="O607" s="51" t="str">
        <f>IF(B607="","",IF(ISNA(VLOOKUP(A607,Vortex!F$5:J$302,2,FALSE)),"",VLOOKUP(A607,Vortex!F$5:J$302,2,FALSE)))</f>
        <v/>
      </c>
      <c r="P607" s="51">
        <f>IF(B607="",0,IF(ISNA(_xlfn.XLOOKUP(A607,Vortex!F$5:F$302,Vortex!M$5:M$302)),0,_xlfn.XLOOKUP(A607,Vortex!F$5:F$302,Vortex!M$5:M$302)))</f>
        <v>0</v>
      </c>
      <c r="Q607" s="51">
        <f t="shared" si="68"/>
        <v>0</v>
      </c>
      <c r="R607" s="51" t="str">
        <f t="shared" si="69"/>
        <v/>
      </c>
      <c r="S607" s="51" t="str">
        <f t="shared" si="70"/>
        <v/>
      </c>
      <c r="T607" s="51" t="str">
        <f t="shared" si="71"/>
        <v/>
      </c>
      <c r="U607" s="51" t="str">
        <f t="shared" si="72"/>
        <v/>
      </c>
    </row>
    <row r="608" spans="1:21">
      <c r="A608" s="51" t="str">
        <f>IF(Declarations!B236=0,"",Declarations!B236)</f>
        <v/>
      </c>
      <c r="B608" s="161" t="str">
        <f>IF(ISNA(VLOOKUP(A608,Declarations!B$6:C$293,2,FALSE)),"",IF(VLOOKUP(A608,Declarations!B$6:C$293,2,FALSE)="","",VLOOKUP(A608,Declarations!B$6:C$293,2,FALSE)))</f>
        <v/>
      </c>
      <c r="C608" s="161" t="str">
        <f>IF(ISNA(VLOOKUP(A608,Declarations!B$6:F$293,5,FALSE)),"",IF(VLOOKUP(A608,Declarations!B$6:F$293,5,FALSE)="","",VLOOKUP(A608,Declarations!B$6:F$293,5,FALSE)))</f>
        <v/>
      </c>
      <c r="D608" s="161" t="str">
        <f>IF(ISNA(VLOOKUP(A608,Declarations!B$6:F$293,4,FALSE)),"",IF(VLOOKUP(A608,Declarations!B$6:F$293,4,FALSE)="","",VLOOKUP(A608,Declarations!B$6:F$293,4,FALSE)))</f>
        <v/>
      </c>
      <c r="E608" s="161" t="str">
        <f>IF(ISNA(VLOOKUP(A608,Declarations!B$6:D$293,3,FALSE)),"",IF(VLOOKUP(A608,Declarations!B$6:D$293,3,FALSE)="","",VLOOKUP(A608,Declarations!B$6:D$293,3,FALSE)))</f>
        <v/>
      </c>
      <c r="F608" s="51" t="str">
        <f>IF(B608="","",IF(ISNA(VLOOKUP(A608,'75m'!F$5:G$302,2,FALSE)),"",VLOOKUP(A608,'75m'!F$5:G$302,2,FALSE)))</f>
        <v/>
      </c>
      <c r="G608" s="51">
        <f>IF(B608="",0,IF(ISNA(_xlfn.XLOOKUP(A608,'75m'!F$5:F$302,'75m'!M$5:M$302)),0,_xlfn.XLOOKUP(A608,'75m'!F$5:F$302,'75m'!M$5:M$302)))</f>
        <v>0</v>
      </c>
      <c r="H608" s="51" t="str">
        <f>IF(B608="","",IF(ISNA(VLOOKUP(A608,'75m'!F$5:K$302,5,FALSE)),"",VLOOKUP(A608,'75m'!F$5:K$302,5,FALSE)))</f>
        <v/>
      </c>
      <c r="I608" s="53">
        <f>IF(B608="",0,IF(ISNA(VLOOKUP(A608,'600m'!F$5:J$302,2,FALSE)),0,VLOOKUP(A608,'600m'!F$5:J$302,2,FALSE)))</f>
        <v>0</v>
      </c>
      <c r="J608" s="51">
        <f>IF(B608="",0,IF(ISNA(_xlfn.XLOOKUP(A608,'600m'!F$5:F$302,'600m'!M$5:M$302)),0,_xlfn.XLOOKUP(A608,'600m'!F$5:F$302,'600m'!M$5:M$302)))</f>
        <v>0</v>
      </c>
      <c r="K608" s="51" t="str">
        <f>IF(B608="","",IF(ISNA(VLOOKUP(A608,'600m'!F$5:K$302,5,FALSE)),"",VLOOKUP(A608,'600m'!F$5:K$302,5,FALSE)))</f>
        <v/>
      </c>
      <c r="L608" s="51" t="str">
        <f>IF(B608="","",IF(ISNA(VLOOKUP(A608,LongJump!F$5:G$302,2,FALSE)),"",VLOOKUP(A608,LongJump!F$5:G$302,2,FALSE)))</f>
        <v/>
      </c>
      <c r="M608" s="51">
        <f>IF(B608="",0,IF(ISNA(_xlfn.XLOOKUP(A608,LongJump!F$5:F$302,LongJump!M$5:M$302)),0,_xlfn.XLOOKUP(A608,LongJump!F$5:F$302,LongJump!M$5:M$302)))</f>
        <v>0</v>
      </c>
      <c r="N608" s="51">
        <f>IF(B608="",0,IF(ISNA(VLOOKUP(A608,LongJump!F$5:K$302,5,FALSE)),0,VLOOKUP(A608,LongJump!F$5:K$302,5,FALSE)))</f>
        <v>0</v>
      </c>
      <c r="O608" s="51" t="str">
        <f>IF(B608="","",IF(ISNA(VLOOKUP(A608,Vortex!F$5:J$302,2,FALSE)),"",VLOOKUP(A608,Vortex!F$5:J$302,2,FALSE)))</f>
        <v/>
      </c>
      <c r="P608" s="51">
        <f>IF(B608="",0,IF(ISNA(_xlfn.XLOOKUP(A608,Vortex!F$5:F$302,Vortex!M$5:M$302)),0,_xlfn.XLOOKUP(A608,Vortex!F$5:F$302,Vortex!M$5:M$302)))</f>
        <v>0</v>
      </c>
      <c r="Q608" s="51">
        <f t="shared" si="68"/>
        <v>0</v>
      </c>
      <c r="R608" s="51" t="str">
        <f t="shared" si="69"/>
        <v/>
      </c>
      <c r="S608" s="51" t="str">
        <f t="shared" si="70"/>
        <v/>
      </c>
      <c r="T608" s="51" t="str">
        <f t="shared" si="71"/>
        <v/>
      </c>
      <c r="U608" s="51" t="str">
        <f t="shared" si="72"/>
        <v/>
      </c>
    </row>
    <row r="609" spans="1:21">
      <c r="A609" s="51" t="str">
        <f>IF(Declarations!B237=0,"",Declarations!B237)</f>
        <v/>
      </c>
      <c r="B609" s="161" t="str">
        <f>IF(ISNA(VLOOKUP(A609,Declarations!B$6:C$293,2,FALSE)),"",IF(VLOOKUP(A609,Declarations!B$6:C$293,2,FALSE)="","",VLOOKUP(A609,Declarations!B$6:C$293,2,FALSE)))</f>
        <v/>
      </c>
      <c r="C609" s="161" t="str">
        <f>IF(ISNA(VLOOKUP(A609,Declarations!B$6:F$293,5,FALSE)),"",IF(VLOOKUP(A609,Declarations!B$6:F$293,5,FALSE)="","",VLOOKUP(A609,Declarations!B$6:F$293,5,FALSE)))</f>
        <v/>
      </c>
      <c r="D609" s="161" t="str">
        <f>IF(ISNA(VLOOKUP(A609,Declarations!B$6:F$293,4,FALSE)),"",IF(VLOOKUP(A609,Declarations!B$6:F$293,4,FALSE)="","",VLOOKUP(A609,Declarations!B$6:F$293,4,FALSE)))</f>
        <v/>
      </c>
      <c r="E609" s="161" t="str">
        <f>IF(ISNA(VLOOKUP(A609,Declarations!B$6:D$293,3,FALSE)),"",IF(VLOOKUP(A609,Declarations!B$6:D$293,3,FALSE)="","",VLOOKUP(A609,Declarations!B$6:D$293,3,FALSE)))</f>
        <v/>
      </c>
      <c r="F609" s="51" t="str">
        <f>IF(B609="","",IF(ISNA(VLOOKUP(A609,'75m'!F$5:G$302,2,FALSE)),"",VLOOKUP(A609,'75m'!F$5:G$302,2,FALSE)))</f>
        <v/>
      </c>
      <c r="G609" s="51">
        <f>IF(B609="",0,IF(ISNA(_xlfn.XLOOKUP(A609,'75m'!F$5:F$302,'75m'!M$5:M$302)),0,_xlfn.XLOOKUP(A609,'75m'!F$5:F$302,'75m'!M$5:M$302)))</f>
        <v>0</v>
      </c>
      <c r="H609" s="51" t="str">
        <f>IF(B609="","",IF(ISNA(VLOOKUP(A609,'75m'!F$5:K$302,5,FALSE)),"",VLOOKUP(A609,'75m'!F$5:K$302,5,FALSE)))</f>
        <v/>
      </c>
      <c r="I609" s="53">
        <f>IF(B609="",0,IF(ISNA(VLOOKUP(A609,'600m'!F$5:J$302,2,FALSE)),0,VLOOKUP(A609,'600m'!F$5:J$302,2,FALSE)))</f>
        <v>0</v>
      </c>
      <c r="J609" s="51">
        <f>IF(B609="",0,IF(ISNA(_xlfn.XLOOKUP(A609,'600m'!F$5:F$302,'600m'!M$5:M$302)),0,_xlfn.XLOOKUP(A609,'600m'!F$5:F$302,'600m'!M$5:M$302)))</f>
        <v>0</v>
      </c>
      <c r="K609" s="51" t="str">
        <f>IF(B609="","",IF(ISNA(VLOOKUP(A609,'600m'!F$5:K$302,5,FALSE)),"",VLOOKUP(A609,'600m'!F$5:K$302,5,FALSE)))</f>
        <v/>
      </c>
      <c r="L609" s="51" t="str">
        <f>IF(B609="","",IF(ISNA(VLOOKUP(A609,LongJump!F$5:G$302,2,FALSE)),"",VLOOKUP(A609,LongJump!F$5:G$302,2,FALSE)))</f>
        <v/>
      </c>
      <c r="M609" s="51">
        <f>IF(B609="",0,IF(ISNA(_xlfn.XLOOKUP(A609,LongJump!F$5:F$302,LongJump!M$5:M$302)),0,_xlfn.XLOOKUP(A609,LongJump!F$5:F$302,LongJump!M$5:M$302)))</f>
        <v>0</v>
      </c>
      <c r="N609" s="51">
        <f>IF(B609="",0,IF(ISNA(VLOOKUP(A609,LongJump!F$5:K$302,5,FALSE)),0,VLOOKUP(A609,LongJump!F$5:K$302,5,FALSE)))</f>
        <v>0</v>
      </c>
      <c r="O609" s="51" t="str">
        <f>IF(B609="","",IF(ISNA(VLOOKUP(A609,Vortex!F$5:J$302,2,FALSE)),"",VLOOKUP(A609,Vortex!F$5:J$302,2,FALSE)))</f>
        <v/>
      </c>
      <c r="P609" s="51">
        <f>IF(B609="",0,IF(ISNA(_xlfn.XLOOKUP(A609,Vortex!F$5:F$302,Vortex!M$5:M$302)),0,_xlfn.XLOOKUP(A609,Vortex!F$5:F$302,Vortex!M$5:M$302)))</f>
        <v>0</v>
      </c>
      <c r="Q609" s="51">
        <f t="shared" si="68"/>
        <v>0</v>
      </c>
      <c r="R609" s="51" t="str">
        <f t="shared" si="69"/>
        <v/>
      </c>
      <c r="S609" s="51" t="str">
        <f t="shared" si="70"/>
        <v/>
      </c>
      <c r="T609" s="51" t="str">
        <f t="shared" si="71"/>
        <v/>
      </c>
      <c r="U609" s="51" t="str">
        <f t="shared" si="72"/>
        <v/>
      </c>
    </row>
    <row r="610" spans="1:21">
      <c r="A610" s="51" t="str">
        <f>IF(Declarations!B238=0,"",Declarations!B238)</f>
        <v/>
      </c>
      <c r="B610" s="161" t="str">
        <f>IF(ISNA(VLOOKUP(A610,Declarations!B$6:C$293,2,FALSE)),"",IF(VLOOKUP(A610,Declarations!B$6:C$293,2,FALSE)="","",VLOOKUP(A610,Declarations!B$6:C$293,2,FALSE)))</f>
        <v/>
      </c>
      <c r="C610" s="161" t="str">
        <f>IF(ISNA(VLOOKUP(A610,Declarations!B$6:F$293,5,FALSE)),"",IF(VLOOKUP(A610,Declarations!B$6:F$293,5,FALSE)="","",VLOOKUP(A610,Declarations!B$6:F$293,5,FALSE)))</f>
        <v/>
      </c>
      <c r="D610" s="161" t="str">
        <f>IF(ISNA(VLOOKUP(A610,Declarations!B$6:F$293,4,FALSE)),"",IF(VLOOKUP(A610,Declarations!B$6:F$293,4,FALSE)="","",VLOOKUP(A610,Declarations!B$6:F$293,4,FALSE)))</f>
        <v/>
      </c>
      <c r="E610" s="161" t="str">
        <f>IF(ISNA(VLOOKUP(A610,Declarations!B$6:D$293,3,FALSE)),"",IF(VLOOKUP(A610,Declarations!B$6:D$293,3,FALSE)="","",VLOOKUP(A610,Declarations!B$6:D$293,3,FALSE)))</f>
        <v/>
      </c>
      <c r="F610" s="51" t="str">
        <f>IF(B610="","",IF(ISNA(VLOOKUP(A610,'75m'!F$5:G$302,2,FALSE)),"",VLOOKUP(A610,'75m'!F$5:G$302,2,FALSE)))</f>
        <v/>
      </c>
      <c r="G610" s="51">
        <f>IF(B610="",0,IF(ISNA(_xlfn.XLOOKUP(A610,'75m'!F$5:F$302,'75m'!M$5:M$302)),0,_xlfn.XLOOKUP(A610,'75m'!F$5:F$302,'75m'!M$5:M$302)))</f>
        <v>0</v>
      </c>
      <c r="H610" s="51" t="str">
        <f>IF(B610="","",IF(ISNA(VLOOKUP(A610,'75m'!F$5:K$302,5,FALSE)),"",VLOOKUP(A610,'75m'!F$5:K$302,5,FALSE)))</f>
        <v/>
      </c>
      <c r="I610" s="53">
        <f>IF(B610="",0,IF(ISNA(VLOOKUP(A610,'600m'!F$5:J$302,2,FALSE)),0,VLOOKUP(A610,'600m'!F$5:J$302,2,FALSE)))</f>
        <v>0</v>
      </c>
      <c r="J610" s="51">
        <f>IF(B610="",0,IF(ISNA(_xlfn.XLOOKUP(A610,'600m'!F$5:F$302,'600m'!M$5:M$302)),0,_xlfn.XLOOKUP(A610,'600m'!F$5:F$302,'600m'!M$5:M$302)))</f>
        <v>0</v>
      </c>
      <c r="K610" s="51" t="str">
        <f>IF(B610="","",IF(ISNA(VLOOKUP(A610,'600m'!F$5:K$302,5,FALSE)),"",VLOOKUP(A610,'600m'!F$5:K$302,5,FALSE)))</f>
        <v/>
      </c>
      <c r="L610" s="51" t="str">
        <f>IF(B610="","",IF(ISNA(VLOOKUP(A610,LongJump!F$5:G$302,2,FALSE)),"",VLOOKUP(A610,LongJump!F$5:G$302,2,FALSE)))</f>
        <v/>
      </c>
      <c r="M610" s="51">
        <f>IF(B610="",0,IF(ISNA(_xlfn.XLOOKUP(A610,LongJump!F$5:F$302,LongJump!M$5:M$302)),0,_xlfn.XLOOKUP(A610,LongJump!F$5:F$302,LongJump!M$5:M$302)))</f>
        <v>0</v>
      </c>
      <c r="N610" s="51">
        <f>IF(B610="",0,IF(ISNA(VLOOKUP(A610,LongJump!F$5:K$302,5,FALSE)),0,VLOOKUP(A610,LongJump!F$5:K$302,5,FALSE)))</f>
        <v>0</v>
      </c>
      <c r="O610" s="51" t="str">
        <f>IF(B610="","",IF(ISNA(VLOOKUP(A610,Vortex!F$5:J$302,2,FALSE)),"",VLOOKUP(A610,Vortex!F$5:J$302,2,FALSE)))</f>
        <v/>
      </c>
      <c r="P610" s="51">
        <f>IF(B610="",0,IF(ISNA(_xlfn.XLOOKUP(A610,Vortex!F$5:F$302,Vortex!M$5:M$302)),0,_xlfn.XLOOKUP(A610,Vortex!F$5:F$302,Vortex!M$5:M$302)))</f>
        <v>0</v>
      </c>
      <c r="Q610" s="51">
        <f t="shared" si="68"/>
        <v>0</v>
      </c>
      <c r="R610" s="51" t="str">
        <f t="shared" si="69"/>
        <v/>
      </c>
      <c r="S610" s="51" t="str">
        <f t="shared" si="70"/>
        <v/>
      </c>
      <c r="T610" s="51" t="str">
        <f t="shared" si="71"/>
        <v/>
      </c>
      <c r="U610" s="51" t="str">
        <f t="shared" si="72"/>
        <v/>
      </c>
    </row>
    <row r="611" spans="1:21">
      <c r="A611" s="51" t="str">
        <f>IF(Declarations!B239=0,"",Declarations!B239)</f>
        <v/>
      </c>
      <c r="B611" s="161" t="str">
        <f>IF(ISNA(VLOOKUP(A611,Declarations!B$6:C$293,2,FALSE)),"",IF(VLOOKUP(A611,Declarations!B$6:C$293,2,FALSE)="","",VLOOKUP(A611,Declarations!B$6:C$293,2,FALSE)))</f>
        <v/>
      </c>
      <c r="C611" s="161" t="str">
        <f>IF(ISNA(VLOOKUP(A611,Declarations!B$6:F$293,5,FALSE)),"",IF(VLOOKUP(A611,Declarations!B$6:F$293,5,FALSE)="","",VLOOKUP(A611,Declarations!B$6:F$293,5,FALSE)))</f>
        <v/>
      </c>
      <c r="D611" s="161" t="str">
        <f>IF(ISNA(VLOOKUP(A611,Declarations!B$6:F$293,4,FALSE)),"",IF(VLOOKUP(A611,Declarations!B$6:F$293,4,FALSE)="","",VLOOKUP(A611,Declarations!B$6:F$293,4,FALSE)))</f>
        <v/>
      </c>
      <c r="E611" s="161" t="str">
        <f>IF(ISNA(VLOOKUP(A611,Declarations!B$6:D$293,3,FALSE)),"",IF(VLOOKUP(A611,Declarations!B$6:D$293,3,FALSE)="","",VLOOKUP(A611,Declarations!B$6:D$293,3,FALSE)))</f>
        <v/>
      </c>
      <c r="F611" s="51" t="str">
        <f>IF(B611="","",IF(ISNA(VLOOKUP(A611,'75m'!F$5:G$302,2,FALSE)),"",VLOOKUP(A611,'75m'!F$5:G$302,2,FALSE)))</f>
        <v/>
      </c>
      <c r="G611" s="51">
        <f>IF(B611="",0,IF(ISNA(_xlfn.XLOOKUP(A611,'75m'!F$5:F$302,'75m'!M$5:M$302)),0,_xlfn.XLOOKUP(A611,'75m'!F$5:F$302,'75m'!M$5:M$302)))</f>
        <v>0</v>
      </c>
      <c r="H611" s="51" t="str">
        <f>IF(B611="","",IF(ISNA(VLOOKUP(A611,'75m'!F$5:K$302,5,FALSE)),"",VLOOKUP(A611,'75m'!F$5:K$302,5,FALSE)))</f>
        <v/>
      </c>
      <c r="I611" s="53">
        <f>IF(B611="",0,IF(ISNA(VLOOKUP(A611,'600m'!F$5:J$302,2,FALSE)),0,VLOOKUP(A611,'600m'!F$5:J$302,2,FALSE)))</f>
        <v>0</v>
      </c>
      <c r="J611" s="51">
        <f>IF(B611="",0,IF(ISNA(_xlfn.XLOOKUP(A611,'600m'!F$5:F$302,'600m'!M$5:M$302)),0,_xlfn.XLOOKUP(A611,'600m'!F$5:F$302,'600m'!M$5:M$302)))</f>
        <v>0</v>
      </c>
      <c r="K611" s="51" t="str">
        <f>IF(B611="","",IF(ISNA(VLOOKUP(A611,'600m'!F$5:K$302,5,FALSE)),"",VLOOKUP(A611,'600m'!F$5:K$302,5,FALSE)))</f>
        <v/>
      </c>
      <c r="L611" s="51" t="str">
        <f>IF(B611="","",IF(ISNA(VLOOKUP(A611,LongJump!F$5:G$302,2,FALSE)),"",VLOOKUP(A611,LongJump!F$5:G$302,2,FALSE)))</f>
        <v/>
      </c>
      <c r="M611" s="51">
        <f>IF(B611="",0,IF(ISNA(_xlfn.XLOOKUP(A611,LongJump!F$5:F$302,LongJump!M$5:M$302)),0,_xlfn.XLOOKUP(A611,LongJump!F$5:F$302,LongJump!M$5:M$302)))</f>
        <v>0</v>
      </c>
      <c r="N611" s="51">
        <f>IF(B611="",0,IF(ISNA(VLOOKUP(A611,LongJump!F$5:K$302,5,FALSE)),0,VLOOKUP(A611,LongJump!F$5:K$302,5,FALSE)))</f>
        <v>0</v>
      </c>
      <c r="O611" s="51" t="str">
        <f>IF(B611="","",IF(ISNA(VLOOKUP(A611,Vortex!F$5:J$302,2,FALSE)),"",VLOOKUP(A611,Vortex!F$5:J$302,2,FALSE)))</f>
        <v/>
      </c>
      <c r="P611" s="51">
        <f>IF(B611="",0,IF(ISNA(_xlfn.XLOOKUP(A611,Vortex!F$5:F$302,Vortex!M$5:M$302)),0,_xlfn.XLOOKUP(A611,Vortex!F$5:F$302,Vortex!M$5:M$302)))</f>
        <v>0</v>
      </c>
      <c r="Q611" s="51">
        <f t="shared" si="68"/>
        <v>0</v>
      </c>
      <c r="R611" s="51" t="str">
        <f t="shared" si="69"/>
        <v/>
      </c>
      <c r="S611" s="51" t="str">
        <f t="shared" si="70"/>
        <v/>
      </c>
      <c r="T611" s="51" t="str">
        <f t="shared" si="71"/>
        <v/>
      </c>
      <c r="U611" s="51" t="str">
        <f t="shared" si="72"/>
        <v/>
      </c>
    </row>
    <row r="612" spans="1:21">
      <c r="A612" s="51" t="str">
        <f>IF(Declarations!B240=0,"",Declarations!B240)</f>
        <v/>
      </c>
      <c r="B612" s="161" t="str">
        <f>IF(ISNA(VLOOKUP(A612,Declarations!B$6:C$293,2,FALSE)),"",IF(VLOOKUP(A612,Declarations!B$6:C$293,2,FALSE)="","",VLOOKUP(A612,Declarations!B$6:C$293,2,FALSE)))</f>
        <v/>
      </c>
      <c r="C612" s="161" t="str">
        <f>IF(ISNA(VLOOKUP(A612,Declarations!B$6:F$293,5,FALSE)),"",IF(VLOOKUP(A612,Declarations!B$6:F$293,5,FALSE)="","",VLOOKUP(A612,Declarations!B$6:F$293,5,FALSE)))</f>
        <v/>
      </c>
      <c r="D612" s="161" t="str">
        <f>IF(ISNA(VLOOKUP(A612,Declarations!B$6:F$293,4,FALSE)),"",IF(VLOOKUP(A612,Declarations!B$6:F$293,4,FALSE)="","",VLOOKUP(A612,Declarations!B$6:F$293,4,FALSE)))</f>
        <v/>
      </c>
      <c r="E612" s="161" t="str">
        <f>IF(ISNA(VLOOKUP(A612,Declarations!B$6:D$293,3,FALSE)),"",IF(VLOOKUP(A612,Declarations!B$6:D$293,3,FALSE)="","",VLOOKUP(A612,Declarations!B$6:D$293,3,FALSE)))</f>
        <v/>
      </c>
      <c r="F612" s="51" t="str">
        <f>IF(B612="","",IF(ISNA(VLOOKUP(A612,'75m'!F$5:G$302,2,FALSE)),"",VLOOKUP(A612,'75m'!F$5:G$302,2,FALSE)))</f>
        <v/>
      </c>
      <c r="G612" s="51">
        <f>IF(B612="",0,IF(ISNA(_xlfn.XLOOKUP(A612,'75m'!F$5:F$302,'75m'!M$5:M$302)),0,_xlfn.XLOOKUP(A612,'75m'!F$5:F$302,'75m'!M$5:M$302)))</f>
        <v>0</v>
      </c>
      <c r="H612" s="51" t="str">
        <f>IF(B612="","",IF(ISNA(VLOOKUP(A612,'75m'!F$5:K$302,5,FALSE)),"",VLOOKUP(A612,'75m'!F$5:K$302,5,FALSE)))</f>
        <v/>
      </c>
      <c r="I612" s="53">
        <f>IF(B612="",0,IF(ISNA(VLOOKUP(A612,'600m'!F$5:J$302,2,FALSE)),0,VLOOKUP(A612,'600m'!F$5:J$302,2,FALSE)))</f>
        <v>0</v>
      </c>
      <c r="J612" s="51">
        <f>IF(B612="",0,IF(ISNA(_xlfn.XLOOKUP(A612,'600m'!F$5:F$302,'600m'!M$5:M$302)),0,_xlfn.XLOOKUP(A612,'600m'!F$5:F$302,'600m'!M$5:M$302)))</f>
        <v>0</v>
      </c>
      <c r="K612" s="51" t="str">
        <f>IF(B612="","",IF(ISNA(VLOOKUP(A612,'600m'!F$5:K$302,5,FALSE)),"",VLOOKUP(A612,'600m'!F$5:K$302,5,FALSE)))</f>
        <v/>
      </c>
      <c r="L612" s="51" t="str">
        <f>IF(B612="","",IF(ISNA(VLOOKUP(A612,LongJump!F$5:G$302,2,FALSE)),"",VLOOKUP(A612,LongJump!F$5:G$302,2,FALSE)))</f>
        <v/>
      </c>
      <c r="M612" s="51">
        <f>IF(B612="",0,IF(ISNA(_xlfn.XLOOKUP(A612,LongJump!F$5:F$302,LongJump!M$5:M$302)),0,_xlfn.XLOOKUP(A612,LongJump!F$5:F$302,LongJump!M$5:M$302)))</f>
        <v>0</v>
      </c>
      <c r="N612" s="51">
        <f>IF(B612="",0,IF(ISNA(VLOOKUP(A612,LongJump!F$5:K$302,5,FALSE)),0,VLOOKUP(A612,LongJump!F$5:K$302,5,FALSE)))</f>
        <v>0</v>
      </c>
      <c r="O612" s="51" t="str">
        <f>IF(B612="","",IF(ISNA(VLOOKUP(A612,Vortex!F$5:J$302,2,FALSE)),"",VLOOKUP(A612,Vortex!F$5:J$302,2,FALSE)))</f>
        <v/>
      </c>
      <c r="P612" s="51">
        <f>IF(B612="",0,IF(ISNA(_xlfn.XLOOKUP(A612,Vortex!F$5:F$302,Vortex!M$5:M$302)),0,_xlfn.XLOOKUP(A612,Vortex!F$5:F$302,Vortex!M$5:M$302)))</f>
        <v>0</v>
      </c>
      <c r="Q612" s="51">
        <f t="shared" si="68"/>
        <v>0</v>
      </c>
      <c r="R612" s="51" t="str">
        <f t="shared" si="69"/>
        <v/>
      </c>
      <c r="S612" s="51" t="str">
        <f t="shared" si="70"/>
        <v/>
      </c>
      <c r="T612" s="51" t="str">
        <f t="shared" si="71"/>
        <v/>
      </c>
      <c r="U612" s="51" t="str">
        <f t="shared" si="72"/>
        <v/>
      </c>
    </row>
    <row r="613" spans="1:21">
      <c r="A613" s="51" t="str">
        <f>IF(Declarations!B241=0,"",Declarations!B241)</f>
        <v/>
      </c>
      <c r="B613" s="161" t="str">
        <f>IF(ISNA(VLOOKUP(A613,Declarations!B$6:C$293,2,FALSE)),"",IF(VLOOKUP(A613,Declarations!B$6:C$293,2,FALSE)="","",VLOOKUP(A613,Declarations!B$6:C$293,2,FALSE)))</f>
        <v/>
      </c>
      <c r="C613" s="161" t="str">
        <f>IF(ISNA(VLOOKUP(A613,Declarations!B$6:F$293,5,FALSE)),"",IF(VLOOKUP(A613,Declarations!B$6:F$293,5,FALSE)="","",VLOOKUP(A613,Declarations!B$6:F$293,5,FALSE)))</f>
        <v/>
      </c>
      <c r="D613" s="161" t="str">
        <f>IF(ISNA(VLOOKUP(A613,Declarations!B$6:F$293,4,FALSE)),"",IF(VLOOKUP(A613,Declarations!B$6:F$293,4,FALSE)="","",VLOOKUP(A613,Declarations!B$6:F$293,4,FALSE)))</f>
        <v/>
      </c>
      <c r="E613" s="161" t="str">
        <f>IF(ISNA(VLOOKUP(A613,Declarations!B$6:D$293,3,FALSE)),"",IF(VLOOKUP(A613,Declarations!B$6:D$293,3,FALSE)="","",VLOOKUP(A613,Declarations!B$6:D$293,3,FALSE)))</f>
        <v/>
      </c>
      <c r="F613" s="51" t="str">
        <f>IF(B613="","",IF(ISNA(VLOOKUP(A613,'75m'!F$5:G$302,2,FALSE)),"",VLOOKUP(A613,'75m'!F$5:G$302,2,FALSE)))</f>
        <v/>
      </c>
      <c r="G613" s="51">
        <f>IF(B613="",0,IF(ISNA(_xlfn.XLOOKUP(A613,'75m'!F$5:F$302,'75m'!M$5:M$302)),0,_xlfn.XLOOKUP(A613,'75m'!F$5:F$302,'75m'!M$5:M$302)))</f>
        <v>0</v>
      </c>
      <c r="H613" s="51" t="str">
        <f>IF(B613="","",IF(ISNA(VLOOKUP(A613,'75m'!F$5:K$302,5,FALSE)),"",VLOOKUP(A613,'75m'!F$5:K$302,5,FALSE)))</f>
        <v/>
      </c>
      <c r="I613" s="53">
        <f>IF(B613="",0,IF(ISNA(VLOOKUP(A613,'600m'!F$5:J$302,2,FALSE)),0,VLOOKUP(A613,'600m'!F$5:J$302,2,FALSE)))</f>
        <v>0</v>
      </c>
      <c r="J613" s="51">
        <f>IF(B613="",0,IF(ISNA(_xlfn.XLOOKUP(A613,'600m'!F$5:F$302,'600m'!M$5:M$302)),0,_xlfn.XLOOKUP(A613,'600m'!F$5:F$302,'600m'!M$5:M$302)))</f>
        <v>0</v>
      </c>
      <c r="K613" s="51" t="str">
        <f>IF(B613="","",IF(ISNA(VLOOKUP(A613,'600m'!F$5:K$302,5,FALSE)),"",VLOOKUP(A613,'600m'!F$5:K$302,5,FALSE)))</f>
        <v/>
      </c>
      <c r="L613" s="51" t="str">
        <f>IF(B613="","",IF(ISNA(VLOOKUP(A613,LongJump!F$5:G$302,2,FALSE)),"",VLOOKUP(A613,LongJump!F$5:G$302,2,FALSE)))</f>
        <v/>
      </c>
      <c r="M613" s="51">
        <f>IF(B613="",0,IF(ISNA(_xlfn.XLOOKUP(A613,LongJump!F$5:F$302,LongJump!M$5:M$302)),0,_xlfn.XLOOKUP(A613,LongJump!F$5:F$302,LongJump!M$5:M$302)))</f>
        <v>0</v>
      </c>
      <c r="N613" s="51">
        <f>IF(B613="",0,IF(ISNA(VLOOKUP(A613,LongJump!F$5:K$302,5,FALSE)),0,VLOOKUP(A613,LongJump!F$5:K$302,5,FALSE)))</f>
        <v>0</v>
      </c>
      <c r="O613" s="51" t="str">
        <f>IF(B613="","",IF(ISNA(VLOOKUP(A613,Vortex!F$5:J$302,2,FALSE)),"",VLOOKUP(A613,Vortex!F$5:J$302,2,FALSE)))</f>
        <v/>
      </c>
      <c r="P613" s="51">
        <f>IF(B613="",0,IF(ISNA(_xlfn.XLOOKUP(A613,Vortex!F$5:F$302,Vortex!M$5:M$302)),0,_xlfn.XLOOKUP(A613,Vortex!F$5:F$302,Vortex!M$5:M$302)))</f>
        <v>0</v>
      </c>
      <c r="Q613" s="51">
        <f t="shared" si="68"/>
        <v>0</v>
      </c>
      <c r="R613" s="51" t="str">
        <f t="shared" si="69"/>
        <v/>
      </c>
      <c r="S613" s="51" t="str">
        <f t="shared" si="70"/>
        <v/>
      </c>
      <c r="T613" s="51" t="str">
        <f t="shared" si="71"/>
        <v/>
      </c>
      <c r="U613" s="51" t="str">
        <f t="shared" si="72"/>
        <v/>
      </c>
    </row>
    <row r="614" spans="1:21">
      <c r="A614" s="51" t="str">
        <f>IF(Declarations!B242=0,"",Declarations!B242)</f>
        <v/>
      </c>
      <c r="B614" s="161" t="str">
        <f>IF(ISNA(VLOOKUP(A614,Declarations!B$6:C$293,2,FALSE)),"",IF(VLOOKUP(A614,Declarations!B$6:C$293,2,FALSE)="","",VLOOKUP(A614,Declarations!B$6:C$293,2,FALSE)))</f>
        <v/>
      </c>
      <c r="C614" s="161" t="str">
        <f>IF(ISNA(VLOOKUP(A614,Declarations!B$6:F$293,5,FALSE)),"",IF(VLOOKUP(A614,Declarations!B$6:F$293,5,FALSE)="","",VLOOKUP(A614,Declarations!B$6:F$293,5,FALSE)))</f>
        <v/>
      </c>
      <c r="D614" s="161" t="str">
        <f>IF(ISNA(VLOOKUP(A614,Declarations!B$6:F$293,4,FALSE)),"",IF(VLOOKUP(A614,Declarations!B$6:F$293,4,FALSE)="","",VLOOKUP(A614,Declarations!B$6:F$293,4,FALSE)))</f>
        <v/>
      </c>
      <c r="E614" s="161" t="str">
        <f>IF(ISNA(VLOOKUP(A614,Declarations!B$6:D$293,3,FALSE)),"",IF(VLOOKUP(A614,Declarations!B$6:D$293,3,FALSE)="","",VLOOKUP(A614,Declarations!B$6:D$293,3,FALSE)))</f>
        <v/>
      </c>
      <c r="F614" s="51" t="str">
        <f>IF(B614="","",IF(ISNA(VLOOKUP(A614,'75m'!F$5:G$302,2,FALSE)),"",VLOOKUP(A614,'75m'!F$5:G$302,2,FALSE)))</f>
        <v/>
      </c>
      <c r="G614" s="51">
        <f>IF(B614="",0,IF(ISNA(_xlfn.XLOOKUP(A614,'75m'!F$5:F$302,'75m'!M$5:M$302)),0,_xlfn.XLOOKUP(A614,'75m'!F$5:F$302,'75m'!M$5:M$302)))</f>
        <v>0</v>
      </c>
      <c r="H614" s="51" t="str">
        <f>IF(B614="","",IF(ISNA(VLOOKUP(A614,'75m'!F$5:K$302,5,FALSE)),"",VLOOKUP(A614,'75m'!F$5:K$302,5,FALSE)))</f>
        <v/>
      </c>
      <c r="I614" s="53">
        <f>IF(B614="",0,IF(ISNA(VLOOKUP(A614,'600m'!F$5:J$302,2,FALSE)),0,VLOOKUP(A614,'600m'!F$5:J$302,2,FALSE)))</f>
        <v>0</v>
      </c>
      <c r="J614" s="51">
        <f>IF(B614="",0,IF(ISNA(_xlfn.XLOOKUP(A614,'600m'!F$5:F$302,'600m'!M$5:M$302)),0,_xlfn.XLOOKUP(A614,'600m'!F$5:F$302,'600m'!M$5:M$302)))</f>
        <v>0</v>
      </c>
      <c r="K614" s="51" t="str">
        <f>IF(B614="","",IF(ISNA(VLOOKUP(A614,'600m'!F$5:K$302,5,FALSE)),"",VLOOKUP(A614,'600m'!F$5:K$302,5,FALSE)))</f>
        <v/>
      </c>
      <c r="L614" s="51" t="str">
        <f>IF(B614="","",IF(ISNA(VLOOKUP(A614,LongJump!F$5:G$302,2,FALSE)),"",VLOOKUP(A614,LongJump!F$5:G$302,2,FALSE)))</f>
        <v/>
      </c>
      <c r="M614" s="51">
        <f>IF(B614="",0,IF(ISNA(_xlfn.XLOOKUP(A614,LongJump!F$5:F$302,LongJump!M$5:M$302)),0,_xlfn.XLOOKUP(A614,LongJump!F$5:F$302,LongJump!M$5:M$302)))</f>
        <v>0</v>
      </c>
      <c r="N614" s="51">
        <f>IF(B614="",0,IF(ISNA(VLOOKUP(A614,LongJump!F$5:K$302,5,FALSE)),0,VLOOKUP(A614,LongJump!F$5:K$302,5,FALSE)))</f>
        <v>0</v>
      </c>
      <c r="O614" s="51" t="str">
        <f>IF(B614="","",IF(ISNA(VLOOKUP(A614,Vortex!F$5:J$302,2,FALSE)),"",VLOOKUP(A614,Vortex!F$5:J$302,2,FALSE)))</f>
        <v/>
      </c>
      <c r="P614" s="51">
        <f>IF(B614="",0,IF(ISNA(_xlfn.XLOOKUP(A614,Vortex!F$5:F$302,Vortex!M$5:M$302)),0,_xlfn.XLOOKUP(A614,Vortex!F$5:F$302,Vortex!M$5:M$302)))</f>
        <v>0</v>
      </c>
      <c r="Q614" s="51">
        <f t="shared" si="68"/>
        <v>0</v>
      </c>
      <c r="R614" s="51" t="str">
        <f t="shared" si="69"/>
        <v/>
      </c>
      <c r="S614" s="51" t="str">
        <f t="shared" si="70"/>
        <v/>
      </c>
      <c r="T614" s="51" t="str">
        <f t="shared" si="71"/>
        <v/>
      </c>
      <c r="U614" s="51" t="str">
        <f t="shared" si="72"/>
        <v/>
      </c>
    </row>
    <row r="615" spans="1:21">
      <c r="A615" s="51" t="str">
        <f>IF(Declarations!B243=0,"",Declarations!B243)</f>
        <v/>
      </c>
      <c r="B615" s="161" t="str">
        <f>IF(ISNA(VLOOKUP(A615,Declarations!B$6:C$293,2,FALSE)),"",IF(VLOOKUP(A615,Declarations!B$6:C$293,2,FALSE)="","",VLOOKUP(A615,Declarations!B$6:C$293,2,FALSE)))</f>
        <v/>
      </c>
      <c r="C615" s="161" t="str">
        <f>IF(ISNA(VLOOKUP(A615,Declarations!B$6:F$293,5,FALSE)),"",IF(VLOOKUP(A615,Declarations!B$6:F$293,5,FALSE)="","",VLOOKUP(A615,Declarations!B$6:F$293,5,FALSE)))</f>
        <v/>
      </c>
      <c r="D615" s="161" t="str">
        <f>IF(ISNA(VLOOKUP(A615,Declarations!B$6:F$293,4,FALSE)),"",IF(VLOOKUP(A615,Declarations!B$6:F$293,4,FALSE)="","",VLOOKUP(A615,Declarations!B$6:F$293,4,FALSE)))</f>
        <v/>
      </c>
      <c r="E615" s="161" t="str">
        <f>IF(ISNA(VLOOKUP(A615,Declarations!B$6:D$293,3,FALSE)),"",IF(VLOOKUP(A615,Declarations!B$6:D$293,3,FALSE)="","",VLOOKUP(A615,Declarations!B$6:D$293,3,FALSE)))</f>
        <v/>
      </c>
      <c r="F615" s="51" t="str">
        <f>IF(B615="","",IF(ISNA(VLOOKUP(A615,'75m'!F$5:G$302,2,FALSE)),"",VLOOKUP(A615,'75m'!F$5:G$302,2,FALSE)))</f>
        <v/>
      </c>
      <c r="G615" s="51">
        <f>IF(B615="",0,IF(ISNA(_xlfn.XLOOKUP(A615,'75m'!F$5:F$302,'75m'!M$5:M$302)),0,_xlfn.XLOOKUP(A615,'75m'!F$5:F$302,'75m'!M$5:M$302)))</f>
        <v>0</v>
      </c>
      <c r="H615" s="51" t="str">
        <f>IF(B615="","",IF(ISNA(VLOOKUP(A615,'75m'!F$5:K$302,5,FALSE)),"",VLOOKUP(A615,'75m'!F$5:K$302,5,FALSE)))</f>
        <v/>
      </c>
      <c r="I615" s="53">
        <f>IF(B615="",0,IF(ISNA(VLOOKUP(A615,'600m'!F$5:J$302,2,FALSE)),0,VLOOKUP(A615,'600m'!F$5:J$302,2,FALSE)))</f>
        <v>0</v>
      </c>
      <c r="J615" s="51">
        <f>IF(B615="",0,IF(ISNA(_xlfn.XLOOKUP(A615,'600m'!F$5:F$302,'600m'!M$5:M$302)),0,_xlfn.XLOOKUP(A615,'600m'!F$5:F$302,'600m'!M$5:M$302)))</f>
        <v>0</v>
      </c>
      <c r="K615" s="51" t="str">
        <f>IF(B615="","",IF(ISNA(VLOOKUP(A615,'600m'!F$5:K$302,5,FALSE)),"",VLOOKUP(A615,'600m'!F$5:K$302,5,FALSE)))</f>
        <v/>
      </c>
      <c r="L615" s="51" t="str">
        <f>IF(B615="","",IF(ISNA(VLOOKUP(A615,LongJump!F$5:G$302,2,FALSE)),"",VLOOKUP(A615,LongJump!F$5:G$302,2,FALSE)))</f>
        <v/>
      </c>
      <c r="M615" s="51">
        <f>IF(B615="",0,IF(ISNA(_xlfn.XLOOKUP(A615,LongJump!F$5:F$302,LongJump!M$5:M$302)),0,_xlfn.XLOOKUP(A615,LongJump!F$5:F$302,LongJump!M$5:M$302)))</f>
        <v>0</v>
      </c>
      <c r="N615" s="51">
        <f>IF(B615="",0,IF(ISNA(VLOOKUP(A615,LongJump!F$5:K$302,5,FALSE)),0,VLOOKUP(A615,LongJump!F$5:K$302,5,FALSE)))</f>
        <v>0</v>
      </c>
      <c r="O615" s="51" t="str">
        <f>IF(B615="","",IF(ISNA(VLOOKUP(A615,Vortex!F$5:J$302,2,FALSE)),"",VLOOKUP(A615,Vortex!F$5:J$302,2,FALSE)))</f>
        <v/>
      </c>
      <c r="P615" s="51">
        <f>IF(B615="",0,IF(ISNA(_xlfn.XLOOKUP(A615,Vortex!F$5:F$302,Vortex!M$5:M$302)),0,_xlfn.XLOOKUP(A615,Vortex!F$5:F$302,Vortex!M$5:M$302)))</f>
        <v>0</v>
      </c>
      <c r="Q615" s="51">
        <f t="shared" si="68"/>
        <v>0</v>
      </c>
      <c r="R615" s="51" t="str">
        <f t="shared" si="69"/>
        <v/>
      </c>
      <c r="S615" s="51" t="str">
        <f t="shared" si="70"/>
        <v/>
      </c>
      <c r="T615" s="51" t="str">
        <f t="shared" si="71"/>
        <v/>
      </c>
      <c r="U615" s="51" t="str">
        <f t="shared" si="72"/>
        <v/>
      </c>
    </row>
    <row r="616" spans="1:21">
      <c r="A616" s="51" t="str">
        <f>IF(Declarations!B244=0,"",Declarations!B244)</f>
        <v/>
      </c>
      <c r="B616" s="161" t="str">
        <f>IF(ISNA(VLOOKUP(A616,Declarations!B$6:C$293,2,FALSE)),"",IF(VLOOKUP(A616,Declarations!B$6:C$293,2,FALSE)="","",VLOOKUP(A616,Declarations!B$6:C$293,2,FALSE)))</f>
        <v/>
      </c>
      <c r="C616" s="161" t="str">
        <f>IF(ISNA(VLOOKUP(A616,Declarations!B$6:F$293,5,FALSE)),"",IF(VLOOKUP(A616,Declarations!B$6:F$293,5,FALSE)="","",VLOOKUP(A616,Declarations!B$6:F$293,5,FALSE)))</f>
        <v/>
      </c>
      <c r="D616" s="161" t="str">
        <f>IF(ISNA(VLOOKUP(A616,Declarations!B$6:F$293,4,FALSE)),"",IF(VLOOKUP(A616,Declarations!B$6:F$293,4,FALSE)="","",VLOOKUP(A616,Declarations!B$6:F$293,4,FALSE)))</f>
        <v/>
      </c>
      <c r="E616" s="161" t="str">
        <f>IF(ISNA(VLOOKUP(A616,Declarations!B$6:D$293,3,FALSE)),"",IF(VLOOKUP(A616,Declarations!B$6:D$293,3,FALSE)="","",VLOOKUP(A616,Declarations!B$6:D$293,3,FALSE)))</f>
        <v/>
      </c>
      <c r="F616" s="51" t="str">
        <f>IF(B616="","",IF(ISNA(VLOOKUP(A616,'75m'!F$5:G$302,2,FALSE)),"",VLOOKUP(A616,'75m'!F$5:G$302,2,FALSE)))</f>
        <v/>
      </c>
      <c r="G616" s="51">
        <f>IF(B616="",0,IF(ISNA(_xlfn.XLOOKUP(A616,'75m'!F$5:F$302,'75m'!M$5:M$302)),0,_xlfn.XLOOKUP(A616,'75m'!F$5:F$302,'75m'!M$5:M$302)))</f>
        <v>0</v>
      </c>
      <c r="H616" s="51" t="str">
        <f>IF(B616="","",IF(ISNA(VLOOKUP(A616,'75m'!F$5:K$302,5,FALSE)),"",VLOOKUP(A616,'75m'!F$5:K$302,5,FALSE)))</f>
        <v/>
      </c>
      <c r="I616" s="53">
        <f>IF(B616="",0,IF(ISNA(VLOOKUP(A616,'600m'!F$5:J$302,2,FALSE)),0,VLOOKUP(A616,'600m'!F$5:J$302,2,FALSE)))</f>
        <v>0</v>
      </c>
      <c r="J616" s="51">
        <f>IF(B616="",0,IF(ISNA(_xlfn.XLOOKUP(A616,'600m'!F$5:F$302,'600m'!M$5:M$302)),0,_xlfn.XLOOKUP(A616,'600m'!F$5:F$302,'600m'!M$5:M$302)))</f>
        <v>0</v>
      </c>
      <c r="K616" s="51" t="str">
        <f>IF(B616="","",IF(ISNA(VLOOKUP(A616,'600m'!F$5:K$302,5,FALSE)),"",VLOOKUP(A616,'600m'!F$5:K$302,5,FALSE)))</f>
        <v/>
      </c>
      <c r="L616" s="51" t="str">
        <f>IF(B616="","",IF(ISNA(VLOOKUP(A616,LongJump!F$5:G$302,2,FALSE)),"",VLOOKUP(A616,LongJump!F$5:G$302,2,FALSE)))</f>
        <v/>
      </c>
      <c r="M616" s="51">
        <f>IF(B616="",0,IF(ISNA(_xlfn.XLOOKUP(A616,LongJump!F$5:F$302,LongJump!M$5:M$302)),0,_xlfn.XLOOKUP(A616,LongJump!F$5:F$302,LongJump!M$5:M$302)))</f>
        <v>0</v>
      </c>
      <c r="N616" s="51">
        <f>IF(B616="",0,IF(ISNA(VLOOKUP(A616,LongJump!F$5:K$302,5,FALSE)),0,VLOOKUP(A616,LongJump!F$5:K$302,5,FALSE)))</f>
        <v>0</v>
      </c>
      <c r="O616" s="51" t="str">
        <f>IF(B616="","",IF(ISNA(VLOOKUP(A616,Vortex!F$5:J$302,2,FALSE)),"",VLOOKUP(A616,Vortex!F$5:J$302,2,FALSE)))</f>
        <v/>
      </c>
      <c r="P616" s="51">
        <f>IF(B616="",0,IF(ISNA(_xlfn.XLOOKUP(A616,Vortex!F$5:F$302,Vortex!M$5:M$302)),0,_xlfn.XLOOKUP(A616,Vortex!F$5:F$302,Vortex!M$5:M$302)))</f>
        <v>0</v>
      </c>
      <c r="Q616" s="51">
        <f t="shared" si="68"/>
        <v>0</v>
      </c>
      <c r="R616" s="51" t="str">
        <f t="shared" si="69"/>
        <v/>
      </c>
      <c r="S616" s="51" t="str">
        <f t="shared" si="70"/>
        <v/>
      </c>
      <c r="T616" s="51" t="str">
        <f t="shared" si="71"/>
        <v/>
      </c>
      <c r="U616" s="51" t="str">
        <f t="shared" si="72"/>
        <v/>
      </c>
    </row>
    <row r="617" spans="1:21">
      <c r="A617" s="51" t="str">
        <f>IF(Declarations!B245=0,"",Declarations!B245)</f>
        <v/>
      </c>
      <c r="B617" s="161" t="str">
        <f>IF(ISNA(VLOOKUP(A617,Declarations!B$6:C$293,2,FALSE)),"",IF(VLOOKUP(A617,Declarations!B$6:C$293,2,FALSE)="","",VLOOKUP(A617,Declarations!B$6:C$293,2,FALSE)))</f>
        <v/>
      </c>
      <c r="C617" s="161" t="str">
        <f>IF(ISNA(VLOOKUP(A617,Declarations!B$6:F$293,5,FALSE)),"",IF(VLOOKUP(A617,Declarations!B$6:F$293,5,FALSE)="","",VLOOKUP(A617,Declarations!B$6:F$293,5,FALSE)))</f>
        <v/>
      </c>
      <c r="D617" s="161" t="str">
        <f>IF(ISNA(VLOOKUP(A617,Declarations!B$6:F$293,4,FALSE)),"",IF(VLOOKUP(A617,Declarations!B$6:F$293,4,FALSE)="","",VLOOKUP(A617,Declarations!B$6:F$293,4,FALSE)))</f>
        <v/>
      </c>
      <c r="E617" s="161" t="str">
        <f>IF(ISNA(VLOOKUP(A617,Declarations!B$6:D$293,3,FALSE)),"",IF(VLOOKUP(A617,Declarations!B$6:D$293,3,FALSE)="","",VLOOKUP(A617,Declarations!B$6:D$293,3,FALSE)))</f>
        <v/>
      </c>
      <c r="F617" s="51" t="str">
        <f>IF(B617="","",IF(ISNA(VLOOKUP(A617,'75m'!F$5:G$302,2,FALSE)),"",VLOOKUP(A617,'75m'!F$5:G$302,2,FALSE)))</f>
        <v/>
      </c>
      <c r="G617" s="51">
        <f>IF(B617="",0,IF(ISNA(_xlfn.XLOOKUP(A617,'75m'!F$5:F$302,'75m'!M$5:M$302)),0,_xlfn.XLOOKUP(A617,'75m'!F$5:F$302,'75m'!M$5:M$302)))</f>
        <v>0</v>
      </c>
      <c r="H617" s="51" t="str">
        <f>IF(B617="","",IF(ISNA(VLOOKUP(A617,'75m'!F$5:K$302,5,FALSE)),"",VLOOKUP(A617,'75m'!F$5:K$302,5,FALSE)))</f>
        <v/>
      </c>
      <c r="I617" s="53">
        <f>IF(B617="",0,IF(ISNA(VLOOKUP(A617,'600m'!F$5:J$302,2,FALSE)),0,VLOOKUP(A617,'600m'!F$5:J$302,2,FALSE)))</f>
        <v>0</v>
      </c>
      <c r="J617" s="51">
        <f>IF(B617="",0,IF(ISNA(_xlfn.XLOOKUP(A617,'600m'!F$5:F$302,'600m'!M$5:M$302)),0,_xlfn.XLOOKUP(A617,'600m'!F$5:F$302,'600m'!M$5:M$302)))</f>
        <v>0</v>
      </c>
      <c r="K617" s="51" t="str">
        <f>IF(B617="","",IF(ISNA(VLOOKUP(A617,'600m'!F$5:K$302,5,FALSE)),"",VLOOKUP(A617,'600m'!F$5:K$302,5,FALSE)))</f>
        <v/>
      </c>
      <c r="L617" s="51" t="str">
        <f>IF(B617="","",IF(ISNA(VLOOKUP(A617,LongJump!F$5:G$302,2,FALSE)),"",VLOOKUP(A617,LongJump!F$5:G$302,2,FALSE)))</f>
        <v/>
      </c>
      <c r="M617" s="51">
        <f>IF(B617="",0,IF(ISNA(_xlfn.XLOOKUP(A617,LongJump!F$5:F$302,LongJump!M$5:M$302)),0,_xlfn.XLOOKUP(A617,LongJump!F$5:F$302,LongJump!M$5:M$302)))</f>
        <v>0</v>
      </c>
      <c r="N617" s="51">
        <f>IF(B617="",0,IF(ISNA(VLOOKUP(A617,LongJump!F$5:K$302,5,FALSE)),0,VLOOKUP(A617,LongJump!F$5:K$302,5,FALSE)))</f>
        <v>0</v>
      </c>
      <c r="O617" s="51" t="str">
        <f>IF(B617="","",IF(ISNA(VLOOKUP(A617,Vortex!F$5:J$302,2,FALSE)),"",VLOOKUP(A617,Vortex!F$5:J$302,2,FALSE)))</f>
        <v/>
      </c>
      <c r="P617" s="51">
        <f>IF(B617="",0,IF(ISNA(_xlfn.XLOOKUP(A617,Vortex!F$5:F$302,Vortex!M$5:M$302)),0,_xlfn.XLOOKUP(A617,Vortex!F$5:F$302,Vortex!M$5:M$302)))</f>
        <v>0</v>
      </c>
      <c r="Q617" s="51">
        <f t="shared" si="68"/>
        <v>0</v>
      </c>
      <c r="R617" s="51" t="str">
        <f t="shared" si="69"/>
        <v/>
      </c>
      <c r="S617" s="51" t="str">
        <f t="shared" si="70"/>
        <v/>
      </c>
      <c r="T617" s="51" t="str">
        <f t="shared" si="71"/>
        <v/>
      </c>
      <c r="U617" s="51" t="str">
        <f t="shared" si="72"/>
        <v/>
      </c>
    </row>
    <row r="618" spans="1:21">
      <c r="A618" s="51" t="str">
        <f>IF(Declarations!B246=0,"",Declarations!B246)</f>
        <v/>
      </c>
      <c r="B618" s="161" t="str">
        <f>IF(ISNA(VLOOKUP(A618,Declarations!B$6:C$293,2,FALSE)),"",IF(VLOOKUP(A618,Declarations!B$6:C$293,2,FALSE)="","",VLOOKUP(A618,Declarations!B$6:C$293,2,FALSE)))</f>
        <v/>
      </c>
      <c r="C618" s="161" t="str">
        <f>IF(ISNA(VLOOKUP(A618,Declarations!B$6:F$293,5,FALSE)),"",IF(VLOOKUP(A618,Declarations!B$6:F$293,5,FALSE)="","",VLOOKUP(A618,Declarations!B$6:F$293,5,FALSE)))</f>
        <v/>
      </c>
      <c r="D618" s="161" t="str">
        <f>IF(ISNA(VLOOKUP(A618,Declarations!B$6:F$293,4,FALSE)),"",IF(VLOOKUP(A618,Declarations!B$6:F$293,4,FALSE)="","",VLOOKUP(A618,Declarations!B$6:F$293,4,FALSE)))</f>
        <v/>
      </c>
      <c r="E618" s="161" t="str">
        <f>IF(ISNA(VLOOKUP(A618,Declarations!B$6:D$293,3,FALSE)),"",IF(VLOOKUP(A618,Declarations!B$6:D$293,3,FALSE)="","",VLOOKUP(A618,Declarations!B$6:D$293,3,FALSE)))</f>
        <v/>
      </c>
      <c r="F618" s="51" t="str">
        <f>IF(B618="","",IF(ISNA(VLOOKUP(A618,'75m'!F$5:G$302,2,FALSE)),"",VLOOKUP(A618,'75m'!F$5:G$302,2,FALSE)))</f>
        <v/>
      </c>
      <c r="G618" s="51">
        <f>IF(B618="",0,IF(ISNA(_xlfn.XLOOKUP(A618,'75m'!F$5:F$302,'75m'!M$5:M$302)),0,_xlfn.XLOOKUP(A618,'75m'!F$5:F$302,'75m'!M$5:M$302)))</f>
        <v>0</v>
      </c>
      <c r="H618" s="51" t="str">
        <f>IF(B618="","",IF(ISNA(VLOOKUP(A618,'75m'!F$5:K$302,5,FALSE)),"",VLOOKUP(A618,'75m'!F$5:K$302,5,FALSE)))</f>
        <v/>
      </c>
      <c r="I618" s="53">
        <f>IF(B618="",0,IF(ISNA(VLOOKUP(A618,'600m'!F$5:J$302,2,FALSE)),0,VLOOKUP(A618,'600m'!F$5:J$302,2,FALSE)))</f>
        <v>0</v>
      </c>
      <c r="J618" s="51">
        <f>IF(B618="",0,IF(ISNA(_xlfn.XLOOKUP(A618,'600m'!F$5:F$302,'600m'!M$5:M$302)),0,_xlfn.XLOOKUP(A618,'600m'!F$5:F$302,'600m'!M$5:M$302)))</f>
        <v>0</v>
      </c>
      <c r="K618" s="51" t="str">
        <f>IF(B618="","",IF(ISNA(VLOOKUP(A618,'600m'!F$5:K$302,5,FALSE)),"",VLOOKUP(A618,'600m'!F$5:K$302,5,FALSE)))</f>
        <v/>
      </c>
      <c r="L618" s="51" t="str">
        <f>IF(B618="","",IF(ISNA(VLOOKUP(A618,LongJump!F$5:G$302,2,FALSE)),"",VLOOKUP(A618,LongJump!F$5:G$302,2,FALSE)))</f>
        <v/>
      </c>
      <c r="M618" s="51">
        <f>IF(B618="",0,IF(ISNA(_xlfn.XLOOKUP(A618,LongJump!F$5:F$302,LongJump!M$5:M$302)),0,_xlfn.XLOOKUP(A618,LongJump!F$5:F$302,LongJump!M$5:M$302)))</f>
        <v>0</v>
      </c>
      <c r="N618" s="51">
        <f>IF(B618="",0,IF(ISNA(VLOOKUP(A618,LongJump!F$5:K$302,5,FALSE)),0,VLOOKUP(A618,LongJump!F$5:K$302,5,FALSE)))</f>
        <v>0</v>
      </c>
      <c r="O618" s="51" t="str">
        <f>IF(B618="","",IF(ISNA(VLOOKUP(A618,Vortex!F$5:J$302,2,FALSE)),"",VLOOKUP(A618,Vortex!F$5:J$302,2,FALSE)))</f>
        <v/>
      </c>
      <c r="P618" s="51">
        <f>IF(B618="",0,IF(ISNA(_xlfn.XLOOKUP(A618,Vortex!F$5:F$302,Vortex!M$5:M$302)),0,_xlfn.XLOOKUP(A618,Vortex!F$5:F$302,Vortex!M$5:M$302)))</f>
        <v>0</v>
      </c>
      <c r="Q618" s="51">
        <f t="shared" si="68"/>
        <v>0</v>
      </c>
      <c r="R618" s="51" t="str">
        <f t="shared" si="69"/>
        <v/>
      </c>
      <c r="S618" s="51" t="str">
        <f t="shared" si="70"/>
        <v/>
      </c>
      <c r="T618" s="51" t="str">
        <f t="shared" si="71"/>
        <v/>
      </c>
      <c r="U618" s="51" t="str">
        <f t="shared" si="72"/>
        <v/>
      </c>
    </row>
    <row r="619" spans="1:21">
      <c r="A619" s="51" t="str">
        <f>IF(Declarations!B247=0,"",Declarations!B247)</f>
        <v/>
      </c>
      <c r="B619" s="161" t="str">
        <f>IF(ISNA(VLOOKUP(A619,Declarations!B$6:C$293,2,FALSE)),"",IF(VLOOKUP(A619,Declarations!B$6:C$293,2,FALSE)="","",VLOOKUP(A619,Declarations!B$6:C$293,2,FALSE)))</f>
        <v/>
      </c>
      <c r="C619" s="161" t="str">
        <f>IF(ISNA(VLOOKUP(A619,Declarations!B$6:F$293,5,FALSE)),"",IF(VLOOKUP(A619,Declarations!B$6:F$293,5,FALSE)="","",VLOOKUP(A619,Declarations!B$6:F$293,5,FALSE)))</f>
        <v/>
      </c>
      <c r="D619" s="161" t="str">
        <f>IF(ISNA(VLOOKUP(A619,Declarations!B$6:F$293,4,FALSE)),"",IF(VLOOKUP(A619,Declarations!B$6:F$293,4,FALSE)="","",VLOOKUP(A619,Declarations!B$6:F$293,4,FALSE)))</f>
        <v/>
      </c>
      <c r="E619" s="161" t="str">
        <f>IF(ISNA(VLOOKUP(A619,Declarations!B$6:D$293,3,FALSE)),"",IF(VLOOKUP(A619,Declarations!B$6:D$293,3,FALSE)="","",VLOOKUP(A619,Declarations!B$6:D$293,3,FALSE)))</f>
        <v/>
      </c>
      <c r="F619" s="51" t="str">
        <f>IF(B619="","",IF(ISNA(VLOOKUP(A619,'75m'!F$5:G$302,2,FALSE)),"",VLOOKUP(A619,'75m'!F$5:G$302,2,FALSE)))</f>
        <v/>
      </c>
      <c r="G619" s="51">
        <f>IF(B619="",0,IF(ISNA(_xlfn.XLOOKUP(A619,'75m'!F$5:F$302,'75m'!M$5:M$302)),0,_xlfn.XLOOKUP(A619,'75m'!F$5:F$302,'75m'!M$5:M$302)))</f>
        <v>0</v>
      </c>
      <c r="H619" s="51" t="str">
        <f>IF(B619="","",IF(ISNA(VLOOKUP(A619,'75m'!F$5:K$302,5,FALSE)),"",VLOOKUP(A619,'75m'!F$5:K$302,5,FALSE)))</f>
        <v/>
      </c>
      <c r="I619" s="53">
        <f>IF(B619="",0,IF(ISNA(VLOOKUP(A619,'600m'!F$5:J$302,2,FALSE)),0,VLOOKUP(A619,'600m'!F$5:J$302,2,FALSE)))</f>
        <v>0</v>
      </c>
      <c r="J619" s="51">
        <f>IF(B619="",0,IF(ISNA(_xlfn.XLOOKUP(A619,'600m'!F$5:F$302,'600m'!M$5:M$302)),0,_xlfn.XLOOKUP(A619,'600m'!F$5:F$302,'600m'!M$5:M$302)))</f>
        <v>0</v>
      </c>
      <c r="K619" s="51" t="str">
        <f>IF(B619="","",IF(ISNA(VLOOKUP(A619,'600m'!F$5:K$302,5,FALSE)),"",VLOOKUP(A619,'600m'!F$5:K$302,5,FALSE)))</f>
        <v/>
      </c>
      <c r="L619" s="51" t="str">
        <f>IF(B619="","",IF(ISNA(VLOOKUP(A619,LongJump!F$5:G$302,2,FALSE)),"",VLOOKUP(A619,LongJump!F$5:G$302,2,FALSE)))</f>
        <v/>
      </c>
      <c r="M619" s="51">
        <f>IF(B619="",0,IF(ISNA(_xlfn.XLOOKUP(A619,LongJump!F$5:F$302,LongJump!M$5:M$302)),0,_xlfn.XLOOKUP(A619,LongJump!F$5:F$302,LongJump!M$5:M$302)))</f>
        <v>0</v>
      </c>
      <c r="N619" s="51">
        <f>IF(B619="",0,IF(ISNA(VLOOKUP(A619,LongJump!F$5:K$302,5,FALSE)),0,VLOOKUP(A619,LongJump!F$5:K$302,5,FALSE)))</f>
        <v>0</v>
      </c>
      <c r="O619" s="51" t="str">
        <f>IF(B619="","",IF(ISNA(VLOOKUP(A619,Vortex!F$5:J$302,2,FALSE)),"",VLOOKUP(A619,Vortex!F$5:J$302,2,FALSE)))</f>
        <v/>
      </c>
      <c r="P619" s="51">
        <f>IF(B619="",0,IF(ISNA(_xlfn.XLOOKUP(A619,Vortex!F$5:F$302,Vortex!M$5:M$302)),0,_xlfn.XLOOKUP(A619,Vortex!F$5:F$302,Vortex!M$5:M$302)))</f>
        <v>0</v>
      </c>
      <c r="Q619" s="51">
        <f t="shared" si="68"/>
        <v>0</v>
      </c>
      <c r="R619" s="51" t="str">
        <f t="shared" si="69"/>
        <v/>
      </c>
      <c r="S619" s="51" t="str">
        <f t="shared" si="70"/>
        <v/>
      </c>
      <c r="T619" s="51" t="str">
        <f t="shared" si="71"/>
        <v/>
      </c>
      <c r="U619" s="51" t="str">
        <f t="shared" si="72"/>
        <v/>
      </c>
    </row>
    <row r="620" spans="1:21">
      <c r="A620" s="51" t="str">
        <f>IF(Declarations!B248=0,"",Declarations!B248)</f>
        <v/>
      </c>
      <c r="B620" s="161" t="str">
        <f>IF(ISNA(VLOOKUP(A620,Declarations!B$6:C$293,2,FALSE)),"",IF(VLOOKUP(A620,Declarations!B$6:C$293,2,FALSE)="","",VLOOKUP(A620,Declarations!B$6:C$293,2,FALSE)))</f>
        <v/>
      </c>
      <c r="C620" s="161" t="str">
        <f>IF(ISNA(VLOOKUP(A620,Declarations!B$6:F$293,5,FALSE)),"",IF(VLOOKUP(A620,Declarations!B$6:F$293,5,FALSE)="","",VLOOKUP(A620,Declarations!B$6:F$293,5,FALSE)))</f>
        <v/>
      </c>
      <c r="D620" s="161" t="str">
        <f>IF(ISNA(VLOOKUP(A620,Declarations!B$6:F$293,4,FALSE)),"",IF(VLOOKUP(A620,Declarations!B$6:F$293,4,FALSE)="","",VLOOKUP(A620,Declarations!B$6:F$293,4,FALSE)))</f>
        <v/>
      </c>
      <c r="E620" s="161" t="str">
        <f>IF(ISNA(VLOOKUP(A620,Declarations!B$6:D$293,3,FALSE)),"",IF(VLOOKUP(A620,Declarations!B$6:D$293,3,FALSE)="","",VLOOKUP(A620,Declarations!B$6:D$293,3,FALSE)))</f>
        <v/>
      </c>
      <c r="F620" s="51" t="str">
        <f>IF(B620="","",IF(ISNA(VLOOKUP(A620,'75m'!F$5:G$302,2,FALSE)),"",VLOOKUP(A620,'75m'!F$5:G$302,2,FALSE)))</f>
        <v/>
      </c>
      <c r="G620" s="51">
        <f>IF(B620="",0,IF(ISNA(_xlfn.XLOOKUP(A620,'75m'!F$5:F$302,'75m'!M$5:M$302)),0,_xlfn.XLOOKUP(A620,'75m'!F$5:F$302,'75m'!M$5:M$302)))</f>
        <v>0</v>
      </c>
      <c r="H620" s="51" t="str">
        <f>IF(B620="","",IF(ISNA(VLOOKUP(A620,'75m'!F$5:K$302,5,FALSE)),"",VLOOKUP(A620,'75m'!F$5:K$302,5,FALSE)))</f>
        <v/>
      </c>
      <c r="I620" s="53">
        <f>IF(B620="",0,IF(ISNA(VLOOKUP(A620,'600m'!F$5:J$302,2,FALSE)),0,VLOOKUP(A620,'600m'!F$5:J$302,2,FALSE)))</f>
        <v>0</v>
      </c>
      <c r="J620" s="51">
        <f>IF(B620="",0,IF(ISNA(_xlfn.XLOOKUP(A620,'600m'!F$5:F$302,'600m'!M$5:M$302)),0,_xlfn.XLOOKUP(A620,'600m'!F$5:F$302,'600m'!M$5:M$302)))</f>
        <v>0</v>
      </c>
      <c r="K620" s="51" t="str">
        <f>IF(B620="","",IF(ISNA(VLOOKUP(A620,'600m'!F$5:K$302,5,FALSE)),"",VLOOKUP(A620,'600m'!F$5:K$302,5,FALSE)))</f>
        <v/>
      </c>
      <c r="L620" s="51" t="str">
        <f>IF(B620="","",IF(ISNA(VLOOKUP(A620,LongJump!F$5:G$302,2,FALSE)),"",VLOOKUP(A620,LongJump!F$5:G$302,2,FALSE)))</f>
        <v/>
      </c>
      <c r="M620" s="51">
        <f>IF(B620="",0,IF(ISNA(_xlfn.XLOOKUP(A620,LongJump!F$5:F$302,LongJump!M$5:M$302)),0,_xlfn.XLOOKUP(A620,LongJump!F$5:F$302,LongJump!M$5:M$302)))</f>
        <v>0</v>
      </c>
      <c r="N620" s="51">
        <f>IF(B620="",0,IF(ISNA(VLOOKUP(A620,LongJump!F$5:K$302,5,FALSE)),0,VLOOKUP(A620,LongJump!F$5:K$302,5,FALSE)))</f>
        <v>0</v>
      </c>
      <c r="O620" s="51" t="str">
        <f>IF(B620="","",IF(ISNA(VLOOKUP(A620,Vortex!F$5:J$302,2,FALSE)),"",VLOOKUP(A620,Vortex!F$5:J$302,2,FALSE)))</f>
        <v/>
      </c>
      <c r="P620" s="51">
        <f>IF(B620="",0,IF(ISNA(_xlfn.XLOOKUP(A620,Vortex!F$5:F$302,Vortex!M$5:M$302)),0,_xlfn.XLOOKUP(A620,Vortex!F$5:F$302,Vortex!M$5:M$302)))</f>
        <v>0</v>
      </c>
      <c r="Q620" s="51">
        <f t="shared" si="68"/>
        <v>0</v>
      </c>
      <c r="R620" s="51" t="str">
        <f t="shared" si="69"/>
        <v/>
      </c>
      <c r="S620" s="51" t="str">
        <f t="shared" si="70"/>
        <v/>
      </c>
      <c r="T620" s="51" t="str">
        <f t="shared" si="71"/>
        <v/>
      </c>
      <c r="U620" s="51" t="str">
        <f t="shared" si="72"/>
        <v/>
      </c>
    </row>
    <row r="621" spans="1:21">
      <c r="A621" s="51" t="str">
        <f>IF(Declarations!B249=0,"",Declarations!B249)</f>
        <v/>
      </c>
      <c r="B621" s="161" t="str">
        <f>IF(ISNA(VLOOKUP(A621,Declarations!B$6:C$293,2,FALSE)),"",IF(VLOOKUP(A621,Declarations!B$6:C$293,2,FALSE)="","",VLOOKUP(A621,Declarations!B$6:C$293,2,FALSE)))</f>
        <v/>
      </c>
      <c r="C621" s="161" t="str">
        <f>IF(ISNA(VLOOKUP(A621,Declarations!B$6:F$293,5,FALSE)),"",IF(VLOOKUP(A621,Declarations!B$6:F$293,5,FALSE)="","",VLOOKUP(A621,Declarations!B$6:F$293,5,FALSE)))</f>
        <v/>
      </c>
      <c r="D621" s="161" t="str">
        <f>IF(ISNA(VLOOKUP(A621,Declarations!B$6:F$293,4,FALSE)),"",IF(VLOOKUP(A621,Declarations!B$6:F$293,4,FALSE)="","",VLOOKUP(A621,Declarations!B$6:F$293,4,FALSE)))</f>
        <v/>
      </c>
      <c r="E621" s="161" t="str">
        <f>IF(ISNA(VLOOKUP(A621,Declarations!B$6:D$293,3,FALSE)),"",IF(VLOOKUP(A621,Declarations!B$6:D$293,3,FALSE)="","",VLOOKUP(A621,Declarations!B$6:D$293,3,FALSE)))</f>
        <v/>
      </c>
      <c r="F621" s="51" t="str">
        <f>IF(B621="","",IF(ISNA(VLOOKUP(A621,'75m'!F$5:G$302,2,FALSE)),"",VLOOKUP(A621,'75m'!F$5:G$302,2,FALSE)))</f>
        <v/>
      </c>
      <c r="G621" s="51">
        <f>IF(B621="",0,IF(ISNA(_xlfn.XLOOKUP(A621,'75m'!F$5:F$302,'75m'!M$5:M$302)),0,_xlfn.XLOOKUP(A621,'75m'!F$5:F$302,'75m'!M$5:M$302)))</f>
        <v>0</v>
      </c>
      <c r="H621" s="51" t="str">
        <f>IF(B621="","",IF(ISNA(VLOOKUP(A621,'75m'!F$5:K$302,5,FALSE)),"",VLOOKUP(A621,'75m'!F$5:K$302,5,FALSE)))</f>
        <v/>
      </c>
      <c r="I621" s="53">
        <f>IF(B621="",0,IF(ISNA(VLOOKUP(A621,'600m'!F$5:J$302,2,FALSE)),0,VLOOKUP(A621,'600m'!F$5:J$302,2,FALSE)))</f>
        <v>0</v>
      </c>
      <c r="J621" s="51">
        <f>IF(B621="",0,IF(ISNA(_xlfn.XLOOKUP(A621,'600m'!F$5:F$302,'600m'!M$5:M$302)),0,_xlfn.XLOOKUP(A621,'600m'!F$5:F$302,'600m'!M$5:M$302)))</f>
        <v>0</v>
      </c>
      <c r="K621" s="51" t="str">
        <f>IF(B621="","",IF(ISNA(VLOOKUP(A621,'600m'!F$5:K$302,5,FALSE)),"",VLOOKUP(A621,'600m'!F$5:K$302,5,FALSE)))</f>
        <v/>
      </c>
      <c r="L621" s="51" t="str">
        <f>IF(B621="","",IF(ISNA(VLOOKUP(A621,LongJump!F$5:G$302,2,FALSE)),"",VLOOKUP(A621,LongJump!F$5:G$302,2,FALSE)))</f>
        <v/>
      </c>
      <c r="M621" s="51">
        <f>IF(B621="",0,IF(ISNA(_xlfn.XLOOKUP(A621,LongJump!F$5:F$302,LongJump!M$5:M$302)),0,_xlfn.XLOOKUP(A621,LongJump!F$5:F$302,LongJump!M$5:M$302)))</f>
        <v>0</v>
      </c>
      <c r="N621" s="51">
        <f>IF(B621="",0,IF(ISNA(VLOOKUP(A621,LongJump!F$5:K$302,5,FALSE)),0,VLOOKUP(A621,LongJump!F$5:K$302,5,FALSE)))</f>
        <v>0</v>
      </c>
      <c r="O621" s="51" t="str">
        <f>IF(B621="","",IF(ISNA(VLOOKUP(A621,Vortex!F$5:J$302,2,FALSE)),"",VLOOKUP(A621,Vortex!F$5:J$302,2,FALSE)))</f>
        <v/>
      </c>
      <c r="P621" s="51">
        <f>IF(B621="",0,IF(ISNA(_xlfn.XLOOKUP(A621,Vortex!F$5:F$302,Vortex!M$5:M$302)),0,_xlfn.XLOOKUP(A621,Vortex!F$5:F$302,Vortex!M$5:M$302)))</f>
        <v>0</v>
      </c>
      <c r="Q621" s="51">
        <f t="shared" si="68"/>
        <v>0</v>
      </c>
      <c r="R621" s="51" t="str">
        <f t="shared" si="69"/>
        <v/>
      </c>
      <c r="S621" s="51" t="str">
        <f t="shared" si="70"/>
        <v/>
      </c>
      <c r="T621" s="51" t="str">
        <f t="shared" si="71"/>
        <v/>
      </c>
      <c r="U621" s="51" t="str">
        <f t="shared" si="72"/>
        <v/>
      </c>
    </row>
    <row r="622" spans="1:21">
      <c r="A622" s="51" t="str">
        <f>IF(Declarations!B250=0,"",Declarations!B250)</f>
        <v/>
      </c>
      <c r="B622" s="161" t="str">
        <f>IF(ISNA(VLOOKUP(A622,Declarations!B$6:C$293,2,FALSE)),"",IF(VLOOKUP(A622,Declarations!B$6:C$293,2,FALSE)="","",VLOOKUP(A622,Declarations!B$6:C$293,2,FALSE)))</f>
        <v/>
      </c>
      <c r="C622" s="161" t="str">
        <f>IF(ISNA(VLOOKUP(A622,Declarations!B$6:F$293,5,FALSE)),"",IF(VLOOKUP(A622,Declarations!B$6:F$293,5,FALSE)="","",VLOOKUP(A622,Declarations!B$6:F$293,5,FALSE)))</f>
        <v/>
      </c>
      <c r="D622" s="161" t="str">
        <f>IF(ISNA(VLOOKUP(A622,Declarations!B$6:F$293,4,FALSE)),"",IF(VLOOKUP(A622,Declarations!B$6:F$293,4,FALSE)="","",VLOOKUP(A622,Declarations!B$6:F$293,4,FALSE)))</f>
        <v/>
      </c>
      <c r="E622" s="161" t="str">
        <f>IF(ISNA(VLOOKUP(A622,Declarations!B$6:D$293,3,FALSE)),"",IF(VLOOKUP(A622,Declarations!B$6:D$293,3,FALSE)="","",VLOOKUP(A622,Declarations!B$6:D$293,3,FALSE)))</f>
        <v/>
      </c>
      <c r="F622" s="51" t="str">
        <f>IF(B622="","",IF(ISNA(VLOOKUP(A622,'75m'!F$5:G$302,2,FALSE)),"",VLOOKUP(A622,'75m'!F$5:G$302,2,FALSE)))</f>
        <v/>
      </c>
      <c r="G622" s="51">
        <f>IF(B622="",0,IF(ISNA(_xlfn.XLOOKUP(A622,'75m'!F$5:F$302,'75m'!M$5:M$302)),0,_xlfn.XLOOKUP(A622,'75m'!F$5:F$302,'75m'!M$5:M$302)))</f>
        <v>0</v>
      </c>
      <c r="H622" s="51" t="str">
        <f>IF(B622="","",IF(ISNA(VLOOKUP(A622,'75m'!F$5:K$302,5,FALSE)),"",VLOOKUP(A622,'75m'!F$5:K$302,5,FALSE)))</f>
        <v/>
      </c>
      <c r="I622" s="53">
        <f>IF(B622="",0,IF(ISNA(VLOOKUP(A622,'600m'!F$5:J$302,2,FALSE)),0,VLOOKUP(A622,'600m'!F$5:J$302,2,FALSE)))</f>
        <v>0</v>
      </c>
      <c r="J622" s="51">
        <f>IF(B622="",0,IF(ISNA(_xlfn.XLOOKUP(A622,'600m'!F$5:F$302,'600m'!M$5:M$302)),0,_xlfn.XLOOKUP(A622,'600m'!F$5:F$302,'600m'!M$5:M$302)))</f>
        <v>0</v>
      </c>
      <c r="K622" s="51" t="str">
        <f>IF(B622="","",IF(ISNA(VLOOKUP(A622,'600m'!F$5:K$302,5,FALSE)),"",VLOOKUP(A622,'600m'!F$5:K$302,5,FALSE)))</f>
        <v/>
      </c>
      <c r="L622" s="51" t="str">
        <f>IF(B622="","",IF(ISNA(VLOOKUP(A622,LongJump!F$5:G$302,2,FALSE)),"",VLOOKUP(A622,LongJump!F$5:G$302,2,FALSE)))</f>
        <v/>
      </c>
      <c r="M622" s="51">
        <f>IF(B622="",0,IF(ISNA(_xlfn.XLOOKUP(A622,LongJump!F$5:F$302,LongJump!M$5:M$302)),0,_xlfn.XLOOKUP(A622,LongJump!F$5:F$302,LongJump!M$5:M$302)))</f>
        <v>0</v>
      </c>
      <c r="N622" s="51">
        <f>IF(B622="",0,IF(ISNA(VLOOKUP(A622,LongJump!F$5:K$302,5,FALSE)),0,VLOOKUP(A622,LongJump!F$5:K$302,5,FALSE)))</f>
        <v>0</v>
      </c>
      <c r="O622" s="51" t="str">
        <f>IF(B622="","",IF(ISNA(VLOOKUP(A622,Vortex!F$5:J$302,2,FALSE)),"",VLOOKUP(A622,Vortex!F$5:J$302,2,FALSE)))</f>
        <v/>
      </c>
      <c r="P622" s="51">
        <f>IF(B622="",0,IF(ISNA(_xlfn.XLOOKUP(A622,Vortex!F$5:F$302,Vortex!M$5:M$302)),0,_xlfn.XLOOKUP(A622,Vortex!F$5:F$302,Vortex!M$5:M$302)))</f>
        <v>0</v>
      </c>
      <c r="Q622" s="51">
        <f t="shared" si="68"/>
        <v>0</v>
      </c>
      <c r="R622" s="51" t="str">
        <f t="shared" si="69"/>
        <v/>
      </c>
      <c r="S622" s="51" t="str">
        <f t="shared" si="70"/>
        <v/>
      </c>
      <c r="T622" s="51" t="str">
        <f t="shared" si="71"/>
        <v/>
      </c>
      <c r="U622" s="51" t="str">
        <f t="shared" si="72"/>
        <v/>
      </c>
    </row>
    <row r="623" spans="1:21">
      <c r="A623" s="51" t="str">
        <f>IF(Declarations!B251=0,"",Declarations!B251)</f>
        <v/>
      </c>
      <c r="B623" s="161" t="str">
        <f>IF(ISNA(VLOOKUP(A623,Declarations!B$6:C$293,2,FALSE)),"",IF(VLOOKUP(A623,Declarations!B$6:C$293,2,FALSE)="","",VLOOKUP(A623,Declarations!B$6:C$293,2,FALSE)))</f>
        <v/>
      </c>
      <c r="C623" s="161" t="str">
        <f>IF(ISNA(VLOOKUP(A623,Declarations!B$6:F$293,5,FALSE)),"",IF(VLOOKUP(A623,Declarations!B$6:F$293,5,FALSE)="","",VLOOKUP(A623,Declarations!B$6:F$293,5,FALSE)))</f>
        <v/>
      </c>
      <c r="D623" s="161" t="str">
        <f>IF(ISNA(VLOOKUP(A623,Declarations!B$6:F$293,4,FALSE)),"",IF(VLOOKUP(A623,Declarations!B$6:F$293,4,FALSE)="","",VLOOKUP(A623,Declarations!B$6:F$293,4,FALSE)))</f>
        <v/>
      </c>
      <c r="E623" s="161" t="str">
        <f>IF(ISNA(VLOOKUP(A623,Declarations!B$6:D$293,3,FALSE)),"",IF(VLOOKUP(A623,Declarations!B$6:D$293,3,FALSE)="","",VLOOKUP(A623,Declarations!B$6:D$293,3,FALSE)))</f>
        <v/>
      </c>
      <c r="F623" s="51" t="str">
        <f>IF(B623="","",IF(ISNA(VLOOKUP(A623,'75m'!F$5:G$302,2,FALSE)),"",VLOOKUP(A623,'75m'!F$5:G$302,2,FALSE)))</f>
        <v/>
      </c>
      <c r="G623" s="51">
        <f>IF(B623="",0,IF(ISNA(_xlfn.XLOOKUP(A623,'75m'!F$5:F$302,'75m'!M$5:M$302)),0,_xlfn.XLOOKUP(A623,'75m'!F$5:F$302,'75m'!M$5:M$302)))</f>
        <v>0</v>
      </c>
      <c r="H623" s="51" t="str">
        <f>IF(B623="","",IF(ISNA(VLOOKUP(A623,'75m'!F$5:K$302,5,FALSE)),"",VLOOKUP(A623,'75m'!F$5:K$302,5,FALSE)))</f>
        <v/>
      </c>
      <c r="I623" s="53">
        <f>IF(B623="",0,IF(ISNA(VLOOKUP(A623,'600m'!F$5:J$302,2,FALSE)),0,VLOOKUP(A623,'600m'!F$5:J$302,2,FALSE)))</f>
        <v>0</v>
      </c>
      <c r="J623" s="51">
        <f>IF(B623="",0,IF(ISNA(_xlfn.XLOOKUP(A623,'600m'!F$5:F$302,'600m'!M$5:M$302)),0,_xlfn.XLOOKUP(A623,'600m'!F$5:F$302,'600m'!M$5:M$302)))</f>
        <v>0</v>
      </c>
      <c r="K623" s="51" t="str">
        <f>IF(B623="","",IF(ISNA(VLOOKUP(A623,'600m'!F$5:K$302,5,FALSE)),"",VLOOKUP(A623,'600m'!F$5:K$302,5,FALSE)))</f>
        <v/>
      </c>
      <c r="L623" s="51" t="str">
        <f>IF(B623="","",IF(ISNA(VLOOKUP(A623,LongJump!F$5:G$302,2,FALSE)),"",VLOOKUP(A623,LongJump!F$5:G$302,2,FALSE)))</f>
        <v/>
      </c>
      <c r="M623" s="51">
        <f>IF(B623="",0,IF(ISNA(_xlfn.XLOOKUP(A623,LongJump!F$5:F$302,LongJump!M$5:M$302)),0,_xlfn.XLOOKUP(A623,LongJump!F$5:F$302,LongJump!M$5:M$302)))</f>
        <v>0</v>
      </c>
      <c r="N623" s="51">
        <f>IF(B623="",0,IF(ISNA(VLOOKUP(A623,LongJump!F$5:K$302,5,FALSE)),0,VLOOKUP(A623,LongJump!F$5:K$302,5,FALSE)))</f>
        <v>0</v>
      </c>
      <c r="O623" s="51" t="str">
        <f>IF(B623="","",IF(ISNA(VLOOKUP(A623,Vortex!F$5:J$302,2,FALSE)),"",VLOOKUP(A623,Vortex!F$5:J$302,2,FALSE)))</f>
        <v/>
      </c>
      <c r="P623" s="51">
        <f>IF(B623="",0,IF(ISNA(_xlfn.XLOOKUP(A623,Vortex!F$5:F$302,Vortex!M$5:M$302)),0,_xlfn.XLOOKUP(A623,Vortex!F$5:F$302,Vortex!M$5:M$302)))</f>
        <v>0</v>
      </c>
      <c r="Q623" s="51">
        <f t="shared" si="68"/>
        <v>0</v>
      </c>
      <c r="R623" s="51" t="str">
        <f t="shared" si="69"/>
        <v/>
      </c>
      <c r="S623" s="51" t="str">
        <f t="shared" si="70"/>
        <v/>
      </c>
      <c r="T623" s="51" t="str">
        <f t="shared" si="71"/>
        <v/>
      </c>
      <c r="U623" s="51" t="str">
        <f t="shared" si="72"/>
        <v/>
      </c>
    </row>
    <row r="624" spans="1:21">
      <c r="A624" s="51" t="str">
        <f>IF(Declarations!B252=0,"",Declarations!B252)</f>
        <v/>
      </c>
      <c r="B624" s="161" t="str">
        <f>IF(ISNA(VLOOKUP(A624,Declarations!B$6:C$293,2,FALSE)),"",IF(VLOOKUP(A624,Declarations!B$6:C$293,2,FALSE)="","",VLOOKUP(A624,Declarations!B$6:C$293,2,FALSE)))</f>
        <v/>
      </c>
      <c r="C624" s="161" t="str">
        <f>IF(ISNA(VLOOKUP(A624,Declarations!B$6:F$293,5,FALSE)),"",IF(VLOOKUP(A624,Declarations!B$6:F$293,5,FALSE)="","",VLOOKUP(A624,Declarations!B$6:F$293,5,FALSE)))</f>
        <v/>
      </c>
      <c r="D624" s="161" t="str">
        <f>IF(ISNA(VLOOKUP(A624,Declarations!B$6:F$293,4,FALSE)),"",IF(VLOOKUP(A624,Declarations!B$6:F$293,4,FALSE)="","",VLOOKUP(A624,Declarations!B$6:F$293,4,FALSE)))</f>
        <v/>
      </c>
      <c r="E624" s="161" t="str">
        <f>IF(ISNA(VLOOKUP(A624,Declarations!B$6:D$293,3,FALSE)),"",IF(VLOOKUP(A624,Declarations!B$6:D$293,3,FALSE)="","",VLOOKUP(A624,Declarations!B$6:D$293,3,FALSE)))</f>
        <v/>
      </c>
      <c r="F624" s="51" t="str">
        <f>IF(B624="","",IF(ISNA(VLOOKUP(A624,'75m'!F$5:G$302,2,FALSE)),"",VLOOKUP(A624,'75m'!F$5:G$302,2,FALSE)))</f>
        <v/>
      </c>
      <c r="G624" s="51">
        <f>IF(B624="",0,IF(ISNA(_xlfn.XLOOKUP(A624,'75m'!F$5:F$302,'75m'!M$5:M$302)),0,_xlfn.XLOOKUP(A624,'75m'!F$5:F$302,'75m'!M$5:M$302)))</f>
        <v>0</v>
      </c>
      <c r="H624" s="51" t="str">
        <f>IF(B624="","",IF(ISNA(VLOOKUP(A624,'75m'!F$5:K$302,5,FALSE)),"",VLOOKUP(A624,'75m'!F$5:K$302,5,FALSE)))</f>
        <v/>
      </c>
      <c r="I624" s="53">
        <f>IF(B624="",0,IF(ISNA(VLOOKUP(A624,'600m'!F$5:J$302,2,FALSE)),0,VLOOKUP(A624,'600m'!F$5:J$302,2,FALSE)))</f>
        <v>0</v>
      </c>
      <c r="J624" s="51">
        <f>IF(B624="",0,IF(ISNA(_xlfn.XLOOKUP(A624,'600m'!F$5:F$302,'600m'!M$5:M$302)),0,_xlfn.XLOOKUP(A624,'600m'!F$5:F$302,'600m'!M$5:M$302)))</f>
        <v>0</v>
      </c>
      <c r="K624" s="51" t="str">
        <f>IF(B624="","",IF(ISNA(VLOOKUP(A624,'600m'!F$5:K$302,5,FALSE)),"",VLOOKUP(A624,'600m'!F$5:K$302,5,FALSE)))</f>
        <v/>
      </c>
      <c r="L624" s="51" t="str">
        <f>IF(B624="","",IF(ISNA(VLOOKUP(A624,LongJump!F$5:G$302,2,FALSE)),"",VLOOKUP(A624,LongJump!F$5:G$302,2,FALSE)))</f>
        <v/>
      </c>
      <c r="M624" s="51">
        <f>IF(B624="",0,IF(ISNA(_xlfn.XLOOKUP(A624,LongJump!F$5:F$302,LongJump!M$5:M$302)),0,_xlfn.XLOOKUP(A624,LongJump!F$5:F$302,LongJump!M$5:M$302)))</f>
        <v>0</v>
      </c>
      <c r="N624" s="51">
        <f>IF(B624="",0,IF(ISNA(VLOOKUP(A624,LongJump!F$5:K$302,5,FALSE)),0,VLOOKUP(A624,LongJump!F$5:K$302,5,FALSE)))</f>
        <v>0</v>
      </c>
      <c r="O624" s="51" t="str">
        <f>IF(B624="","",IF(ISNA(VLOOKUP(A624,Vortex!F$5:J$302,2,FALSE)),"",VLOOKUP(A624,Vortex!F$5:J$302,2,FALSE)))</f>
        <v/>
      </c>
      <c r="P624" s="51">
        <f>IF(B624="",0,IF(ISNA(_xlfn.XLOOKUP(A624,Vortex!F$5:F$302,Vortex!M$5:M$302)),0,_xlfn.XLOOKUP(A624,Vortex!F$5:F$302,Vortex!M$5:M$302)))</f>
        <v>0</v>
      </c>
      <c r="Q624" s="51">
        <f t="shared" si="68"/>
        <v>0</v>
      </c>
      <c r="R624" s="51" t="str">
        <f t="shared" si="69"/>
        <v/>
      </c>
      <c r="S624" s="51" t="str">
        <f t="shared" si="70"/>
        <v/>
      </c>
      <c r="T624" s="51" t="str">
        <f t="shared" si="71"/>
        <v/>
      </c>
      <c r="U624" s="51" t="str">
        <f t="shared" si="72"/>
        <v/>
      </c>
    </row>
    <row r="625" spans="1:21">
      <c r="A625" s="51" t="str">
        <f>IF(Declarations!B253=0,"",Declarations!B253)</f>
        <v/>
      </c>
      <c r="B625" s="161" t="str">
        <f>IF(ISNA(VLOOKUP(A625,Declarations!B$6:C$293,2,FALSE)),"",IF(VLOOKUP(A625,Declarations!B$6:C$293,2,FALSE)="","",VLOOKUP(A625,Declarations!B$6:C$293,2,FALSE)))</f>
        <v/>
      </c>
      <c r="C625" s="161" t="str">
        <f>IF(ISNA(VLOOKUP(A625,Declarations!B$6:F$293,5,FALSE)),"",IF(VLOOKUP(A625,Declarations!B$6:F$293,5,FALSE)="","",VLOOKUP(A625,Declarations!B$6:F$293,5,FALSE)))</f>
        <v/>
      </c>
      <c r="D625" s="161" t="str">
        <f>IF(ISNA(VLOOKUP(A625,Declarations!B$6:F$293,4,FALSE)),"",IF(VLOOKUP(A625,Declarations!B$6:F$293,4,FALSE)="","",VLOOKUP(A625,Declarations!B$6:F$293,4,FALSE)))</f>
        <v/>
      </c>
      <c r="E625" s="161" t="str">
        <f>IF(ISNA(VLOOKUP(A625,Declarations!B$6:D$293,3,FALSE)),"",IF(VLOOKUP(A625,Declarations!B$6:D$293,3,FALSE)="","",VLOOKUP(A625,Declarations!B$6:D$293,3,FALSE)))</f>
        <v/>
      </c>
      <c r="F625" s="51" t="str">
        <f>IF(B625="","",IF(ISNA(VLOOKUP(A625,'75m'!F$5:G$302,2,FALSE)),"",VLOOKUP(A625,'75m'!F$5:G$302,2,FALSE)))</f>
        <v/>
      </c>
      <c r="G625" s="51">
        <f>IF(B625="",0,IF(ISNA(_xlfn.XLOOKUP(A625,'75m'!F$5:F$302,'75m'!M$5:M$302)),0,_xlfn.XLOOKUP(A625,'75m'!F$5:F$302,'75m'!M$5:M$302)))</f>
        <v>0</v>
      </c>
      <c r="H625" s="51" t="str">
        <f>IF(B625="","",IF(ISNA(VLOOKUP(A625,'75m'!F$5:K$302,5,FALSE)),"",VLOOKUP(A625,'75m'!F$5:K$302,5,FALSE)))</f>
        <v/>
      </c>
      <c r="I625" s="53">
        <f>IF(B625="",0,IF(ISNA(VLOOKUP(A625,'600m'!F$5:J$302,2,FALSE)),0,VLOOKUP(A625,'600m'!F$5:J$302,2,FALSE)))</f>
        <v>0</v>
      </c>
      <c r="J625" s="51">
        <f>IF(B625="",0,IF(ISNA(_xlfn.XLOOKUP(A625,'600m'!F$5:F$302,'600m'!M$5:M$302)),0,_xlfn.XLOOKUP(A625,'600m'!F$5:F$302,'600m'!M$5:M$302)))</f>
        <v>0</v>
      </c>
      <c r="K625" s="51" t="str">
        <f>IF(B625="","",IF(ISNA(VLOOKUP(A625,'600m'!F$5:K$302,5,FALSE)),"",VLOOKUP(A625,'600m'!F$5:K$302,5,FALSE)))</f>
        <v/>
      </c>
      <c r="L625" s="51" t="str">
        <f>IF(B625="","",IF(ISNA(VLOOKUP(A625,LongJump!F$5:G$302,2,FALSE)),"",VLOOKUP(A625,LongJump!F$5:G$302,2,FALSE)))</f>
        <v/>
      </c>
      <c r="M625" s="51">
        <f>IF(B625="",0,IF(ISNA(_xlfn.XLOOKUP(A625,LongJump!F$5:F$302,LongJump!M$5:M$302)),0,_xlfn.XLOOKUP(A625,LongJump!F$5:F$302,LongJump!M$5:M$302)))</f>
        <v>0</v>
      </c>
      <c r="N625" s="51">
        <f>IF(B625="",0,IF(ISNA(VLOOKUP(A625,LongJump!F$5:K$302,5,FALSE)),0,VLOOKUP(A625,LongJump!F$5:K$302,5,FALSE)))</f>
        <v>0</v>
      </c>
      <c r="O625" s="51" t="str">
        <f>IF(B625="","",IF(ISNA(VLOOKUP(A625,Vortex!F$5:J$302,2,FALSE)),"",VLOOKUP(A625,Vortex!F$5:J$302,2,FALSE)))</f>
        <v/>
      </c>
      <c r="P625" s="51">
        <f>IF(B625="",0,IF(ISNA(_xlfn.XLOOKUP(A625,Vortex!F$5:F$302,Vortex!M$5:M$302)),0,_xlfn.XLOOKUP(A625,Vortex!F$5:F$302,Vortex!M$5:M$302)))</f>
        <v>0</v>
      </c>
      <c r="Q625" s="51">
        <f t="shared" si="68"/>
        <v>0</v>
      </c>
      <c r="R625" s="51" t="str">
        <f t="shared" si="69"/>
        <v/>
      </c>
      <c r="S625" s="51" t="str">
        <f t="shared" si="70"/>
        <v/>
      </c>
      <c r="T625" s="51" t="str">
        <f t="shared" si="71"/>
        <v/>
      </c>
      <c r="U625" s="51" t="str">
        <f t="shared" si="72"/>
        <v/>
      </c>
    </row>
    <row r="626" spans="1:21">
      <c r="A626" s="51" t="str">
        <f>IF(Declarations!B254=0,"",Declarations!B254)</f>
        <v/>
      </c>
      <c r="B626" s="161" t="str">
        <f>IF(ISNA(VLOOKUP(A626,Declarations!B$6:C$293,2,FALSE)),"",IF(VLOOKUP(A626,Declarations!B$6:C$293,2,FALSE)="","",VLOOKUP(A626,Declarations!B$6:C$293,2,FALSE)))</f>
        <v/>
      </c>
      <c r="C626" s="161" t="str">
        <f>IF(ISNA(VLOOKUP(A626,Declarations!B$6:F$293,5,FALSE)),"",IF(VLOOKUP(A626,Declarations!B$6:F$293,5,FALSE)="","",VLOOKUP(A626,Declarations!B$6:F$293,5,FALSE)))</f>
        <v/>
      </c>
      <c r="D626" s="161" t="str">
        <f>IF(ISNA(VLOOKUP(A626,Declarations!B$6:F$293,4,FALSE)),"",IF(VLOOKUP(A626,Declarations!B$6:F$293,4,FALSE)="","",VLOOKUP(A626,Declarations!B$6:F$293,4,FALSE)))</f>
        <v/>
      </c>
      <c r="E626" s="161" t="str">
        <f>IF(ISNA(VLOOKUP(A626,Declarations!B$6:D$293,3,FALSE)),"",IF(VLOOKUP(A626,Declarations!B$6:D$293,3,FALSE)="","",VLOOKUP(A626,Declarations!B$6:D$293,3,FALSE)))</f>
        <v/>
      </c>
      <c r="F626" s="51" t="str">
        <f>IF(B626="","",IF(ISNA(VLOOKUP(A626,'75m'!F$5:G$302,2,FALSE)),"",VLOOKUP(A626,'75m'!F$5:G$302,2,FALSE)))</f>
        <v/>
      </c>
      <c r="G626" s="51">
        <f>IF(B626="",0,IF(ISNA(_xlfn.XLOOKUP(A626,'75m'!F$5:F$302,'75m'!M$5:M$302)),0,_xlfn.XLOOKUP(A626,'75m'!F$5:F$302,'75m'!M$5:M$302)))</f>
        <v>0</v>
      </c>
      <c r="H626" s="51" t="str">
        <f>IF(B626="","",IF(ISNA(VLOOKUP(A626,'75m'!F$5:K$302,5,FALSE)),"",VLOOKUP(A626,'75m'!F$5:K$302,5,FALSE)))</f>
        <v/>
      </c>
      <c r="I626" s="53">
        <f>IF(B626="",0,IF(ISNA(VLOOKUP(A626,'600m'!F$5:J$302,2,FALSE)),0,VLOOKUP(A626,'600m'!F$5:J$302,2,FALSE)))</f>
        <v>0</v>
      </c>
      <c r="J626" s="51">
        <f>IF(B626="",0,IF(ISNA(_xlfn.XLOOKUP(A626,'600m'!F$5:F$302,'600m'!M$5:M$302)),0,_xlfn.XLOOKUP(A626,'600m'!F$5:F$302,'600m'!M$5:M$302)))</f>
        <v>0</v>
      </c>
      <c r="K626" s="51" t="str">
        <f>IF(B626="","",IF(ISNA(VLOOKUP(A626,'600m'!F$5:K$302,5,FALSE)),"",VLOOKUP(A626,'600m'!F$5:K$302,5,FALSE)))</f>
        <v/>
      </c>
      <c r="L626" s="51" t="str">
        <f>IF(B626="","",IF(ISNA(VLOOKUP(A626,LongJump!F$5:G$302,2,FALSE)),"",VLOOKUP(A626,LongJump!F$5:G$302,2,FALSE)))</f>
        <v/>
      </c>
      <c r="M626" s="51">
        <f>IF(B626="",0,IF(ISNA(_xlfn.XLOOKUP(A626,LongJump!F$5:F$302,LongJump!M$5:M$302)),0,_xlfn.XLOOKUP(A626,LongJump!F$5:F$302,LongJump!M$5:M$302)))</f>
        <v>0</v>
      </c>
      <c r="N626" s="51">
        <f>IF(B626="",0,IF(ISNA(VLOOKUP(A626,LongJump!F$5:K$302,5,FALSE)),0,VLOOKUP(A626,LongJump!F$5:K$302,5,FALSE)))</f>
        <v>0</v>
      </c>
      <c r="O626" s="51" t="str">
        <f>IF(B626="","",IF(ISNA(VLOOKUP(A626,Vortex!F$5:J$302,2,FALSE)),"",VLOOKUP(A626,Vortex!F$5:J$302,2,FALSE)))</f>
        <v/>
      </c>
      <c r="P626" s="51">
        <f>IF(B626="",0,IF(ISNA(_xlfn.XLOOKUP(A626,Vortex!F$5:F$302,Vortex!M$5:M$302)),0,_xlfn.XLOOKUP(A626,Vortex!F$5:F$302,Vortex!M$5:M$302)))</f>
        <v>0</v>
      </c>
      <c r="Q626" s="51">
        <f t="shared" si="68"/>
        <v>0</v>
      </c>
      <c r="R626" s="51" t="str">
        <f t="shared" si="69"/>
        <v/>
      </c>
      <c r="S626" s="51" t="str">
        <f t="shared" si="70"/>
        <v/>
      </c>
      <c r="T626" s="51" t="str">
        <f t="shared" si="71"/>
        <v/>
      </c>
      <c r="U626" s="51" t="str">
        <f t="shared" si="72"/>
        <v/>
      </c>
    </row>
    <row r="627" spans="1:21">
      <c r="A627" s="51" t="str">
        <f>IF(Declarations!B255=0,"",Declarations!B255)</f>
        <v/>
      </c>
      <c r="B627" s="161" t="str">
        <f>IF(ISNA(VLOOKUP(A627,Declarations!B$6:C$293,2,FALSE)),"",IF(VLOOKUP(A627,Declarations!B$6:C$293,2,FALSE)="","",VLOOKUP(A627,Declarations!B$6:C$293,2,FALSE)))</f>
        <v/>
      </c>
      <c r="C627" s="161" t="str">
        <f>IF(ISNA(VLOOKUP(A627,Declarations!B$6:F$293,5,FALSE)),"",IF(VLOOKUP(A627,Declarations!B$6:F$293,5,FALSE)="","",VLOOKUP(A627,Declarations!B$6:F$293,5,FALSE)))</f>
        <v/>
      </c>
      <c r="D627" s="161" t="str">
        <f>IF(ISNA(VLOOKUP(A627,Declarations!B$6:F$293,4,FALSE)),"",IF(VLOOKUP(A627,Declarations!B$6:F$293,4,FALSE)="","",VLOOKUP(A627,Declarations!B$6:F$293,4,FALSE)))</f>
        <v/>
      </c>
      <c r="E627" s="161" t="str">
        <f>IF(ISNA(VLOOKUP(A627,Declarations!B$6:D$293,3,FALSE)),"",IF(VLOOKUP(A627,Declarations!B$6:D$293,3,FALSE)="","",VLOOKUP(A627,Declarations!B$6:D$293,3,FALSE)))</f>
        <v/>
      </c>
      <c r="F627" s="51" t="str">
        <f>IF(B627="","",IF(ISNA(VLOOKUP(A627,'75m'!F$5:G$302,2,FALSE)),"",VLOOKUP(A627,'75m'!F$5:G$302,2,FALSE)))</f>
        <v/>
      </c>
      <c r="G627" s="51">
        <f>IF(B627="",0,IF(ISNA(_xlfn.XLOOKUP(A627,'75m'!F$5:F$302,'75m'!M$5:M$302)),0,_xlfn.XLOOKUP(A627,'75m'!F$5:F$302,'75m'!M$5:M$302)))</f>
        <v>0</v>
      </c>
      <c r="H627" s="51" t="str">
        <f>IF(B627="","",IF(ISNA(VLOOKUP(A627,'75m'!F$5:K$302,5,FALSE)),"",VLOOKUP(A627,'75m'!F$5:K$302,5,FALSE)))</f>
        <v/>
      </c>
      <c r="I627" s="53">
        <f>IF(B627="",0,IF(ISNA(VLOOKUP(A627,'600m'!F$5:J$302,2,FALSE)),0,VLOOKUP(A627,'600m'!F$5:J$302,2,FALSE)))</f>
        <v>0</v>
      </c>
      <c r="J627" s="51">
        <f>IF(B627="",0,IF(ISNA(_xlfn.XLOOKUP(A627,'600m'!F$5:F$302,'600m'!M$5:M$302)),0,_xlfn.XLOOKUP(A627,'600m'!F$5:F$302,'600m'!M$5:M$302)))</f>
        <v>0</v>
      </c>
      <c r="K627" s="51" t="str">
        <f>IF(B627="","",IF(ISNA(VLOOKUP(A627,'600m'!F$5:K$302,5,FALSE)),"",VLOOKUP(A627,'600m'!F$5:K$302,5,FALSE)))</f>
        <v/>
      </c>
      <c r="L627" s="51" t="str">
        <f>IF(B627="","",IF(ISNA(VLOOKUP(A627,LongJump!F$5:G$302,2,FALSE)),"",VLOOKUP(A627,LongJump!F$5:G$302,2,FALSE)))</f>
        <v/>
      </c>
      <c r="M627" s="51">
        <f>IF(B627="",0,IF(ISNA(_xlfn.XLOOKUP(A627,LongJump!F$5:F$302,LongJump!M$5:M$302)),0,_xlfn.XLOOKUP(A627,LongJump!F$5:F$302,LongJump!M$5:M$302)))</f>
        <v>0</v>
      </c>
      <c r="N627" s="51">
        <f>IF(B627="",0,IF(ISNA(VLOOKUP(A627,LongJump!F$5:K$302,5,FALSE)),0,VLOOKUP(A627,LongJump!F$5:K$302,5,FALSE)))</f>
        <v>0</v>
      </c>
      <c r="O627" s="51" t="str">
        <f>IF(B627="","",IF(ISNA(VLOOKUP(A627,Vortex!F$5:J$302,2,FALSE)),"",VLOOKUP(A627,Vortex!F$5:J$302,2,FALSE)))</f>
        <v/>
      </c>
      <c r="P627" s="51">
        <f>IF(B627="",0,IF(ISNA(_xlfn.XLOOKUP(A627,Vortex!F$5:F$302,Vortex!M$5:M$302)),0,_xlfn.XLOOKUP(A627,Vortex!F$5:F$302,Vortex!M$5:M$302)))</f>
        <v>0</v>
      </c>
      <c r="Q627" s="51">
        <f t="shared" si="68"/>
        <v>0</v>
      </c>
      <c r="R627" s="51" t="str">
        <f t="shared" si="69"/>
        <v/>
      </c>
      <c r="S627" s="51" t="str">
        <f t="shared" si="70"/>
        <v/>
      </c>
      <c r="T627" s="51" t="str">
        <f t="shared" si="71"/>
        <v/>
      </c>
      <c r="U627" s="51" t="str">
        <f t="shared" si="72"/>
        <v/>
      </c>
    </row>
    <row r="628" spans="1:21">
      <c r="A628" s="51" t="str">
        <f>IF(Declarations!B256=0,"",Declarations!B256)</f>
        <v/>
      </c>
      <c r="B628" s="161" t="str">
        <f>IF(ISNA(VLOOKUP(A628,Declarations!B$6:C$293,2,FALSE)),"",IF(VLOOKUP(A628,Declarations!B$6:C$293,2,FALSE)="","",VLOOKUP(A628,Declarations!B$6:C$293,2,FALSE)))</f>
        <v/>
      </c>
      <c r="C628" s="161" t="str">
        <f>IF(ISNA(VLOOKUP(A628,Declarations!B$6:F$293,5,FALSE)),"",IF(VLOOKUP(A628,Declarations!B$6:F$293,5,FALSE)="","",VLOOKUP(A628,Declarations!B$6:F$293,5,FALSE)))</f>
        <v/>
      </c>
      <c r="D628" s="161" t="str">
        <f>IF(ISNA(VLOOKUP(A628,Declarations!B$6:F$293,4,FALSE)),"",IF(VLOOKUP(A628,Declarations!B$6:F$293,4,FALSE)="","",VLOOKUP(A628,Declarations!B$6:F$293,4,FALSE)))</f>
        <v/>
      </c>
      <c r="E628" s="161" t="str">
        <f>IF(ISNA(VLOOKUP(A628,Declarations!B$6:D$293,3,FALSE)),"",IF(VLOOKUP(A628,Declarations!B$6:D$293,3,FALSE)="","",VLOOKUP(A628,Declarations!B$6:D$293,3,FALSE)))</f>
        <v/>
      </c>
      <c r="F628" s="51" t="str">
        <f>IF(B628="","",IF(ISNA(VLOOKUP(A628,'75m'!F$5:G$302,2,FALSE)),"",VLOOKUP(A628,'75m'!F$5:G$302,2,FALSE)))</f>
        <v/>
      </c>
      <c r="G628" s="51">
        <f>IF(B628="",0,IF(ISNA(_xlfn.XLOOKUP(A628,'75m'!F$5:F$302,'75m'!M$5:M$302)),0,_xlfn.XLOOKUP(A628,'75m'!F$5:F$302,'75m'!M$5:M$302)))</f>
        <v>0</v>
      </c>
      <c r="H628" s="51" t="str">
        <f>IF(B628="","",IF(ISNA(VLOOKUP(A628,'75m'!F$5:K$302,5,FALSE)),"",VLOOKUP(A628,'75m'!F$5:K$302,5,FALSE)))</f>
        <v/>
      </c>
      <c r="I628" s="53">
        <f>IF(B628="",0,IF(ISNA(VLOOKUP(A628,'600m'!F$5:J$302,2,FALSE)),0,VLOOKUP(A628,'600m'!F$5:J$302,2,FALSE)))</f>
        <v>0</v>
      </c>
      <c r="J628" s="51">
        <f>IF(B628="",0,IF(ISNA(_xlfn.XLOOKUP(A628,'600m'!F$5:F$302,'600m'!M$5:M$302)),0,_xlfn.XLOOKUP(A628,'600m'!F$5:F$302,'600m'!M$5:M$302)))</f>
        <v>0</v>
      </c>
      <c r="K628" s="51" t="str">
        <f>IF(B628="","",IF(ISNA(VLOOKUP(A628,'600m'!F$5:K$302,5,FALSE)),"",VLOOKUP(A628,'600m'!F$5:K$302,5,FALSE)))</f>
        <v/>
      </c>
      <c r="L628" s="51" t="str">
        <f>IF(B628="","",IF(ISNA(VLOOKUP(A628,LongJump!F$5:G$302,2,FALSE)),"",VLOOKUP(A628,LongJump!F$5:G$302,2,FALSE)))</f>
        <v/>
      </c>
      <c r="M628" s="51">
        <f>IF(B628="",0,IF(ISNA(_xlfn.XLOOKUP(A628,LongJump!F$5:F$302,LongJump!M$5:M$302)),0,_xlfn.XLOOKUP(A628,LongJump!F$5:F$302,LongJump!M$5:M$302)))</f>
        <v>0</v>
      </c>
      <c r="N628" s="51">
        <f>IF(B628="",0,IF(ISNA(VLOOKUP(A628,LongJump!F$5:K$302,5,FALSE)),0,VLOOKUP(A628,LongJump!F$5:K$302,5,FALSE)))</f>
        <v>0</v>
      </c>
      <c r="O628" s="51" t="str">
        <f>IF(B628="","",IF(ISNA(VLOOKUP(A628,Vortex!F$5:J$302,2,FALSE)),"",VLOOKUP(A628,Vortex!F$5:J$302,2,FALSE)))</f>
        <v/>
      </c>
      <c r="P628" s="51">
        <f>IF(B628="",0,IF(ISNA(_xlfn.XLOOKUP(A628,Vortex!F$5:F$302,Vortex!M$5:M$302)),0,_xlfn.XLOOKUP(A628,Vortex!F$5:F$302,Vortex!M$5:M$302)))</f>
        <v>0</v>
      </c>
      <c r="Q628" s="51">
        <f t="shared" si="68"/>
        <v>0</v>
      </c>
      <c r="R628" s="51" t="str">
        <f t="shared" si="69"/>
        <v/>
      </c>
      <c r="S628" s="51" t="str">
        <f t="shared" si="70"/>
        <v/>
      </c>
      <c r="T628" s="51" t="str">
        <f t="shared" si="71"/>
        <v/>
      </c>
      <c r="U628" s="51" t="str">
        <f t="shared" si="72"/>
        <v/>
      </c>
    </row>
    <row r="629" spans="1:21">
      <c r="A629" s="51" t="str">
        <f>IF(Declarations!B257=0,"",Declarations!B257)</f>
        <v/>
      </c>
      <c r="B629" s="161" t="str">
        <f>IF(ISNA(VLOOKUP(A629,Declarations!B$6:C$293,2,FALSE)),"",IF(VLOOKUP(A629,Declarations!B$6:C$293,2,FALSE)="","",VLOOKUP(A629,Declarations!B$6:C$293,2,FALSE)))</f>
        <v/>
      </c>
      <c r="C629" s="161" t="str">
        <f>IF(ISNA(VLOOKUP(A629,Declarations!B$6:F$293,5,FALSE)),"",IF(VLOOKUP(A629,Declarations!B$6:F$293,5,FALSE)="","",VLOOKUP(A629,Declarations!B$6:F$293,5,FALSE)))</f>
        <v/>
      </c>
      <c r="D629" s="161" t="str">
        <f>IF(ISNA(VLOOKUP(A629,Declarations!B$6:F$293,4,FALSE)),"",IF(VLOOKUP(A629,Declarations!B$6:F$293,4,FALSE)="","",VLOOKUP(A629,Declarations!B$6:F$293,4,FALSE)))</f>
        <v/>
      </c>
      <c r="E629" s="161" t="str">
        <f>IF(ISNA(VLOOKUP(A629,Declarations!B$6:D$293,3,FALSE)),"",IF(VLOOKUP(A629,Declarations!B$6:D$293,3,FALSE)="","",VLOOKUP(A629,Declarations!B$6:D$293,3,FALSE)))</f>
        <v/>
      </c>
      <c r="F629" s="51" t="str">
        <f>IF(B629="","",IF(ISNA(VLOOKUP(A629,'75m'!F$5:G$302,2,FALSE)),"",VLOOKUP(A629,'75m'!F$5:G$302,2,FALSE)))</f>
        <v/>
      </c>
      <c r="G629" s="51">
        <f>IF(B629="",0,IF(ISNA(_xlfn.XLOOKUP(A629,'75m'!F$5:F$302,'75m'!M$5:M$302)),0,_xlfn.XLOOKUP(A629,'75m'!F$5:F$302,'75m'!M$5:M$302)))</f>
        <v>0</v>
      </c>
      <c r="H629" s="51" t="str">
        <f>IF(B629="","",IF(ISNA(VLOOKUP(A629,'75m'!F$5:K$302,5,FALSE)),"",VLOOKUP(A629,'75m'!F$5:K$302,5,FALSE)))</f>
        <v/>
      </c>
      <c r="I629" s="53">
        <f>IF(B629="",0,IF(ISNA(VLOOKUP(A629,'600m'!F$5:J$302,2,FALSE)),0,VLOOKUP(A629,'600m'!F$5:J$302,2,FALSE)))</f>
        <v>0</v>
      </c>
      <c r="J629" s="51">
        <f>IF(B629="",0,IF(ISNA(_xlfn.XLOOKUP(A629,'600m'!F$5:F$302,'600m'!M$5:M$302)),0,_xlfn.XLOOKUP(A629,'600m'!F$5:F$302,'600m'!M$5:M$302)))</f>
        <v>0</v>
      </c>
      <c r="K629" s="51" t="str">
        <f>IF(B629="","",IF(ISNA(VLOOKUP(A629,'600m'!F$5:K$302,5,FALSE)),"",VLOOKUP(A629,'600m'!F$5:K$302,5,FALSE)))</f>
        <v/>
      </c>
      <c r="L629" s="51" t="str">
        <f>IF(B629="","",IF(ISNA(VLOOKUP(A629,LongJump!F$5:G$302,2,FALSE)),"",VLOOKUP(A629,LongJump!F$5:G$302,2,FALSE)))</f>
        <v/>
      </c>
      <c r="M629" s="51">
        <f>IF(B629="",0,IF(ISNA(_xlfn.XLOOKUP(A629,LongJump!F$5:F$302,LongJump!M$5:M$302)),0,_xlfn.XLOOKUP(A629,LongJump!F$5:F$302,LongJump!M$5:M$302)))</f>
        <v>0</v>
      </c>
      <c r="N629" s="51">
        <f>IF(B629="",0,IF(ISNA(VLOOKUP(A629,LongJump!F$5:K$302,5,FALSE)),0,VLOOKUP(A629,LongJump!F$5:K$302,5,FALSE)))</f>
        <v>0</v>
      </c>
      <c r="O629" s="51" t="str">
        <f>IF(B629="","",IF(ISNA(VLOOKUP(A629,Vortex!F$5:J$302,2,FALSE)),"",VLOOKUP(A629,Vortex!F$5:J$302,2,FALSE)))</f>
        <v/>
      </c>
      <c r="P629" s="51">
        <f>IF(B629="",0,IF(ISNA(_xlfn.XLOOKUP(A629,Vortex!F$5:F$302,Vortex!M$5:M$302)),0,_xlfn.XLOOKUP(A629,Vortex!F$5:F$302,Vortex!M$5:M$302)))</f>
        <v>0</v>
      </c>
      <c r="Q629" s="51">
        <f t="shared" si="68"/>
        <v>0</v>
      </c>
      <c r="R629" s="51" t="str">
        <f t="shared" si="69"/>
        <v/>
      </c>
      <c r="S629" s="51" t="str">
        <f t="shared" si="70"/>
        <v/>
      </c>
      <c r="T629" s="51" t="str">
        <f t="shared" si="71"/>
        <v/>
      </c>
      <c r="U629" s="51" t="str">
        <f t="shared" si="72"/>
        <v/>
      </c>
    </row>
    <row r="630" spans="1:21">
      <c r="A630" s="51" t="str">
        <f>IF(Declarations!B258=0,"",Declarations!B258)</f>
        <v/>
      </c>
      <c r="B630" s="161" t="str">
        <f>IF(ISNA(VLOOKUP(A630,Declarations!B$6:C$293,2,FALSE)),"",IF(VLOOKUP(A630,Declarations!B$6:C$293,2,FALSE)="","",VLOOKUP(A630,Declarations!B$6:C$293,2,FALSE)))</f>
        <v/>
      </c>
      <c r="C630" s="161" t="str">
        <f>IF(ISNA(VLOOKUP(A630,Declarations!B$6:F$293,5,FALSE)),"",IF(VLOOKUP(A630,Declarations!B$6:F$293,5,FALSE)="","",VLOOKUP(A630,Declarations!B$6:F$293,5,FALSE)))</f>
        <v/>
      </c>
      <c r="D630" s="161" t="str">
        <f>IF(ISNA(VLOOKUP(A630,Declarations!B$6:F$293,4,FALSE)),"",IF(VLOOKUP(A630,Declarations!B$6:F$293,4,FALSE)="","",VLOOKUP(A630,Declarations!B$6:F$293,4,FALSE)))</f>
        <v/>
      </c>
      <c r="E630" s="161" t="str">
        <f>IF(ISNA(VLOOKUP(A630,Declarations!B$6:D$293,3,FALSE)),"",IF(VLOOKUP(A630,Declarations!B$6:D$293,3,FALSE)="","",VLOOKUP(A630,Declarations!B$6:D$293,3,FALSE)))</f>
        <v/>
      </c>
      <c r="F630" s="51" t="str">
        <f>IF(B630="","",IF(ISNA(VLOOKUP(A630,'75m'!F$5:G$302,2,FALSE)),"",VLOOKUP(A630,'75m'!F$5:G$302,2,FALSE)))</f>
        <v/>
      </c>
      <c r="G630" s="51">
        <f>IF(B630="",0,IF(ISNA(_xlfn.XLOOKUP(A630,'75m'!F$5:F$302,'75m'!M$5:M$302)),0,_xlfn.XLOOKUP(A630,'75m'!F$5:F$302,'75m'!M$5:M$302)))</f>
        <v>0</v>
      </c>
      <c r="H630" s="51" t="str">
        <f>IF(B630="","",IF(ISNA(VLOOKUP(A630,'75m'!F$5:K$302,5,FALSE)),"",VLOOKUP(A630,'75m'!F$5:K$302,5,FALSE)))</f>
        <v/>
      </c>
      <c r="I630" s="53">
        <f>IF(B630="",0,IF(ISNA(VLOOKUP(A630,'600m'!F$5:J$302,2,FALSE)),0,VLOOKUP(A630,'600m'!F$5:J$302,2,FALSE)))</f>
        <v>0</v>
      </c>
      <c r="J630" s="51">
        <f>IF(B630="",0,IF(ISNA(_xlfn.XLOOKUP(A630,'600m'!F$5:F$302,'600m'!M$5:M$302)),0,_xlfn.XLOOKUP(A630,'600m'!F$5:F$302,'600m'!M$5:M$302)))</f>
        <v>0</v>
      </c>
      <c r="K630" s="51" t="str">
        <f>IF(B630="","",IF(ISNA(VLOOKUP(A630,'600m'!F$5:K$302,5,FALSE)),"",VLOOKUP(A630,'600m'!F$5:K$302,5,FALSE)))</f>
        <v/>
      </c>
      <c r="L630" s="51" t="str">
        <f>IF(B630="","",IF(ISNA(VLOOKUP(A630,LongJump!F$5:G$302,2,FALSE)),"",VLOOKUP(A630,LongJump!F$5:G$302,2,FALSE)))</f>
        <v/>
      </c>
      <c r="M630" s="51">
        <f>IF(B630="",0,IF(ISNA(_xlfn.XLOOKUP(A630,LongJump!F$5:F$302,LongJump!M$5:M$302)),0,_xlfn.XLOOKUP(A630,LongJump!F$5:F$302,LongJump!M$5:M$302)))</f>
        <v>0</v>
      </c>
      <c r="N630" s="51">
        <f>IF(B630="",0,IF(ISNA(VLOOKUP(A630,LongJump!F$5:K$302,5,FALSE)),0,VLOOKUP(A630,LongJump!F$5:K$302,5,FALSE)))</f>
        <v>0</v>
      </c>
      <c r="O630" s="51" t="str">
        <f>IF(B630="","",IF(ISNA(VLOOKUP(A630,Vortex!F$5:J$302,2,FALSE)),"",VLOOKUP(A630,Vortex!F$5:J$302,2,FALSE)))</f>
        <v/>
      </c>
      <c r="P630" s="51">
        <f>IF(B630="",0,IF(ISNA(_xlfn.XLOOKUP(A630,Vortex!F$5:F$302,Vortex!M$5:M$302)),0,_xlfn.XLOOKUP(A630,Vortex!F$5:F$302,Vortex!M$5:M$302)))</f>
        <v>0</v>
      </c>
      <c r="Q630" s="51">
        <f t="shared" si="68"/>
        <v>0</v>
      </c>
      <c r="R630" s="51" t="str">
        <f t="shared" si="69"/>
        <v/>
      </c>
      <c r="S630" s="51" t="str">
        <f t="shared" si="70"/>
        <v/>
      </c>
      <c r="T630" s="51" t="str">
        <f t="shared" si="71"/>
        <v/>
      </c>
      <c r="U630" s="51" t="str">
        <f t="shared" si="72"/>
        <v/>
      </c>
    </row>
    <row r="631" spans="1:21">
      <c r="A631" s="51" t="str">
        <f>IF(Declarations!B259=0,"",Declarations!B259)</f>
        <v/>
      </c>
      <c r="B631" s="161" t="str">
        <f>IF(ISNA(VLOOKUP(A631,Declarations!B$6:C$293,2,FALSE)),"",IF(VLOOKUP(A631,Declarations!B$6:C$293,2,FALSE)="","",VLOOKUP(A631,Declarations!B$6:C$293,2,FALSE)))</f>
        <v/>
      </c>
      <c r="C631" s="161" t="str">
        <f>IF(ISNA(VLOOKUP(A631,Declarations!B$6:F$293,5,FALSE)),"",IF(VLOOKUP(A631,Declarations!B$6:F$293,5,FALSE)="","",VLOOKUP(A631,Declarations!B$6:F$293,5,FALSE)))</f>
        <v/>
      </c>
      <c r="D631" s="161" t="str">
        <f>IF(ISNA(VLOOKUP(A631,Declarations!B$6:F$293,4,FALSE)),"",IF(VLOOKUP(A631,Declarations!B$6:F$293,4,FALSE)="","",VLOOKUP(A631,Declarations!B$6:F$293,4,FALSE)))</f>
        <v/>
      </c>
      <c r="E631" s="161" t="str">
        <f>IF(ISNA(VLOOKUP(A631,Declarations!B$6:D$293,3,FALSE)),"",IF(VLOOKUP(A631,Declarations!B$6:D$293,3,FALSE)="","",VLOOKUP(A631,Declarations!B$6:D$293,3,FALSE)))</f>
        <v/>
      </c>
      <c r="F631" s="51" t="str">
        <f>IF(B631="","",IF(ISNA(VLOOKUP(A631,'75m'!F$5:G$302,2,FALSE)),"",VLOOKUP(A631,'75m'!F$5:G$302,2,FALSE)))</f>
        <v/>
      </c>
      <c r="G631" s="51">
        <f>IF(B631="",0,IF(ISNA(_xlfn.XLOOKUP(A631,'75m'!F$5:F$302,'75m'!M$5:M$302)),0,_xlfn.XLOOKUP(A631,'75m'!F$5:F$302,'75m'!M$5:M$302)))</f>
        <v>0</v>
      </c>
      <c r="H631" s="51" t="str">
        <f>IF(B631="","",IF(ISNA(VLOOKUP(A631,'75m'!F$5:K$302,5,FALSE)),"",VLOOKUP(A631,'75m'!F$5:K$302,5,FALSE)))</f>
        <v/>
      </c>
      <c r="I631" s="53">
        <f>IF(B631="",0,IF(ISNA(VLOOKUP(A631,'600m'!F$5:J$302,2,FALSE)),0,VLOOKUP(A631,'600m'!F$5:J$302,2,FALSE)))</f>
        <v>0</v>
      </c>
      <c r="J631" s="51">
        <f>IF(B631="",0,IF(ISNA(_xlfn.XLOOKUP(A631,'600m'!F$5:F$302,'600m'!M$5:M$302)),0,_xlfn.XLOOKUP(A631,'600m'!F$5:F$302,'600m'!M$5:M$302)))</f>
        <v>0</v>
      </c>
      <c r="K631" s="51" t="str">
        <f>IF(B631="","",IF(ISNA(VLOOKUP(A631,'600m'!F$5:K$302,5,FALSE)),"",VLOOKUP(A631,'600m'!F$5:K$302,5,FALSE)))</f>
        <v/>
      </c>
      <c r="L631" s="51" t="str">
        <f>IF(B631="","",IF(ISNA(VLOOKUP(A631,LongJump!F$5:G$302,2,FALSE)),"",VLOOKUP(A631,LongJump!F$5:G$302,2,FALSE)))</f>
        <v/>
      </c>
      <c r="M631" s="51">
        <f>IF(B631="",0,IF(ISNA(_xlfn.XLOOKUP(A631,LongJump!F$5:F$302,LongJump!M$5:M$302)),0,_xlfn.XLOOKUP(A631,LongJump!F$5:F$302,LongJump!M$5:M$302)))</f>
        <v>0</v>
      </c>
      <c r="N631" s="51">
        <f>IF(B631="",0,IF(ISNA(VLOOKUP(A631,LongJump!F$5:K$302,5,FALSE)),0,VLOOKUP(A631,LongJump!F$5:K$302,5,FALSE)))</f>
        <v>0</v>
      </c>
      <c r="O631" s="51" t="str">
        <f>IF(B631="","",IF(ISNA(VLOOKUP(A631,Vortex!F$5:J$302,2,FALSE)),"",VLOOKUP(A631,Vortex!F$5:J$302,2,FALSE)))</f>
        <v/>
      </c>
      <c r="P631" s="51">
        <f>IF(B631="",0,IF(ISNA(_xlfn.XLOOKUP(A631,Vortex!F$5:F$302,Vortex!M$5:M$302)),0,_xlfn.XLOOKUP(A631,Vortex!F$5:F$302,Vortex!M$5:M$302)))</f>
        <v>0</v>
      </c>
      <c r="Q631" s="51">
        <f t="shared" si="68"/>
        <v>0</v>
      </c>
      <c r="R631" s="51" t="str">
        <f t="shared" si="69"/>
        <v/>
      </c>
      <c r="S631" s="51" t="str">
        <f t="shared" si="70"/>
        <v/>
      </c>
      <c r="T631" s="51" t="str">
        <f t="shared" si="71"/>
        <v/>
      </c>
      <c r="U631" s="51" t="str">
        <f t="shared" si="72"/>
        <v/>
      </c>
    </row>
    <row r="632" spans="1:21">
      <c r="A632" s="51" t="str">
        <f>IF(Declarations!B260=0,"",Declarations!B260)</f>
        <v/>
      </c>
      <c r="B632" s="161" t="str">
        <f>IF(ISNA(VLOOKUP(A632,Declarations!B$6:C$293,2,FALSE)),"",IF(VLOOKUP(A632,Declarations!B$6:C$293,2,FALSE)="","",VLOOKUP(A632,Declarations!B$6:C$293,2,FALSE)))</f>
        <v/>
      </c>
      <c r="C632" s="161" t="str">
        <f>IF(ISNA(VLOOKUP(A632,Declarations!B$6:F$293,5,FALSE)),"",IF(VLOOKUP(A632,Declarations!B$6:F$293,5,FALSE)="","",VLOOKUP(A632,Declarations!B$6:F$293,5,FALSE)))</f>
        <v/>
      </c>
      <c r="D632" s="161" t="str">
        <f>IF(ISNA(VLOOKUP(A632,Declarations!B$6:F$293,4,FALSE)),"",IF(VLOOKUP(A632,Declarations!B$6:F$293,4,FALSE)="","",VLOOKUP(A632,Declarations!B$6:F$293,4,FALSE)))</f>
        <v/>
      </c>
      <c r="E632" s="161" t="str">
        <f>IF(ISNA(VLOOKUP(A632,Declarations!B$6:D$293,3,FALSE)),"",IF(VLOOKUP(A632,Declarations!B$6:D$293,3,FALSE)="","",VLOOKUP(A632,Declarations!B$6:D$293,3,FALSE)))</f>
        <v/>
      </c>
      <c r="F632" s="51" t="str">
        <f>IF(B632="","",IF(ISNA(VLOOKUP(A632,'75m'!F$5:G$302,2,FALSE)),"",VLOOKUP(A632,'75m'!F$5:G$302,2,FALSE)))</f>
        <v/>
      </c>
      <c r="G632" s="51">
        <f>IF(B632="",0,IF(ISNA(_xlfn.XLOOKUP(A632,'75m'!F$5:F$302,'75m'!M$5:M$302)),0,_xlfn.XLOOKUP(A632,'75m'!F$5:F$302,'75m'!M$5:M$302)))</f>
        <v>0</v>
      </c>
      <c r="H632" s="51" t="str">
        <f>IF(B632="","",IF(ISNA(VLOOKUP(A632,'75m'!F$5:K$302,5,FALSE)),"",VLOOKUP(A632,'75m'!F$5:K$302,5,FALSE)))</f>
        <v/>
      </c>
      <c r="I632" s="53">
        <f>IF(B632="",0,IF(ISNA(VLOOKUP(A632,'600m'!F$5:J$302,2,FALSE)),0,VLOOKUP(A632,'600m'!F$5:J$302,2,FALSE)))</f>
        <v>0</v>
      </c>
      <c r="J632" s="51">
        <f>IF(B632="",0,IF(ISNA(_xlfn.XLOOKUP(A632,'600m'!F$5:F$302,'600m'!M$5:M$302)),0,_xlfn.XLOOKUP(A632,'600m'!F$5:F$302,'600m'!M$5:M$302)))</f>
        <v>0</v>
      </c>
      <c r="K632" s="51" t="str">
        <f>IF(B632="","",IF(ISNA(VLOOKUP(A632,'600m'!F$5:K$302,5,FALSE)),"",VLOOKUP(A632,'600m'!F$5:K$302,5,FALSE)))</f>
        <v/>
      </c>
      <c r="L632" s="51" t="str">
        <f>IF(B632="","",IF(ISNA(VLOOKUP(A632,LongJump!F$5:G$302,2,FALSE)),"",VLOOKUP(A632,LongJump!F$5:G$302,2,FALSE)))</f>
        <v/>
      </c>
      <c r="M632" s="51">
        <f>IF(B632="",0,IF(ISNA(_xlfn.XLOOKUP(A632,LongJump!F$5:F$302,LongJump!M$5:M$302)),0,_xlfn.XLOOKUP(A632,LongJump!F$5:F$302,LongJump!M$5:M$302)))</f>
        <v>0</v>
      </c>
      <c r="N632" s="51">
        <f>IF(B632="",0,IF(ISNA(VLOOKUP(A632,LongJump!F$5:K$302,5,FALSE)),0,VLOOKUP(A632,LongJump!F$5:K$302,5,FALSE)))</f>
        <v>0</v>
      </c>
      <c r="O632" s="51" t="str">
        <f>IF(B632="","",IF(ISNA(VLOOKUP(A632,Vortex!F$5:J$302,2,FALSE)),"",VLOOKUP(A632,Vortex!F$5:J$302,2,FALSE)))</f>
        <v/>
      </c>
      <c r="P632" s="51">
        <f>IF(B632="",0,IF(ISNA(_xlfn.XLOOKUP(A632,Vortex!F$5:F$302,Vortex!M$5:M$302)),0,_xlfn.XLOOKUP(A632,Vortex!F$5:F$302,Vortex!M$5:M$302)))</f>
        <v>0</v>
      </c>
      <c r="Q632" s="51">
        <f t="shared" si="68"/>
        <v>0</v>
      </c>
      <c r="R632" s="51" t="str">
        <f t="shared" si="69"/>
        <v/>
      </c>
      <c r="S632" s="51" t="str">
        <f t="shared" si="70"/>
        <v/>
      </c>
      <c r="T632" s="51" t="str">
        <f t="shared" si="71"/>
        <v/>
      </c>
      <c r="U632" s="51" t="str">
        <f t="shared" si="72"/>
        <v/>
      </c>
    </row>
    <row r="633" spans="1:21">
      <c r="A633" s="51" t="str">
        <f>IF(Declarations!B261=0,"",Declarations!B261)</f>
        <v/>
      </c>
      <c r="B633" s="161" t="str">
        <f>IF(ISNA(VLOOKUP(A633,Declarations!B$6:C$293,2,FALSE)),"",IF(VLOOKUP(A633,Declarations!B$6:C$293,2,FALSE)="","",VLOOKUP(A633,Declarations!B$6:C$293,2,FALSE)))</f>
        <v/>
      </c>
      <c r="C633" s="161" t="str">
        <f>IF(ISNA(VLOOKUP(A633,Declarations!B$6:F$293,5,FALSE)),"",IF(VLOOKUP(A633,Declarations!B$6:F$293,5,FALSE)="","",VLOOKUP(A633,Declarations!B$6:F$293,5,FALSE)))</f>
        <v/>
      </c>
      <c r="D633" s="161" t="str">
        <f>IF(ISNA(VLOOKUP(A633,Declarations!B$6:F$293,4,FALSE)),"",IF(VLOOKUP(A633,Declarations!B$6:F$293,4,FALSE)="","",VLOOKUP(A633,Declarations!B$6:F$293,4,FALSE)))</f>
        <v/>
      </c>
      <c r="E633" s="161" t="str">
        <f>IF(ISNA(VLOOKUP(A633,Declarations!B$6:D$293,3,FALSE)),"",IF(VLOOKUP(A633,Declarations!B$6:D$293,3,FALSE)="","",VLOOKUP(A633,Declarations!B$6:D$293,3,FALSE)))</f>
        <v/>
      </c>
      <c r="F633" s="51" t="str">
        <f>IF(B633="","",IF(ISNA(VLOOKUP(A633,'75m'!F$5:G$302,2,FALSE)),"",VLOOKUP(A633,'75m'!F$5:G$302,2,FALSE)))</f>
        <v/>
      </c>
      <c r="G633" s="51">
        <f>IF(B633="",0,IF(ISNA(_xlfn.XLOOKUP(A633,'75m'!F$5:F$302,'75m'!M$5:M$302)),0,_xlfn.XLOOKUP(A633,'75m'!F$5:F$302,'75m'!M$5:M$302)))</f>
        <v>0</v>
      </c>
      <c r="H633" s="51" t="str">
        <f>IF(B633="","",IF(ISNA(VLOOKUP(A633,'75m'!F$5:K$302,5,FALSE)),"",VLOOKUP(A633,'75m'!F$5:K$302,5,FALSE)))</f>
        <v/>
      </c>
      <c r="I633" s="53">
        <f>IF(B633="",0,IF(ISNA(VLOOKUP(A633,'600m'!F$5:J$302,2,FALSE)),0,VLOOKUP(A633,'600m'!F$5:J$302,2,FALSE)))</f>
        <v>0</v>
      </c>
      <c r="J633" s="51">
        <f>IF(B633="",0,IF(ISNA(_xlfn.XLOOKUP(A633,'600m'!F$5:F$302,'600m'!M$5:M$302)),0,_xlfn.XLOOKUP(A633,'600m'!F$5:F$302,'600m'!M$5:M$302)))</f>
        <v>0</v>
      </c>
      <c r="K633" s="51" t="str">
        <f>IF(B633="","",IF(ISNA(VLOOKUP(A633,'600m'!F$5:K$302,5,FALSE)),"",VLOOKUP(A633,'600m'!F$5:K$302,5,FALSE)))</f>
        <v/>
      </c>
      <c r="L633" s="51" t="str">
        <f>IF(B633="","",IF(ISNA(VLOOKUP(A633,LongJump!F$5:G$302,2,FALSE)),"",VLOOKUP(A633,LongJump!F$5:G$302,2,FALSE)))</f>
        <v/>
      </c>
      <c r="M633" s="51">
        <f>IF(B633="",0,IF(ISNA(_xlfn.XLOOKUP(A633,LongJump!F$5:F$302,LongJump!M$5:M$302)),0,_xlfn.XLOOKUP(A633,LongJump!F$5:F$302,LongJump!M$5:M$302)))</f>
        <v>0</v>
      </c>
      <c r="N633" s="51">
        <f>IF(B633="",0,IF(ISNA(VLOOKUP(A633,LongJump!F$5:K$302,5,FALSE)),0,VLOOKUP(A633,LongJump!F$5:K$302,5,FALSE)))</f>
        <v>0</v>
      </c>
      <c r="O633" s="51" t="str">
        <f>IF(B633="","",IF(ISNA(VLOOKUP(A633,Vortex!F$5:J$302,2,FALSE)),"",VLOOKUP(A633,Vortex!F$5:J$302,2,FALSE)))</f>
        <v/>
      </c>
      <c r="P633" s="51">
        <f>IF(B633="",0,IF(ISNA(_xlfn.XLOOKUP(A633,Vortex!F$5:F$302,Vortex!M$5:M$302)),0,_xlfn.XLOOKUP(A633,Vortex!F$5:F$302,Vortex!M$5:M$302)))</f>
        <v>0</v>
      </c>
      <c r="Q633" s="51">
        <f t="shared" si="68"/>
        <v>0</v>
      </c>
      <c r="R633" s="51" t="str">
        <f t="shared" si="69"/>
        <v/>
      </c>
      <c r="S633" s="51" t="str">
        <f t="shared" si="70"/>
        <v/>
      </c>
      <c r="T633" s="51" t="str">
        <f t="shared" si="71"/>
        <v/>
      </c>
      <c r="U633" s="51" t="str">
        <f t="shared" si="72"/>
        <v/>
      </c>
    </row>
    <row r="634" spans="1:21">
      <c r="A634" s="51" t="str">
        <f>IF(Declarations!B262=0,"",Declarations!B262)</f>
        <v/>
      </c>
      <c r="B634" s="161" t="str">
        <f>IF(ISNA(VLOOKUP(A634,Declarations!B$6:C$293,2,FALSE)),"",IF(VLOOKUP(A634,Declarations!B$6:C$293,2,FALSE)="","",VLOOKUP(A634,Declarations!B$6:C$293,2,FALSE)))</f>
        <v/>
      </c>
      <c r="C634" s="161" t="str">
        <f>IF(ISNA(VLOOKUP(A634,Declarations!B$6:F$293,5,FALSE)),"",IF(VLOOKUP(A634,Declarations!B$6:F$293,5,FALSE)="","",VLOOKUP(A634,Declarations!B$6:F$293,5,FALSE)))</f>
        <v/>
      </c>
      <c r="D634" s="161" t="str">
        <f>IF(ISNA(VLOOKUP(A634,Declarations!B$6:F$293,4,FALSE)),"",IF(VLOOKUP(A634,Declarations!B$6:F$293,4,FALSE)="","",VLOOKUP(A634,Declarations!B$6:F$293,4,FALSE)))</f>
        <v/>
      </c>
      <c r="E634" s="161" t="str">
        <f>IF(ISNA(VLOOKUP(A634,Declarations!B$6:D$293,3,FALSE)),"",IF(VLOOKUP(A634,Declarations!B$6:D$293,3,FALSE)="","",VLOOKUP(A634,Declarations!B$6:D$293,3,FALSE)))</f>
        <v/>
      </c>
      <c r="F634" s="51" t="str">
        <f>IF(B634="","",IF(ISNA(VLOOKUP(A634,'75m'!F$5:G$302,2,FALSE)),"",VLOOKUP(A634,'75m'!F$5:G$302,2,FALSE)))</f>
        <v/>
      </c>
      <c r="G634" s="51">
        <f>IF(B634="",0,IF(ISNA(_xlfn.XLOOKUP(A634,'75m'!F$5:F$302,'75m'!M$5:M$302)),0,_xlfn.XLOOKUP(A634,'75m'!F$5:F$302,'75m'!M$5:M$302)))</f>
        <v>0</v>
      </c>
      <c r="H634" s="51" t="str">
        <f>IF(B634="","",IF(ISNA(VLOOKUP(A634,'75m'!F$5:K$302,5,FALSE)),"",VLOOKUP(A634,'75m'!F$5:K$302,5,FALSE)))</f>
        <v/>
      </c>
      <c r="I634" s="53">
        <f>IF(B634="",0,IF(ISNA(VLOOKUP(A634,'600m'!F$5:J$302,2,FALSE)),0,VLOOKUP(A634,'600m'!F$5:J$302,2,FALSE)))</f>
        <v>0</v>
      </c>
      <c r="J634" s="51">
        <f>IF(B634="",0,IF(ISNA(_xlfn.XLOOKUP(A634,'600m'!F$5:F$302,'600m'!M$5:M$302)),0,_xlfn.XLOOKUP(A634,'600m'!F$5:F$302,'600m'!M$5:M$302)))</f>
        <v>0</v>
      </c>
      <c r="K634" s="51" t="str">
        <f>IF(B634="","",IF(ISNA(VLOOKUP(A634,'600m'!F$5:K$302,5,FALSE)),"",VLOOKUP(A634,'600m'!F$5:K$302,5,FALSE)))</f>
        <v/>
      </c>
      <c r="L634" s="51" t="str">
        <f>IF(B634="","",IF(ISNA(VLOOKUP(A634,LongJump!F$5:G$302,2,FALSE)),"",VLOOKUP(A634,LongJump!F$5:G$302,2,FALSE)))</f>
        <v/>
      </c>
      <c r="M634" s="51">
        <f>IF(B634="",0,IF(ISNA(_xlfn.XLOOKUP(A634,LongJump!F$5:F$302,LongJump!M$5:M$302)),0,_xlfn.XLOOKUP(A634,LongJump!F$5:F$302,LongJump!M$5:M$302)))</f>
        <v>0</v>
      </c>
      <c r="N634" s="51">
        <f>IF(B634="",0,IF(ISNA(VLOOKUP(A634,LongJump!F$5:K$302,5,FALSE)),0,VLOOKUP(A634,LongJump!F$5:K$302,5,FALSE)))</f>
        <v>0</v>
      </c>
      <c r="O634" s="51" t="str">
        <f>IF(B634="","",IF(ISNA(VLOOKUP(A634,Vortex!F$5:J$302,2,FALSE)),"",VLOOKUP(A634,Vortex!F$5:J$302,2,FALSE)))</f>
        <v/>
      </c>
      <c r="P634" s="51">
        <f>IF(B634="",0,IF(ISNA(_xlfn.XLOOKUP(A634,Vortex!F$5:F$302,Vortex!M$5:M$302)),0,_xlfn.XLOOKUP(A634,Vortex!F$5:F$302,Vortex!M$5:M$302)))</f>
        <v>0</v>
      </c>
      <c r="Q634" s="51">
        <f t="shared" si="68"/>
        <v>0</v>
      </c>
      <c r="R634" s="51" t="str">
        <f t="shared" si="69"/>
        <v/>
      </c>
      <c r="S634" s="51" t="str">
        <f t="shared" si="70"/>
        <v/>
      </c>
      <c r="T634" s="51" t="str">
        <f t="shared" si="71"/>
        <v/>
      </c>
      <c r="U634" s="51" t="str">
        <f t="shared" si="72"/>
        <v/>
      </c>
    </row>
    <row r="635" spans="1:21">
      <c r="A635" s="51" t="str">
        <f>IF(Declarations!B263=0,"",Declarations!B263)</f>
        <v/>
      </c>
      <c r="B635" s="161" t="str">
        <f>IF(ISNA(VLOOKUP(A635,Declarations!B$6:C$293,2,FALSE)),"",IF(VLOOKUP(A635,Declarations!B$6:C$293,2,FALSE)="","",VLOOKUP(A635,Declarations!B$6:C$293,2,FALSE)))</f>
        <v/>
      </c>
      <c r="C635" s="161" t="str">
        <f>IF(ISNA(VLOOKUP(A635,Declarations!B$6:F$293,5,FALSE)),"",IF(VLOOKUP(A635,Declarations!B$6:F$293,5,FALSE)="","",VLOOKUP(A635,Declarations!B$6:F$293,5,FALSE)))</f>
        <v/>
      </c>
      <c r="D635" s="161" t="str">
        <f>IF(ISNA(VLOOKUP(A635,Declarations!B$6:F$293,4,FALSE)),"",IF(VLOOKUP(A635,Declarations!B$6:F$293,4,FALSE)="","",VLOOKUP(A635,Declarations!B$6:F$293,4,FALSE)))</f>
        <v/>
      </c>
      <c r="E635" s="161" t="str">
        <f>IF(ISNA(VLOOKUP(A635,Declarations!B$6:D$293,3,FALSE)),"",IF(VLOOKUP(A635,Declarations!B$6:D$293,3,FALSE)="","",VLOOKUP(A635,Declarations!B$6:D$293,3,FALSE)))</f>
        <v/>
      </c>
      <c r="F635" s="51" t="str">
        <f>IF(B635="","",IF(ISNA(VLOOKUP(A635,'75m'!F$5:G$302,2,FALSE)),"",VLOOKUP(A635,'75m'!F$5:G$302,2,FALSE)))</f>
        <v/>
      </c>
      <c r="G635" s="51">
        <f>IF(B635="",0,IF(ISNA(_xlfn.XLOOKUP(A635,'75m'!F$5:F$302,'75m'!M$5:M$302)),0,_xlfn.XLOOKUP(A635,'75m'!F$5:F$302,'75m'!M$5:M$302)))</f>
        <v>0</v>
      </c>
      <c r="H635" s="51" t="str">
        <f>IF(B635="","",IF(ISNA(VLOOKUP(A635,'75m'!F$5:K$302,5,FALSE)),"",VLOOKUP(A635,'75m'!F$5:K$302,5,FALSE)))</f>
        <v/>
      </c>
      <c r="I635" s="53">
        <f>IF(B635="",0,IF(ISNA(VLOOKUP(A635,'600m'!F$5:J$302,2,FALSE)),0,VLOOKUP(A635,'600m'!F$5:J$302,2,FALSE)))</f>
        <v>0</v>
      </c>
      <c r="J635" s="51">
        <f>IF(B635="",0,IF(ISNA(_xlfn.XLOOKUP(A635,'600m'!F$5:F$302,'600m'!M$5:M$302)),0,_xlfn.XLOOKUP(A635,'600m'!F$5:F$302,'600m'!M$5:M$302)))</f>
        <v>0</v>
      </c>
      <c r="K635" s="51" t="str">
        <f>IF(B635="","",IF(ISNA(VLOOKUP(A635,'600m'!F$5:K$302,5,FALSE)),"",VLOOKUP(A635,'600m'!F$5:K$302,5,FALSE)))</f>
        <v/>
      </c>
      <c r="L635" s="51" t="str">
        <f>IF(B635="","",IF(ISNA(VLOOKUP(A635,LongJump!F$5:G$302,2,FALSE)),"",VLOOKUP(A635,LongJump!F$5:G$302,2,FALSE)))</f>
        <v/>
      </c>
      <c r="M635" s="51">
        <f>IF(B635="",0,IF(ISNA(_xlfn.XLOOKUP(A635,LongJump!F$5:F$302,LongJump!M$5:M$302)),0,_xlfn.XLOOKUP(A635,LongJump!F$5:F$302,LongJump!M$5:M$302)))</f>
        <v>0</v>
      </c>
      <c r="N635" s="51">
        <f>IF(B635="",0,IF(ISNA(VLOOKUP(A635,LongJump!F$5:K$302,5,FALSE)),0,VLOOKUP(A635,LongJump!F$5:K$302,5,FALSE)))</f>
        <v>0</v>
      </c>
      <c r="O635" s="51" t="str">
        <f>IF(B635="","",IF(ISNA(VLOOKUP(A635,Vortex!F$5:J$302,2,FALSE)),"",VLOOKUP(A635,Vortex!F$5:J$302,2,FALSE)))</f>
        <v/>
      </c>
      <c r="P635" s="51">
        <f>IF(B635="",0,IF(ISNA(_xlfn.XLOOKUP(A635,Vortex!F$5:F$302,Vortex!M$5:M$302)),0,_xlfn.XLOOKUP(A635,Vortex!F$5:F$302,Vortex!M$5:M$302)))</f>
        <v>0</v>
      </c>
      <c r="Q635" s="51">
        <f t="shared" ref="Q635:Q665" si="73">G635+J635+M635+P635</f>
        <v>0</v>
      </c>
      <c r="R635" s="51" t="str">
        <f t="shared" ref="R635:R665" si="74">IF(OR($Q635=0,$E635&lt;&gt;"U10"),"",COUNTIFS($C$378:$C$665, $C635, $D$378:$D$665, $D635, $E$378:$E$665, $E635, $Q$378:$Q$665,"&gt;"&amp;$Q635)+1)</f>
        <v/>
      </c>
      <c r="S635" s="51" t="str">
        <f t="shared" ref="S635:S665" si="75">IF(OR($Q635=0,$E635&lt;&gt;"U12"),"",COUNTIFS($C$378:$C$665, $C635, $D$378:$D$665, $D635, $E$378:$E$665, $E635, $Q$378:$Q$665,"&gt;"&amp;$Q635)+1)</f>
        <v/>
      </c>
      <c r="T635" s="51" t="str">
        <f t="shared" ref="T635:T665" si="76">IF(OR($Q635=0,$E635&lt;&gt;"U10"),"",COUNTIFS($D$378:$D$665, $D635,$E$378:$E$665,$E635,$Q$378:$Q$665,"&gt;"&amp;$Q635)+1)</f>
        <v/>
      </c>
      <c r="U635" s="51" t="str">
        <f t="shared" ref="U635:U665" si="77">IF(OR($Q635=0,$E635&lt;&gt;"U12"),"",COUNTIFS($D$378:$D$665, $D635,$E$378:$E$665,$E635,$Q$378:$Q$665,"&gt;"&amp;$Q635)+1)</f>
        <v/>
      </c>
    </row>
    <row r="636" spans="1:21">
      <c r="A636" s="51" t="str">
        <f>IF(Declarations!B264=0,"",Declarations!B264)</f>
        <v/>
      </c>
      <c r="B636" s="161" t="str">
        <f>IF(ISNA(VLOOKUP(A636,Declarations!B$6:C$293,2,FALSE)),"",IF(VLOOKUP(A636,Declarations!B$6:C$293,2,FALSE)="","",VLOOKUP(A636,Declarations!B$6:C$293,2,FALSE)))</f>
        <v/>
      </c>
      <c r="C636" s="161" t="str">
        <f>IF(ISNA(VLOOKUP(A636,Declarations!B$6:F$293,5,FALSE)),"",IF(VLOOKUP(A636,Declarations!B$6:F$293,5,FALSE)="","",VLOOKUP(A636,Declarations!B$6:F$293,5,FALSE)))</f>
        <v/>
      </c>
      <c r="D636" s="161" t="str">
        <f>IF(ISNA(VLOOKUP(A636,Declarations!B$6:F$293,4,FALSE)),"",IF(VLOOKUP(A636,Declarations!B$6:F$293,4,FALSE)="","",VLOOKUP(A636,Declarations!B$6:F$293,4,FALSE)))</f>
        <v/>
      </c>
      <c r="E636" s="161" t="str">
        <f>IF(ISNA(VLOOKUP(A636,Declarations!B$6:D$293,3,FALSE)),"",IF(VLOOKUP(A636,Declarations!B$6:D$293,3,FALSE)="","",VLOOKUP(A636,Declarations!B$6:D$293,3,FALSE)))</f>
        <v/>
      </c>
      <c r="F636" s="51" t="str">
        <f>IF(B636="","",IF(ISNA(VLOOKUP(A636,'75m'!F$5:G$302,2,FALSE)),"",VLOOKUP(A636,'75m'!F$5:G$302,2,FALSE)))</f>
        <v/>
      </c>
      <c r="G636" s="51">
        <f>IF(B636="",0,IF(ISNA(_xlfn.XLOOKUP(A636,'75m'!F$5:F$302,'75m'!M$5:M$302)),0,_xlfn.XLOOKUP(A636,'75m'!F$5:F$302,'75m'!M$5:M$302)))</f>
        <v>0</v>
      </c>
      <c r="H636" s="51" t="str">
        <f>IF(B636="","",IF(ISNA(VLOOKUP(A636,'75m'!F$5:K$302,5,FALSE)),"",VLOOKUP(A636,'75m'!F$5:K$302,5,FALSE)))</f>
        <v/>
      </c>
      <c r="I636" s="53">
        <f>IF(B636="",0,IF(ISNA(VLOOKUP(A636,'600m'!F$5:J$302,2,FALSE)),0,VLOOKUP(A636,'600m'!F$5:J$302,2,FALSE)))</f>
        <v>0</v>
      </c>
      <c r="J636" s="51">
        <f>IF(B636="",0,IF(ISNA(_xlfn.XLOOKUP(A636,'600m'!F$5:F$302,'600m'!M$5:M$302)),0,_xlfn.XLOOKUP(A636,'600m'!F$5:F$302,'600m'!M$5:M$302)))</f>
        <v>0</v>
      </c>
      <c r="K636" s="51" t="str">
        <f>IF(B636="","",IF(ISNA(VLOOKUP(A636,'600m'!F$5:K$302,5,FALSE)),"",VLOOKUP(A636,'600m'!F$5:K$302,5,FALSE)))</f>
        <v/>
      </c>
      <c r="L636" s="51" t="str">
        <f>IF(B636="","",IF(ISNA(VLOOKUP(A636,LongJump!F$5:G$302,2,FALSE)),"",VLOOKUP(A636,LongJump!F$5:G$302,2,FALSE)))</f>
        <v/>
      </c>
      <c r="M636" s="51">
        <f>IF(B636="",0,IF(ISNA(_xlfn.XLOOKUP(A636,LongJump!F$5:F$302,LongJump!M$5:M$302)),0,_xlfn.XLOOKUP(A636,LongJump!F$5:F$302,LongJump!M$5:M$302)))</f>
        <v>0</v>
      </c>
      <c r="N636" s="51">
        <f>IF(B636="",0,IF(ISNA(VLOOKUP(A636,LongJump!F$5:K$302,5,FALSE)),0,VLOOKUP(A636,LongJump!F$5:K$302,5,FALSE)))</f>
        <v>0</v>
      </c>
      <c r="O636" s="51" t="str">
        <f>IF(B636="","",IF(ISNA(VLOOKUP(A636,Vortex!F$5:J$302,2,FALSE)),"",VLOOKUP(A636,Vortex!F$5:J$302,2,FALSE)))</f>
        <v/>
      </c>
      <c r="P636" s="51">
        <f>IF(B636="",0,IF(ISNA(_xlfn.XLOOKUP(A636,Vortex!F$5:F$302,Vortex!M$5:M$302)),0,_xlfn.XLOOKUP(A636,Vortex!F$5:F$302,Vortex!M$5:M$302)))</f>
        <v>0</v>
      </c>
      <c r="Q636" s="51">
        <f t="shared" si="73"/>
        <v>0</v>
      </c>
      <c r="R636" s="51" t="str">
        <f t="shared" si="74"/>
        <v/>
      </c>
      <c r="S636" s="51" t="str">
        <f t="shared" si="75"/>
        <v/>
      </c>
      <c r="T636" s="51" t="str">
        <f t="shared" si="76"/>
        <v/>
      </c>
      <c r="U636" s="51" t="str">
        <f t="shared" si="77"/>
        <v/>
      </c>
    </row>
    <row r="637" spans="1:21">
      <c r="A637" s="51" t="str">
        <f>IF(Declarations!B265=0,"",Declarations!B265)</f>
        <v/>
      </c>
      <c r="B637" s="161" t="str">
        <f>IF(ISNA(VLOOKUP(A637,Declarations!B$6:C$293,2,FALSE)),"",IF(VLOOKUP(A637,Declarations!B$6:C$293,2,FALSE)="","",VLOOKUP(A637,Declarations!B$6:C$293,2,FALSE)))</f>
        <v/>
      </c>
      <c r="C637" s="161" t="str">
        <f>IF(ISNA(VLOOKUP(A637,Declarations!B$6:F$293,5,FALSE)),"",IF(VLOOKUP(A637,Declarations!B$6:F$293,5,FALSE)="","",VLOOKUP(A637,Declarations!B$6:F$293,5,FALSE)))</f>
        <v/>
      </c>
      <c r="D637" s="161" t="str">
        <f>IF(ISNA(VLOOKUP(A637,Declarations!B$6:F$293,4,FALSE)),"",IF(VLOOKUP(A637,Declarations!B$6:F$293,4,FALSE)="","",VLOOKUP(A637,Declarations!B$6:F$293,4,FALSE)))</f>
        <v/>
      </c>
      <c r="E637" s="161" t="str">
        <f>IF(ISNA(VLOOKUP(A637,Declarations!B$6:D$293,3,FALSE)),"",IF(VLOOKUP(A637,Declarations!B$6:D$293,3,FALSE)="","",VLOOKUP(A637,Declarations!B$6:D$293,3,FALSE)))</f>
        <v/>
      </c>
      <c r="F637" s="51" t="str">
        <f>IF(B637="","",IF(ISNA(VLOOKUP(A637,'75m'!F$5:G$302,2,FALSE)),"",VLOOKUP(A637,'75m'!F$5:G$302,2,FALSE)))</f>
        <v/>
      </c>
      <c r="G637" s="51">
        <f>IF(B637="",0,IF(ISNA(_xlfn.XLOOKUP(A637,'75m'!F$5:F$302,'75m'!M$5:M$302)),0,_xlfn.XLOOKUP(A637,'75m'!F$5:F$302,'75m'!M$5:M$302)))</f>
        <v>0</v>
      </c>
      <c r="H637" s="51" t="str">
        <f>IF(B637="","",IF(ISNA(VLOOKUP(A637,'75m'!F$5:K$302,5,FALSE)),"",VLOOKUP(A637,'75m'!F$5:K$302,5,FALSE)))</f>
        <v/>
      </c>
      <c r="I637" s="53">
        <f>IF(B637="",0,IF(ISNA(VLOOKUP(A637,'600m'!F$5:J$302,2,FALSE)),0,VLOOKUP(A637,'600m'!F$5:J$302,2,FALSE)))</f>
        <v>0</v>
      </c>
      <c r="J637" s="51">
        <f>IF(B637="",0,IF(ISNA(_xlfn.XLOOKUP(A637,'600m'!F$5:F$302,'600m'!M$5:M$302)),0,_xlfn.XLOOKUP(A637,'600m'!F$5:F$302,'600m'!M$5:M$302)))</f>
        <v>0</v>
      </c>
      <c r="K637" s="51" t="str">
        <f>IF(B637="","",IF(ISNA(VLOOKUP(A637,'600m'!F$5:K$302,5,FALSE)),"",VLOOKUP(A637,'600m'!F$5:K$302,5,FALSE)))</f>
        <v/>
      </c>
      <c r="L637" s="51" t="str">
        <f>IF(B637="","",IF(ISNA(VLOOKUP(A637,LongJump!F$5:G$302,2,FALSE)),"",VLOOKUP(A637,LongJump!F$5:G$302,2,FALSE)))</f>
        <v/>
      </c>
      <c r="M637" s="51">
        <f>IF(B637="",0,IF(ISNA(_xlfn.XLOOKUP(A637,LongJump!F$5:F$302,LongJump!M$5:M$302)),0,_xlfn.XLOOKUP(A637,LongJump!F$5:F$302,LongJump!M$5:M$302)))</f>
        <v>0</v>
      </c>
      <c r="N637" s="51">
        <f>IF(B637="",0,IF(ISNA(VLOOKUP(A637,LongJump!F$5:K$302,5,FALSE)),0,VLOOKUP(A637,LongJump!F$5:K$302,5,FALSE)))</f>
        <v>0</v>
      </c>
      <c r="O637" s="51" t="str">
        <f>IF(B637="","",IF(ISNA(VLOOKUP(A637,Vortex!F$5:J$302,2,FALSE)),"",VLOOKUP(A637,Vortex!F$5:J$302,2,FALSE)))</f>
        <v/>
      </c>
      <c r="P637" s="51">
        <f>IF(B637="",0,IF(ISNA(_xlfn.XLOOKUP(A637,Vortex!F$5:F$302,Vortex!M$5:M$302)),0,_xlfn.XLOOKUP(A637,Vortex!F$5:F$302,Vortex!M$5:M$302)))</f>
        <v>0</v>
      </c>
      <c r="Q637" s="51">
        <f t="shared" si="73"/>
        <v>0</v>
      </c>
      <c r="R637" s="51" t="str">
        <f t="shared" si="74"/>
        <v/>
      </c>
      <c r="S637" s="51" t="str">
        <f t="shared" si="75"/>
        <v/>
      </c>
      <c r="T637" s="51" t="str">
        <f t="shared" si="76"/>
        <v/>
      </c>
      <c r="U637" s="51" t="str">
        <f t="shared" si="77"/>
        <v/>
      </c>
    </row>
    <row r="638" spans="1:21">
      <c r="A638" s="51" t="str">
        <f>IF(Declarations!B266=0,"",Declarations!B266)</f>
        <v/>
      </c>
      <c r="B638" s="161" t="str">
        <f>IF(ISNA(VLOOKUP(A638,Declarations!B$6:C$293,2,FALSE)),"",IF(VLOOKUP(A638,Declarations!B$6:C$293,2,FALSE)="","",VLOOKUP(A638,Declarations!B$6:C$293,2,FALSE)))</f>
        <v/>
      </c>
      <c r="C638" s="161" t="str">
        <f>IF(ISNA(VLOOKUP(A638,Declarations!B$6:F$293,5,FALSE)),"",IF(VLOOKUP(A638,Declarations!B$6:F$293,5,FALSE)="","",VLOOKUP(A638,Declarations!B$6:F$293,5,FALSE)))</f>
        <v/>
      </c>
      <c r="D638" s="161" t="str">
        <f>IF(ISNA(VLOOKUP(A638,Declarations!B$6:F$293,4,FALSE)),"",IF(VLOOKUP(A638,Declarations!B$6:F$293,4,FALSE)="","",VLOOKUP(A638,Declarations!B$6:F$293,4,FALSE)))</f>
        <v/>
      </c>
      <c r="E638" s="161" t="str">
        <f>IF(ISNA(VLOOKUP(A638,Declarations!B$6:D$293,3,FALSE)),"",IF(VLOOKUP(A638,Declarations!B$6:D$293,3,FALSE)="","",VLOOKUP(A638,Declarations!B$6:D$293,3,FALSE)))</f>
        <v/>
      </c>
      <c r="F638" s="51" t="str">
        <f>IF(B638="","",IF(ISNA(VLOOKUP(A638,'75m'!F$5:G$302,2,FALSE)),"",VLOOKUP(A638,'75m'!F$5:G$302,2,FALSE)))</f>
        <v/>
      </c>
      <c r="G638" s="51">
        <f>IF(B638="",0,IF(ISNA(_xlfn.XLOOKUP(A638,'75m'!F$5:F$302,'75m'!M$5:M$302)),0,_xlfn.XLOOKUP(A638,'75m'!F$5:F$302,'75m'!M$5:M$302)))</f>
        <v>0</v>
      </c>
      <c r="H638" s="51" t="str">
        <f>IF(B638="","",IF(ISNA(VLOOKUP(A638,'75m'!F$5:K$302,5,FALSE)),"",VLOOKUP(A638,'75m'!F$5:K$302,5,FALSE)))</f>
        <v/>
      </c>
      <c r="I638" s="53">
        <f>IF(B638="",0,IF(ISNA(VLOOKUP(A638,'600m'!F$5:J$302,2,FALSE)),0,VLOOKUP(A638,'600m'!F$5:J$302,2,FALSE)))</f>
        <v>0</v>
      </c>
      <c r="J638" s="51">
        <f>IF(B638="",0,IF(ISNA(_xlfn.XLOOKUP(A638,'600m'!F$5:F$302,'600m'!M$5:M$302)),0,_xlfn.XLOOKUP(A638,'600m'!F$5:F$302,'600m'!M$5:M$302)))</f>
        <v>0</v>
      </c>
      <c r="K638" s="51" t="str">
        <f>IF(B638="","",IF(ISNA(VLOOKUP(A638,'600m'!F$5:K$302,5,FALSE)),"",VLOOKUP(A638,'600m'!F$5:K$302,5,FALSE)))</f>
        <v/>
      </c>
      <c r="L638" s="51" t="str">
        <f>IF(B638="","",IF(ISNA(VLOOKUP(A638,LongJump!F$5:G$302,2,FALSE)),"",VLOOKUP(A638,LongJump!F$5:G$302,2,FALSE)))</f>
        <v/>
      </c>
      <c r="M638" s="51">
        <f>IF(B638="",0,IF(ISNA(_xlfn.XLOOKUP(A638,LongJump!F$5:F$302,LongJump!M$5:M$302)),0,_xlfn.XLOOKUP(A638,LongJump!F$5:F$302,LongJump!M$5:M$302)))</f>
        <v>0</v>
      </c>
      <c r="N638" s="51">
        <f>IF(B638="",0,IF(ISNA(VLOOKUP(A638,LongJump!F$5:K$302,5,FALSE)),0,VLOOKUP(A638,LongJump!F$5:K$302,5,FALSE)))</f>
        <v>0</v>
      </c>
      <c r="O638" s="51" t="str">
        <f>IF(B638="","",IF(ISNA(VLOOKUP(A638,Vortex!F$5:J$302,2,FALSE)),"",VLOOKUP(A638,Vortex!F$5:J$302,2,FALSE)))</f>
        <v/>
      </c>
      <c r="P638" s="51">
        <f>IF(B638="",0,IF(ISNA(_xlfn.XLOOKUP(A638,Vortex!F$5:F$302,Vortex!M$5:M$302)),0,_xlfn.XLOOKUP(A638,Vortex!F$5:F$302,Vortex!M$5:M$302)))</f>
        <v>0</v>
      </c>
      <c r="Q638" s="51">
        <f t="shared" si="73"/>
        <v>0</v>
      </c>
      <c r="R638" s="51" t="str">
        <f t="shared" si="74"/>
        <v/>
      </c>
      <c r="S638" s="51" t="str">
        <f t="shared" si="75"/>
        <v/>
      </c>
      <c r="T638" s="51" t="str">
        <f t="shared" si="76"/>
        <v/>
      </c>
      <c r="U638" s="51" t="str">
        <f t="shared" si="77"/>
        <v/>
      </c>
    </row>
    <row r="639" spans="1:21">
      <c r="A639" s="51" t="str">
        <f>IF(Declarations!B267=0,"",Declarations!B267)</f>
        <v/>
      </c>
      <c r="B639" s="161" t="str">
        <f>IF(ISNA(VLOOKUP(A639,Declarations!B$6:C$293,2,FALSE)),"",IF(VLOOKUP(A639,Declarations!B$6:C$293,2,FALSE)="","",VLOOKUP(A639,Declarations!B$6:C$293,2,FALSE)))</f>
        <v/>
      </c>
      <c r="C639" s="161" t="str">
        <f>IF(ISNA(VLOOKUP(A639,Declarations!B$6:F$293,5,FALSE)),"",IF(VLOOKUP(A639,Declarations!B$6:F$293,5,FALSE)="","",VLOOKUP(A639,Declarations!B$6:F$293,5,FALSE)))</f>
        <v/>
      </c>
      <c r="D639" s="161" t="str">
        <f>IF(ISNA(VLOOKUP(A639,Declarations!B$6:F$293,4,FALSE)),"",IF(VLOOKUP(A639,Declarations!B$6:F$293,4,FALSE)="","",VLOOKUP(A639,Declarations!B$6:F$293,4,FALSE)))</f>
        <v/>
      </c>
      <c r="E639" s="161" t="str">
        <f>IF(ISNA(VLOOKUP(A639,Declarations!B$6:D$293,3,FALSE)),"",IF(VLOOKUP(A639,Declarations!B$6:D$293,3,FALSE)="","",VLOOKUP(A639,Declarations!B$6:D$293,3,FALSE)))</f>
        <v/>
      </c>
      <c r="F639" s="51" t="str">
        <f>IF(B639="","",IF(ISNA(VLOOKUP(A639,'75m'!F$5:G$302,2,FALSE)),"",VLOOKUP(A639,'75m'!F$5:G$302,2,FALSE)))</f>
        <v/>
      </c>
      <c r="G639" s="51">
        <f>IF(B639="",0,IF(ISNA(_xlfn.XLOOKUP(A639,'75m'!F$5:F$302,'75m'!M$5:M$302)),0,_xlfn.XLOOKUP(A639,'75m'!F$5:F$302,'75m'!M$5:M$302)))</f>
        <v>0</v>
      </c>
      <c r="H639" s="51" t="str">
        <f>IF(B639="","",IF(ISNA(VLOOKUP(A639,'75m'!F$5:K$302,5,FALSE)),"",VLOOKUP(A639,'75m'!F$5:K$302,5,FALSE)))</f>
        <v/>
      </c>
      <c r="I639" s="53">
        <f>IF(B639="",0,IF(ISNA(VLOOKUP(A639,'600m'!F$5:J$302,2,FALSE)),0,VLOOKUP(A639,'600m'!F$5:J$302,2,FALSE)))</f>
        <v>0</v>
      </c>
      <c r="J639" s="51">
        <f>IF(B639="",0,IF(ISNA(_xlfn.XLOOKUP(A639,'600m'!F$5:F$302,'600m'!M$5:M$302)),0,_xlfn.XLOOKUP(A639,'600m'!F$5:F$302,'600m'!M$5:M$302)))</f>
        <v>0</v>
      </c>
      <c r="K639" s="51" t="str">
        <f>IF(B639="","",IF(ISNA(VLOOKUP(A639,'600m'!F$5:K$302,5,FALSE)),"",VLOOKUP(A639,'600m'!F$5:K$302,5,FALSE)))</f>
        <v/>
      </c>
      <c r="L639" s="51" t="str">
        <f>IF(B639="","",IF(ISNA(VLOOKUP(A639,LongJump!F$5:G$302,2,FALSE)),"",VLOOKUP(A639,LongJump!F$5:G$302,2,FALSE)))</f>
        <v/>
      </c>
      <c r="M639" s="51">
        <f>IF(B639="",0,IF(ISNA(_xlfn.XLOOKUP(A639,LongJump!F$5:F$302,LongJump!M$5:M$302)),0,_xlfn.XLOOKUP(A639,LongJump!F$5:F$302,LongJump!M$5:M$302)))</f>
        <v>0</v>
      </c>
      <c r="N639" s="51">
        <f>IF(B639="",0,IF(ISNA(VLOOKUP(A639,LongJump!F$5:K$302,5,FALSE)),0,VLOOKUP(A639,LongJump!F$5:K$302,5,FALSE)))</f>
        <v>0</v>
      </c>
      <c r="O639" s="51" t="str">
        <f>IF(B639="","",IF(ISNA(VLOOKUP(A639,Vortex!F$5:J$302,2,FALSE)),"",VLOOKUP(A639,Vortex!F$5:J$302,2,FALSE)))</f>
        <v/>
      </c>
      <c r="P639" s="51">
        <f>IF(B639="",0,IF(ISNA(_xlfn.XLOOKUP(A639,Vortex!F$5:F$302,Vortex!M$5:M$302)),0,_xlfn.XLOOKUP(A639,Vortex!F$5:F$302,Vortex!M$5:M$302)))</f>
        <v>0</v>
      </c>
      <c r="Q639" s="51">
        <f t="shared" si="73"/>
        <v>0</v>
      </c>
      <c r="R639" s="51" t="str">
        <f t="shared" si="74"/>
        <v/>
      </c>
      <c r="S639" s="51" t="str">
        <f t="shared" si="75"/>
        <v/>
      </c>
      <c r="T639" s="51" t="str">
        <f t="shared" si="76"/>
        <v/>
      </c>
      <c r="U639" s="51" t="str">
        <f t="shared" si="77"/>
        <v/>
      </c>
    </row>
    <row r="640" spans="1:21">
      <c r="A640" s="51" t="str">
        <f>IF(Declarations!B268=0,"",Declarations!B268)</f>
        <v/>
      </c>
      <c r="B640" s="161" t="str">
        <f>IF(ISNA(VLOOKUP(A640,Declarations!B$6:C$293,2,FALSE)),"",IF(VLOOKUP(A640,Declarations!B$6:C$293,2,FALSE)="","",VLOOKUP(A640,Declarations!B$6:C$293,2,FALSE)))</f>
        <v/>
      </c>
      <c r="C640" s="161" t="str">
        <f>IF(ISNA(VLOOKUP(A640,Declarations!B$6:F$293,5,FALSE)),"",IF(VLOOKUP(A640,Declarations!B$6:F$293,5,FALSE)="","",VLOOKUP(A640,Declarations!B$6:F$293,5,FALSE)))</f>
        <v/>
      </c>
      <c r="D640" s="161" t="str">
        <f>IF(ISNA(VLOOKUP(A640,Declarations!B$6:F$293,4,FALSE)),"",IF(VLOOKUP(A640,Declarations!B$6:F$293,4,FALSE)="","",VLOOKUP(A640,Declarations!B$6:F$293,4,FALSE)))</f>
        <v/>
      </c>
      <c r="E640" s="161" t="str">
        <f>IF(ISNA(VLOOKUP(A640,Declarations!B$6:D$293,3,FALSE)),"",IF(VLOOKUP(A640,Declarations!B$6:D$293,3,FALSE)="","",VLOOKUP(A640,Declarations!B$6:D$293,3,FALSE)))</f>
        <v/>
      </c>
      <c r="F640" s="51" t="str">
        <f>IF(B640="","",IF(ISNA(VLOOKUP(A640,'75m'!F$5:G$302,2,FALSE)),"",VLOOKUP(A640,'75m'!F$5:G$302,2,FALSE)))</f>
        <v/>
      </c>
      <c r="G640" s="51">
        <f>IF(B640="",0,IF(ISNA(_xlfn.XLOOKUP(A640,'75m'!F$5:F$302,'75m'!M$5:M$302)),0,_xlfn.XLOOKUP(A640,'75m'!F$5:F$302,'75m'!M$5:M$302)))</f>
        <v>0</v>
      </c>
      <c r="H640" s="51" t="str">
        <f>IF(B640="","",IF(ISNA(VLOOKUP(A640,'75m'!F$5:K$302,5,FALSE)),"",VLOOKUP(A640,'75m'!F$5:K$302,5,FALSE)))</f>
        <v/>
      </c>
      <c r="I640" s="53">
        <f>IF(B640="",0,IF(ISNA(VLOOKUP(A640,'600m'!F$5:J$302,2,FALSE)),0,VLOOKUP(A640,'600m'!F$5:J$302,2,FALSE)))</f>
        <v>0</v>
      </c>
      <c r="J640" s="51">
        <f>IF(B640="",0,IF(ISNA(_xlfn.XLOOKUP(A640,'600m'!F$5:F$302,'600m'!M$5:M$302)),0,_xlfn.XLOOKUP(A640,'600m'!F$5:F$302,'600m'!M$5:M$302)))</f>
        <v>0</v>
      </c>
      <c r="K640" s="51" t="str">
        <f>IF(B640="","",IF(ISNA(VLOOKUP(A640,'600m'!F$5:K$302,5,FALSE)),"",VLOOKUP(A640,'600m'!F$5:K$302,5,FALSE)))</f>
        <v/>
      </c>
      <c r="L640" s="51" t="str">
        <f>IF(B640="","",IF(ISNA(VLOOKUP(A640,LongJump!F$5:G$302,2,FALSE)),"",VLOOKUP(A640,LongJump!F$5:G$302,2,FALSE)))</f>
        <v/>
      </c>
      <c r="M640" s="51">
        <f>IF(B640="",0,IF(ISNA(_xlfn.XLOOKUP(A640,LongJump!F$5:F$302,LongJump!M$5:M$302)),0,_xlfn.XLOOKUP(A640,LongJump!F$5:F$302,LongJump!M$5:M$302)))</f>
        <v>0</v>
      </c>
      <c r="N640" s="51">
        <f>IF(B640="",0,IF(ISNA(VLOOKUP(A640,LongJump!F$5:K$302,5,FALSE)),0,VLOOKUP(A640,LongJump!F$5:K$302,5,FALSE)))</f>
        <v>0</v>
      </c>
      <c r="O640" s="51" t="str">
        <f>IF(B640="","",IF(ISNA(VLOOKUP(A640,Vortex!F$5:J$302,2,FALSE)),"",VLOOKUP(A640,Vortex!F$5:J$302,2,FALSE)))</f>
        <v/>
      </c>
      <c r="P640" s="51">
        <f>IF(B640="",0,IF(ISNA(_xlfn.XLOOKUP(A640,Vortex!F$5:F$302,Vortex!M$5:M$302)),0,_xlfn.XLOOKUP(A640,Vortex!F$5:F$302,Vortex!M$5:M$302)))</f>
        <v>0</v>
      </c>
      <c r="Q640" s="51">
        <f t="shared" si="73"/>
        <v>0</v>
      </c>
      <c r="R640" s="51" t="str">
        <f t="shared" si="74"/>
        <v/>
      </c>
      <c r="S640" s="51" t="str">
        <f t="shared" si="75"/>
        <v/>
      </c>
      <c r="T640" s="51" t="str">
        <f t="shared" si="76"/>
        <v/>
      </c>
      <c r="U640" s="51" t="str">
        <f t="shared" si="77"/>
        <v/>
      </c>
    </row>
    <row r="641" spans="1:21">
      <c r="A641" s="51" t="str">
        <f>IF(Declarations!B269=0,"",Declarations!B269)</f>
        <v/>
      </c>
      <c r="B641" s="161" t="str">
        <f>IF(ISNA(VLOOKUP(A641,Declarations!B$6:C$293,2,FALSE)),"",IF(VLOOKUP(A641,Declarations!B$6:C$293,2,FALSE)="","",VLOOKUP(A641,Declarations!B$6:C$293,2,FALSE)))</f>
        <v/>
      </c>
      <c r="C641" s="161" t="str">
        <f>IF(ISNA(VLOOKUP(A641,Declarations!B$6:F$293,5,FALSE)),"",IF(VLOOKUP(A641,Declarations!B$6:F$293,5,FALSE)="","",VLOOKUP(A641,Declarations!B$6:F$293,5,FALSE)))</f>
        <v/>
      </c>
      <c r="D641" s="161" t="str">
        <f>IF(ISNA(VLOOKUP(A641,Declarations!B$6:F$293,4,FALSE)),"",IF(VLOOKUP(A641,Declarations!B$6:F$293,4,FALSE)="","",VLOOKUP(A641,Declarations!B$6:F$293,4,FALSE)))</f>
        <v/>
      </c>
      <c r="E641" s="161" t="str">
        <f>IF(ISNA(VLOOKUP(A641,Declarations!B$6:D$293,3,FALSE)),"",IF(VLOOKUP(A641,Declarations!B$6:D$293,3,FALSE)="","",VLOOKUP(A641,Declarations!B$6:D$293,3,FALSE)))</f>
        <v/>
      </c>
      <c r="F641" s="51" t="str">
        <f>IF(B641="","",IF(ISNA(VLOOKUP(A641,'75m'!F$5:G$302,2,FALSE)),"",VLOOKUP(A641,'75m'!F$5:G$302,2,FALSE)))</f>
        <v/>
      </c>
      <c r="G641" s="51">
        <f>IF(B641="",0,IF(ISNA(_xlfn.XLOOKUP(A641,'75m'!F$5:F$302,'75m'!M$5:M$302)),0,_xlfn.XLOOKUP(A641,'75m'!F$5:F$302,'75m'!M$5:M$302)))</f>
        <v>0</v>
      </c>
      <c r="H641" s="51" t="str">
        <f>IF(B641="","",IF(ISNA(VLOOKUP(A641,'75m'!F$5:K$302,5,FALSE)),"",VLOOKUP(A641,'75m'!F$5:K$302,5,FALSE)))</f>
        <v/>
      </c>
      <c r="I641" s="53">
        <f>IF(B641="",0,IF(ISNA(VLOOKUP(A641,'600m'!F$5:J$302,2,FALSE)),0,VLOOKUP(A641,'600m'!F$5:J$302,2,FALSE)))</f>
        <v>0</v>
      </c>
      <c r="J641" s="51">
        <f>IF(B641="",0,IF(ISNA(_xlfn.XLOOKUP(A641,'600m'!F$5:F$302,'600m'!M$5:M$302)),0,_xlfn.XLOOKUP(A641,'600m'!F$5:F$302,'600m'!M$5:M$302)))</f>
        <v>0</v>
      </c>
      <c r="K641" s="51" t="str">
        <f>IF(B641="","",IF(ISNA(VLOOKUP(A641,'600m'!F$5:K$302,5,FALSE)),"",VLOOKUP(A641,'600m'!F$5:K$302,5,FALSE)))</f>
        <v/>
      </c>
      <c r="L641" s="51" t="str">
        <f>IF(B641="","",IF(ISNA(VLOOKUP(A641,LongJump!F$5:G$302,2,FALSE)),"",VLOOKUP(A641,LongJump!F$5:G$302,2,FALSE)))</f>
        <v/>
      </c>
      <c r="M641" s="51">
        <f>IF(B641="",0,IF(ISNA(_xlfn.XLOOKUP(A641,LongJump!F$5:F$302,LongJump!M$5:M$302)),0,_xlfn.XLOOKUP(A641,LongJump!F$5:F$302,LongJump!M$5:M$302)))</f>
        <v>0</v>
      </c>
      <c r="N641" s="51">
        <f>IF(B641="",0,IF(ISNA(VLOOKUP(A641,LongJump!F$5:K$302,5,FALSE)),0,VLOOKUP(A641,LongJump!F$5:K$302,5,FALSE)))</f>
        <v>0</v>
      </c>
      <c r="O641" s="51" t="str">
        <f>IF(B641="","",IF(ISNA(VLOOKUP(A641,Vortex!F$5:J$302,2,FALSE)),"",VLOOKUP(A641,Vortex!F$5:J$302,2,FALSE)))</f>
        <v/>
      </c>
      <c r="P641" s="51">
        <f>IF(B641="",0,IF(ISNA(_xlfn.XLOOKUP(A641,Vortex!F$5:F$302,Vortex!M$5:M$302)),0,_xlfn.XLOOKUP(A641,Vortex!F$5:F$302,Vortex!M$5:M$302)))</f>
        <v>0</v>
      </c>
      <c r="Q641" s="51">
        <f t="shared" si="73"/>
        <v>0</v>
      </c>
      <c r="R641" s="51" t="str">
        <f t="shared" si="74"/>
        <v/>
      </c>
      <c r="S641" s="51" t="str">
        <f t="shared" si="75"/>
        <v/>
      </c>
      <c r="T641" s="51" t="str">
        <f t="shared" si="76"/>
        <v/>
      </c>
      <c r="U641" s="51" t="str">
        <f t="shared" si="77"/>
        <v/>
      </c>
    </row>
    <row r="642" spans="1:21">
      <c r="A642" s="51" t="str">
        <f>IF(Declarations!B270=0,"",Declarations!B270)</f>
        <v/>
      </c>
      <c r="B642" s="161" t="str">
        <f>IF(ISNA(VLOOKUP(A642,Declarations!B$6:C$293,2,FALSE)),"",IF(VLOOKUP(A642,Declarations!B$6:C$293,2,FALSE)="","",VLOOKUP(A642,Declarations!B$6:C$293,2,FALSE)))</f>
        <v/>
      </c>
      <c r="C642" s="161" t="str">
        <f>IF(ISNA(VLOOKUP(A642,Declarations!B$6:F$293,5,FALSE)),"",IF(VLOOKUP(A642,Declarations!B$6:F$293,5,FALSE)="","",VLOOKUP(A642,Declarations!B$6:F$293,5,FALSE)))</f>
        <v/>
      </c>
      <c r="D642" s="161" t="str">
        <f>IF(ISNA(VLOOKUP(A642,Declarations!B$6:F$293,4,FALSE)),"",IF(VLOOKUP(A642,Declarations!B$6:F$293,4,FALSE)="","",VLOOKUP(A642,Declarations!B$6:F$293,4,FALSE)))</f>
        <v/>
      </c>
      <c r="E642" s="161" t="str">
        <f>IF(ISNA(VLOOKUP(A642,Declarations!B$6:D$293,3,FALSE)),"",IF(VLOOKUP(A642,Declarations!B$6:D$293,3,FALSE)="","",VLOOKUP(A642,Declarations!B$6:D$293,3,FALSE)))</f>
        <v/>
      </c>
      <c r="F642" s="51" t="str">
        <f>IF(B642="","",IF(ISNA(VLOOKUP(A642,'75m'!F$5:G$302,2,FALSE)),"",VLOOKUP(A642,'75m'!F$5:G$302,2,FALSE)))</f>
        <v/>
      </c>
      <c r="G642" s="51">
        <f>IF(B642="",0,IF(ISNA(_xlfn.XLOOKUP(A642,'75m'!F$5:F$302,'75m'!M$5:M$302)),0,_xlfn.XLOOKUP(A642,'75m'!F$5:F$302,'75m'!M$5:M$302)))</f>
        <v>0</v>
      </c>
      <c r="H642" s="51" t="str">
        <f>IF(B642="","",IF(ISNA(VLOOKUP(A642,'75m'!F$5:K$302,5,FALSE)),"",VLOOKUP(A642,'75m'!F$5:K$302,5,FALSE)))</f>
        <v/>
      </c>
      <c r="I642" s="53">
        <f>IF(B642="",0,IF(ISNA(VLOOKUP(A642,'600m'!F$5:J$302,2,FALSE)),0,VLOOKUP(A642,'600m'!F$5:J$302,2,FALSE)))</f>
        <v>0</v>
      </c>
      <c r="J642" s="51">
        <f>IF(B642="",0,IF(ISNA(_xlfn.XLOOKUP(A642,'600m'!F$5:F$302,'600m'!M$5:M$302)),0,_xlfn.XLOOKUP(A642,'600m'!F$5:F$302,'600m'!M$5:M$302)))</f>
        <v>0</v>
      </c>
      <c r="K642" s="51" t="str">
        <f>IF(B642="","",IF(ISNA(VLOOKUP(A642,'600m'!F$5:K$302,5,FALSE)),"",VLOOKUP(A642,'600m'!F$5:K$302,5,FALSE)))</f>
        <v/>
      </c>
      <c r="L642" s="51" t="str">
        <f>IF(B642="","",IF(ISNA(VLOOKUP(A642,LongJump!F$5:G$302,2,FALSE)),"",VLOOKUP(A642,LongJump!F$5:G$302,2,FALSE)))</f>
        <v/>
      </c>
      <c r="M642" s="51">
        <f>IF(B642="",0,IF(ISNA(_xlfn.XLOOKUP(A642,LongJump!F$5:F$302,LongJump!M$5:M$302)),0,_xlfn.XLOOKUP(A642,LongJump!F$5:F$302,LongJump!M$5:M$302)))</f>
        <v>0</v>
      </c>
      <c r="N642" s="51">
        <f>IF(B642="",0,IF(ISNA(VLOOKUP(A642,LongJump!F$5:K$302,5,FALSE)),0,VLOOKUP(A642,LongJump!F$5:K$302,5,FALSE)))</f>
        <v>0</v>
      </c>
      <c r="O642" s="51" t="str">
        <f>IF(B642="","",IF(ISNA(VLOOKUP(A642,Vortex!F$5:J$302,2,FALSE)),"",VLOOKUP(A642,Vortex!F$5:J$302,2,FALSE)))</f>
        <v/>
      </c>
      <c r="P642" s="51">
        <f>IF(B642="",0,IF(ISNA(_xlfn.XLOOKUP(A642,Vortex!F$5:F$302,Vortex!M$5:M$302)),0,_xlfn.XLOOKUP(A642,Vortex!F$5:F$302,Vortex!M$5:M$302)))</f>
        <v>0</v>
      </c>
      <c r="Q642" s="51">
        <f t="shared" si="73"/>
        <v>0</v>
      </c>
      <c r="R642" s="51" t="str">
        <f t="shared" si="74"/>
        <v/>
      </c>
      <c r="S642" s="51" t="str">
        <f t="shared" si="75"/>
        <v/>
      </c>
      <c r="T642" s="51" t="str">
        <f t="shared" si="76"/>
        <v/>
      </c>
      <c r="U642" s="51" t="str">
        <f t="shared" si="77"/>
        <v/>
      </c>
    </row>
    <row r="643" spans="1:21">
      <c r="A643" s="51" t="str">
        <f>IF(Declarations!B271=0,"",Declarations!B271)</f>
        <v/>
      </c>
      <c r="B643" s="161" t="str">
        <f>IF(ISNA(VLOOKUP(A643,Declarations!B$6:C$293,2,FALSE)),"",IF(VLOOKUP(A643,Declarations!B$6:C$293,2,FALSE)="","",VLOOKUP(A643,Declarations!B$6:C$293,2,FALSE)))</f>
        <v/>
      </c>
      <c r="C643" s="161" t="str">
        <f>IF(ISNA(VLOOKUP(A643,Declarations!B$6:F$293,5,FALSE)),"",IF(VLOOKUP(A643,Declarations!B$6:F$293,5,FALSE)="","",VLOOKUP(A643,Declarations!B$6:F$293,5,FALSE)))</f>
        <v/>
      </c>
      <c r="D643" s="161" t="str">
        <f>IF(ISNA(VLOOKUP(A643,Declarations!B$6:F$293,4,FALSE)),"",IF(VLOOKUP(A643,Declarations!B$6:F$293,4,FALSE)="","",VLOOKUP(A643,Declarations!B$6:F$293,4,FALSE)))</f>
        <v/>
      </c>
      <c r="E643" s="161" t="str">
        <f>IF(ISNA(VLOOKUP(A643,Declarations!B$6:D$293,3,FALSE)),"",IF(VLOOKUP(A643,Declarations!B$6:D$293,3,FALSE)="","",VLOOKUP(A643,Declarations!B$6:D$293,3,FALSE)))</f>
        <v/>
      </c>
      <c r="F643" s="51" t="str">
        <f>IF(B643="","",IF(ISNA(VLOOKUP(A643,'75m'!F$5:G$302,2,FALSE)),"",VLOOKUP(A643,'75m'!F$5:G$302,2,FALSE)))</f>
        <v/>
      </c>
      <c r="G643" s="51">
        <f>IF(B643="",0,IF(ISNA(_xlfn.XLOOKUP(A643,'75m'!F$5:F$302,'75m'!M$5:M$302)),0,_xlfn.XLOOKUP(A643,'75m'!F$5:F$302,'75m'!M$5:M$302)))</f>
        <v>0</v>
      </c>
      <c r="H643" s="51" t="str">
        <f>IF(B643="","",IF(ISNA(VLOOKUP(A643,'75m'!F$5:K$302,5,FALSE)),"",VLOOKUP(A643,'75m'!F$5:K$302,5,FALSE)))</f>
        <v/>
      </c>
      <c r="I643" s="53">
        <f>IF(B643="",0,IF(ISNA(VLOOKUP(A643,'600m'!F$5:J$302,2,FALSE)),0,VLOOKUP(A643,'600m'!F$5:J$302,2,FALSE)))</f>
        <v>0</v>
      </c>
      <c r="J643" s="51">
        <f>IF(B643="",0,IF(ISNA(_xlfn.XLOOKUP(A643,'600m'!F$5:F$302,'600m'!M$5:M$302)),0,_xlfn.XLOOKUP(A643,'600m'!F$5:F$302,'600m'!M$5:M$302)))</f>
        <v>0</v>
      </c>
      <c r="K643" s="51" t="str">
        <f>IF(B643="","",IF(ISNA(VLOOKUP(A643,'600m'!F$5:K$302,5,FALSE)),"",VLOOKUP(A643,'600m'!F$5:K$302,5,FALSE)))</f>
        <v/>
      </c>
      <c r="L643" s="51" t="str">
        <f>IF(B643="","",IF(ISNA(VLOOKUP(A643,LongJump!F$5:G$302,2,FALSE)),"",VLOOKUP(A643,LongJump!F$5:G$302,2,FALSE)))</f>
        <v/>
      </c>
      <c r="M643" s="51">
        <f>IF(B643="",0,IF(ISNA(_xlfn.XLOOKUP(A643,LongJump!F$5:F$302,LongJump!M$5:M$302)),0,_xlfn.XLOOKUP(A643,LongJump!F$5:F$302,LongJump!M$5:M$302)))</f>
        <v>0</v>
      </c>
      <c r="N643" s="51">
        <f>IF(B643="",0,IF(ISNA(VLOOKUP(A643,LongJump!F$5:K$302,5,FALSE)),0,VLOOKUP(A643,LongJump!F$5:K$302,5,FALSE)))</f>
        <v>0</v>
      </c>
      <c r="O643" s="51" t="str">
        <f>IF(B643="","",IF(ISNA(VLOOKUP(A643,Vortex!F$5:J$302,2,FALSE)),"",VLOOKUP(A643,Vortex!F$5:J$302,2,FALSE)))</f>
        <v/>
      </c>
      <c r="P643" s="51">
        <f>IF(B643="",0,IF(ISNA(_xlfn.XLOOKUP(A643,Vortex!F$5:F$302,Vortex!M$5:M$302)),0,_xlfn.XLOOKUP(A643,Vortex!F$5:F$302,Vortex!M$5:M$302)))</f>
        <v>0</v>
      </c>
      <c r="Q643" s="51">
        <f t="shared" si="73"/>
        <v>0</v>
      </c>
      <c r="R643" s="51" t="str">
        <f t="shared" si="74"/>
        <v/>
      </c>
      <c r="S643" s="51" t="str">
        <f t="shared" si="75"/>
        <v/>
      </c>
      <c r="T643" s="51" t="str">
        <f t="shared" si="76"/>
        <v/>
      </c>
      <c r="U643" s="51" t="str">
        <f t="shared" si="77"/>
        <v/>
      </c>
    </row>
    <row r="644" spans="1:21">
      <c r="A644" s="51" t="str">
        <f>IF(Declarations!B272=0,"",Declarations!B272)</f>
        <v/>
      </c>
      <c r="B644" s="161" t="str">
        <f>IF(ISNA(VLOOKUP(A644,Declarations!B$6:C$293,2,FALSE)),"",IF(VLOOKUP(A644,Declarations!B$6:C$293,2,FALSE)="","",VLOOKUP(A644,Declarations!B$6:C$293,2,FALSE)))</f>
        <v/>
      </c>
      <c r="C644" s="161" t="str">
        <f>IF(ISNA(VLOOKUP(A644,Declarations!B$6:F$293,5,FALSE)),"",IF(VLOOKUP(A644,Declarations!B$6:F$293,5,FALSE)="","",VLOOKUP(A644,Declarations!B$6:F$293,5,FALSE)))</f>
        <v/>
      </c>
      <c r="D644" s="161" t="str">
        <f>IF(ISNA(VLOOKUP(A644,Declarations!B$6:F$293,4,FALSE)),"",IF(VLOOKUP(A644,Declarations!B$6:F$293,4,FALSE)="","",VLOOKUP(A644,Declarations!B$6:F$293,4,FALSE)))</f>
        <v/>
      </c>
      <c r="E644" s="161" t="str">
        <f>IF(ISNA(VLOOKUP(A644,Declarations!B$6:D$293,3,FALSE)),"",IF(VLOOKUP(A644,Declarations!B$6:D$293,3,FALSE)="","",VLOOKUP(A644,Declarations!B$6:D$293,3,FALSE)))</f>
        <v/>
      </c>
      <c r="F644" s="51" t="str">
        <f>IF(B644="","",IF(ISNA(VLOOKUP(A644,'75m'!F$5:G$302,2,FALSE)),"",VLOOKUP(A644,'75m'!F$5:G$302,2,FALSE)))</f>
        <v/>
      </c>
      <c r="G644" s="51">
        <f>IF(B644="",0,IF(ISNA(_xlfn.XLOOKUP(A644,'75m'!F$5:F$302,'75m'!M$5:M$302)),0,_xlfn.XLOOKUP(A644,'75m'!F$5:F$302,'75m'!M$5:M$302)))</f>
        <v>0</v>
      </c>
      <c r="H644" s="51" t="str">
        <f>IF(B644="","",IF(ISNA(VLOOKUP(A644,'75m'!F$5:K$302,5,FALSE)),"",VLOOKUP(A644,'75m'!F$5:K$302,5,FALSE)))</f>
        <v/>
      </c>
      <c r="I644" s="53">
        <f>IF(B644="",0,IF(ISNA(VLOOKUP(A644,'600m'!F$5:J$302,2,FALSE)),0,VLOOKUP(A644,'600m'!F$5:J$302,2,FALSE)))</f>
        <v>0</v>
      </c>
      <c r="J644" s="51">
        <f>IF(B644="",0,IF(ISNA(_xlfn.XLOOKUP(A644,'600m'!F$5:F$302,'600m'!M$5:M$302)),0,_xlfn.XLOOKUP(A644,'600m'!F$5:F$302,'600m'!M$5:M$302)))</f>
        <v>0</v>
      </c>
      <c r="K644" s="51" t="str">
        <f>IF(B644="","",IF(ISNA(VLOOKUP(A644,'600m'!F$5:K$302,5,FALSE)),"",VLOOKUP(A644,'600m'!F$5:K$302,5,FALSE)))</f>
        <v/>
      </c>
      <c r="L644" s="51" t="str">
        <f>IF(B644="","",IF(ISNA(VLOOKUP(A644,LongJump!F$5:G$302,2,FALSE)),"",VLOOKUP(A644,LongJump!F$5:G$302,2,FALSE)))</f>
        <v/>
      </c>
      <c r="M644" s="51">
        <f>IF(B644="",0,IF(ISNA(_xlfn.XLOOKUP(A644,LongJump!F$5:F$302,LongJump!M$5:M$302)),0,_xlfn.XLOOKUP(A644,LongJump!F$5:F$302,LongJump!M$5:M$302)))</f>
        <v>0</v>
      </c>
      <c r="N644" s="51">
        <f>IF(B644="",0,IF(ISNA(VLOOKUP(A644,LongJump!F$5:K$302,5,FALSE)),0,VLOOKUP(A644,LongJump!F$5:K$302,5,FALSE)))</f>
        <v>0</v>
      </c>
      <c r="O644" s="51" t="str">
        <f>IF(B644="","",IF(ISNA(VLOOKUP(A644,Vortex!F$5:J$302,2,FALSE)),"",VLOOKUP(A644,Vortex!F$5:J$302,2,FALSE)))</f>
        <v/>
      </c>
      <c r="P644" s="51">
        <f>IF(B644="",0,IF(ISNA(_xlfn.XLOOKUP(A644,Vortex!F$5:F$302,Vortex!M$5:M$302)),0,_xlfn.XLOOKUP(A644,Vortex!F$5:F$302,Vortex!M$5:M$302)))</f>
        <v>0</v>
      </c>
      <c r="Q644" s="51">
        <f t="shared" si="73"/>
        <v>0</v>
      </c>
      <c r="R644" s="51" t="str">
        <f t="shared" si="74"/>
        <v/>
      </c>
      <c r="S644" s="51" t="str">
        <f t="shared" si="75"/>
        <v/>
      </c>
      <c r="T644" s="51" t="str">
        <f t="shared" si="76"/>
        <v/>
      </c>
      <c r="U644" s="51" t="str">
        <f t="shared" si="77"/>
        <v/>
      </c>
    </row>
    <row r="645" spans="1:21">
      <c r="A645" s="51" t="str">
        <f>IF(Declarations!B273=0,"",Declarations!B273)</f>
        <v/>
      </c>
      <c r="B645" s="161" t="str">
        <f>IF(ISNA(VLOOKUP(A645,Declarations!B$6:C$293,2,FALSE)),"",IF(VLOOKUP(A645,Declarations!B$6:C$293,2,FALSE)="","",VLOOKUP(A645,Declarations!B$6:C$293,2,FALSE)))</f>
        <v/>
      </c>
      <c r="C645" s="161" t="str">
        <f>IF(ISNA(VLOOKUP(A645,Declarations!B$6:F$293,5,FALSE)),"",IF(VLOOKUP(A645,Declarations!B$6:F$293,5,FALSE)="","",VLOOKUP(A645,Declarations!B$6:F$293,5,FALSE)))</f>
        <v/>
      </c>
      <c r="D645" s="161" t="str">
        <f>IF(ISNA(VLOOKUP(A645,Declarations!B$6:F$293,4,FALSE)),"",IF(VLOOKUP(A645,Declarations!B$6:F$293,4,FALSE)="","",VLOOKUP(A645,Declarations!B$6:F$293,4,FALSE)))</f>
        <v/>
      </c>
      <c r="E645" s="161" t="str">
        <f>IF(ISNA(VLOOKUP(A645,Declarations!B$6:D$293,3,FALSE)),"",IF(VLOOKUP(A645,Declarations!B$6:D$293,3,FALSE)="","",VLOOKUP(A645,Declarations!B$6:D$293,3,FALSE)))</f>
        <v/>
      </c>
      <c r="F645" s="51" t="str">
        <f>IF(B645="","",IF(ISNA(VLOOKUP(A645,'75m'!F$5:G$302,2,FALSE)),"",VLOOKUP(A645,'75m'!F$5:G$302,2,FALSE)))</f>
        <v/>
      </c>
      <c r="G645" s="51">
        <f>IF(B645="",0,IF(ISNA(_xlfn.XLOOKUP(A645,'75m'!F$5:F$302,'75m'!M$5:M$302)),0,_xlfn.XLOOKUP(A645,'75m'!F$5:F$302,'75m'!M$5:M$302)))</f>
        <v>0</v>
      </c>
      <c r="H645" s="51" t="str">
        <f>IF(B645="","",IF(ISNA(VLOOKUP(A645,'75m'!F$5:K$302,5,FALSE)),"",VLOOKUP(A645,'75m'!F$5:K$302,5,FALSE)))</f>
        <v/>
      </c>
      <c r="I645" s="53">
        <f>IF(B645="",0,IF(ISNA(VLOOKUP(A645,'600m'!F$5:J$302,2,FALSE)),0,VLOOKUP(A645,'600m'!F$5:J$302,2,FALSE)))</f>
        <v>0</v>
      </c>
      <c r="J645" s="51">
        <f>IF(B645="",0,IF(ISNA(_xlfn.XLOOKUP(A645,'600m'!F$5:F$302,'600m'!M$5:M$302)),0,_xlfn.XLOOKUP(A645,'600m'!F$5:F$302,'600m'!M$5:M$302)))</f>
        <v>0</v>
      </c>
      <c r="K645" s="51" t="str">
        <f>IF(B645="","",IF(ISNA(VLOOKUP(A645,'600m'!F$5:K$302,5,FALSE)),"",VLOOKUP(A645,'600m'!F$5:K$302,5,FALSE)))</f>
        <v/>
      </c>
      <c r="L645" s="51" t="str">
        <f>IF(B645="","",IF(ISNA(VLOOKUP(A645,LongJump!F$5:G$302,2,FALSE)),"",VLOOKUP(A645,LongJump!F$5:G$302,2,FALSE)))</f>
        <v/>
      </c>
      <c r="M645" s="51">
        <f>IF(B645="",0,IF(ISNA(_xlfn.XLOOKUP(A645,LongJump!F$5:F$302,LongJump!M$5:M$302)),0,_xlfn.XLOOKUP(A645,LongJump!F$5:F$302,LongJump!M$5:M$302)))</f>
        <v>0</v>
      </c>
      <c r="N645" s="51">
        <f>IF(B645="",0,IF(ISNA(VLOOKUP(A645,LongJump!F$5:K$302,5,FALSE)),0,VLOOKUP(A645,LongJump!F$5:K$302,5,FALSE)))</f>
        <v>0</v>
      </c>
      <c r="O645" s="51" t="str">
        <f>IF(B645="","",IF(ISNA(VLOOKUP(A645,Vortex!F$5:J$302,2,FALSE)),"",VLOOKUP(A645,Vortex!F$5:J$302,2,FALSE)))</f>
        <v/>
      </c>
      <c r="P645" s="51">
        <f>IF(B645="",0,IF(ISNA(_xlfn.XLOOKUP(A645,Vortex!F$5:F$302,Vortex!M$5:M$302)),0,_xlfn.XLOOKUP(A645,Vortex!F$5:F$302,Vortex!M$5:M$302)))</f>
        <v>0</v>
      </c>
      <c r="Q645" s="51">
        <f t="shared" si="73"/>
        <v>0</v>
      </c>
      <c r="R645" s="51" t="str">
        <f t="shared" si="74"/>
        <v/>
      </c>
      <c r="S645" s="51" t="str">
        <f t="shared" si="75"/>
        <v/>
      </c>
      <c r="T645" s="51" t="str">
        <f t="shared" si="76"/>
        <v/>
      </c>
      <c r="U645" s="51" t="str">
        <f t="shared" si="77"/>
        <v/>
      </c>
    </row>
    <row r="646" spans="1:21">
      <c r="A646" s="51" t="str">
        <f>IF(Declarations!B274=0,"",Declarations!B274)</f>
        <v/>
      </c>
      <c r="B646" s="161" t="str">
        <f>IF(ISNA(VLOOKUP(A646,Declarations!B$6:C$293,2,FALSE)),"",IF(VLOOKUP(A646,Declarations!B$6:C$293,2,FALSE)="","",VLOOKUP(A646,Declarations!B$6:C$293,2,FALSE)))</f>
        <v/>
      </c>
      <c r="C646" s="161" t="str">
        <f>IF(ISNA(VLOOKUP(A646,Declarations!B$6:F$293,5,FALSE)),"",IF(VLOOKUP(A646,Declarations!B$6:F$293,5,FALSE)="","",VLOOKUP(A646,Declarations!B$6:F$293,5,FALSE)))</f>
        <v/>
      </c>
      <c r="D646" s="161" t="str">
        <f>IF(ISNA(VLOOKUP(A646,Declarations!B$6:F$293,4,FALSE)),"",IF(VLOOKUP(A646,Declarations!B$6:F$293,4,FALSE)="","",VLOOKUP(A646,Declarations!B$6:F$293,4,FALSE)))</f>
        <v/>
      </c>
      <c r="E646" s="161" t="str">
        <f>IF(ISNA(VLOOKUP(A646,Declarations!B$6:D$293,3,FALSE)),"",IF(VLOOKUP(A646,Declarations!B$6:D$293,3,FALSE)="","",VLOOKUP(A646,Declarations!B$6:D$293,3,FALSE)))</f>
        <v/>
      </c>
      <c r="F646" s="51" t="str">
        <f>IF(B646="","",IF(ISNA(VLOOKUP(A646,'75m'!F$5:G$302,2,FALSE)),"",VLOOKUP(A646,'75m'!F$5:G$302,2,FALSE)))</f>
        <v/>
      </c>
      <c r="G646" s="51">
        <f>IF(B646="",0,IF(ISNA(_xlfn.XLOOKUP(A646,'75m'!F$5:F$302,'75m'!M$5:M$302)),0,_xlfn.XLOOKUP(A646,'75m'!F$5:F$302,'75m'!M$5:M$302)))</f>
        <v>0</v>
      </c>
      <c r="H646" s="51" t="str">
        <f>IF(B646="","",IF(ISNA(VLOOKUP(A646,'75m'!F$5:K$302,5,FALSE)),"",VLOOKUP(A646,'75m'!F$5:K$302,5,FALSE)))</f>
        <v/>
      </c>
      <c r="I646" s="53">
        <f>IF(B646="",0,IF(ISNA(VLOOKUP(A646,'600m'!F$5:J$302,2,FALSE)),0,VLOOKUP(A646,'600m'!F$5:J$302,2,FALSE)))</f>
        <v>0</v>
      </c>
      <c r="J646" s="51">
        <f>IF(B646="",0,IF(ISNA(_xlfn.XLOOKUP(A646,'600m'!F$5:F$302,'600m'!M$5:M$302)),0,_xlfn.XLOOKUP(A646,'600m'!F$5:F$302,'600m'!M$5:M$302)))</f>
        <v>0</v>
      </c>
      <c r="K646" s="51" t="str">
        <f>IF(B646="","",IF(ISNA(VLOOKUP(A646,'600m'!F$5:K$302,5,FALSE)),"",VLOOKUP(A646,'600m'!F$5:K$302,5,FALSE)))</f>
        <v/>
      </c>
      <c r="L646" s="51" t="str">
        <f>IF(B646="","",IF(ISNA(VLOOKUP(A646,LongJump!F$5:G$302,2,FALSE)),"",VLOOKUP(A646,LongJump!F$5:G$302,2,FALSE)))</f>
        <v/>
      </c>
      <c r="M646" s="51">
        <f>IF(B646="",0,IF(ISNA(_xlfn.XLOOKUP(A646,LongJump!F$5:F$302,LongJump!M$5:M$302)),0,_xlfn.XLOOKUP(A646,LongJump!F$5:F$302,LongJump!M$5:M$302)))</f>
        <v>0</v>
      </c>
      <c r="N646" s="51">
        <f>IF(B646="",0,IF(ISNA(VLOOKUP(A646,LongJump!F$5:K$302,5,FALSE)),0,VLOOKUP(A646,LongJump!F$5:K$302,5,FALSE)))</f>
        <v>0</v>
      </c>
      <c r="O646" s="51" t="str">
        <f>IF(B646="","",IF(ISNA(VLOOKUP(A646,Vortex!F$5:J$302,2,FALSE)),"",VLOOKUP(A646,Vortex!F$5:J$302,2,FALSE)))</f>
        <v/>
      </c>
      <c r="P646" s="51">
        <f>IF(B646="",0,IF(ISNA(_xlfn.XLOOKUP(A646,Vortex!F$5:F$302,Vortex!M$5:M$302)),0,_xlfn.XLOOKUP(A646,Vortex!F$5:F$302,Vortex!M$5:M$302)))</f>
        <v>0</v>
      </c>
      <c r="Q646" s="51">
        <f t="shared" si="73"/>
        <v>0</v>
      </c>
      <c r="R646" s="51" t="str">
        <f t="shared" si="74"/>
        <v/>
      </c>
      <c r="S646" s="51" t="str">
        <f t="shared" si="75"/>
        <v/>
      </c>
      <c r="T646" s="51" t="str">
        <f t="shared" si="76"/>
        <v/>
      </c>
      <c r="U646" s="51" t="str">
        <f t="shared" si="77"/>
        <v/>
      </c>
    </row>
    <row r="647" spans="1:21">
      <c r="A647" s="51" t="str">
        <f>IF(Declarations!B275=0,"",Declarations!B275)</f>
        <v/>
      </c>
      <c r="B647" s="161" t="str">
        <f>IF(ISNA(VLOOKUP(A647,Declarations!B$6:C$293,2,FALSE)),"",IF(VLOOKUP(A647,Declarations!B$6:C$293,2,FALSE)="","",VLOOKUP(A647,Declarations!B$6:C$293,2,FALSE)))</f>
        <v/>
      </c>
      <c r="C647" s="161" t="str">
        <f>IF(ISNA(VLOOKUP(A647,Declarations!B$6:F$293,5,FALSE)),"",IF(VLOOKUP(A647,Declarations!B$6:F$293,5,FALSE)="","",VLOOKUP(A647,Declarations!B$6:F$293,5,FALSE)))</f>
        <v/>
      </c>
      <c r="D647" s="161" t="str">
        <f>IF(ISNA(VLOOKUP(A647,Declarations!B$6:F$293,4,FALSE)),"",IF(VLOOKUP(A647,Declarations!B$6:F$293,4,FALSE)="","",VLOOKUP(A647,Declarations!B$6:F$293,4,FALSE)))</f>
        <v/>
      </c>
      <c r="E647" s="161" t="str">
        <f>IF(ISNA(VLOOKUP(A647,Declarations!B$6:D$293,3,FALSE)),"",IF(VLOOKUP(A647,Declarations!B$6:D$293,3,FALSE)="","",VLOOKUP(A647,Declarations!B$6:D$293,3,FALSE)))</f>
        <v/>
      </c>
      <c r="F647" s="51" t="str">
        <f>IF(B647="","",IF(ISNA(VLOOKUP(A647,'75m'!F$5:G$302,2,FALSE)),"",VLOOKUP(A647,'75m'!F$5:G$302,2,FALSE)))</f>
        <v/>
      </c>
      <c r="G647" s="51">
        <f>IF(B647="",0,IF(ISNA(_xlfn.XLOOKUP(A647,'75m'!F$5:F$302,'75m'!M$5:M$302)),0,_xlfn.XLOOKUP(A647,'75m'!F$5:F$302,'75m'!M$5:M$302)))</f>
        <v>0</v>
      </c>
      <c r="H647" s="51" t="str">
        <f>IF(B647="","",IF(ISNA(VLOOKUP(A647,'75m'!F$5:K$302,5,FALSE)),"",VLOOKUP(A647,'75m'!F$5:K$302,5,FALSE)))</f>
        <v/>
      </c>
      <c r="I647" s="53">
        <f>IF(B647="",0,IF(ISNA(VLOOKUP(A647,'600m'!F$5:J$302,2,FALSE)),0,VLOOKUP(A647,'600m'!F$5:J$302,2,FALSE)))</f>
        <v>0</v>
      </c>
      <c r="J647" s="51">
        <f>IF(B647="",0,IF(ISNA(_xlfn.XLOOKUP(A647,'600m'!F$5:F$302,'600m'!M$5:M$302)),0,_xlfn.XLOOKUP(A647,'600m'!F$5:F$302,'600m'!M$5:M$302)))</f>
        <v>0</v>
      </c>
      <c r="K647" s="51" t="str">
        <f>IF(B647="","",IF(ISNA(VLOOKUP(A647,'600m'!F$5:K$302,5,FALSE)),"",VLOOKUP(A647,'600m'!F$5:K$302,5,FALSE)))</f>
        <v/>
      </c>
      <c r="L647" s="51" t="str">
        <f>IF(B647="","",IF(ISNA(VLOOKUP(A647,LongJump!F$5:G$302,2,FALSE)),"",VLOOKUP(A647,LongJump!F$5:G$302,2,FALSE)))</f>
        <v/>
      </c>
      <c r="M647" s="51">
        <f>IF(B647="",0,IF(ISNA(_xlfn.XLOOKUP(A647,LongJump!F$5:F$302,LongJump!M$5:M$302)),0,_xlfn.XLOOKUP(A647,LongJump!F$5:F$302,LongJump!M$5:M$302)))</f>
        <v>0</v>
      </c>
      <c r="N647" s="51">
        <f>IF(B647="",0,IF(ISNA(VLOOKUP(A647,LongJump!F$5:K$302,5,FALSE)),0,VLOOKUP(A647,LongJump!F$5:K$302,5,FALSE)))</f>
        <v>0</v>
      </c>
      <c r="O647" s="51" t="str">
        <f>IF(B647="","",IF(ISNA(VLOOKUP(A647,Vortex!F$5:J$302,2,FALSE)),"",VLOOKUP(A647,Vortex!F$5:J$302,2,FALSE)))</f>
        <v/>
      </c>
      <c r="P647" s="51">
        <f>IF(B647="",0,IF(ISNA(_xlfn.XLOOKUP(A647,Vortex!F$5:F$302,Vortex!M$5:M$302)),0,_xlfn.XLOOKUP(A647,Vortex!F$5:F$302,Vortex!M$5:M$302)))</f>
        <v>0</v>
      </c>
      <c r="Q647" s="51">
        <f t="shared" si="73"/>
        <v>0</v>
      </c>
      <c r="R647" s="51" t="str">
        <f t="shared" si="74"/>
        <v/>
      </c>
      <c r="S647" s="51" t="str">
        <f t="shared" si="75"/>
        <v/>
      </c>
      <c r="T647" s="51" t="str">
        <f t="shared" si="76"/>
        <v/>
      </c>
      <c r="U647" s="51" t="str">
        <f t="shared" si="77"/>
        <v/>
      </c>
    </row>
    <row r="648" spans="1:21">
      <c r="A648" s="51" t="str">
        <f>IF(Declarations!B276=0,"",Declarations!B276)</f>
        <v/>
      </c>
      <c r="B648" s="161" t="str">
        <f>IF(ISNA(VLOOKUP(A648,Declarations!B$6:C$293,2,FALSE)),"",IF(VLOOKUP(A648,Declarations!B$6:C$293,2,FALSE)="","",VLOOKUP(A648,Declarations!B$6:C$293,2,FALSE)))</f>
        <v/>
      </c>
      <c r="C648" s="161" t="str">
        <f>IF(ISNA(VLOOKUP(A648,Declarations!B$6:F$293,5,FALSE)),"",IF(VLOOKUP(A648,Declarations!B$6:F$293,5,FALSE)="","",VLOOKUP(A648,Declarations!B$6:F$293,5,FALSE)))</f>
        <v/>
      </c>
      <c r="D648" s="161" t="str">
        <f>IF(ISNA(VLOOKUP(A648,Declarations!B$6:F$293,4,FALSE)),"",IF(VLOOKUP(A648,Declarations!B$6:F$293,4,FALSE)="","",VLOOKUP(A648,Declarations!B$6:F$293,4,FALSE)))</f>
        <v/>
      </c>
      <c r="E648" s="161" t="str">
        <f>IF(ISNA(VLOOKUP(A648,Declarations!B$6:D$293,3,FALSE)),"",IF(VLOOKUP(A648,Declarations!B$6:D$293,3,FALSE)="","",VLOOKUP(A648,Declarations!B$6:D$293,3,FALSE)))</f>
        <v/>
      </c>
      <c r="F648" s="51" t="str">
        <f>IF(B648="","",IF(ISNA(VLOOKUP(A648,'75m'!F$5:G$302,2,FALSE)),"",VLOOKUP(A648,'75m'!F$5:G$302,2,FALSE)))</f>
        <v/>
      </c>
      <c r="G648" s="51">
        <f>IF(B648="",0,IF(ISNA(_xlfn.XLOOKUP(A648,'75m'!F$5:F$302,'75m'!M$5:M$302)),0,_xlfn.XLOOKUP(A648,'75m'!F$5:F$302,'75m'!M$5:M$302)))</f>
        <v>0</v>
      </c>
      <c r="H648" s="51" t="str">
        <f>IF(B648="","",IF(ISNA(VLOOKUP(A648,'75m'!F$5:K$302,5,FALSE)),"",VLOOKUP(A648,'75m'!F$5:K$302,5,FALSE)))</f>
        <v/>
      </c>
      <c r="I648" s="53">
        <f>IF(B648="",0,IF(ISNA(VLOOKUP(A648,'600m'!F$5:J$302,2,FALSE)),0,VLOOKUP(A648,'600m'!F$5:J$302,2,FALSE)))</f>
        <v>0</v>
      </c>
      <c r="J648" s="51">
        <f>IF(B648="",0,IF(ISNA(_xlfn.XLOOKUP(A648,'600m'!F$5:F$302,'600m'!M$5:M$302)),0,_xlfn.XLOOKUP(A648,'600m'!F$5:F$302,'600m'!M$5:M$302)))</f>
        <v>0</v>
      </c>
      <c r="K648" s="51" t="str">
        <f>IF(B648="","",IF(ISNA(VLOOKUP(A648,'600m'!F$5:K$302,5,FALSE)),"",VLOOKUP(A648,'600m'!F$5:K$302,5,FALSE)))</f>
        <v/>
      </c>
      <c r="L648" s="51" t="str">
        <f>IF(B648="","",IF(ISNA(VLOOKUP(A648,LongJump!F$5:G$302,2,FALSE)),"",VLOOKUP(A648,LongJump!F$5:G$302,2,FALSE)))</f>
        <v/>
      </c>
      <c r="M648" s="51">
        <f>IF(B648="",0,IF(ISNA(_xlfn.XLOOKUP(A648,LongJump!F$5:F$302,LongJump!M$5:M$302)),0,_xlfn.XLOOKUP(A648,LongJump!F$5:F$302,LongJump!M$5:M$302)))</f>
        <v>0</v>
      </c>
      <c r="N648" s="51">
        <f>IF(B648="",0,IF(ISNA(VLOOKUP(A648,LongJump!F$5:K$302,5,FALSE)),0,VLOOKUP(A648,LongJump!F$5:K$302,5,FALSE)))</f>
        <v>0</v>
      </c>
      <c r="O648" s="51" t="str">
        <f>IF(B648="","",IF(ISNA(VLOOKUP(A648,Vortex!F$5:J$302,2,FALSE)),"",VLOOKUP(A648,Vortex!F$5:J$302,2,FALSE)))</f>
        <v/>
      </c>
      <c r="P648" s="51">
        <f>IF(B648="",0,IF(ISNA(_xlfn.XLOOKUP(A648,Vortex!F$5:F$302,Vortex!M$5:M$302)),0,_xlfn.XLOOKUP(A648,Vortex!F$5:F$302,Vortex!M$5:M$302)))</f>
        <v>0</v>
      </c>
      <c r="Q648" s="51">
        <f t="shared" si="73"/>
        <v>0</v>
      </c>
      <c r="R648" s="51" t="str">
        <f t="shared" si="74"/>
        <v/>
      </c>
      <c r="S648" s="51" t="str">
        <f t="shared" si="75"/>
        <v/>
      </c>
      <c r="T648" s="51" t="str">
        <f t="shared" si="76"/>
        <v/>
      </c>
      <c r="U648" s="51" t="str">
        <f t="shared" si="77"/>
        <v/>
      </c>
    </row>
    <row r="649" spans="1:21">
      <c r="A649" s="51" t="str">
        <f>IF(Declarations!B277=0,"",Declarations!B277)</f>
        <v/>
      </c>
      <c r="B649" s="161" t="str">
        <f>IF(ISNA(VLOOKUP(A649,Declarations!B$6:C$293,2,FALSE)),"",IF(VLOOKUP(A649,Declarations!B$6:C$293,2,FALSE)="","",VLOOKUP(A649,Declarations!B$6:C$293,2,FALSE)))</f>
        <v/>
      </c>
      <c r="C649" s="161" t="str">
        <f>IF(ISNA(VLOOKUP(A649,Declarations!B$6:F$293,5,FALSE)),"",IF(VLOOKUP(A649,Declarations!B$6:F$293,5,FALSE)="","",VLOOKUP(A649,Declarations!B$6:F$293,5,FALSE)))</f>
        <v/>
      </c>
      <c r="D649" s="161" t="str">
        <f>IF(ISNA(VLOOKUP(A649,Declarations!B$6:F$293,4,FALSE)),"",IF(VLOOKUP(A649,Declarations!B$6:F$293,4,FALSE)="","",VLOOKUP(A649,Declarations!B$6:F$293,4,FALSE)))</f>
        <v/>
      </c>
      <c r="E649" s="161" t="str">
        <f>IF(ISNA(VLOOKUP(A649,Declarations!B$6:D$293,3,FALSE)),"",IF(VLOOKUP(A649,Declarations!B$6:D$293,3,FALSE)="","",VLOOKUP(A649,Declarations!B$6:D$293,3,FALSE)))</f>
        <v/>
      </c>
      <c r="F649" s="51" t="str">
        <f>IF(B649="","",IF(ISNA(VLOOKUP(A649,'75m'!F$5:G$302,2,FALSE)),"",VLOOKUP(A649,'75m'!F$5:G$302,2,FALSE)))</f>
        <v/>
      </c>
      <c r="G649" s="51">
        <f>IF(B649="",0,IF(ISNA(_xlfn.XLOOKUP(A649,'75m'!F$5:F$302,'75m'!M$5:M$302)),0,_xlfn.XLOOKUP(A649,'75m'!F$5:F$302,'75m'!M$5:M$302)))</f>
        <v>0</v>
      </c>
      <c r="H649" s="51" t="str">
        <f>IF(B649="","",IF(ISNA(VLOOKUP(A649,'75m'!F$5:K$302,5,FALSE)),"",VLOOKUP(A649,'75m'!F$5:K$302,5,FALSE)))</f>
        <v/>
      </c>
      <c r="I649" s="53">
        <f>IF(B649="",0,IF(ISNA(VLOOKUP(A649,'600m'!F$5:J$302,2,FALSE)),0,VLOOKUP(A649,'600m'!F$5:J$302,2,FALSE)))</f>
        <v>0</v>
      </c>
      <c r="J649" s="51">
        <f>IF(B649="",0,IF(ISNA(_xlfn.XLOOKUP(A649,'600m'!F$5:F$302,'600m'!M$5:M$302)),0,_xlfn.XLOOKUP(A649,'600m'!F$5:F$302,'600m'!M$5:M$302)))</f>
        <v>0</v>
      </c>
      <c r="K649" s="51" t="str">
        <f>IF(B649="","",IF(ISNA(VLOOKUP(A649,'600m'!F$5:K$302,5,FALSE)),"",VLOOKUP(A649,'600m'!F$5:K$302,5,FALSE)))</f>
        <v/>
      </c>
      <c r="L649" s="51" t="str">
        <f>IF(B649="","",IF(ISNA(VLOOKUP(A649,LongJump!F$5:G$302,2,FALSE)),"",VLOOKUP(A649,LongJump!F$5:G$302,2,FALSE)))</f>
        <v/>
      </c>
      <c r="M649" s="51">
        <f>IF(B649="",0,IF(ISNA(_xlfn.XLOOKUP(A649,LongJump!F$5:F$302,LongJump!M$5:M$302)),0,_xlfn.XLOOKUP(A649,LongJump!F$5:F$302,LongJump!M$5:M$302)))</f>
        <v>0</v>
      </c>
      <c r="N649" s="51">
        <f>IF(B649="",0,IF(ISNA(VLOOKUP(A649,LongJump!F$5:K$302,5,FALSE)),0,VLOOKUP(A649,LongJump!F$5:K$302,5,FALSE)))</f>
        <v>0</v>
      </c>
      <c r="O649" s="51" t="str">
        <f>IF(B649="","",IF(ISNA(VLOOKUP(A649,Vortex!F$5:J$302,2,FALSE)),"",VLOOKUP(A649,Vortex!F$5:J$302,2,FALSE)))</f>
        <v/>
      </c>
      <c r="P649" s="51">
        <f>IF(B649="",0,IF(ISNA(_xlfn.XLOOKUP(A649,Vortex!F$5:F$302,Vortex!M$5:M$302)),0,_xlfn.XLOOKUP(A649,Vortex!F$5:F$302,Vortex!M$5:M$302)))</f>
        <v>0</v>
      </c>
      <c r="Q649" s="51">
        <f t="shared" si="73"/>
        <v>0</v>
      </c>
      <c r="R649" s="51" t="str">
        <f t="shared" si="74"/>
        <v/>
      </c>
      <c r="S649" s="51" t="str">
        <f t="shared" si="75"/>
        <v/>
      </c>
      <c r="T649" s="51" t="str">
        <f t="shared" si="76"/>
        <v/>
      </c>
      <c r="U649" s="51" t="str">
        <f t="shared" si="77"/>
        <v/>
      </c>
    </row>
    <row r="650" spans="1:21">
      <c r="A650" s="51" t="str">
        <f>IF(Declarations!B278=0,"",Declarations!B278)</f>
        <v/>
      </c>
      <c r="B650" s="161" t="str">
        <f>IF(ISNA(VLOOKUP(A650,Declarations!B$6:C$293,2,FALSE)),"",IF(VLOOKUP(A650,Declarations!B$6:C$293,2,FALSE)="","",VLOOKUP(A650,Declarations!B$6:C$293,2,FALSE)))</f>
        <v/>
      </c>
      <c r="C650" s="161" t="str">
        <f>IF(ISNA(VLOOKUP(A650,Declarations!B$6:F$293,5,FALSE)),"",IF(VLOOKUP(A650,Declarations!B$6:F$293,5,FALSE)="","",VLOOKUP(A650,Declarations!B$6:F$293,5,FALSE)))</f>
        <v/>
      </c>
      <c r="D650" s="161" t="str">
        <f>IF(ISNA(VLOOKUP(A650,Declarations!B$6:F$293,4,FALSE)),"",IF(VLOOKUP(A650,Declarations!B$6:F$293,4,FALSE)="","",VLOOKUP(A650,Declarations!B$6:F$293,4,FALSE)))</f>
        <v/>
      </c>
      <c r="E650" s="161" t="str">
        <f>IF(ISNA(VLOOKUP(A650,Declarations!B$6:D$293,3,FALSE)),"",IF(VLOOKUP(A650,Declarations!B$6:D$293,3,FALSE)="","",VLOOKUP(A650,Declarations!B$6:D$293,3,FALSE)))</f>
        <v/>
      </c>
      <c r="F650" s="51" t="str">
        <f>IF(B650="","",IF(ISNA(VLOOKUP(A650,'75m'!F$5:G$302,2,FALSE)),"",VLOOKUP(A650,'75m'!F$5:G$302,2,FALSE)))</f>
        <v/>
      </c>
      <c r="G650" s="51">
        <f>IF(B650="",0,IF(ISNA(_xlfn.XLOOKUP(A650,'75m'!F$5:F$302,'75m'!M$5:M$302)),0,_xlfn.XLOOKUP(A650,'75m'!F$5:F$302,'75m'!M$5:M$302)))</f>
        <v>0</v>
      </c>
      <c r="H650" s="51" t="str">
        <f>IF(B650="","",IF(ISNA(VLOOKUP(A650,'75m'!F$5:K$302,5,FALSE)),"",VLOOKUP(A650,'75m'!F$5:K$302,5,FALSE)))</f>
        <v/>
      </c>
      <c r="I650" s="53">
        <f>IF(B650="",0,IF(ISNA(VLOOKUP(A650,'600m'!F$5:J$302,2,FALSE)),0,VLOOKUP(A650,'600m'!F$5:J$302,2,FALSE)))</f>
        <v>0</v>
      </c>
      <c r="J650" s="51">
        <f>IF(B650="",0,IF(ISNA(_xlfn.XLOOKUP(A650,'600m'!F$5:F$302,'600m'!M$5:M$302)),0,_xlfn.XLOOKUP(A650,'600m'!F$5:F$302,'600m'!M$5:M$302)))</f>
        <v>0</v>
      </c>
      <c r="K650" s="51" t="str">
        <f>IF(B650="","",IF(ISNA(VLOOKUP(A650,'600m'!F$5:K$302,5,FALSE)),"",VLOOKUP(A650,'600m'!F$5:K$302,5,FALSE)))</f>
        <v/>
      </c>
      <c r="L650" s="51" t="str">
        <f>IF(B650="","",IF(ISNA(VLOOKUP(A650,LongJump!F$5:G$302,2,FALSE)),"",VLOOKUP(A650,LongJump!F$5:G$302,2,FALSE)))</f>
        <v/>
      </c>
      <c r="M650" s="51">
        <f>IF(B650="",0,IF(ISNA(_xlfn.XLOOKUP(A650,LongJump!F$5:F$302,LongJump!M$5:M$302)),0,_xlfn.XLOOKUP(A650,LongJump!F$5:F$302,LongJump!M$5:M$302)))</f>
        <v>0</v>
      </c>
      <c r="N650" s="51">
        <f>IF(B650="",0,IF(ISNA(VLOOKUP(A650,LongJump!F$5:K$302,5,FALSE)),0,VLOOKUP(A650,LongJump!F$5:K$302,5,FALSE)))</f>
        <v>0</v>
      </c>
      <c r="O650" s="51" t="str">
        <f>IF(B650="","",IF(ISNA(VLOOKUP(A650,Vortex!F$5:J$302,2,FALSE)),"",VLOOKUP(A650,Vortex!F$5:J$302,2,FALSE)))</f>
        <v/>
      </c>
      <c r="P650" s="51">
        <f>IF(B650="",0,IF(ISNA(_xlfn.XLOOKUP(A650,Vortex!F$5:F$302,Vortex!M$5:M$302)),0,_xlfn.XLOOKUP(A650,Vortex!F$5:F$302,Vortex!M$5:M$302)))</f>
        <v>0</v>
      </c>
      <c r="Q650" s="51">
        <f t="shared" si="73"/>
        <v>0</v>
      </c>
      <c r="R650" s="51" t="str">
        <f t="shared" si="74"/>
        <v/>
      </c>
      <c r="S650" s="51" t="str">
        <f t="shared" si="75"/>
        <v/>
      </c>
      <c r="T650" s="51" t="str">
        <f t="shared" si="76"/>
        <v/>
      </c>
      <c r="U650" s="51" t="str">
        <f t="shared" si="77"/>
        <v/>
      </c>
    </row>
    <row r="651" spans="1:21">
      <c r="A651" s="51" t="str">
        <f>IF(Declarations!B279=0,"",Declarations!B279)</f>
        <v/>
      </c>
      <c r="B651" s="161" t="str">
        <f>IF(ISNA(VLOOKUP(A651,Declarations!B$6:C$293,2,FALSE)),"",IF(VLOOKUP(A651,Declarations!B$6:C$293,2,FALSE)="","",VLOOKUP(A651,Declarations!B$6:C$293,2,FALSE)))</f>
        <v/>
      </c>
      <c r="C651" s="161" t="str">
        <f>IF(ISNA(VLOOKUP(A651,Declarations!B$6:F$293,5,FALSE)),"",IF(VLOOKUP(A651,Declarations!B$6:F$293,5,FALSE)="","",VLOOKUP(A651,Declarations!B$6:F$293,5,FALSE)))</f>
        <v/>
      </c>
      <c r="D651" s="161" t="str">
        <f>IF(ISNA(VLOOKUP(A651,Declarations!B$6:F$293,4,FALSE)),"",IF(VLOOKUP(A651,Declarations!B$6:F$293,4,FALSE)="","",VLOOKUP(A651,Declarations!B$6:F$293,4,FALSE)))</f>
        <v/>
      </c>
      <c r="E651" s="161" t="str">
        <f>IF(ISNA(VLOOKUP(A651,Declarations!B$6:D$293,3,FALSE)),"",IF(VLOOKUP(A651,Declarations!B$6:D$293,3,FALSE)="","",VLOOKUP(A651,Declarations!B$6:D$293,3,FALSE)))</f>
        <v/>
      </c>
      <c r="F651" s="51" t="str">
        <f>IF(B651="","",IF(ISNA(VLOOKUP(A651,'75m'!F$5:G$302,2,FALSE)),"",VLOOKUP(A651,'75m'!F$5:G$302,2,FALSE)))</f>
        <v/>
      </c>
      <c r="G651" s="51">
        <f>IF(B651="",0,IF(ISNA(_xlfn.XLOOKUP(A651,'75m'!F$5:F$302,'75m'!M$5:M$302)),0,_xlfn.XLOOKUP(A651,'75m'!F$5:F$302,'75m'!M$5:M$302)))</f>
        <v>0</v>
      </c>
      <c r="H651" s="51" t="str">
        <f>IF(B651="","",IF(ISNA(VLOOKUP(A651,'75m'!F$5:K$302,5,FALSE)),"",VLOOKUP(A651,'75m'!F$5:K$302,5,FALSE)))</f>
        <v/>
      </c>
      <c r="I651" s="53">
        <f>IF(B651="",0,IF(ISNA(VLOOKUP(A651,'600m'!F$5:J$302,2,FALSE)),0,VLOOKUP(A651,'600m'!F$5:J$302,2,FALSE)))</f>
        <v>0</v>
      </c>
      <c r="J651" s="51">
        <f>IF(B651="",0,IF(ISNA(_xlfn.XLOOKUP(A651,'600m'!F$5:F$302,'600m'!M$5:M$302)),0,_xlfn.XLOOKUP(A651,'600m'!F$5:F$302,'600m'!M$5:M$302)))</f>
        <v>0</v>
      </c>
      <c r="K651" s="51" t="str">
        <f>IF(B651="","",IF(ISNA(VLOOKUP(A651,'600m'!F$5:K$302,5,FALSE)),"",VLOOKUP(A651,'600m'!F$5:K$302,5,FALSE)))</f>
        <v/>
      </c>
      <c r="L651" s="51" t="str">
        <f>IF(B651="","",IF(ISNA(VLOOKUP(A651,LongJump!F$5:G$302,2,FALSE)),"",VLOOKUP(A651,LongJump!F$5:G$302,2,FALSE)))</f>
        <v/>
      </c>
      <c r="M651" s="51">
        <f>IF(B651="",0,IF(ISNA(_xlfn.XLOOKUP(A651,LongJump!F$5:F$302,LongJump!M$5:M$302)),0,_xlfn.XLOOKUP(A651,LongJump!F$5:F$302,LongJump!M$5:M$302)))</f>
        <v>0</v>
      </c>
      <c r="N651" s="51">
        <f>IF(B651="",0,IF(ISNA(VLOOKUP(A651,LongJump!F$5:K$302,5,FALSE)),0,VLOOKUP(A651,LongJump!F$5:K$302,5,FALSE)))</f>
        <v>0</v>
      </c>
      <c r="O651" s="51" t="str">
        <f>IF(B651="","",IF(ISNA(VLOOKUP(A651,Vortex!F$5:J$302,2,FALSE)),"",VLOOKUP(A651,Vortex!F$5:J$302,2,FALSE)))</f>
        <v/>
      </c>
      <c r="P651" s="51">
        <f>IF(B651="",0,IF(ISNA(_xlfn.XLOOKUP(A651,Vortex!F$5:F$302,Vortex!M$5:M$302)),0,_xlfn.XLOOKUP(A651,Vortex!F$5:F$302,Vortex!M$5:M$302)))</f>
        <v>0</v>
      </c>
      <c r="Q651" s="51">
        <f t="shared" si="73"/>
        <v>0</v>
      </c>
      <c r="R651" s="51" t="str">
        <f t="shared" si="74"/>
        <v/>
      </c>
      <c r="S651" s="51" t="str">
        <f t="shared" si="75"/>
        <v/>
      </c>
      <c r="T651" s="51" t="str">
        <f t="shared" si="76"/>
        <v/>
      </c>
      <c r="U651" s="51" t="str">
        <f t="shared" si="77"/>
        <v/>
      </c>
    </row>
    <row r="652" spans="1:21">
      <c r="A652" s="51" t="str">
        <f>IF(Declarations!B280=0,"",Declarations!B280)</f>
        <v/>
      </c>
      <c r="B652" s="161" t="str">
        <f>IF(ISNA(VLOOKUP(A652,Declarations!B$6:C$293,2,FALSE)),"",IF(VLOOKUP(A652,Declarations!B$6:C$293,2,FALSE)="","",VLOOKUP(A652,Declarations!B$6:C$293,2,FALSE)))</f>
        <v/>
      </c>
      <c r="C652" s="161" t="str">
        <f>IF(ISNA(VLOOKUP(A652,Declarations!B$6:F$293,5,FALSE)),"",IF(VLOOKUP(A652,Declarations!B$6:F$293,5,FALSE)="","",VLOOKUP(A652,Declarations!B$6:F$293,5,FALSE)))</f>
        <v/>
      </c>
      <c r="D652" s="161" t="str">
        <f>IF(ISNA(VLOOKUP(A652,Declarations!B$6:F$293,4,FALSE)),"",IF(VLOOKUP(A652,Declarations!B$6:F$293,4,FALSE)="","",VLOOKUP(A652,Declarations!B$6:F$293,4,FALSE)))</f>
        <v/>
      </c>
      <c r="E652" s="161" t="str">
        <f>IF(ISNA(VLOOKUP(A652,Declarations!B$6:D$293,3,FALSE)),"",IF(VLOOKUP(A652,Declarations!B$6:D$293,3,FALSE)="","",VLOOKUP(A652,Declarations!B$6:D$293,3,FALSE)))</f>
        <v/>
      </c>
      <c r="F652" s="51" t="str">
        <f>IF(B652="","",IF(ISNA(VLOOKUP(A652,'75m'!F$5:G$302,2,FALSE)),"",VLOOKUP(A652,'75m'!F$5:G$302,2,FALSE)))</f>
        <v/>
      </c>
      <c r="G652" s="51">
        <f>IF(B652="",0,IF(ISNA(_xlfn.XLOOKUP(A652,'75m'!F$5:F$302,'75m'!M$5:M$302)),0,_xlfn.XLOOKUP(A652,'75m'!F$5:F$302,'75m'!M$5:M$302)))</f>
        <v>0</v>
      </c>
      <c r="H652" s="51" t="str">
        <f>IF(B652="","",IF(ISNA(VLOOKUP(A652,'75m'!F$5:K$302,5,FALSE)),"",VLOOKUP(A652,'75m'!F$5:K$302,5,FALSE)))</f>
        <v/>
      </c>
      <c r="I652" s="53">
        <f>IF(B652="",0,IF(ISNA(VLOOKUP(A652,'600m'!F$5:J$302,2,FALSE)),0,VLOOKUP(A652,'600m'!F$5:J$302,2,FALSE)))</f>
        <v>0</v>
      </c>
      <c r="J652" s="51">
        <f>IF(B652="",0,IF(ISNA(_xlfn.XLOOKUP(A652,'600m'!F$5:F$302,'600m'!M$5:M$302)),0,_xlfn.XLOOKUP(A652,'600m'!F$5:F$302,'600m'!M$5:M$302)))</f>
        <v>0</v>
      </c>
      <c r="K652" s="51" t="str">
        <f>IF(B652="","",IF(ISNA(VLOOKUP(A652,'600m'!F$5:K$302,5,FALSE)),"",VLOOKUP(A652,'600m'!F$5:K$302,5,FALSE)))</f>
        <v/>
      </c>
      <c r="L652" s="51" t="str">
        <f>IF(B652="","",IF(ISNA(VLOOKUP(A652,LongJump!F$5:G$302,2,FALSE)),"",VLOOKUP(A652,LongJump!F$5:G$302,2,FALSE)))</f>
        <v/>
      </c>
      <c r="M652" s="51">
        <f>IF(B652="",0,IF(ISNA(_xlfn.XLOOKUP(A652,LongJump!F$5:F$302,LongJump!M$5:M$302)),0,_xlfn.XLOOKUP(A652,LongJump!F$5:F$302,LongJump!M$5:M$302)))</f>
        <v>0</v>
      </c>
      <c r="N652" s="51">
        <f>IF(B652="",0,IF(ISNA(VLOOKUP(A652,LongJump!F$5:K$302,5,FALSE)),0,VLOOKUP(A652,LongJump!F$5:K$302,5,FALSE)))</f>
        <v>0</v>
      </c>
      <c r="O652" s="51" t="str">
        <f>IF(B652="","",IF(ISNA(VLOOKUP(A652,Vortex!F$5:J$302,2,FALSE)),"",VLOOKUP(A652,Vortex!F$5:J$302,2,FALSE)))</f>
        <v/>
      </c>
      <c r="P652" s="51">
        <f>IF(B652="",0,IF(ISNA(_xlfn.XLOOKUP(A652,Vortex!F$5:F$302,Vortex!M$5:M$302)),0,_xlfn.XLOOKUP(A652,Vortex!F$5:F$302,Vortex!M$5:M$302)))</f>
        <v>0</v>
      </c>
      <c r="Q652" s="51">
        <f t="shared" si="73"/>
        <v>0</v>
      </c>
      <c r="R652" s="51" t="str">
        <f t="shared" si="74"/>
        <v/>
      </c>
      <c r="S652" s="51" t="str">
        <f t="shared" si="75"/>
        <v/>
      </c>
      <c r="T652" s="51" t="str">
        <f t="shared" si="76"/>
        <v/>
      </c>
      <c r="U652" s="51" t="str">
        <f t="shared" si="77"/>
        <v/>
      </c>
    </row>
    <row r="653" spans="1:21">
      <c r="A653" s="51" t="str">
        <f>IF(Declarations!B281=0,"",Declarations!B281)</f>
        <v/>
      </c>
      <c r="B653" s="161" t="str">
        <f>IF(ISNA(VLOOKUP(A653,Declarations!B$6:C$293,2,FALSE)),"",IF(VLOOKUP(A653,Declarations!B$6:C$293,2,FALSE)="","",VLOOKUP(A653,Declarations!B$6:C$293,2,FALSE)))</f>
        <v/>
      </c>
      <c r="C653" s="161" t="str">
        <f>IF(ISNA(VLOOKUP(A653,Declarations!B$6:F$293,5,FALSE)),"",IF(VLOOKUP(A653,Declarations!B$6:F$293,5,FALSE)="","",VLOOKUP(A653,Declarations!B$6:F$293,5,FALSE)))</f>
        <v/>
      </c>
      <c r="D653" s="161" t="str">
        <f>IF(ISNA(VLOOKUP(A653,Declarations!B$6:F$293,4,FALSE)),"",IF(VLOOKUP(A653,Declarations!B$6:F$293,4,FALSE)="","",VLOOKUP(A653,Declarations!B$6:F$293,4,FALSE)))</f>
        <v/>
      </c>
      <c r="E653" s="161" t="str">
        <f>IF(ISNA(VLOOKUP(A653,Declarations!B$6:D$293,3,FALSE)),"",IF(VLOOKUP(A653,Declarations!B$6:D$293,3,FALSE)="","",VLOOKUP(A653,Declarations!B$6:D$293,3,FALSE)))</f>
        <v/>
      </c>
      <c r="F653" s="51" t="str">
        <f>IF(B653="","",IF(ISNA(VLOOKUP(A653,'75m'!F$5:G$302,2,FALSE)),"",VLOOKUP(A653,'75m'!F$5:G$302,2,FALSE)))</f>
        <v/>
      </c>
      <c r="G653" s="51">
        <f>IF(B653="",0,IF(ISNA(_xlfn.XLOOKUP(A653,'75m'!F$5:F$302,'75m'!M$5:M$302)),0,_xlfn.XLOOKUP(A653,'75m'!F$5:F$302,'75m'!M$5:M$302)))</f>
        <v>0</v>
      </c>
      <c r="H653" s="51" t="str">
        <f>IF(B653="","",IF(ISNA(VLOOKUP(A653,'75m'!F$5:K$302,5,FALSE)),"",VLOOKUP(A653,'75m'!F$5:K$302,5,FALSE)))</f>
        <v/>
      </c>
      <c r="I653" s="53">
        <f>IF(B653="",0,IF(ISNA(VLOOKUP(A653,'600m'!F$5:J$302,2,FALSE)),0,VLOOKUP(A653,'600m'!F$5:J$302,2,FALSE)))</f>
        <v>0</v>
      </c>
      <c r="J653" s="51">
        <f>IF(B653="",0,IF(ISNA(_xlfn.XLOOKUP(A653,'600m'!F$5:F$302,'600m'!M$5:M$302)),0,_xlfn.XLOOKUP(A653,'600m'!F$5:F$302,'600m'!M$5:M$302)))</f>
        <v>0</v>
      </c>
      <c r="K653" s="51" t="str">
        <f>IF(B653="","",IF(ISNA(VLOOKUP(A653,'600m'!F$5:K$302,5,FALSE)),"",VLOOKUP(A653,'600m'!F$5:K$302,5,FALSE)))</f>
        <v/>
      </c>
      <c r="L653" s="51" t="str">
        <f>IF(B653="","",IF(ISNA(VLOOKUP(A653,LongJump!F$5:G$302,2,FALSE)),"",VLOOKUP(A653,LongJump!F$5:G$302,2,FALSE)))</f>
        <v/>
      </c>
      <c r="M653" s="51">
        <f>IF(B653="",0,IF(ISNA(_xlfn.XLOOKUP(A653,LongJump!F$5:F$302,LongJump!M$5:M$302)),0,_xlfn.XLOOKUP(A653,LongJump!F$5:F$302,LongJump!M$5:M$302)))</f>
        <v>0</v>
      </c>
      <c r="N653" s="51">
        <f>IF(B653="",0,IF(ISNA(VLOOKUP(A653,LongJump!F$5:K$302,5,FALSE)),0,VLOOKUP(A653,LongJump!F$5:K$302,5,FALSE)))</f>
        <v>0</v>
      </c>
      <c r="O653" s="51" t="str">
        <f>IF(B653="","",IF(ISNA(VLOOKUP(A653,Vortex!F$5:J$302,2,FALSE)),"",VLOOKUP(A653,Vortex!F$5:J$302,2,FALSE)))</f>
        <v/>
      </c>
      <c r="P653" s="51">
        <f>IF(B653="",0,IF(ISNA(_xlfn.XLOOKUP(A653,Vortex!F$5:F$302,Vortex!M$5:M$302)),0,_xlfn.XLOOKUP(A653,Vortex!F$5:F$302,Vortex!M$5:M$302)))</f>
        <v>0</v>
      </c>
      <c r="Q653" s="51">
        <f t="shared" si="73"/>
        <v>0</v>
      </c>
      <c r="R653" s="51" t="str">
        <f t="shared" si="74"/>
        <v/>
      </c>
      <c r="S653" s="51" t="str">
        <f t="shared" si="75"/>
        <v/>
      </c>
      <c r="T653" s="51" t="str">
        <f t="shared" si="76"/>
        <v/>
      </c>
      <c r="U653" s="51" t="str">
        <f t="shared" si="77"/>
        <v/>
      </c>
    </row>
    <row r="654" spans="1:21">
      <c r="A654" s="51" t="str">
        <f>IF(Declarations!B282=0,"",Declarations!B282)</f>
        <v/>
      </c>
      <c r="B654" s="161" t="str">
        <f>IF(ISNA(VLOOKUP(A654,Declarations!B$6:C$293,2,FALSE)),"",IF(VLOOKUP(A654,Declarations!B$6:C$293,2,FALSE)="","",VLOOKUP(A654,Declarations!B$6:C$293,2,FALSE)))</f>
        <v/>
      </c>
      <c r="C654" s="161" t="str">
        <f>IF(ISNA(VLOOKUP(A654,Declarations!B$6:F$293,5,FALSE)),"",IF(VLOOKUP(A654,Declarations!B$6:F$293,5,FALSE)="","",VLOOKUP(A654,Declarations!B$6:F$293,5,FALSE)))</f>
        <v/>
      </c>
      <c r="D654" s="161" t="str">
        <f>IF(ISNA(VLOOKUP(A654,Declarations!B$6:F$293,4,FALSE)),"",IF(VLOOKUP(A654,Declarations!B$6:F$293,4,FALSE)="","",VLOOKUP(A654,Declarations!B$6:F$293,4,FALSE)))</f>
        <v/>
      </c>
      <c r="E654" s="161" t="str">
        <f>IF(ISNA(VLOOKUP(A654,Declarations!B$6:D$293,3,FALSE)),"",IF(VLOOKUP(A654,Declarations!B$6:D$293,3,FALSE)="","",VLOOKUP(A654,Declarations!B$6:D$293,3,FALSE)))</f>
        <v/>
      </c>
      <c r="F654" s="51" t="str">
        <f>IF(B654="","",IF(ISNA(VLOOKUP(A654,'75m'!F$5:G$302,2,FALSE)),"",VLOOKUP(A654,'75m'!F$5:G$302,2,FALSE)))</f>
        <v/>
      </c>
      <c r="G654" s="51">
        <f>IF(B654="",0,IF(ISNA(_xlfn.XLOOKUP(A654,'75m'!F$5:F$302,'75m'!M$5:M$302)),0,_xlfn.XLOOKUP(A654,'75m'!F$5:F$302,'75m'!M$5:M$302)))</f>
        <v>0</v>
      </c>
      <c r="H654" s="51" t="str">
        <f>IF(B654="","",IF(ISNA(VLOOKUP(A654,'75m'!F$5:K$302,5,FALSE)),"",VLOOKUP(A654,'75m'!F$5:K$302,5,FALSE)))</f>
        <v/>
      </c>
      <c r="I654" s="53">
        <f>IF(B654="",0,IF(ISNA(VLOOKUP(A654,'600m'!F$5:J$302,2,FALSE)),0,VLOOKUP(A654,'600m'!F$5:J$302,2,FALSE)))</f>
        <v>0</v>
      </c>
      <c r="J654" s="51">
        <f>IF(B654="",0,IF(ISNA(_xlfn.XLOOKUP(A654,'600m'!F$5:F$302,'600m'!M$5:M$302)),0,_xlfn.XLOOKUP(A654,'600m'!F$5:F$302,'600m'!M$5:M$302)))</f>
        <v>0</v>
      </c>
      <c r="K654" s="51" t="str">
        <f>IF(B654="","",IF(ISNA(VLOOKUP(A654,'600m'!F$5:K$302,5,FALSE)),"",VLOOKUP(A654,'600m'!F$5:K$302,5,FALSE)))</f>
        <v/>
      </c>
      <c r="L654" s="51" t="str">
        <f>IF(B654="","",IF(ISNA(VLOOKUP(A654,LongJump!F$5:G$302,2,FALSE)),"",VLOOKUP(A654,LongJump!F$5:G$302,2,FALSE)))</f>
        <v/>
      </c>
      <c r="M654" s="51">
        <f>IF(B654="",0,IF(ISNA(_xlfn.XLOOKUP(A654,LongJump!F$5:F$302,LongJump!M$5:M$302)),0,_xlfn.XLOOKUP(A654,LongJump!F$5:F$302,LongJump!M$5:M$302)))</f>
        <v>0</v>
      </c>
      <c r="N654" s="51">
        <f>IF(B654="",0,IF(ISNA(VLOOKUP(A654,LongJump!F$5:K$302,5,FALSE)),0,VLOOKUP(A654,LongJump!F$5:K$302,5,FALSE)))</f>
        <v>0</v>
      </c>
      <c r="O654" s="51" t="str">
        <f>IF(B654="","",IF(ISNA(VLOOKUP(A654,Vortex!F$5:J$302,2,FALSE)),"",VLOOKUP(A654,Vortex!F$5:J$302,2,FALSE)))</f>
        <v/>
      </c>
      <c r="P654" s="51">
        <f>IF(B654="",0,IF(ISNA(_xlfn.XLOOKUP(A654,Vortex!F$5:F$302,Vortex!M$5:M$302)),0,_xlfn.XLOOKUP(A654,Vortex!F$5:F$302,Vortex!M$5:M$302)))</f>
        <v>0</v>
      </c>
      <c r="Q654" s="51">
        <f t="shared" si="73"/>
        <v>0</v>
      </c>
      <c r="R654" s="51" t="str">
        <f t="shared" si="74"/>
        <v/>
      </c>
      <c r="S654" s="51" t="str">
        <f t="shared" si="75"/>
        <v/>
      </c>
      <c r="T654" s="51" t="str">
        <f t="shared" si="76"/>
        <v/>
      </c>
      <c r="U654" s="51" t="str">
        <f t="shared" si="77"/>
        <v/>
      </c>
    </row>
    <row r="655" spans="1:21">
      <c r="A655" s="51" t="str">
        <f>IF(Declarations!B283=0,"",Declarations!B283)</f>
        <v/>
      </c>
      <c r="B655" s="161" t="str">
        <f>IF(ISNA(VLOOKUP(A655,Declarations!B$6:C$293,2,FALSE)),"",IF(VLOOKUP(A655,Declarations!B$6:C$293,2,FALSE)="","",VLOOKUP(A655,Declarations!B$6:C$293,2,FALSE)))</f>
        <v/>
      </c>
      <c r="C655" s="161" t="str">
        <f>IF(ISNA(VLOOKUP(A655,Declarations!B$6:F$293,5,FALSE)),"",IF(VLOOKUP(A655,Declarations!B$6:F$293,5,FALSE)="","",VLOOKUP(A655,Declarations!B$6:F$293,5,FALSE)))</f>
        <v/>
      </c>
      <c r="D655" s="161" t="str">
        <f>IF(ISNA(VLOOKUP(A655,Declarations!B$6:F$293,4,FALSE)),"",IF(VLOOKUP(A655,Declarations!B$6:F$293,4,FALSE)="","",VLOOKUP(A655,Declarations!B$6:F$293,4,FALSE)))</f>
        <v/>
      </c>
      <c r="E655" s="161" t="str">
        <f>IF(ISNA(VLOOKUP(A655,Declarations!B$6:D$293,3,FALSE)),"",IF(VLOOKUP(A655,Declarations!B$6:D$293,3,FALSE)="","",VLOOKUP(A655,Declarations!B$6:D$293,3,FALSE)))</f>
        <v/>
      </c>
      <c r="F655" s="51" t="str">
        <f>IF(B655="","",IF(ISNA(VLOOKUP(A655,'75m'!F$5:G$302,2,FALSE)),"",VLOOKUP(A655,'75m'!F$5:G$302,2,FALSE)))</f>
        <v/>
      </c>
      <c r="G655" s="51">
        <f>IF(B655="",0,IF(ISNA(_xlfn.XLOOKUP(A655,'75m'!F$5:F$302,'75m'!M$5:M$302)),0,_xlfn.XLOOKUP(A655,'75m'!F$5:F$302,'75m'!M$5:M$302)))</f>
        <v>0</v>
      </c>
      <c r="H655" s="51" t="str">
        <f>IF(B655="","",IF(ISNA(VLOOKUP(A655,'75m'!F$5:K$302,5,FALSE)),"",VLOOKUP(A655,'75m'!F$5:K$302,5,FALSE)))</f>
        <v/>
      </c>
      <c r="I655" s="53">
        <f>IF(B655="",0,IF(ISNA(VLOOKUP(A655,'600m'!F$5:J$302,2,FALSE)),0,VLOOKUP(A655,'600m'!F$5:J$302,2,FALSE)))</f>
        <v>0</v>
      </c>
      <c r="J655" s="51">
        <f>IF(B655="",0,IF(ISNA(_xlfn.XLOOKUP(A655,'600m'!F$5:F$302,'600m'!M$5:M$302)),0,_xlfn.XLOOKUP(A655,'600m'!F$5:F$302,'600m'!M$5:M$302)))</f>
        <v>0</v>
      </c>
      <c r="K655" s="51" t="str">
        <f>IF(B655="","",IF(ISNA(VLOOKUP(A655,'600m'!F$5:K$302,5,FALSE)),"",VLOOKUP(A655,'600m'!F$5:K$302,5,FALSE)))</f>
        <v/>
      </c>
      <c r="L655" s="51" t="str">
        <f>IF(B655="","",IF(ISNA(VLOOKUP(A655,LongJump!F$5:G$302,2,FALSE)),"",VLOOKUP(A655,LongJump!F$5:G$302,2,FALSE)))</f>
        <v/>
      </c>
      <c r="M655" s="51">
        <f>IF(B655="",0,IF(ISNA(_xlfn.XLOOKUP(A655,LongJump!F$5:F$302,LongJump!M$5:M$302)),0,_xlfn.XLOOKUP(A655,LongJump!F$5:F$302,LongJump!M$5:M$302)))</f>
        <v>0</v>
      </c>
      <c r="N655" s="51">
        <f>IF(B655="",0,IF(ISNA(VLOOKUP(A655,LongJump!F$5:K$302,5,FALSE)),0,VLOOKUP(A655,LongJump!F$5:K$302,5,FALSE)))</f>
        <v>0</v>
      </c>
      <c r="O655" s="51" t="str">
        <f>IF(B655="","",IF(ISNA(VLOOKUP(A655,Vortex!F$5:J$302,2,FALSE)),"",VLOOKUP(A655,Vortex!F$5:J$302,2,FALSE)))</f>
        <v/>
      </c>
      <c r="P655" s="51">
        <f>IF(B655="",0,IF(ISNA(_xlfn.XLOOKUP(A655,Vortex!F$5:F$302,Vortex!M$5:M$302)),0,_xlfn.XLOOKUP(A655,Vortex!F$5:F$302,Vortex!M$5:M$302)))</f>
        <v>0</v>
      </c>
      <c r="Q655" s="51">
        <f t="shared" si="73"/>
        <v>0</v>
      </c>
      <c r="R655" s="51" t="str">
        <f t="shared" si="74"/>
        <v/>
      </c>
      <c r="S655" s="51" t="str">
        <f t="shared" si="75"/>
        <v/>
      </c>
      <c r="T655" s="51" t="str">
        <f t="shared" si="76"/>
        <v/>
      </c>
      <c r="U655" s="51" t="str">
        <f t="shared" si="77"/>
        <v/>
      </c>
    </row>
    <row r="656" spans="1:21">
      <c r="A656" s="51" t="str">
        <f>IF(Declarations!B284=0,"",Declarations!B284)</f>
        <v/>
      </c>
      <c r="B656" s="161" t="str">
        <f>IF(ISNA(VLOOKUP(A656,Declarations!B$6:C$293,2,FALSE)),"",IF(VLOOKUP(A656,Declarations!B$6:C$293,2,FALSE)="","",VLOOKUP(A656,Declarations!B$6:C$293,2,FALSE)))</f>
        <v/>
      </c>
      <c r="C656" s="161" t="str">
        <f>IF(ISNA(VLOOKUP(A656,Declarations!B$6:F$293,5,FALSE)),"",IF(VLOOKUP(A656,Declarations!B$6:F$293,5,FALSE)="","",VLOOKUP(A656,Declarations!B$6:F$293,5,FALSE)))</f>
        <v/>
      </c>
      <c r="D656" s="161" t="str">
        <f>IF(ISNA(VLOOKUP(A656,Declarations!B$6:F$293,4,FALSE)),"",IF(VLOOKUP(A656,Declarations!B$6:F$293,4,FALSE)="","",VLOOKUP(A656,Declarations!B$6:F$293,4,FALSE)))</f>
        <v/>
      </c>
      <c r="E656" s="161" t="str">
        <f>IF(ISNA(VLOOKUP(A656,Declarations!B$6:D$293,3,FALSE)),"",IF(VLOOKUP(A656,Declarations!B$6:D$293,3,FALSE)="","",VLOOKUP(A656,Declarations!B$6:D$293,3,FALSE)))</f>
        <v/>
      </c>
      <c r="F656" s="51" t="str">
        <f>IF(B656="","",IF(ISNA(VLOOKUP(A656,'75m'!F$5:G$302,2,FALSE)),"",VLOOKUP(A656,'75m'!F$5:G$302,2,FALSE)))</f>
        <v/>
      </c>
      <c r="G656" s="51">
        <f>IF(B656="",0,IF(ISNA(_xlfn.XLOOKUP(A656,'75m'!F$5:F$302,'75m'!M$5:M$302)),0,_xlfn.XLOOKUP(A656,'75m'!F$5:F$302,'75m'!M$5:M$302)))</f>
        <v>0</v>
      </c>
      <c r="H656" s="51" t="str">
        <f>IF(B656="","",IF(ISNA(VLOOKUP(A656,'75m'!F$5:K$302,5,FALSE)),"",VLOOKUP(A656,'75m'!F$5:K$302,5,FALSE)))</f>
        <v/>
      </c>
      <c r="I656" s="53">
        <f>IF(B656="",0,IF(ISNA(VLOOKUP(A656,'600m'!F$5:J$302,2,FALSE)),0,VLOOKUP(A656,'600m'!F$5:J$302,2,FALSE)))</f>
        <v>0</v>
      </c>
      <c r="J656" s="51">
        <f>IF(B656="",0,IF(ISNA(_xlfn.XLOOKUP(A656,'600m'!F$5:F$302,'600m'!M$5:M$302)),0,_xlfn.XLOOKUP(A656,'600m'!F$5:F$302,'600m'!M$5:M$302)))</f>
        <v>0</v>
      </c>
      <c r="K656" s="51" t="str">
        <f>IF(B656="","",IF(ISNA(VLOOKUP(A656,'600m'!F$5:K$302,5,FALSE)),"",VLOOKUP(A656,'600m'!F$5:K$302,5,FALSE)))</f>
        <v/>
      </c>
      <c r="L656" s="51" t="str">
        <f>IF(B656="","",IF(ISNA(VLOOKUP(A656,LongJump!F$5:G$302,2,FALSE)),"",VLOOKUP(A656,LongJump!F$5:G$302,2,FALSE)))</f>
        <v/>
      </c>
      <c r="M656" s="51">
        <f>IF(B656="",0,IF(ISNA(_xlfn.XLOOKUP(A656,LongJump!F$5:F$302,LongJump!M$5:M$302)),0,_xlfn.XLOOKUP(A656,LongJump!F$5:F$302,LongJump!M$5:M$302)))</f>
        <v>0</v>
      </c>
      <c r="N656" s="51">
        <f>IF(B656="",0,IF(ISNA(VLOOKUP(A656,LongJump!F$5:K$302,5,FALSE)),0,VLOOKUP(A656,LongJump!F$5:K$302,5,FALSE)))</f>
        <v>0</v>
      </c>
      <c r="O656" s="51" t="str">
        <f>IF(B656="","",IF(ISNA(VLOOKUP(A656,Vortex!F$5:J$302,2,FALSE)),"",VLOOKUP(A656,Vortex!F$5:J$302,2,FALSE)))</f>
        <v/>
      </c>
      <c r="P656" s="51">
        <f>IF(B656="",0,IF(ISNA(_xlfn.XLOOKUP(A656,Vortex!F$5:F$302,Vortex!M$5:M$302)),0,_xlfn.XLOOKUP(A656,Vortex!F$5:F$302,Vortex!M$5:M$302)))</f>
        <v>0</v>
      </c>
      <c r="Q656" s="51">
        <f t="shared" si="73"/>
        <v>0</v>
      </c>
      <c r="R656" s="51" t="str">
        <f t="shared" si="74"/>
        <v/>
      </c>
      <c r="S656" s="51" t="str">
        <f t="shared" si="75"/>
        <v/>
      </c>
      <c r="T656" s="51" t="str">
        <f t="shared" si="76"/>
        <v/>
      </c>
      <c r="U656" s="51" t="str">
        <f t="shared" si="77"/>
        <v/>
      </c>
    </row>
    <row r="657" spans="1:24">
      <c r="A657" s="51" t="str">
        <f>IF(Declarations!B285=0,"",Declarations!B285)</f>
        <v/>
      </c>
      <c r="B657" s="161" t="str">
        <f>IF(ISNA(VLOOKUP(A657,Declarations!B$6:C$293,2,FALSE)),"",IF(VLOOKUP(A657,Declarations!B$6:C$293,2,FALSE)="","",VLOOKUP(A657,Declarations!B$6:C$293,2,FALSE)))</f>
        <v/>
      </c>
      <c r="C657" s="161" t="str">
        <f>IF(ISNA(VLOOKUP(A657,Declarations!B$6:F$293,5,FALSE)),"",IF(VLOOKUP(A657,Declarations!B$6:F$293,5,FALSE)="","",VLOOKUP(A657,Declarations!B$6:F$293,5,FALSE)))</f>
        <v/>
      </c>
      <c r="D657" s="161" t="str">
        <f>IF(ISNA(VLOOKUP(A657,Declarations!B$6:F$293,4,FALSE)),"",IF(VLOOKUP(A657,Declarations!B$6:F$293,4,FALSE)="","",VLOOKUP(A657,Declarations!B$6:F$293,4,FALSE)))</f>
        <v/>
      </c>
      <c r="E657" s="161" t="str">
        <f>IF(ISNA(VLOOKUP(A657,Declarations!B$6:D$293,3,FALSE)),"",IF(VLOOKUP(A657,Declarations!B$6:D$293,3,FALSE)="","",VLOOKUP(A657,Declarations!B$6:D$293,3,FALSE)))</f>
        <v/>
      </c>
      <c r="F657" s="51" t="str">
        <f>IF(B657="","",IF(ISNA(VLOOKUP(A657,'75m'!F$5:G$302,2,FALSE)),"",VLOOKUP(A657,'75m'!F$5:G$302,2,FALSE)))</f>
        <v/>
      </c>
      <c r="G657" s="51">
        <f>IF(B657="",0,IF(ISNA(_xlfn.XLOOKUP(A657,'75m'!F$5:F$302,'75m'!M$5:M$302)),0,_xlfn.XLOOKUP(A657,'75m'!F$5:F$302,'75m'!M$5:M$302)))</f>
        <v>0</v>
      </c>
      <c r="H657" s="51" t="str">
        <f>IF(B657="","",IF(ISNA(VLOOKUP(A657,'75m'!F$5:K$302,5,FALSE)),"",VLOOKUP(A657,'75m'!F$5:K$302,5,FALSE)))</f>
        <v/>
      </c>
      <c r="I657" s="53">
        <f>IF(B657="",0,IF(ISNA(VLOOKUP(A657,'600m'!F$5:J$302,2,FALSE)),0,VLOOKUP(A657,'600m'!F$5:J$302,2,FALSE)))</f>
        <v>0</v>
      </c>
      <c r="J657" s="51">
        <f>IF(B657="",0,IF(ISNA(_xlfn.XLOOKUP(A657,'600m'!F$5:F$302,'600m'!M$5:M$302)),0,_xlfn.XLOOKUP(A657,'600m'!F$5:F$302,'600m'!M$5:M$302)))</f>
        <v>0</v>
      </c>
      <c r="K657" s="51" t="str">
        <f>IF(B657="","",IF(ISNA(VLOOKUP(A657,'600m'!F$5:K$302,5,FALSE)),"",VLOOKUP(A657,'600m'!F$5:K$302,5,FALSE)))</f>
        <v/>
      </c>
      <c r="L657" s="51" t="str">
        <f>IF(B657="","",IF(ISNA(VLOOKUP(A657,LongJump!F$5:G$302,2,FALSE)),"",VLOOKUP(A657,LongJump!F$5:G$302,2,FALSE)))</f>
        <v/>
      </c>
      <c r="M657" s="51">
        <f>IF(B657="",0,IF(ISNA(_xlfn.XLOOKUP(A657,LongJump!F$5:F$302,LongJump!M$5:M$302)),0,_xlfn.XLOOKUP(A657,LongJump!F$5:F$302,LongJump!M$5:M$302)))</f>
        <v>0</v>
      </c>
      <c r="N657" s="51">
        <f>IF(B657="",0,IF(ISNA(VLOOKUP(A657,LongJump!F$5:K$302,5,FALSE)),0,VLOOKUP(A657,LongJump!F$5:K$302,5,FALSE)))</f>
        <v>0</v>
      </c>
      <c r="O657" s="51" t="str">
        <f>IF(B657="","",IF(ISNA(VLOOKUP(A657,Vortex!F$5:J$302,2,FALSE)),"",VLOOKUP(A657,Vortex!F$5:J$302,2,FALSE)))</f>
        <v/>
      </c>
      <c r="P657" s="51">
        <f>IF(B657="",0,IF(ISNA(_xlfn.XLOOKUP(A657,Vortex!F$5:F$302,Vortex!M$5:M$302)),0,_xlfn.XLOOKUP(A657,Vortex!F$5:F$302,Vortex!M$5:M$302)))</f>
        <v>0</v>
      </c>
      <c r="Q657" s="51">
        <f t="shared" si="73"/>
        <v>0</v>
      </c>
      <c r="R657" s="51" t="str">
        <f t="shared" si="74"/>
        <v/>
      </c>
      <c r="S657" s="51" t="str">
        <f t="shared" si="75"/>
        <v/>
      </c>
      <c r="T657" s="51" t="str">
        <f t="shared" si="76"/>
        <v/>
      </c>
      <c r="U657" s="51" t="str">
        <f t="shared" si="77"/>
        <v/>
      </c>
    </row>
    <row r="658" spans="1:24">
      <c r="A658" s="51" t="str">
        <f>IF(Declarations!B286=0,"",Declarations!B286)</f>
        <v/>
      </c>
      <c r="B658" s="161" t="str">
        <f>IF(ISNA(VLOOKUP(A658,Declarations!B$6:C$293,2,FALSE)),"",IF(VLOOKUP(A658,Declarations!B$6:C$293,2,FALSE)="","",VLOOKUP(A658,Declarations!B$6:C$293,2,FALSE)))</f>
        <v/>
      </c>
      <c r="C658" s="161" t="str">
        <f>IF(ISNA(VLOOKUP(A658,Declarations!B$6:F$293,5,FALSE)),"",IF(VLOOKUP(A658,Declarations!B$6:F$293,5,FALSE)="","",VLOOKUP(A658,Declarations!B$6:F$293,5,FALSE)))</f>
        <v/>
      </c>
      <c r="D658" s="161" t="str">
        <f>IF(ISNA(VLOOKUP(A658,Declarations!B$6:F$293,4,FALSE)),"",IF(VLOOKUP(A658,Declarations!B$6:F$293,4,FALSE)="","",VLOOKUP(A658,Declarations!B$6:F$293,4,FALSE)))</f>
        <v/>
      </c>
      <c r="E658" s="161" t="str">
        <f>IF(ISNA(VLOOKUP(A658,Declarations!B$6:D$293,3,FALSE)),"",IF(VLOOKUP(A658,Declarations!B$6:D$293,3,FALSE)="","",VLOOKUP(A658,Declarations!B$6:D$293,3,FALSE)))</f>
        <v/>
      </c>
      <c r="F658" s="51" t="str">
        <f>IF(B658="","",IF(ISNA(VLOOKUP(A658,'75m'!F$5:G$302,2,FALSE)),"",VLOOKUP(A658,'75m'!F$5:G$302,2,FALSE)))</f>
        <v/>
      </c>
      <c r="G658" s="51">
        <f>IF(B658="",0,IF(ISNA(_xlfn.XLOOKUP(A658,'75m'!F$5:F$302,'75m'!M$5:M$302)),0,_xlfn.XLOOKUP(A658,'75m'!F$5:F$302,'75m'!M$5:M$302)))</f>
        <v>0</v>
      </c>
      <c r="H658" s="51" t="str">
        <f>IF(B658="","",IF(ISNA(VLOOKUP(A658,'75m'!F$5:K$302,5,FALSE)),"",VLOOKUP(A658,'75m'!F$5:K$302,5,FALSE)))</f>
        <v/>
      </c>
      <c r="I658" s="53">
        <f>IF(B658="",0,IF(ISNA(VLOOKUP(A658,'600m'!F$5:J$302,2,FALSE)),0,VLOOKUP(A658,'600m'!F$5:J$302,2,FALSE)))</f>
        <v>0</v>
      </c>
      <c r="J658" s="51">
        <f>IF(B658="",0,IF(ISNA(_xlfn.XLOOKUP(A658,'600m'!F$5:F$302,'600m'!M$5:M$302)),0,_xlfn.XLOOKUP(A658,'600m'!F$5:F$302,'600m'!M$5:M$302)))</f>
        <v>0</v>
      </c>
      <c r="K658" s="51" t="str">
        <f>IF(B658="","",IF(ISNA(VLOOKUP(A658,'600m'!F$5:K$302,5,FALSE)),"",VLOOKUP(A658,'600m'!F$5:K$302,5,FALSE)))</f>
        <v/>
      </c>
      <c r="L658" s="51" t="str">
        <f>IF(B658="","",IF(ISNA(VLOOKUP(A658,LongJump!F$5:G$302,2,FALSE)),"",VLOOKUP(A658,LongJump!F$5:G$302,2,FALSE)))</f>
        <v/>
      </c>
      <c r="M658" s="51">
        <f>IF(B658="",0,IF(ISNA(_xlfn.XLOOKUP(A658,LongJump!F$5:F$302,LongJump!M$5:M$302)),0,_xlfn.XLOOKUP(A658,LongJump!F$5:F$302,LongJump!M$5:M$302)))</f>
        <v>0</v>
      </c>
      <c r="N658" s="51">
        <f>IF(B658="",0,IF(ISNA(VLOOKUP(A658,LongJump!F$5:K$302,5,FALSE)),0,VLOOKUP(A658,LongJump!F$5:K$302,5,FALSE)))</f>
        <v>0</v>
      </c>
      <c r="O658" s="51" t="str">
        <f>IF(B658="","",IF(ISNA(VLOOKUP(A658,Vortex!F$5:J$302,2,FALSE)),"",VLOOKUP(A658,Vortex!F$5:J$302,2,FALSE)))</f>
        <v/>
      </c>
      <c r="P658" s="51">
        <f>IF(B658="",0,IF(ISNA(_xlfn.XLOOKUP(A658,Vortex!F$5:F$302,Vortex!M$5:M$302)),0,_xlfn.XLOOKUP(A658,Vortex!F$5:F$302,Vortex!M$5:M$302)))</f>
        <v>0</v>
      </c>
      <c r="Q658" s="51">
        <f t="shared" si="73"/>
        <v>0</v>
      </c>
      <c r="R658" s="51" t="str">
        <f t="shared" si="74"/>
        <v/>
      </c>
      <c r="S658" s="51" t="str">
        <f t="shared" si="75"/>
        <v/>
      </c>
      <c r="T658" s="51" t="str">
        <f t="shared" si="76"/>
        <v/>
      </c>
      <c r="U658" s="51" t="str">
        <f t="shared" si="77"/>
        <v/>
      </c>
    </row>
    <row r="659" spans="1:24">
      <c r="A659" s="51" t="str">
        <f>IF(Declarations!B287=0,"",Declarations!B287)</f>
        <v/>
      </c>
      <c r="B659" s="161" t="str">
        <f>IF(ISNA(VLOOKUP(A659,Declarations!B$6:C$293,2,FALSE)),"",IF(VLOOKUP(A659,Declarations!B$6:C$293,2,FALSE)="","",VLOOKUP(A659,Declarations!B$6:C$293,2,FALSE)))</f>
        <v/>
      </c>
      <c r="C659" s="161" t="str">
        <f>IF(ISNA(VLOOKUP(A659,Declarations!B$6:F$293,5,FALSE)),"",IF(VLOOKUP(A659,Declarations!B$6:F$293,5,FALSE)="","",VLOOKUP(A659,Declarations!B$6:F$293,5,FALSE)))</f>
        <v/>
      </c>
      <c r="D659" s="161" t="str">
        <f>IF(ISNA(VLOOKUP(A659,Declarations!B$6:F$293,4,FALSE)),"",IF(VLOOKUP(A659,Declarations!B$6:F$293,4,FALSE)="","",VLOOKUP(A659,Declarations!B$6:F$293,4,FALSE)))</f>
        <v/>
      </c>
      <c r="E659" s="161" t="str">
        <f>IF(ISNA(VLOOKUP(A659,Declarations!B$6:D$293,3,FALSE)),"",IF(VLOOKUP(A659,Declarations!B$6:D$293,3,FALSE)="","",VLOOKUP(A659,Declarations!B$6:D$293,3,FALSE)))</f>
        <v/>
      </c>
      <c r="F659" s="51" t="str">
        <f>IF(B659="","",IF(ISNA(VLOOKUP(A659,'75m'!F$5:G$302,2,FALSE)),"",VLOOKUP(A659,'75m'!F$5:G$302,2,FALSE)))</f>
        <v/>
      </c>
      <c r="G659" s="51">
        <f>IF(B659="",0,IF(ISNA(_xlfn.XLOOKUP(A659,'75m'!F$5:F$302,'75m'!M$5:M$302)),0,_xlfn.XLOOKUP(A659,'75m'!F$5:F$302,'75m'!M$5:M$302)))</f>
        <v>0</v>
      </c>
      <c r="H659" s="51" t="str">
        <f>IF(B659="","",IF(ISNA(VLOOKUP(A659,'75m'!F$5:K$302,5,FALSE)),"",VLOOKUP(A659,'75m'!F$5:K$302,5,FALSE)))</f>
        <v/>
      </c>
      <c r="I659" s="53">
        <f>IF(B659="",0,IF(ISNA(VLOOKUP(A659,'600m'!F$5:J$302,2,FALSE)),0,VLOOKUP(A659,'600m'!F$5:J$302,2,FALSE)))</f>
        <v>0</v>
      </c>
      <c r="J659" s="51">
        <f>IF(B659="",0,IF(ISNA(_xlfn.XLOOKUP(A659,'600m'!F$5:F$302,'600m'!M$5:M$302)),0,_xlfn.XLOOKUP(A659,'600m'!F$5:F$302,'600m'!M$5:M$302)))</f>
        <v>0</v>
      </c>
      <c r="K659" s="51" t="str">
        <f>IF(B659="","",IF(ISNA(VLOOKUP(A659,'600m'!F$5:K$302,5,FALSE)),"",VLOOKUP(A659,'600m'!F$5:K$302,5,FALSE)))</f>
        <v/>
      </c>
      <c r="L659" s="51" t="str">
        <f>IF(B659="","",IF(ISNA(VLOOKUP(A659,LongJump!F$5:G$302,2,FALSE)),"",VLOOKUP(A659,LongJump!F$5:G$302,2,FALSE)))</f>
        <v/>
      </c>
      <c r="M659" s="51">
        <f>IF(B659="",0,IF(ISNA(_xlfn.XLOOKUP(A659,LongJump!F$5:F$302,LongJump!M$5:M$302)),0,_xlfn.XLOOKUP(A659,LongJump!F$5:F$302,LongJump!M$5:M$302)))</f>
        <v>0</v>
      </c>
      <c r="N659" s="51">
        <f>IF(B659="",0,IF(ISNA(VLOOKUP(A659,LongJump!F$5:K$302,5,FALSE)),0,VLOOKUP(A659,LongJump!F$5:K$302,5,FALSE)))</f>
        <v>0</v>
      </c>
      <c r="O659" s="51" t="str">
        <f>IF(B659="","",IF(ISNA(VLOOKUP(A659,Vortex!F$5:J$302,2,FALSE)),"",VLOOKUP(A659,Vortex!F$5:J$302,2,FALSE)))</f>
        <v/>
      </c>
      <c r="P659" s="51">
        <f>IF(B659="",0,IF(ISNA(_xlfn.XLOOKUP(A659,Vortex!F$5:F$302,Vortex!M$5:M$302)),0,_xlfn.XLOOKUP(A659,Vortex!F$5:F$302,Vortex!M$5:M$302)))</f>
        <v>0</v>
      </c>
      <c r="Q659" s="51">
        <f t="shared" si="73"/>
        <v>0</v>
      </c>
      <c r="R659" s="51" t="str">
        <f t="shared" si="74"/>
        <v/>
      </c>
      <c r="S659" s="51" t="str">
        <f t="shared" si="75"/>
        <v/>
      </c>
      <c r="T659" s="51" t="str">
        <f t="shared" si="76"/>
        <v/>
      </c>
      <c r="U659" s="51" t="str">
        <f t="shared" si="77"/>
        <v/>
      </c>
    </row>
    <row r="660" spans="1:24">
      <c r="A660" s="51" t="str">
        <f>IF(Declarations!B288=0,"",Declarations!B288)</f>
        <v/>
      </c>
      <c r="B660" s="161" t="str">
        <f>IF(ISNA(VLOOKUP(A660,Declarations!B$6:C$293,2,FALSE)),"",IF(VLOOKUP(A660,Declarations!B$6:C$293,2,FALSE)="","",VLOOKUP(A660,Declarations!B$6:C$293,2,FALSE)))</f>
        <v/>
      </c>
      <c r="C660" s="161" t="str">
        <f>IF(ISNA(VLOOKUP(A660,Declarations!B$6:F$293,5,FALSE)),"",IF(VLOOKUP(A660,Declarations!B$6:F$293,5,FALSE)="","",VLOOKUP(A660,Declarations!B$6:F$293,5,FALSE)))</f>
        <v/>
      </c>
      <c r="D660" s="161" t="str">
        <f>IF(ISNA(VLOOKUP(A660,Declarations!B$6:F$293,4,FALSE)),"",IF(VLOOKUP(A660,Declarations!B$6:F$293,4,FALSE)="","",VLOOKUP(A660,Declarations!B$6:F$293,4,FALSE)))</f>
        <v/>
      </c>
      <c r="E660" s="161" t="str">
        <f>IF(ISNA(VLOOKUP(A660,Declarations!B$6:D$293,3,FALSE)),"",IF(VLOOKUP(A660,Declarations!B$6:D$293,3,FALSE)="","",VLOOKUP(A660,Declarations!B$6:D$293,3,FALSE)))</f>
        <v/>
      </c>
      <c r="F660" s="51" t="str">
        <f>IF(B660="","",IF(ISNA(VLOOKUP(A660,'75m'!F$5:G$302,2,FALSE)),"",VLOOKUP(A660,'75m'!F$5:G$302,2,FALSE)))</f>
        <v/>
      </c>
      <c r="G660" s="51">
        <f>IF(B660="",0,IF(ISNA(_xlfn.XLOOKUP(A660,'75m'!F$5:F$302,'75m'!M$5:M$302)),0,_xlfn.XLOOKUP(A660,'75m'!F$5:F$302,'75m'!M$5:M$302)))</f>
        <v>0</v>
      </c>
      <c r="H660" s="51" t="str">
        <f>IF(B660="","",IF(ISNA(VLOOKUP(A660,'75m'!F$5:K$302,5,FALSE)),"",VLOOKUP(A660,'75m'!F$5:K$302,5,FALSE)))</f>
        <v/>
      </c>
      <c r="I660" s="53">
        <f>IF(B660="",0,IF(ISNA(VLOOKUP(A660,'600m'!F$5:J$302,2,FALSE)),0,VLOOKUP(A660,'600m'!F$5:J$302,2,FALSE)))</f>
        <v>0</v>
      </c>
      <c r="J660" s="51">
        <f>IF(B660="",0,IF(ISNA(_xlfn.XLOOKUP(A660,'600m'!F$5:F$302,'600m'!M$5:M$302)),0,_xlfn.XLOOKUP(A660,'600m'!F$5:F$302,'600m'!M$5:M$302)))</f>
        <v>0</v>
      </c>
      <c r="K660" s="51" t="str">
        <f>IF(B660="","",IF(ISNA(VLOOKUP(A660,'600m'!F$5:K$302,5,FALSE)),"",VLOOKUP(A660,'600m'!F$5:K$302,5,FALSE)))</f>
        <v/>
      </c>
      <c r="L660" s="51" t="str">
        <f>IF(B660="","",IF(ISNA(VLOOKUP(A660,LongJump!F$5:G$302,2,FALSE)),"",VLOOKUP(A660,LongJump!F$5:G$302,2,FALSE)))</f>
        <v/>
      </c>
      <c r="M660" s="51">
        <f>IF(B660="",0,IF(ISNA(_xlfn.XLOOKUP(A660,LongJump!F$5:F$302,LongJump!M$5:M$302)),0,_xlfn.XLOOKUP(A660,LongJump!F$5:F$302,LongJump!M$5:M$302)))</f>
        <v>0</v>
      </c>
      <c r="N660" s="51">
        <f>IF(B660="",0,IF(ISNA(VLOOKUP(A660,LongJump!F$5:K$302,5,FALSE)),0,VLOOKUP(A660,LongJump!F$5:K$302,5,FALSE)))</f>
        <v>0</v>
      </c>
      <c r="O660" s="51" t="str">
        <f>IF(B660="","",IF(ISNA(VLOOKUP(A660,Vortex!F$5:J$302,2,FALSE)),"",VLOOKUP(A660,Vortex!F$5:J$302,2,FALSE)))</f>
        <v/>
      </c>
      <c r="P660" s="51">
        <f>IF(B660="",0,IF(ISNA(_xlfn.XLOOKUP(A660,Vortex!F$5:F$302,Vortex!M$5:M$302)),0,_xlfn.XLOOKUP(A660,Vortex!F$5:F$302,Vortex!M$5:M$302)))</f>
        <v>0</v>
      </c>
      <c r="Q660" s="51">
        <f t="shared" si="73"/>
        <v>0</v>
      </c>
      <c r="R660" s="51" t="str">
        <f t="shared" si="74"/>
        <v/>
      </c>
      <c r="S660" s="51" t="str">
        <f t="shared" si="75"/>
        <v/>
      </c>
      <c r="T660" s="51" t="str">
        <f t="shared" si="76"/>
        <v/>
      </c>
      <c r="U660" s="51" t="str">
        <f t="shared" si="77"/>
        <v/>
      </c>
    </row>
    <row r="661" spans="1:24">
      <c r="A661" s="51" t="str">
        <f>IF(Declarations!B289=0,"",Declarations!B289)</f>
        <v/>
      </c>
      <c r="B661" s="161" t="str">
        <f>IF(ISNA(VLOOKUP(A661,Declarations!B$6:C$293,2,FALSE)),"",IF(VLOOKUP(A661,Declarations!B$6:C$293,2,FALSE)="","",VLOOKUP(A661,Declarations!B$6:C$293,2,FALSE)))</f>
        <v/>
      </c>
      <c r="C661" s="161" t="str">
        <f>IF(ISNA(VLOOKUP(A661,Declarations!B$6:F$293,5,FALSE)),"",IF(VLOOKUP(A661,Declarations!B$6:F$293,5,FALSE)="","",VLOOKUP(A661,Declarations!B$6:F$293,5,FALSE)))</f>
        <v/>
      </c>
      <c r="D661" s="161" t="str">
        <f>IF(ISNA(VLOOKUP(A661,Declarations!B$6:F$293,4,FALSE)),"",IF(VLOOKUP(A661,Declarations!B$6:F$293,4,FALSE)="","",VLOOKUP(A661,Declarations!B$6:F$293,4,FALSE)))</f>
        <v/>
      </c>
      <c r="E661" s="161" t="str">
        <f>IF(ISNA(VLOOKUP(A661,Declarations!B$6:D$293,3,FALSE)),"",IF(VLOOKUP(A661,Declarations!B$6:D$293,3,FALSE)="","",VLOOKUP(A661,Declarations!B$6:D$293,3,FALSE)))</f>
        <v/>
      </c>
      <c r="F661" s="51" t="str">
        <f>IF(B661="","",IF(ISNA(VLOOKUP(A661,'75m'!F$5:G$302,2,FALSE)),"",VLOOKUP(A661,'75m'!F$5:G$302,2,FALSE)))</f>
        <v/>
      </c>
      <c r="G661" s="51">
        <f>IF(B661="",0,IF(ISNA(_xlfn.XLOOKUP(A661,'75m'!F$5:F$302,'75m'!M$5:M$302)),0,_xlfn.XLOOKUP(A661,'75m'!F$5:F$302,'75m'!M$5:M$302)))</f>
        <v>0</v>
      </c>
      <c r="H661" s="51" t="str">
        <f>IF(B661="","",IF(ISNA(VLOOKUP(A661,'75m'!F$5:K$302,5,FALSE)),"",VLOOKUP(A661,'75m'!F$5:K$302,5,FALSE)))</f>
        <v/>
      </c>
      <c r="I661" s="53">
        <f>IF(B661="",0,IF(ISNA(VLOOKUP(A661,'600m'!F$5:J$302,2,FALSE)),0,VLOOKUP(A661,'600m'!F$5:J$302,2,FALSE)))</f>
        <v>0</v>
      </c>
      <c r="J661" s="51">
        <f>IF(B661="",0,IF(ISNA(_xlfn.XLOOKUP(A661,'600m'!F$5:F$302,'600m'!M$5:M$302)),0,_xlfn.XLOOKUP(A661,'600m'!F$5:F$302,'600m'!M$5:M$302)))</f>
        <v>0</v>
      </c>
      <c r="K661" s="51" t="str">
        <f>IF(B661="","",IF(ISNA(VLOOKUP(A661,'600m'!F$5:K$302,5,FALSE)),"",VLOOKUP(A661,'600m'!F$5:K$302,5,FALSE)))</f>
        <v/>
      </c>
      <c r="L661" s="51" t="str">
        <f>IF(B661="","",IF(ISNA(VLOOKUP(A661,LongJump!F$5:G$302,2,FALSE)),"",VLOOKUP(A661,LongJump!F$5:G$302,2,FALSE)))</f>
        <v/>
      </c>
      <c r="M661" s="51">
        <f>IF(B661="",0,IF(ISNA(_xlfn.XLOOKUP(A661,LongJump!F$5:F$302,LongJump!M$5:M$302)),0,_xlfn.XLOOKUP(A661,LongJump!F$5:F$302,LongJump!M$5:M$302)))</f>
        <v>0</v>
      </c>
      <c r="N661" s="51">
        <f>IF(B661="",0,IF(ISNA(VLOOKUP(A661,LongJump!F$5:K$302,5,FALSE)),0,VLOOKUP(A661,LongJump!F$5:K$302,5,FALSE)))</f>
        <v>0</v>
      </c>
      <c r="O661" s="51" t="str">
        <f>IF(B661="","",IF(ISNA(VLOOKUP(A661,Vortex!F$5:J$302,2,FALSE)),"",VLOOKUP(A661,Vortex!F$5:J$302,2,FALSE)))</f>
        <v/>
      </c>
      <c r="P661" s="51">
        <f>IF(B661="",0,IF(ISNA(_xlfn.XLOOKUP(A661,Vortex!F$5:F$302,Vortex!M$5:M$302)),0,_xlfn.XLOOKUP(A661,Vortex!F$5:F$302,Vortex!M$5:M$302)))</f>
        <v>0</v>
      </c>
      <c r="Q661" s="51">
        <f t="shared" si="73"/>
        <v>0</v>
      </c>
      <c r="R661" s="51" t="str">
        <f t="shared" si="74"/>
        <v/>
      </c>
      <c r="S661" s="51" t="str">
        <f t="shared" si="75"/>
        <v/>
      </c>
      <c r="T661" s="51" t="str">
        <f t="shared" si="76"/>
        <v/>
      </c>
      <c r="U661" s="51" t="str">
        <f t="shared" si="77"/>
        <v/>
      </c>
    </row>
    <row r="662" spans="1:24">
      <c r="A662" s="51" t="str">
        <f>IF(Declarations!B290=0,"",Declarations!B290)</f>
        <v/>
      </c>
      <c r="B662" s="161" t="str">
        <f>IF(ISNA(VLOOKUP(A662,Declarations!B$6:C$293,2,FALSE)),"",IF(VLOOKUP(A662,Declarations!B$6:C$293,2,FALSE)="","",VLOOKUP(A662,Declarations!B$6:C$293,2,FALSE)))</f>
        <v/>
      </c>
      <c r="C662" s="161" t="str">
        <f>IF(ISNA(VLOOKUP(A662,Declarations!B$6:F$293,5,FALSE)),"",IF(VLOOKUP(A662,Declarations!B$6:F$293,5,FALSE)="","",VLOOKUP(A662,Declarations!B$6:F$293,5,FALSE)))</f>
        <v/>
      </c>
      <c r="D662" s="161" t="str">
        <f>IF(ISNA(VLOOKUP(A662,Declarations!B$6:F$293,4,FALSE)),"",IF(VLOOKUP(A662,Declarations!B$6:F$293,4,FALSE)="","",VLOOKUP(A662,Declarations!B$6:F$293,4,FALSE)))</f>
        <v/>
      </c>
      <c r="E662" s="161" t="str">
        <f>IF(ISNA(VLOOKUP(A662,Declarations!B$6:D$293,3,FALSE)),"",IF(VLOOKUP(A662,Declarations!B$6:D$293,3,FALSE)="","",VLOOKUP(A662,Declarations!B$6:D$293,3,FALSE)))</f>
        <v/>
      </c>
      <c r="F662" s="51" t="str">
        <f>IF(B662="","",IF(ISNA(VLOOKUP(A662,'75m'!F$5:G$302,2,FALSE)),"",VLOOKUP(A662,'75m'!F$5:G$302,2,FALSE)))</f>
        <v/>
      </c>
      <c r="G662" s="51">
        <f>IF(B662="",0,IF(ISNA(_xlfn.XLOOKUP(A662,'75m'!F$5:F$302,'75m'!M$5:M$302)),0,_xlfn.XLOOKUP(A662,'75m'!F$5:F$302,'75m'!M$5:M$302)))</f>
        <v>0</v>
      </c>
      <c r="H662" s="51" t="str">
        <f>IF(B662="","",IF(ISNA(VLOOKUP(A662,'75m'!F$5:K$302,5,FALSE)),"",VLOOKUP(A662,'75m'!F$5:K$302,5,FALSE)))</f>
        <v/>
      </c>
      <c r="I662" s="53">
        <f>IF(B662="",0,IF(ISNA(VLOOKUP(A662,'600m'!F$5:J$302,2,FALSE)),0,VLOOKUP(A662,'600m'!F$5:J$302,2,FALSE)))</f>
        <v>0</v>
      </c>
      <c r="J662" s="51">
        <f>IF(B662="",0,IF(ISNA(_xlfn.XLOOKUP(A662,'600m'!F$5:F$302,'600m'!M$5:M$302)),0,_xlfn.XLOOKUP(A662,'600m'!F$5:F$302,'600m'!M$5:M$302)))</f>
        <v>0</v>
      </c>
      <c r="K662" s="51" t="str">
        <f>IF(B662="","",IF(ISNA(VLOOKUP(A662,'600m'!F$5:K$302,5,FALSE)),"",VLOOKUP(A662,'600m'!F$5:K$302,5,FALSE)))</f>
        <v/>
      </c>
      <c r="L662" s="51" t="str">
        <f>IF(B662="","",IF(ISNA(VLOOKUP(A662,LongJump!F$5:G$302,2,FALSE)),"",VLOOKUP(A662,LongJump!F$5:G$302,2,FALSE)))</f>
        <v/>
      </c>
      <c r="M662" s="51">
        <f>IF(B662="",0,IF(ISNA(_xlfn.XLOOKUP(A662,LongJump!F$5:F$302,LongJump!M$5:M$302)),0,_xlfn.XLOOKUP(A662,LongJump!F$5:F$302,LongJump!M$5:M$302)))</f>
        <v>0</v>
      </c>
      <c r="N662" s="51">
        <f>IF(B662="",0,IF(ISNA(VLOOKUP(A662,LongJump!F$5:K$302,5,FALSE)),0,VLOOKUP(A662,LongJump!F$5:K$302,5,FALSE)))</f>
        <v>0</v>
      </c>
      <c r="O662" s="51" t="str">
        <f>IF(B662="","",IF(ISNA(VLOOKUP(A662,Vortex!F$5:J$302,2,FALSE)),"",VLOOKUP(A662,Vortex!F$5:J$302,2,FALSE)))</f>
        <v/>
      </c>
      <c r="P662" s="51">
        <f>IF(B662="",0,IF(ISNA(_xlfn.XLOOKUP(A662,Vortex!F$5:F$302,Vortex!M$5:M$302)),0,_xlfn.XLOOKUP(A662,Vortex!F$5:F$302,Vortex!M$5:M$302)))</f>
        <v>0</v>
      </c>
      <c r="Q662" s="51">
        <f t="shared" si="73"/>
        <v>0</v>
      </c>
      <c r="R662" s="51" t="str">
        <f t="shared" si="74"/>
        <v/>
      </c>
      <c r="S662" s="51" t="str">
        <f t="shared" si="75"/>
        <v/>
      </c>
      <c r="T662" s="51" t="str">
        <f t="shared" si="76"/>
        <v/>
      </c>
      <c r="U662" s="51" t="str">
        <f t="shared" si="77"/>
        <v/>
      </c>
    </row>
    <row r="663" spans="1:24">
      <c r="A663" s="51" t="str">
        <f>IF(Declarations!B291=0,"",Declarations!B291)</f>
        <v/>
      </c>
      <c r="B663" s="161" t="str">
        <f>IF(ISNA(VLOOKUP(A663,Declarations!B$6:C$293,2,FALSE)),"",IF(VLOOKUP(A663,Declarations!B$6:C$293,2,FALSE)="","",VLOOKUP(A663,Declarations!B$6:C$293,2,FALSE)))</f>
        <v/>
      </c>
      <c r="C663" s="161" t="str">
        <f>IF(ISNA(VLOOKUP(A663,Declarations!B$6:F$293,5,FALSE)),"",IF(VLOOKUP(A663,Declarations!B$6:F$293,5,FALSE)="","",VLOOKUP(A663,Declarations!B$6:F$293,5,FALSE)))</f>
        <v/>
      </c>
      <c r="D663" s="161" t="str">
        <f>IF(ISNA(VLOOKUP(A663,Declarations!B$6:F$293,4,FALSE)),"",IF(VLOOKUP(A663,Declarations!B$6:F$293,4,FALSE)="","",VLOOKUP(A663,Declarations!B$6:F$293,4,FALSE)))</f>
        <v/>
      </c>
      <c r="E663" s="161" t="str">
        <f>IF(ISNA(VLOOKUP(A663,Declarations!B$6:D$293,3,FALSE)),"",IF(VLOOKUP(A663,Declarations!B$6:D$293,3,FALSE)="","",VLOOKUP(A663,Declarations!B$6:D$293,3,FALSE)))</f>
        <v/>
      </c>
      <c r="F663" s="51" t="str">
        <f>IF(B663="","",IF(ISNA(VLOOKUP(A663,'75m'!F$5:G$302,2,FALSE)),"",VLOOKUP(A663,'75m'!F$5:G$302,2,FALSE)))</f>
        <v/>
      </c>
      <c r="G663" s="51">
        <f>IF(B663="",0,IF(ISNA(_xlfn.XLOOKUP(A663,'75m'!F$5:F$302,'75m'!M$5:M$302)),0,_xlfn.XLOOKUP(A663,'75m'!F$5:F$302,'75m'!M$5:M$302)))</f>
        <v>0</v>
      </c>
      <c r="H663" s="51" t="str">
        <f>IF(B663="","",IF(ISNA(VLOOKUP(A663,'75m'!F$5:K$302,5,FALSE)),"",VLOOKUP(A663,'75m'!F$5:K$302,5,FALSE)))</f>
        <v/>
      </c>
      <c r="I663" s="53">
        <f>IF(B663="",0,IF(ISNA(VLOOKUP(A663,'600m'!F$5:J$302,2,FALSE)),0,VLOOKUP(A663,'600m'!F$5:J$302,2,FALSE)))</f>
        <v>0</v>
      </c>
      <c r="J663" s="51">
        <f>IF(B663="",0,IF(ISNA(_xlfn.XLOOKUP(A663,'600m'!F$5:F$302,'600m'!M$5:M$302)),0,_xlfn.XLOOKUP(A663,'600m'!F$5:F$302,'600m'!M$5:M$302)))</f>
        <v>0</v>
      </c>
      <c r="K663" s="51" t="str">
        <f>IF(B663="","",IF(ISNA(VLOOKUP(A663,'600m'!F$5:K$302,5,FALSE)),"",VLOOKUP(A663,'600m'!F$5:K$302,5,FALSE)))</f>
        <v/>
      </c>
      <c r="L663" s="51" t="str">
        <f>IF(B663="","",IF(ISNA(VLOOKUP(A663,LongJump!F$5:G$302,2,FALSE)),"",VLOOKUP(A663,LongJump!F$5:G$302,2,FALSE)))</f>
        <v/>
      </c>
      <c r="M663" s="51">
        <f>IF(B663="",0,IF(ISNA(_xlfn.XLOOKUP(A663,LongJump!F$5:F$302,LongJump!M$5:M$302)),0,_xlfn.XLOOKUP(A663,LongJump!F$5:F$302,LongJump!M$5:M$302)))</f>
        <v>0</v>
      </c>
      <c r="N663" s="51">
        <f>IF(B663="",0,IF(ISNA(VLOOKUP(A663,LongJump!F$5:K$302,5,FALSE)),0,VLOOKUP(A663,LongJump!F$5:K$302,5,FALSE)))</f>
        <v>0</v>
      </c>
      <c r="O663" s="51" t="str">
        <f>IF(B663="","",IF(ISNA(VLOOKUP(A663,Vortex!F$5:J$302,2,FALSE)),"",VLOOKUP(A663,Vortex!F$5:J$302,2,FALSE)))</f>
        <v/>
      </c>
      <c r="P663" s="51">
        <f>IF(B663="",0,IF(ISNA(_xlfn.XLOOKUP(A663,Vortex!F$5:F$302,Vortex!M$5:M$302)),0,_xlfn.XLOOKUP(A663,Vortex!F$5:F$302,Vortex!M$5:M$302)))</f>
        <v>0</v>
      </c>
      <c r="Q663" s="51">
        <f t="shared" si="73"/>
        <v>0</v>
      </c>
      <c r="R663" s="51" t="str">
        <f t="shared" si="74"/>
        <v/>
      </c>
      <c r="S663" s="51" t="str">
        <f t="shared" si="75"/>
        <v/>
      </c>
      <c r="T663" s="51" t="str">
        <f t="shared" si="76"/>
        <v/>
      </c>
      <c r="U663" s="51" t="str">
        <f t="shared" si="77"/>
        <v/>
      </c>
    </row>
    <row r="664" spans="1:24">
      <c r="A664" s="51" t="str">
        <f>IF(Declarations!B292=0,"",Declarations!B292)</f>
        <v/>
      </c>
      <c r="B664" s="161" t="str">
        <f>IF(ISNA(VLOOKUP(A664,Declarations!B$6:C$293,2,FALSE)),"",IF(VLOOKUP(A664,Declarations!B$6:C$293,2,FALSE)="","",VLOOKUP(A664,Declarations!B$6:C$293,2,FALSE)))</f>
        <v/>
      </c>
      <c r="C664" s="161" t="str">
        <f>IF(ISNA(VLOOKUP(A664,Declarations!B$6:F$293,5,FALSE)),"",IF(VLOOKUP(A664,Declarations!B$6:F$293,5,FALSE)="","",VLOOKUP(A664,Declarations!B$6:F$293,5,FALSE)))</f>
        <v/>
      </c>
      <c r="D664" s="161" t="str">
        <f>IF(ISNA(VLOOKUP(A664,Declarations!B$6:F$293,4,FALSE)),"",IF(VLOOKUP(A664,Declarations!B$6:F$293,4,FALSE)="","",VLOOKUP(A664,Declarations!B$6:F$293,4,FALSE)))</f>
        <v/>
      </c>
      <c r="E664" s="161" t="str">
        <f>IF(ISNA(VLOOKUP(A664,Declarations!B$6:D$293,3,FALSE)),"",IF(VLOOKUP(A664,Declarations!B$6:D$293,3,FALSE)="","",VLOOKUP(A664,Declarations!B$6:D$293,3,FALSE)))</f>
        <v/>
      </c>
      <c r="F664" s="51" t="str">
        <f>IF(B664="","",IF(ISNA(VLOOKUP(A664,'75m'!F$5:G$302,2,FALSE)),"",VLOOKUP(A664,'75m'!F$5:G$302,2,FALSE)))</f>
        <v/>
      </c>
      <c r="G664" s="51">
        <f>IF(B664="",0,IF(ISNA(_xlfn.XLOOKUP(A664,'75m'!F$5:F$302,'75m'!M$5:M$302)),0,_xlfn.XLOOKUP(A664,'75m'!F$5:F$302,'75m'!M$5:M$302)))</f>
        <v>0</v>
      </c>
      <c r="H664" s="51" t="str">
        <f>IF(B664="","",IF(ISNA(VLOOKUP(A664,'75m'!F$5:K$302,5,FALSE)),"",VLOOKUP(A664,'75m'!F$5:K$302,5,FALSE)))</f>
        <v/>
      </c>
      <c r="I664" s="53">
        <f>IF(B664="",0,IF(ISNA(VLOOKUP(A664,'600m'!F$5:J$302,2,FALSE)),0,VLOOKUP(A664,'600m'!F$5:J$302,2,FALSE)))</f>
        <v>0</v>
      </c>
      <c r="J664" s="51">
        <f>IF(B664="",0,IF(ISNA(_xlfn.XLOOKUP(A664,'600m'!F$5:F$302,'600m'!M$5:M$302)),0,_xlfn.XLOOKUP(A664,'600m'!F$5:F$302,'600m'!M$5:M$302)))</f>
        <v>0</v>
      </c>
      <c r="K664" s="51" t="str">
        <f>IF(B664="","",IF(ISNA(VLOOKUP(A664,'600m'!F$5:K$302,5,FALSE)),"",VLOOKUP(A664,'600m'!F$5:K$302,5,FALSE)))</f>
        <v/>
      </c>
      <c r="L664" s="51" t="str">
        <f>IF(B664="","",IF(ISNA(VLOOKUP(A664,LongJump!F$5:G$302,2,FALSE)),"",VLOOKUP(A664,LongJump!F$5:G$302,2,FALSE)))</f>
        <v/>
      </c>
      <c r="M664" s="51">
        <f>IF(B664="",0,IF(ISNA(_xlfn.XLOOKUP(A664,LongJump!F$5:F$302,LongJump!M$5:M$302)),0,_xlfn.XLOOKUP(A664,LongJump!F$5:F$302,LongJump!M$5:M$302)))</f>
        <v>0</v>
      </c>
      <c r="N664" s="51">
        <f>IF(B664="",0,IF(ISNA(VLOOKUP(A664,LongJump!F$5:K$302,5,FALSE)),0,VLOOKUP(A664,LongJump!F$5:K$302,5,FALSE)))</f>
        <v>0</v>
      </c>
      <c r="O664" s="51" t="str">
        <f>IF(B664="","",IF(ISNA(VLOOKUP(A664,Vortex!F$5:J$302,2,FALSE)),"",VLOOKUP(A664,Vortex!F$5:J$302,2,FALSE)))</f>
        <v/>
      </c>
      <c r="P664" s="51">
        <f>IF(B664="",0,IF(ISNA(_xlfn.XLOOKUP(A664,Vortex!F$5:F$302,Vortex!M$5:M$302)),0,_xlfn.XLOOKUP(A664,Vortex!F$5:F$302,Vortex!M$5:M$302)))</f>
        <v>0</v>
      </c>
      <c r="Q664" s="51">
        <f t="shared" si="73"/>
        <v>0</v>
      </c>
      <c r="R664" s="51" t="str">
        <f t="shared" si="74"/>
        <v/>
      </c>
      <c r="S664" s="51" t="str">
        <f t="shared" si="75"/>
        <v/>
      </c>
      <c r="T664" s="51" t="str">
        <f t="shared" si="76"/>
        <v/>
      </c>
      <c r="U664" s="51" t="str">
        <f t="shared" si="77"/>
        <v/>
      </c>
    </row>
    <row r="665" spans="1:24">
      <c r="A665" s="51" t="str">
        <f>IF(Declarations!B293=0,"",Declarations!B293)</f>
        <v/>
      </c>
      <c r="B665" s="161" t="str">
        <f>IF(ISNA(VLOOKUP(A665,Declarations!B$6:C$293,2,FALSE)),"",IF(VLOOKUP(A665,Declarations!B$6:C$293,2,FALSE)="","",VLOOKUP(A665,Declarations!B$6:C$293,2,FALSE)))</f>
        <v/>
      </c>
      <c r="C665" s="161" t="str">
        <f>IF(ISNA(VLOOKUP(A665,Declarations!B$6:F$293,5,FALSE)),"",IF(VLOOKUP(A665,Declarations!B$6:F$293,5,FALSE)="","",VLOOKUP(A665,Declarations!B$6:F$293,5,FALSE)))</f>
        <v/>
      </c>
      <c r="D665" s="161" t="str">
        <f>IF(ISNA(VLOOKUP(A665,Declarations!B$6:F$293,4,FALSE)),"",IF(VLOOKUP(A665,Declarations!B$6:F$293,4,FALSE)="","",VLOOKUP(A665,Declarations!B$6:F$293,4,FALSE)))</f>
        <v/>
      </c>
      <c r="E665" s="161" t="str">
        <f>IF(ISNA(VLOOKUP(A665,Declarations!B$6:D$293,3,FALSE)),"",IF(VLOOKUP(A665,Declarations!B$6:D$293,3,FALSE)="","",VLOOKUP(A665,Declarations!B$6:D$293,3,FALSE)))</f>
        <v/>
      </c>
      <c r="F665" s="51" t="str">
        <f>IF(B665="","",IF(ISNA(VLOOKUP(A665,'75m'!F$5:G$302,2,FALSE)),"",VLOOKUP(A665,'75m'!F$5:G$302,2,FALSE)))</f>
        <v/>
      </c>
      <c r="G665" s="51">
        <f>IF(B665="",0,IF(ISNA(_xlfn.XLOOKUP(A665,'75m'!F$5:F$302,'75m'!M$5:M$302)),0,_xlfn.XLOOKUP(A665,'75m'!F$5:F$302,'75m'!M$5:M$302)))</f>
        <v>0</v>
      </c>
      <c r="H665" s="51" t="str">
        <f>IF(B665="","",IF(ISNA(VLOOKUP(A665,'75m'!F$5:K$302,5,FALSE)),"",VLOOKUP(A665,'75m'!F$5:K$302,5,FALSE)))</f>
        <v/>
      </c>
      <c r="I665" s="53">
        <f>IF(B665="",0,IF(ISNA(VLOOKUP(A665,'600m'!F$5:J$302,2,FALSE)),0,VLOOKUP(A665,'600m'!F$5:J$302,2,FALSE)))</f>
        <v>0</v>
      </c>
      <c r="J665" s="51">
        <f>IF(B665="",0,IF(ISNA(_xlfn.XLOOKUP(A665,'600m'!F$5:F$302,'600m'!M$5:M$302)),0,_xlfn.XLOOKUP(A665,'600m'!F$5:F$302,'600m'!M$5:M$302)))</f>
        <v>0</v>
      </c>
      <c r="K665" s="51" t="str">
        <f>IF(B665="","",IF(ISNA(VLOOKUP(A665,'600m'!F$5:K$302,5,FALSE)),"",VLOOKUP(A665,'600m'!F$5:K$302,5,FALSE)))</f>
        <v/>
      </c>
      <c r="L665" s="51" t="str">
        <f>IF(B665="","",IF(ISNA(VLOOKUP(A665,LongJump!F$5:G$302,2,FALSE)),"",VLOOKUP(A665,LongJump!F$5:G$302,2,FALSE)))</f>
        <v/>
      </c>
      <c r="M665" s="51">
        <f>IF(B665="",0,IF(ISNA(_xlfn.XLOOKUP(A665,LongJump!F$5:F$302,LongJump!M$5:M$302)),0,_xlfn.XLOOKUP(A665,LongJump!F$5:F$302,LongJump!M$5:M$302)))</f>
        <v>0</v>
      </c>
      <c r="N665" s="51">
        <f>IF(B665="",0,IF(ISNA(VLOOKUP(A665,LongJump!F$5:K$302,5,FALSE)),0,VLOOKUP(A665,LongJump!F$5:K$302,5,FALSE)))</f>
        <v>0</v>
      </c>
      <c r="O665" s="51" t="str">
        <f>IF(B665="","",IF(ISNA(VLOOKUP(A665,Vortex!F$5:J$302,2,FALSE)),"",VLOOKUP(A665,Vortex!F$5:J$302,2,FALSE)))</f>
        <v/>
      </c>
      <c r="P665" s="51">
        <f>IF(B665="",0,IF(ISNA(_xlfn.XLOOKUP(A665,Vortex!F$5:F$302,Vortex!M$5:M$302)),0,_xlfn.XLOOKUP(A665,Vortex!F$5:F$302,Vortex!M$5:M$302)))</f>
        <v>0</v>
      </c>
      <c r="Q665" s="51">
        <f t="shared" si="73"/>
        <v>0</v>
      </c>
      <c r="R665" s="51" t="str">
        <f t="shared" si="74"/>
        <v/>
      </c>
      <c r="S665" s="51" t="str">
        <f t="shared" si="75"/>
        <v/>
      </c>
      <c r="T665" s="51" t="str">
        <f t="shared" si="76"/>
        <v/>
      </c>
      <c r="U665" s="51" t="str">
        <f t="shared" si="77"/>
        <v/>
      </c>
    </row>
    <row r="667" spans="1:24">
      <c r="A667" s="134" t="str">
        <f>'Read Me First'!C11</f>
        <v>Abingdon AC</v>
      </c>
      <c r="B667" s="134" t="s">
        <v>59</v>
      </c>
      <c r="C667" s="134" t="s">
        <v>150</v>
      </c>
      <c r="D667" s="52" cm="1">
        <f t="array" ref="D667">IF(IFERROR(ROWS(_xlfn._xlws.FILTER($A$378:$A$665,($C$378:$C$665=A667)*($D$378:$D$665=B667)*($E$378:$E$665=C667))),0)=0, 0,SUM(LARGE(_xlfn._xlws.FILTER($Q$378:$Q$665,($C$378:$C$665=A667)*($D$378:$D$665=B667)*($E$378:$E$665=C667)),_xlfn.SEQUENCE(IF(IFERROR(ROWS(_xlfn._xlws.FILTER($A$378:$A$665,($C$378:$C$665=A667)*($D$378:$D$665=B667)*($E$378:$E$665=C667))),0)&gt;3, 4, IFERROR(ROWS(_xlfn._xlws.FILTER($A$378:$A$665,($C$378:$C$665=A667)*($D$378:$D$665=B667)*($E$378:$E$665=C667))),0))))))</f>
        <v>0</v>
      </c>
      <c r="E667" s="51" t="str">
        <f>IF(D667=0,"",RANK(D667,D$667:D$675))</f>
        <v/>
      </c>
      <c r="F667" s="51">
        <f>IF(E667="", 0, 9-E667)</f>
        <v>0</v>
      </c>
      <c r="G667" s="134" t="str">
        <f>A667</f>
        <v>Abingdon AC</v>
      </c>
      <c r="H667" s="134" t="s">
        <v>59</v>
      </c>
      <c r="I667" s="134" t="s">
        <v>145</v>
      </c>
      <c r="J667" s="52" cm="1">
        <f t="array" ref="J667">IF(IFERROR(ROWS(_xlfn._xlws.FILTER($A$378:$A$665,($C$378:$C$665=G667)*($D$378:$D$665=H667)*($E$378:$E$665=I667))),0)=0, 0,SUM(LARGE(_xlfn._xlws.FILTER($Q$378:$Q$665,($C$378:$C$665=G667)*($D$378:$D$665=H667)*($E$378:$E$665=I667)),_xlfn.SEQUENCE(IF(IFERROR(ROWS(_xlfn._xlws.FILTER($A$378:$A$665,($C$378:$C$665=G667)*($D$378:$D$665=H667)*($E$378:$E$665=I667))),0)&gt;3, 4, IFERROR(ROWS(_xlfn._xlws.FILTER($A$378:$A$665,($C$378:$C$665=G667)*($D$378:$D$665=H667)*($E$378:$E$665=I667))),0))))))</f>
        <v>0</v>
      </c>
      <c r="K667" s="51" t="str">
        <f>IF(J667=0,"",RANK(J667,J$667:J$675))</f>
        <v/>
      </c>
      <c r="L667" s="51">
        <f t="shared" ref="L667:L674" si="78">IF(K667="", 0, 9-K667)</f>
        <v>0</v>
      </c>
      <c r="M667" s="134" t="str">
        <f>G667</f>
        <v>Abingdon AC</v>
      </c>
      <c r="N667" s="134" t="s">
        <v>60</v>
      </c>
      <c r="O667" s="134" t="s">
        <v>150</v>
      </c>
      <c r="P667" s="52" cm="1">
        <f t="array" ref="P667">IF(IFERROR(ROWS(_xlfn._xlws.FILTER($A$378:$A$665,($C$378:$C$665=M667)*($D$378:$D$665=N667)*($E$378:$E$665=O667))),0)=0, 0,SUM(LARGE(_xlfn._xlws.FILTER($Q$378:$Q$665,($C$378:$C$665=M667)*($D$378:$D$665=N667)*($E$378:$E$665=O667)),_xlfn.SEQUENCE(IF(IFERROR(ROWS(_xlfn._xlws.FILTER($A$378:$A$665,($C$378:$C$665=M667)*($D$378:$D$665=N667)*($E$378:$E$665=O667))),0)&gt;3, 4, IFERROR(ROWS(_xlfn._xlws.FILTER($A$378:$A$665,($C$378:$C$665=M667)*($D$378:$D$665=N667)*($E$378:$E$665=O667))),0))))))</f>
        <v>0</v>
      </c>
      <c r="Q667" s="51" t="str">
        <f>IF(P667=0,"",RANK(P667,P$667:P$675))</f>
        <v/>
      </c>
      <c r="R667" s="51">
        <f>IF(Q667="", 0, 9-Q667)</f>
        <v>0</v>
      </c>
      <c r="S667" s="134" t="str">
        <f>M667</f>
        <v>Abingdon AC</v>
      </c>
      <c r="T667" s="134" t="s">
        <v>60</v>
      </c>
      <c r="U667" s="134" t="s">
        <v>145</v>
      </c>
      <c r="V667" s="52" cm="1">
        <f t="array" ref="V667">IF(IFERROR(ROWS(_xlfn._xlws.FILTER($A$378:$A$665,($C$378:$C$665=S667)*($D$378:$D$665=T667)*($E$378:$E$665=U667))),0)=0, 0,SUM(LARGE(_xlfn._xlws.FILTER($Q$378:$Q$665,($C$378:$C$665=S667)*($D$378:$D$665=T667)*($E$378:$E$665=U667)),_xlfn.SEQUENCE(IF(IFERROR(ROWS(_xlfn._xlws.FILTER($A$378:$A$665,($C$378:$C$665=S667)*($D$378:$D$665=T667)*($E$378:$E$665=U667))),0)&gt;3, 4, IFERROR(ROWS(_xlfn._xlws.FILTER($A$378:$A$665,($C$378:$C$665=S667)*($D$378:$D$665=T667)*($E$378:$E$665=U667))),0))))))</f>
        <v>0</v>
      </c>
      <c r="W667" s="51" t="str">
        <f>IF(V667=0,"",RANK(V667,V$667:V$675))</f>
        <v/>
      </c>
      <c r="X667" s="51">
        <f>IF(W667="", 0, 9-W667)</f>
        <v>0</v>
      </c>
    </row>
    <row r="668" spans="1:24">
      <c r="A668" s="134" t="str">
        <f>'Read Me First'!C12</f>
        <v>Banbury Harriers AC</v>
      </c>
      <c r="B668" s="134" t="s">
        <v>59</v>
      </c>
      <c r="C668" s="134" t="s">
        <v>150</v>
      </c>
      <c r="D668" s="52" cm="1">
        <f t="array" ref="D668">IF(IFERROR(ROWS(_xlfn._xlws.FILTER($A$378:$A$665,($C$378:$C$665=A668)*($D$378:$D$665=B668)*($E$378:$E$665=C668))),0)=0, 0,SUM(LARGE(_xlfn._xlws.FILTER($Q$378:$Q$665,($C$378:$C$665=A668)*($D$378:$D$665=B668)*($E$378:$E$665=C668)),_xlfn.SEQUENCE(IF(IFERROR(ROWS(_xlfn._xlws.FILTER($A$378:$A$665,($C$378:$C$665=A668)*($D$378:$D$665=B668)*($E$378:$E$665=C668))),0)&gt;3, 4, IFERROR(ROWS(_xlfn._xlws.FILTER($A$378:$A$665,($C$378:$C$665=A668)*($D$378:$D$665=B668)*($E$378:$E$665=C668))),0))))))</f>
        <v>0</v>
      </c>
      <c r="E668" s="51" t="str">
        <f t="shared" ref="E668:E674" si="79">IF(D668=0,"",RANK(D668,D$667:D$675))</f>
        <v/>
      </c>
      <c r="F668" s="51">
        <f t="shared" ref="F668:F674" si="80">IF(E668="", 0, 9-E668)</f>
        <v>0</v>
      </c>
      <c r="G668" s="134" t="str">
        <f t="shared" ref="G668:G675" si="81">A668</f>
        <v>Banbury Harriers AC</v>
      </c>
      <c r="H668" s="134" t="s">
        <v>59</v>
      </c>
      <c r="I668" s="134" t="s">
        <v>145</v>
      </c>
      <c r="J668" s="52" cm="1">
        <f t="array" ref="J668">IF(IFERROR(ROWS(_xlfn._xlws.FILTER($A$378:$A$665,($C$378:$C$665=G668)*($D$378:$D$665=H668)*($E$378:$E$665=I668))),0)=0, 0,SUM(LARGE(_xlfn._xlws.FILTER($Q$378:$Q$665,($C$378:$C$665=G668)*($D$378:$D$665=H668)*($E$378:$E$665=I668)),_xlfn.SEQUENCE(IF(IFERROR(ROWS(_xlfn._xlws.FILTER($A$378:$A$665,($C$378:$C$665=G668)*($D$378:$D$665=H668)*($E$378:$E$665=I668))),0)&gt;3, 4, IFERROR(ROWS(_xlfn._xlws.FILTER($A$378:$A$665,($C$378:$C$665=G668)*($D$378:$D$665=H668)*($E$378:$E$665=I668))),0))))))</f>
        <v>0</v>
      </c>
      <c r="K668" s="51" t="str">
        <f t="shared" ref="K668:K674" si="82">IF(J668=0,"",RANK(J668,J$667:J$675))</f>
        <v/>
      </c>
      <c r="L668" s="51">
        <f t="shared" si="78"/>
        <v>0</v>
      </c>
      <c r="M668" s="134" t="str">
        <f t="shared" ref="M668:M675" si="83">G668</f>
        <v>Banbury Harriers AC</v>
      </c>
      <c r="N668" s="134" t="s">
        <v>60</v>
      </c>
      <c r="O668" s="134" t="s">
        <v>150</v>
      </c>
      <c r="P668" s="52" cm="1">
        <f t="array" ref="P668">IF(IFERROR(ROWS(_xlfn._xlws.FILTER($A$378:$A$665,($C$378:$C$665=M668)*($D$378:$D$665=N668)*($E$378:$E$665=O668))),0)=0, 0,SUM(LARGE(_xlfn._xlws.FILTER($Q$378:$Q$665,($C$378:$C$665=M668)*($D$378:$D$665=N668)*($E$378:$E$665=O668)),_xlfn.SEQUENCE(IF(IFERROR(ROWS(_xlfn._xlws.FILTER($A$378:$A$665,($C$378:$C$665=M668)*($D$378:$D$665=N668)*($E$378:$E$665=O668))),0)&gt;3, 4, IFERROR(ROWS(_xlfn._xlws.FILTER($A$378:$A$665,($C$378:$C$665=M668)*($D$378:$D$665=N668)*($E$378:$E$665=O668))),0))))))</f>
        <v>0</v>
      </c>
      <c r="Q668" s="51" t="str">
        <f t="shared" ref="Q668:Q674" si="84">IF(P668=0,"",RANK(P668,P$667:P$675))</f>
        <v/>
      </c>
      <c r="R668" s="51">
        <f t="shared" ref="R668:R674" si="85">IF(Q668="", 0, 9-Q668)</f>
        <v>0</v>
      </c>
      <c r="S668" s="134" t="str">
        <f t="shared" ref="S668:S675" si="86">M668</f>
        <v>Banbury Harriers AC</v>
      </c>
      <c r="T668" s="134" t="s">
        <v>60</v>
      </c>
      <c r="U668" s="134" t="s">
        <v>145</v>
      </c>
      <c r="V668" s="52" cm="1">
        <f t="array" ref="V668">IF(IFERROR(ROWS(_xlfn._xlws.FILTER($A$378:$A$665,($C$378:$C$665=S668)*($D$378:$D$665=T668)*($E$378:$E$665=U668))),0)=0, 0,SUM(LARGE(_xlfn._xlws.FILTER($Q$378:$Q$665,($C$378:$C$665=S668)*($D$378:$D$665=T668)*($E$378:$E$665=U668)),_xlfn.SEQUENCE(IF(IFERROR(ROWS(_xlfn._xlws.FILTER($A$378:$A$665,($C$378:$C$665=S668)*($D$378:$D$665=T668)*($E$378:$E$665=U668))),0)&gt;3, 4, IFERROR(ROWS(_xlfn._xlws.FILTER($A$378:$A$665,($C$378:$C$665=S668)*($D$378:$D$665=T668)*($E$378:$E$665=U668))),0))))))</f>
        <v>0</v>
      </c>
      <c r="W668" s="51" t="str">
        <f t="shared" ref="W668:W674" si="87">IF(V668=0,"",RANK(V668,V$667:V$675))</f>
        <v/>
      </c>
      <c r="X668" s="51">
        <f t="shared" ref="X668:X674" si="88">IF(W668="", 0, 9-W668)</f>
        <v>0</v>
      </c>
    </row>
    <row r="669" spans="1:24">
      <c r="A669" s="134" t="str">
        <f>'Read Me First'!C13</f>
        <v>Bicester AC</v>
      </c>
      <c r="B669" s="134" t="s">
        <v>59</v>
      </c>
      <c r="C669" s="134" t="s">
        <v>150</v>
      </c>
      <c r="D669" s="52" cm="1">
        <f t="array" ref="D669">IF(IFERROR(ROWS(_xlfn._xlws.FILTER($A$378:$A$665,($C$378:$C$665=A669)*($D$378:$D$665=B669)*($E$378:$E$665=C669))),0)=0, 0,SUM(LARGE(_xlfn._xlws.FILTER($Q$378:$Q$665,($C$378:$C$665=A669)*($D$378:$D$665=B669)*($E$378:$E$665=C669)),_xlfn.SEQUENCE(IF(IFERROR(ROWS(_xlfn._xlws.FILTER($A$378:$A$665,($C$378:$C$665=A669)*($D$378:$D$665=B669)*($E$378:$E$665=C669))),0)&gt;3, 4, IFERROR(ROWS(_xlfn._xlws.FILTER($A$378:$A$665,($C$378:$C$665=A669)*($D$378:$D$665=B669)*($E$378:$E$665=C669))),0))))))</f>
        <v>0</v>
      </c>
      <c r="E669" s="51" t="str">
        <f t="shared" si="79"/>
        <v/>
      </c>
      <c r="F669" s="51">
        <f t="shared" si="80"/>
        <v>0</v>
      </c>
      <c r="G669" s="134" t="str">
        <f t="shared" si="81"/>
        <v>Bicester AC</v>
      </c>
      <c r="H669" s="134" t="s">
        <v>59</v>
      </c>
      <c r="I669" s="134" t="s">
        <v>145</v>
      </c>
      <c r="J669" s="52" cm="1">
        <f t="array" ref="J669">IF(IFERROR(ROWS(_xlfn._xlws.FILTER($A$378:$A$665,($C$378:$C$665=G669)*($D$378:$D$665=H669)*($E$378:$E$665=I669))),0)=0, 0,SUM(LARGE(_xlfn._xlws.FILTER($Q$378:$Q$665,($C$378:$C$665=G669)*($D$378:$D$665=H669)*($E$378:$E$665=I669)),_xlfn.SEQUENCE(IF(IFERROR(ROWS(_xlfn._xlws.FILTER($A$378:$A$665,($C$378:$C$665=G669)*($D$378:$D$665=H669)*($E$378:$E$665=I669))),0)&gt;3, 4, IFERROR(ROWS(_xlfn._xlws.FILTER($A$378:$A$665,($C$378:$C$665=G669)*($D$378:$D$665=H669)*($E$378:$E$665=I669))),0))))))</f>
        <v>0</v>
      </c>
      <c r="K669" s="51" t="str">
        <f t="shared" si="82"/>
        <v/>
      </c>
      <c r="L669" s="51">
        <f t="shared" si="78"/>
        <v>0</v>
      </c>
      <c r="M669" s="134" t="str">
        <f t="shared" si="83"/>
        <v>Bicester AC</v>
      </c>
      <c r="N669" s="134" t="s">
        <v>60</v>
      </c>
      <c r="O669" s="134" t="s">
        <v>150</v>
      </c>
      <c r="P669" s="52" cm="1">
        <f t="array" ref="P669">IF(IFERROR(ROWS(_xlfn._xlws.FILTER($A$378:$A$665,($C$378:$C$665=M669)*($D$378:$D$665=N669)*($E$378:$E$665=O669))),0)=0, 0,SUM(LARGE(_xlfn._xlws.FILTER($Q$378:$Q$665,($C$378:$C$665=M669)*($D$378:$D$665=N669)*($E$378:$E$665=O669)),_xlfn.SEQUENCE(IF(IFERROR(ROWS(_xlfn._xlws.FILTER($A$378:$A$665,($C$378:$C$665=M669)*($D$378:$D$665=N669)*($E$378:$E$665=O669))),0)&gt;3, 4, IFERROR(ROWS(_xlfn._xlws.FILTER($A$378:$A$665,($C$378:$C$665=M669)*($D$378:$D$665=N669)*($E$378:$E$665=O669))),0))))))</f>
        <v>0</v>
      </c>
      <c r="Q669" s="51" t="str">
        <f t="shared" si="84"/>
        <v/>
      </c>
      <c r="R669" s="51">
        <f t="shared" si="85"/>
        <v>0</v>
      </c>
      <c r="S669" s="134" t="str">
        <f t="shared" si="86"/>
        <v>Bicester AC</v>
      </c>
      <c r="T669" s="134" t="s">
        <v>60</v>
      </c>
      <c r="U669" s="134" t="s">
        <v>145</v>
      </c>
      <c r="V669" s="52" cm="1">
        <f t="array" ref="V669">IF(IFERROR(ROWS(_xlfn._xlws.FILTER($A$378:$A$665,($C$378:$C$665=S669)*($D$378:$D$665=T669)*($E$378:$E$665=U669))),0)=0, 0,SUM(LARGE(_xlfn._xlws.FILTER($Q$378:$Q$665,($C$378:$C$665=S669)*($D$378:$D$665=T669)*($E$378:$E$665=U669)),_xlfn.SEQUENCE(IF(IFERROR(ROWS(_xlfn._xlws.FILTER($A$378:$A$665,($C$378:$C$665=S669)*($D$378:$D$665=T669)*($E$378:$E$665=U669))),0)&gt;3, 4, IFERROR(ROWS(_xlfn._xlws.FILTER($A$378:$A$665,($C$378:$C$665=S669)*($D$378:$D$665=T669)*($E$378:$E$665=U669))),0))))))</f>
        <v>0</v>
      </c>
      <c r="W669" s="51" t="str">
        <f t="shared" si="87"/>
        <v/>
      </c>
      <c r="X669" s="51">
        <f t="shared" si="88"/>
        <v>0</v>
      </c>
    </row>
    <row r="670" spans="1:24">
      <c r="A670" s="134" t="str">
        <f>'Read Me First'!C14</f>
        <v>Oxford City AC</v>
      </c>
      <c r="B670" s="134" t="s">
        <v>59</v>
      </c>
      <c r="C670" s="134" t="s">
        <v>150</v>
      </c>
      <c r="D670" s="52" cm="1">
        <f t="array" ref="D670">IF(IFERROR(ROWS(_xlfn._xlws.FILTER($A$378:$A$665,($C$378:$C$665=A670)*($D$378:$D$665=B670)*($E$378:$E$665=C670))),0)=0, 0,SUM(LARGE(_xlfn._xlws.FILTER($Q$378:$Q$665,($C$378:$C$665=A670)*($D$378:$D$665=B670)*($E$378:$E$665=C670)),_xlfn.SEQUENCE(IF(IFERROR(ROWS(_xlfn._xlws.FILTER($A$378:$A$665,($C$378:$C$665=A670)*($D$378:$D$665=B670)*($E$378:$E$665=C670))),0)&gt;3, 4, IFERROR(ROWS(_xlfn._xlws.FILTER($A$378:$A$665,($C$378:$C$665=A670)*($D$378:$D$665=B670)*($E$378:$E$665=C670))),0))))))</f>
        <v>0</v>
      </c>
      <c r="E670" s="51" t="str">
        <f t="shared" si="79"/>
        <v/>
      </c>
      <c r="F670" s="51">
        <f t="shared" si="80"/>
        <v>0</v>
      </c>
      <c r="G670" s="134" t="str">
        <f t="shared" si="81"/>
        <v>Oxford City AC</v>
      </c>
      <c r="H670" s="134" t="s">
        <v>59</v>
      </c>
      <c r="I670" s="134" t="s">
        <v>145</v>
      </c>
      <c r="J670" s="52" cm="1">
        <f t="array" ref="J670">IF(IFERROR(ROWS(_xlfn._xlws.FILTER($A$378:$A$665,($C$378:$C$665=G670)*($D$378:$D$665=H670)*($E$378:$E$665=I670))),0)=0, 0,SUM(LARGE(_xlfn._xlws.FILTER($Q$378:$Q$665,($C$378:$C$665=G670)*($D$378:$D$665=H670)*($E$378:$E$665=I670)),_xlfn.SEQUENCE(IF(IFERROR(ROWS(_xlfn._xlws.FILTER($A$378:$A$665,($C$378:$C$665=G670)*($D$378:$D$665=H670)*($E$378:$E$665=I670))),0)&gt;3, 4, IFERROR(ROWS(_xlfn._xlws.FILTER($A$378:$A$665,($C$378:$C$665=G670)*($D$378:$D$665=H670)*($E$378:$E$665=I670))),0))))))</f>
        <v>0</v>
      </c>
      <c r="K670" s="51" t="str">
        <f t="shared" si="82"/>
        <v/>
      </c>
      <c r="L670" s="51">
        <f t="shared" si="78"/>
        <v>0</v>
      </c>
      <c r="M670" s="134" t="str">
        <f t="shared" si="83"/>
        <v>Oxford City AC</v>
      </c>
      <c r="N670" s="134" t="s">
        <v>60</v>
      </c>
      <c r="O670" s="134" t="s">
        <v>150</v>
      </c>
      <c r="P670" s="52" cm="1">
        <f t="array" ref="P670">IF(IFERROR(ROWS(_xlfn._xlws.FILTER($A$378:$A$665,($C$378:$C$665=M670)*($D$378:$D$665=N670)*($E$378:$E$665=O670))),0)=0, 0,SUM(LARGE(_xlfn._xlws.FILTER($Q$378:$Q$665,($C$378:$C$665=M670)*($D$378:$D$665=N670)*($E$378:$E$665=O670)),_xlfn.SEQUENCE(IF(IFERROR(ROWS(_xlfn._xlws.FILTER($A$378:$A$665,($C$378:$C$665=M670)*($D$378:$D$665=N670)*($E$378:$E$665=O670))),0)&gt;3, 4, IFERROR(ROWS(_xlfn._xlws.FILTER($A$378:$A$665,($C$378:$C$665=M670)*($D$378:$D$665=N670)*($E$378:$E$665=O670))),0))))))</f>
        <v>0</v>
      </c>
      <c r="Q670" s="51" t="str">
        <f t="shared" si="84"/>
        <v/>
      </c>
      <c r="R670" s="51">
        <f t="shared" si="85"/>
        <v>0</v>
      </c>
      <c r="S670" s="134" t="str">
        <f t="shared" si="86"/>
        <v>Oxford City AC</v>
      </c>
      <c r="T670" s="134" t="s">
        <v>60</v>
      </c>
      <c r="U670" s="134" t="s">
        <v>145</v>
      </c>
      <c r="V670" s="52" cm="1">
        <f t="array" ref="V670">IF(IFERROR(ROWS(_xlfn._xlws.FILTER($A$378:$A$665,($C$378:$C$665=S670)*($D$378:$D$665=T670)*($E$378:$E$665=U670))),0)=0, 0,SUM(LARGE(_xlfn._xlws.FILTER($Q$378:$Q$665,($C$378:$C$665=S670)*($D$378:$D$665=T670)*($E$378:$E$665=U670)),_xlfn.SEQUENCE(IF(IFERROR(ROWS(_xlfn._xlws.FILTER($A$378:$A$665,($C$378:$C$665=S670)*($D$378:$D$665=T670)*($E$378:$E$665=U670))),0)&gt;3, 4, IFERROR(ROWS(_xlfn._xlws.FILTER($A$378:$A$665,($C$378:$C$665=S670)*($D$378:$D$665=T670)*($E$378:$E$665=U670))),0))))))</f>
        <v>0</v>
      </c>
      <c r="W670" s="51" t="str">
        <f t="shared" si="87"/>
        <v/>
      </c>
      <c r="X670" s="51">
        <f t="shared" si="88"/>
        <v>0</v>
      </c>
    </row>
    <row r="671" spans="1:24">
      <c r="A671" s="134" t="str">
        <f>'Read Me First'!C15</f>
        <v>Radley AC</v>
      </c>
      <c r="B671" s="134" t="s">
        <v>59</v>
      </c>
      <c r="C671" s="134" t="s">
        <v>150</v>
      </c>
      <c r="D671" s="52" cm="1">
        <f t="array" ref="D671">IF(IFERROR(ROWS(_xlfn._xlws.FILTER($A$378:$A$665,($C$378:$C$665=A671)*($D$378:$D$665=B671)*($E$378:$E$665=C671))),0)=0, 0,SUM(LARGE(_xlfn._xlws.FILTER($Q$378:$Q$665,($C$378:$C$665=A671)*($D$378:$D$665=B671)*($E$378:$E$665=C671)),_xlfn.SEQUENCE(IF(IFERROR(ROWS(_xlfn._xlws.FILTER($A$378:$A$665,($C$378:$C$665=A671)*($D$378:$D$665=B671)*($E$378:$E$665=C671))),0)&gt;3, 4, IFERROR(ROWS(_xlfn._xlws.FILTER($A$378:$A$665,($C$378:$C$665=A671)*($D$378:$D$665=B671)*($E$378:$E$665=C671))),0))))))</f>
        <v>0</v>
      </c>
      <c r="E671" s="51" t="str">
        <f t="shared" si="79"/>
        <v/>
      </c>
      <c r="F671" s="51">
        <f t="shared" si="80"/>
        <v>0</v>
      </c>
      <c r="G671" s="134" t="str">
        <f t="shared" si="81"/>
        <v>Radley AC</v>
      </c>
      <c r="H671" s="134" t="s">
        <v>59</v>
      </c>
      <c r="I671" s="134" t="s">
        <v>145</v>
      </c>
      <c r="J671" s="52" cm="1">
        <f t="array" ref="J671">IF(IFERROR(ROWS(_xlfn._xlws.FILTER($A$378:$A$665,($C$378:$C$665=G671)*($D$378:$D$665=H671)*($E$378:$E$665=I671))),0)=0, 0,SUM(LARGE(_xlfn._xlws.FILTER($Q$378:$Q$665,($C$378:$C$665=G671)*($D$378:$D$665=H671)*($E$378:$E$665=I671)),_xlfn.SEQUENCE(IF(IFERROR(ROWS(_xlfn._xlws.FILTER($A$378:$A$665,($C$378:$C$665=G671)*($D$378:$D$665=H671)*($E$378:$E$665=I671))),0)&gt;3, 4, IFERROR(ROWS(_xlfn._xlws.FILTER($A$378:$A$665,($C$378:$C$665=G671)*($D$378:$D$665=H671)*($E$378:$E$665=I671))),0))))))</f>
        <v>0</v>
      </c>
      <c r="K671" s="51" t="str">
        <f t="shared" si="82"/>
        <v/>
      </c>
      <c r="L671" s="51">
        <f t="shared" si="78"/>
        <v>0</v>
      </c>
      <c r="M671" s="134" t="str">
        <f t="shared" si="83"/>
        <v>Radley AC</v>
      </c>
      <c r="N671" s="134" t="s">
        <v>60</v>
      </c>
      <c r="O671" s="134" t="s">
        <v>150</v>
      </c>
      <c r="P671" s="52" cm="1">
        <f t="array" ref="P671">IF(IFERROR(ROWS(_xlfn._xlws.FILTER($A$378:$A$665,($C$378:$C$665=M671)*($D$378:$D$665=N671)*($E$378:$E$665=O671))),0)=0, 0,SUM(LARGE(_xlfn._xlws.FILTER($Q$378:$Q$665,($C$378:$C$665=M671)*($D$378:$D$665=N671)*($E$378:$E$665=O671)),_xlfn.SEQUENCE(IF(IFERROR(ROWS(_xlfn._xlws.FILTER($A$378:$A$665,($C$378:$C$665=M671)*($D$378:$D$665=N671)*($E$378:$E$665=O671))),0)&gt;3, 4, IFERROR(ROWS(_xlfn._xlws.FILTER($A$378:$A$665,($C$378:$C$665=M671)*($D$378:$D$665=N671)*($E$378:$E$665=O671))),0))))))</f>
        <v>0</v>
      </c>
      <c r="Q671" s="51" t="str">
        <f t="shared" si="84"/>
        <v/>
      </c>
      <c r="R671" s="51">
        <f t="shared" si="85"/>
        <v>0</v>
      </c>
      <c r="S671" s="134" t="str">
        <f t="shared" si="86"/>
        <v>Radley AC</v>
      </c>
      <c r="T671" s="134" t="s">
        <v>60</v>
      </c>
      <c r="U671" s="134" t="s">
        <v>145</v>
      </c>
      <c r="V671" s="52" cm="1">
        <f t="array" ref="V671">IF(IFERROR(ROWS(_xlfn._xlws.FILTER($A$378:$A$665,($C$378:$C$665=S671)*($D$378:$D$665=T671)*($E$378:$E$665=U671))),0)=0, 0,SUM(LARGE(_xlfn._xlws.FILTER($Q$378:$Q$665,($C$378:$C$665=S671)*($D$378:$D$665=T671)*($E$378:$E$665=U671)),_xlfn.SEQUENCE(IF(IFERROR(ROWS(_xlfn._xlws.FILTER($A$378:$A$665,($C$378:$C$665=S671)*($D$378:$D$665=T671)*($E$378:$E$665=U671))),0)&gt;3, 4, IFERROR(ROWS(_xlfn._xlws.FILTER($A$378:$A$665,($C$378:$C$665=S671)*($D$378:$D$665=T671)*($E$378:$E$665=U671))),0))))))</f>
        <v>0</v>
      </c>
      <c r="W671" s="51" t="str">
        <f t="shared" si="87"/>
        <v/>
      </c>
      <c r="X671" s="51">
        <f t="shared" si="88"/>
        <v>0</v>
      </c>
    </row>
    <row r="672" spans="1:24">
      <c r="A672" s="134" t="str">
        <f>'Read Me First'!C16</f>
        <v>Team Kennet</v>
      </c>
      <c r="B672" s="134" t="s">
        <v>59</v>
      </c>
      <c r="C672" s="134" t="s">
        <v>150</v>
      </c>
      <c r="D672" s="52" cm="1">
        <f t="array" ref="D672">IF(IFERROR(ROWS(_xlfn._xlws.FILTER($A$378:$A$665,($C$378:$C$665=A672)*($D$378:$D$665=B672)*($E$378:$E$665=C672))),0)=0, 0,SUM(LARGE(_xlfn._xlws.FILTER($Q$378:$Q$665,($C$378:$C$665=A672)*($D$378:$D$665=B672)*($E$378:$E$665=C672)),_xlfn.SEQUENCE(IF(IFERROR(ROWS(_xlfn._xlws.FILTER($A$378:$A$665,($C$378:$C$665=A672)*($D$378:$D$665=B672)*($E$378:$E$665=C672))),0)&gt;3, 4, IFERROR(ROWS(_xlfn._xlws.FILTER($A$378:$A$665,($C$378:$C$665=A672)*($D$378:$D$665=B672)*($E$378:$E$665=C672))),0))))))</f>
        <v>0</v>
      </c>
      <c r="E672" s="51" t="str">
        <f t="shared" si="79"/>
        <v/>
      </c>
      <c r="F672" s="51">
        <f t="shared" si="80"/>
        <v>0</v>
      </c>
      <c r="G672" s="134" t="str">
        <f t="shared" si="81"/>
        <v>Team Kennet</v>
      </c>
      <c r="H672" s="134" t="s">
        <v>59</v>
      </c>
      <c r="I672" s="134" t="s">
        <v>145</v>
      </c>
      <c r="J672" s="52" cm="1">
        <f t="array" ref="J672">IF(IFERROR(ROWS(_xlfn._xlws.FILTER($A$378:$A$665,($C$378:$C$665=G672)*($D$378:$D$665=H672)*($E$378:$E$665=I672))),0)=0, 0,SUM(LARGE(_xlfn._xlws.FILTER($Q$378:$Q$665,($C$378:$C$665=G672)*($D$378:$D$665=H672)*($E$378:$E$665=I672)),_xlfn.SEQUENCE(IF(IFERROR(ROWS(_xlfn._xlws.FILTER($A$378:$A$665,($C$378:$C$665=G672)*($D$378:$D$665=H672)*($E$378:$E$665=I672))),0)&gt;3, 4, IFERROR(ROWS(_xlfn._xlws.FILTER($A$378:$A$665,($C$378:$C$665=G672)*($D$378:$D$665=H672)*($E$378:$E$665=I672))),0))))))</f>
        <v>0</v>
      </c>
      <c r="K672" s="51" t="str">
        <f t="shared" si="82"/>
        <v/>
      </c>
      <c r="L672" s="51">
        <f t="shared" si="78"/>
        <v>0</v>
      </c>
      <c r="M672" s="134" t="str">
        <f t="shared" si="83"/>
        <v>Team Kennet</v>
      </c>
      <c r="N672" s="134" t="s">
        <v>60</v>
      </c>
      <c r="O672" s="134" t="s">
        <v>150</v>
      </c>
      <c r="P672" s="52" cm="1">
        <f t="array" ref="P672">IF(IFERROR(ROWS(_xlfn._xlws.FILTER($A$378:$A$665,($C$378:$C$665=M672)*($D$378:$D$665=N672)*($E$378:$E$665=O672))),0)=0, 0,SUM(LARGE(_xlfn._xlws.FILTER($Q$378:$Q$665,($C$378:$C$665=M672)*($D$378:$D$665=N672)*($E$378:$E$665=O672)),_xlfn.SEQUENCE(IF(IFERROR(ROWS(_xlfn._xlws.FILTER($A$378:$A$665,($C$378:$C$665=M672)*($D$378:$D$665=N672)*($E$378:$E$665=O672))),0)&gt;3, 4, IFERROR(ROWS(_xlfn._xlws.FILTER($A$378:$A$665,($C$378:$C$665=M672)*($D$378:$D$665=N672)*($E$378:$E$665=O672))),0))))))</f>
        <v>0</v>
      </c>
      <c r="Q672" s="51" t="str">
        <f t="shared" si="84"/>
        <v/>
      </c>
      <c r="R672" s="51">
        <f t="shared" si="85"/>
        <v>0</v>
      </c>
      <c r="S672" s="134" t="str">
        <f t="shared" si="86"/>
        <v>Team Kennet</v>
      </c>
      <c r="T672" s="134" t="s">
        <v>60</v>
      </c>
      <c r="U672" s="134" t="s">
        <v>145</v>
      </c>
      <c r="V672" s="52" cm="1">
        <f t="array" ref="V672">IF(IFERROR(ROWS(_xlfn._xlws.FILTER($A$378:$A$665,($C$378:$C$665=S672)*($D$378:$D$665=T672)*($E$378:$E$665=U672))),0)=0, 0,SUM(LARGE(_xlfn._xlws.FILTER($Q$378:$Q$665,($C$378:$C$665=S672)*($D$378:$D$665=T672)*($E$378:$E$665=U672)),_xlfn.SEQUENCE(IF(IFERROR(ROWS(_xlfn._xlws.FILTER($A$378:$A$665,($C$378:$C$665=S672)*($D$378:$D$665=T672)*($E$378:$E$665=U672))),0)&gt;3, 4, IFERROR(ROWS(_xlfn._xlws.FILTER($A$378:$A$665,($C$378:$C$665=S672)*($D$378:$D$665=T672)*($E$378:$E$665=U672))),0))))))</f>
        <v>0</v>
      </c>
      <c r="W672" s="51" t="str">
        <f t="shared" si="87"/>
        <v/>
      </c>
      <c r="X672" s="51">
        <f t="shared" si="88"/>
        <v>0</v>
      </c>
    </row>
    <row r="673" spans="1:24">
      <c r="A673" s="134" t="str">
        <f>'Read Me First'!C17</f>
        <v>White Horse Harriers</v>
      </c>
      <c r="B673" s="134" t="s">
        <v>59</v>
      </c>
      <c r="C673" s="134" t="s">
        <v>150</v>
      </c>
      <c r="D673" s="52" cm="1">
        <f t="array" ref="D673">IF(IFERROR(ROWS(_xlfn._xlws.FILTER($A$378:$A$665,($C$378:$C$665=A673)*($D$378:$D$665=B673)*($E$378:$E$665=C673))),0)=0, 0,SUM(LARGE(_xlfn._xlws.FILTER($Q$378:$Q$665,($C$378:$C$665=A673)*($D$378:$D$665=B673)*($E$378:$E$665=C673)),_xlfn.SEQUENCE(IF(IFERROR(ROWS(_xlfn._xlws.FILTER($A$378:$A$665,($C$378:$C$665=A673)*($D$378:$D$665=B673)*($E$378:$E$665=C673))),0)&gt;3, 4, IFERROR(ROWS(_xlfn._xlws.FILTER($A$378:$A$665,($C$378:$C$665=A673)*($D$378:$D$665=B673)*($E$378:$E$665=C673))),0))))))</f>
        <v>0</v>
      </c>
      <c r="E673" s="51" t="str">
        <f t="shared" si="79"/>
        <v/>
      </c>
      <c r="F673" s="51">
        <f t="shared" si="80"/>
        <v>0</v>
      </c>
      <c r="G673" s="134" t="str">
        <f t="shared" si="81"/>
        <v>White Horse Harriers</v>
      </c>
      <c r="H673" s="134" t="s">
        <v>59</v>
      </c>
      <c r="I673" s="134" t="s">
        <v>145</v>
      </c>
      <c r="J673" s="52" cm="1">
        <f t="array" ref="J673">IF(IFERROR(ROWS(_xlfn._xlws.FILTER($A$378:$A$665,($C$378:$C$665=G673)*($D$378:$D$665=H673)*($E$378:$E$665=I673))),0)=0, 0,SUM(LARGE(_xlfn._xlws.FILTER($Q$378:$Q$665,($C$378:$C$665=G673)*($D$378:$D$665=H673)*($E$378:$E$665=I673)),_xlfn.SEQUENCE(IF(IFERROR(ROWS(_xlfn._xlws.FILTER($A$378:$A$665,($C$378:$C$665=G673)*($D$378:$D$665=H673)*($E$378:$E$665=I673))),0)&gt;3, 4, IFERROR(ROWS(_xlfn._xlws.FILTER($A$378:$A$665,($C$378:$C$665=G673)*($D$378:$D$665=H673)*($E$378:$E$665=I673))),0))))))</f>
        <v>0</v>
      </c>
      <c r="K673" s="51" t="str">
        <f t="shared" si="82"/>
        <v/>
      </c>
      <c r="L673" s="51">
        <f t="shared" si="78"/>
        <v>0</v>
      </c>
      <c r="M673" s="134" t="str">
        <f t="shared" si="83"/>
        <v>White Horse Harriers</v>
      </c>
      <c r="N673" s="134" t="s">
        <v>60</v>
      </c>
      <c r="O673" s="134" t="s">
        <v>150</v>
      </c>
      <c r="P673" s="52" cm="1">
        <f t="array" ref="P673">IF(IFERROR(ROWS(_xlfn._xlws.FILTER($A$378:$A$665,($C$378:$C$665=M673)*($D$378:$D$665=N673)*($E$378:$E$665=O673))),0)=0, 0,SUM(LARGE(_xlfn._xlws.FILTER($Q$378:$Q$665,($C$378:$C$665=M673)*($D$378:$D$665=N673)*($E$378:$E$665=O673)),_xlfn.SEQUENCE(IF(IFERROR(ROWS(_xlfn._xlws.FILTER($A$378:$A$665,($C$378:$C$665=M673)*($D$378:$D$665=N673)*($E$378:$E$665=O673))),0)&gt;3, 4, IFERROR(ROWS(_xlfn._xlws.FILTER($A$378:$A$665,($C$378:$C$665=M673)*($D$378:$D$665=N673)*($E$378:$E$665=O673))),0))))))</f>
        <v>0</v>
      </c>
      <c r="Q673" s="51" t="str">
        <f t="shared" si="84"/>
        <v/>
      </c>
      <c r="R673" s="51">
        <f t="shared" si="85"/>
        <v>0</v>
      </c>
      <c r="S673" s="134" t="str">
        <f t="shared" si="86"/>
        <v>White Horse Harriers</v>
      </c>
      <c r="T673" s="134" t="s">
        <v>60</v>
      </c>
      <c r="U673" s="134" t="s">
        <v>145</v>
      </c>
      <c r="V673" s="52" cm="1">
        <f t="array" ref="V673">IF(IFERROR(ROWS(_xlfn._xlws.FILTER($A$378:$A$665,($C$378:$C$665=S673)*($D$378:$D$665=T673)*($E$378:$E$665=U673))),0)=0, 0,SUM(LARGE(_xlfn._xlws.FILTER($Q$378:$Q$665,($C$378:$C$665=S673)*($D$378:$D$665=T673)*($E$378:$E$665=U673)),_xlfn.SEQUENCE(IF(IFERROR(ROWS(_xlfn._xlws.FILTER($A$378:$A$665,($C$378:$C$665=S673)*($D$378:$D$665=T673)*($E$378:$E$665=U673))),0)&gt;3, 4, IFERROR(ROWS(_xlfn._xlws.FILTER($A$378:$A$665,($C$378:$C$665=S673)*($D$378:$D$665=T673)*($E$378:$E$665=U673))),0))))))</f>
        <v>0</v>
      </c>
      <c r="W673" s="51" t="str">
        <f t="shared" si="87"/>
        <v/>
      </c>
      <c r="X673" s="51">
        <f t="shared" si="88"/>
        <v>0</v>
      </c>
    </row>
    <row r="674" spans="1:24">
      <c r="A674" s="134" t="str">
        <f>'Read Me First'!C18</f>
        <v>Witney Road Runners</v>
      </c>
      <c r="B674" s="134" t="s">
        <v>59</v>
      </c>
      <c r="C674" s="134" t="s">
        <v>150</v>
      </c>
      <c r="D674" s="52" cm="1">
        <f t="array" ref="D674">IF(IFERROR(ROWS(_xlfn._xlws.FILTER($A$378:$A$665,($C$378:$C$665=A674)*($D$378:$D$665=B674)*($E$378:$E$665=C674))),0)=0, 0,SUM(LARGE(_xlfn._xlws.FILTER($Q$378:$Q$665,($C$378:$C$665=A674)*($D$378:$D$665=B674)*($E$378:$E$665=C674)),_xlfn.SEQUENCE(IF(IFERROR(ROWS(_xlfn._xlws.FILTER($A$378:$A$665,($C$378:$C$665=A674)*($D$378:$D$665=B674)*($E$378:$E$665=C674))),0)&gt;3, 4, IFERROR(ROWS(_xlfn._xlws.FILTER($A$378:$A$665,($C$378:$C$665=A674)*($D$378:$D$665=B674)*($E$378:$E$665=C674))),0))))))</f>
        <v>0</v>
      </c>
      <c r="E674" s="51" t="str">
        <f t="shared" si="79"/>
        <v/>
      </c>
      <c r="F674" s="51">
        <f t="shared" si="80"/>
        <v>0</v>
      </c>
      <c r="G674" s="134" t="str">
        <f t="shared" si="81"/>
        <v>Witney Road Runners</v>
      </c>
      <c r="H674" s="134" t="s">
        <v>59</v>
      </c>
      <c r="I674" s="134" t="s">
        <v>145</v>
      </c>
      <c r="J674" s="52" cm="1">
        <f t="array" ref="J674">IF(IFERROR(ROWS(_xlfn._xlws.FILTER($A$378:$A$665,($C$378:$C$665=G674)*($D$378:$D$665=H674)*($E$378:$E$665=I674))),0)=0, 0,SUM(LARGE(_xlfn._xlws.FILTER($Q$378:$Q$665,($C$378:$C$665=G674)*($D$378:$D$665=H674)*($E$378:$E$665=I674)),_xlfn.SEQUENCE(IF(IFERROR(ROWS(_xlfn._xlws.FILTER($A$378:$A$665,($C$378:$C$665=G674)*($D$378:$D$665=H674)*($E$378:$E$665=I674))),0)&gt;3, 4, IFERROR(ROWS(_xlfn._xlws.FILTER($A$378:$A$665,($C$378:$C$665=G674)*($D$378:$D$665=H674)*($E$378:$E$665=I674))),0))))))</f>
        <v>0</v>
      </c>
      <c r="K674" s="51" t="str">
        <f t="shared" si="82"/>
        <v/>
      </c>
      <c r="L674" s="51">
        <f t="shared" si="78"/>
        <v>0</v>
      </c>
      <c r="M674" s="134" t="str">
        <f t="shared" si="83"/>
        <v>Witney Road Runners</v>
      </c>
      <c r="N674" s="134" t="s">
        <v>60</v>
      </c>
      <c r="O674" s="134" t="s">
        <v>150</v>
      </c>
      <c r="P674" s="52" cm="1">
        <f t="array" ref="P674">IF(IFERROR(ROWS(_xlfn._xlws.FILTER($A$378:$A$665,($C$378:$C$665=M674)*($D$378:$D$665=N674)*($E$378:$E$665=O674))),0)=0, 0,SUM(LARGE(_xlfn._xlws.FILTER($Q$378:$Q$665,($C$378:$C$665=M674)*($D$378:$D$665=N674)*($E$378:$E$665=O674)),_xlfn.SEQUENCE(IF(IFERROR(ROWS(_xlfn._xlws.FILTER($A$378:$A$665,($C$378:$C$665=M674)*($D$378:$D$665=N674)*($E$378:$E$665=O674))),0)&gt;3, 4, IFERROR(ROWS(_xlfn._xlws.FILTER($A$378:$A$665,($C$378:$C$665=M674)*($D$378:$D$665=N674)*($E$378:$E$665=O674))),0))))))</f>
        <v>0</v>
      </c>
      <c r="Q674" s="51" t="str">
        <f t="shared" si="84"/>
        <v/>
      </c>
      <c r="R674" s="51">
        <f t="shared" si="85"/>
        <v>0</v>
      </c>
      <c r="S674" s="134" t="str">
        <f t="shared" si="86"/>
        <v>Witney Road Runners</v>
      </c>
      <c r="T674" s="134" t="s">
        <v>60</v>
      </c>
      <c r="U674" s="134" t="s">
        <v>145</v>
      </c>
      <c r="V674" s="52" cm="1">
        <f t="array" ref="V674">IF(IFERROR(ROWS(_xlfn._xlws.FILTER($A$378:$A$665,($C$378:$C$665=S674)*($D$378:$D$665=T674)*($E$378:$E$665=U674))),0)=0, 0,SUM(LARGE(_xlfn._xlws.FILTER($Q$378:$Q$665,($C$378:$C$665=S674)*($D$378:$D$665=T674)*($E$378:$E$665=U674)),_xlfn.SEQUENCE(IF(IFERROR(ROWS(_xlfn._xlws.FILTER($A$378:$A$665,($C$378:$C$665=S674)*($D$378:$D$665=T674)*($E$378:$E$665=U674))),0)&gt;3, 4, IFERROR(ROWS(_xlfn._xlws.FILTER($A$378:$A$665,($C$378:$C$665=S674)*($D$378:$D$665=T674)*($E$378:$E$665=U674))),0))))))</f>
        <v>0</v>
      </c>
      <c r="W674" s="51" t="str">
        <f t="shared" si="87"/>
        <v/>
      </c>
      <c r="X674" s="51">
        <f t="shared" si="88"/>
        <v>0</v>
      </c>
    </row>
    <row r="675" spans="1:24">
      <c r="A675" s="134" t="str">
        <f>'Read Me First'!C19</f>
        <v>Great Milton AC</v>
      </c>
      <c r="B675" s="134" t="s">
        <v>59</v>
      </c>
      <c r="C675" s="134" t="s">
        <v>150</v>
      </c>
      <c r="D675" s="52" cm="1">
        <f t="array" ref="D675">IF(IFERROR(ROWS(_xlfn._xlws.FILTER($A$378:$A$665,($C$378:$C$665=A675)*($D$378:$D$665=B675)*($E$378:$E$665=C675))),0)=0, 0,SUM(LARGE(_xlfn._xlws.FILTER($Q$378:$Q$665,($C$378:$C$665=A675)*($D$378:$D$665=B675)*($E$378:$E$665=C675)),_xlfn.SEQUENCE(IF(IFERROR(ROWS(_xlfn._xlws.FILTER($A$378:$A$665,($C$378:$C$665=A675)*($D$378:$D$665=B675)*($E$378:$E$665=C675))),0)&gt;3, 4, IFERROR(ROWS(_xlfn._xlws.FILTER($A$378:$A$665,($C$378:$C$665=A675)*($D$378:$D$665=B675)*($E$378:$E$665=C675))),0))))))</f>
        <v>0</v>
      </c>
      <c r="E675" s="162" t="s">
        <v>84</v>
      </c>
      <c r="F675" s="162" t="s">
        <v>84</v>
      </c>
      <c r="G675" s="134" t="str">
        <f t="shared" si="81"/>
        <v>Great Milton AC</v>
      </c>
      <c r="H675" s="134" t="s">
        <v>59</v>
      </c>
      <c r="I675" s="134" t="s">
        <v>145</v>
      </c>
      <c r="J675" s="52" cm="1">
        <f t="array" ref="J675">IF(IFERROR(ROWS(_xlfn._xlws.FILTER($A$378:$A$665,($C$378:$C$665=G675)*($D$378:$D$665=H675)*($E$378:$E$665=I675))),0)=0, 0,SUM(LARGE(_xlfn._xlws.FILTER($Q$378:$Q$665,($C$378:$C$665=G675)*($D$378:$D$665=H675)*($E$378:$E$665=I675)),_xlfn.SEQUENCE(IF(IFERROR(ROWS(_xlfn._xlws.FILTER($A$378:$A$665,($C$378:$C$665=G675)*($D$378:$D$665=H675)*($E$378:$E$665=I675))),0)&gt;3, 4, IFERROR(ROWS(_xlfn._xlws.FILTER($A$378:$A$665,($C$378:$C$665=G675)*($D$378:$D$665=H675)*($E$378:$E$665=I675))),0))))))</f>
        <v>0</v>
      </c>
      <c r="K675" s="162" t="s">
        <v>84</v>
      </c>
      <c r="L675" s="162" t="s">
        <v>84</v>
      </c>
      <c r="M675" s="134" t="str">
        <f t="shared" si="83"/>
        <v>Great Milton AC</v>
      </c>
      <c r="N675" s="134" t="s">
        <v>60</v>
      </c>
      <c r="O675" s="134" t="s">
        <v>150</v>
      </c>
      <c r="P675" s="52" cm="1">
        <f t="array" ref="P675">IF(IFERROR(ROWS(_xlfn._xlws.FILTER($A$378:$A$665,($C$378:$C$665=M675)*($D$378:$D$665=N675)*($E$378:$E$665=O675))),0)=0, 0,SUM(LARGE(_xlfn._xlws.FILTER($Q$378:$Q$665,($C$378:$C$665=M675)*($D$378:$D$665=N675)*($E$378:$E$665=O675)),_xlfn.SEQUENCE(IF(IFERROR(ROWS(_xlfn._xlws.FILTER($A$378:$A$665,($C$378:$C$665=M675)*($D$378:$D$665=N675)*($E$378:$E$665=O675))),0)&gt;3, 4, IFERROR(ROWS(_xlfn._xlws.FILTER($A$378:$A$665,($C$378:$C$665=M675)*($D$378:$D$665=N675)*($E$378:$E$665=O675))),0))))))</f>
        <v>0</v>
      </c>
      <c r="Q675" s="162" t="s">
        <v>84</v>
      </c>
      <c r="R675" s="162" t="s">
        <v>84</v>
      </c>
      <c r="S675" s="134" t="str">
        <f t="shared" si="86"/>
        <v>Great Milton AC</v>
      </c>
      <c r="T675" s="134" t="s">
        <v>60</v>
      </c>
      <c r="U675" s="134" t="s">
        <v>145</v>
      </c>
      <c r="V675" s="52" cm="1">
        <f t="array" ref="V675">IF(IFERROR(ROWS(_xlfn._xlws.FILTER($A$378:$A$665,($C$378:$C$665=S675)*($D$378:$D$665=T675)*($E$378:$E$665=U675))),0)=0, 0,SUM(LARGE(_xlfn._xlws.FILTER($Q$378:$Q$665,($C$378:$C$665=S675)*($D$378:$D$665=T675)*($E$378:$E$665=U675)),_xlfn.SEQUENCE(IF(IFERROR(ROWS(_xlfn._xlws.FILTER($A$378:$A$665,($C$378:$C$665=S675)*($D$378:$D$665=T675)*($E$378:$E$665=U675))),0)&gt;3, 4, IFERROR(ROWS(_xlfn._xlws.FILTER($A$378:$A$665,($C$378:$C$665=S675)*($D$378:$D$665=T675)*($E$378:$E$665=U675))),0))))))</f>
        <v>0</v>
      </c>
      <c r="W675" s="162" t="s">
        <v>84</v>
      </c>
      <c r="X675" s="162" t="s">
        <v>84</v>
      </c>
    </row>
    <row r="677" spans="1:24">
      <c r="A677" s="168" t="str" cm="1">
        <f t="array" ref="A677">IFERROR(_xlfn._xlws.SORT(_xlfn._xlws.FILTER(CHOOSE({1,2,3,4},$A$667:$A$674,$D$667:$D$674,$E$667:$E$674,$F$667:$F$674),$D$667:$D$674&lt;&gt;0),3),"")</f>
        <v/>
      </c>
      <c r="B677" s="168"/>
      <c r="C677" s="168"/>
      <c r="D677" s="168"/>
      <c r="E677" s="168"/>
      <c r="F677" s="168"/>
      <c r="G677" s="168"/>
      <c r="H677" s="168" t="str" cm="1">
        <f t="array" ref="H677">IFERROR(_xlfn._xlws.SORT(_xlfn._xlws.FILTER(CHOOSE({1,2,3,4},$G$667:$G$674,$J$667:$J$674,$K$667:$K$674,$L$667:$L$674),$J$667:$J$674&lt;&gt;0),3),"")</f>
        <v/>
      </c>
      <c r="I677" s="168"/>
      <c r="J677" s="168"/>
      <c r="K677" s="168"/>
      <c r="L677" s="168"/>
      <c r="M677" s="168" t="str" cm="1">
        <f t="array" ref="M677">IFERROR(_xlfn._xlws.SORT(_xlfn._xlws.FILTER(CHOOSE({1,2,3,4},$M$343:$M$350,$P$343:$P$350,$Q$343:$Q$350,$R$343:$R$350),$P$343:$P$350&lt;&gt;0),3),"")</f>
        <v/>
      </c>
      <c r="N677" s="168"/>
      <c r="O677" s="168"/>
      <c r="P677" s="168"/>
      <c r="Q677" s="168"/>
      <c r="R677" s="168"/>
      <c r="S677" s="168" t="str" cm="1">
        <f t="array" ref="S677">IFERROR(_xlfn._xlws.SORT(_xlfn._xlws.FILTER(CHOOSE({1,2,3,4},$S$667:$S$674,$V$667:$V$674,$W$667:$W$674,$X$667:$X$674),$V$667:$V$674&lt;&gt;0),3),"")</f>
        <v/>
      </c>
      <c r="T677" s="168"/>
      <c r="U677" s="168"/>
      <c r="V677" s="168"/>
      <c r="W677" s="168"/>
      <c r="X677" s="168"/>
    </row>
    <row r="678" spans="1:24">
      <c r="A678" s="168"/>
      <c r="B678" s="168"/>
      <c r="C678" s="168"/>
      <c r="D678" s="168"/>
      <c r="E678" s="168"/>
      <c r="F678" s="168"/>
      <c r="G678" s="168"/>
      <c r="H678" s="168"/>
      <c r="I678" s="168"/>
      <c r="J678" s="168"/>
      <c r="K678" s="168"/>
      <c r="L678" s="168"/>
      <c r="M678" s="168"/>
      <c r="N678" s="168"/>
      <c r="O678" s="168"/>
      <c r="P678" s="168"/>
      <c r="Q678" s="168"/>
      <c r="R678" s="168"/>
      <c r="S678" s="168"/>
      <c r="T678" s="168"/>
      <c r="U678" s="168"/>
      <c r="V678" s="168"/>
      <c r="W678" s="168"/>
      <c r="X678" s="168"/>
    </row>
    <row r="679" spans="1:24">
      <c r="A679" s="168"/>
      <c r="B679" s="168"/>
      <c r="C679" s="168"/>
      <c r="D679" s="168"/>
      <c r="E679" s="168"/>
      <c r="F679" s="168"/>
      <c r="G679" s="168"/>
      <c r="H679" s="168"/>
      <c r="I679" s="168"/>
      <c r="J679" s="168"/>
      <c r="K679" s="168"/>
      <c r="L679" s="168"/>
      <c r="M679" s="168"/>
      <c r="N679" s="168"/>
      <c r="O679" s="168"/>
      <c r="P679" s="168"/>
      <c r="Q679" s="168"/>
      <c r="R679" s="168"/>
      <c r="S679" s="168"/>
      <c r="T679" s="168"/>
      <c r="U679" s="168"/>
      <c r="V679" s="168"/>
      <c r="W679" s="168"/>
      <c r="X679" s="168"/>
    </row>
    <row r="680" spans="1:24">
      <c r="A680" s="168"/>
      <c r="B680" s="168"/>
      <c r="C680" s="168"/>
      <c r="D680" s="168"/>
      <c r="E680" s="168"/>
      <c r="F680" s="168"/>
      <c r="G680" s="168"/>
      <c r="H680" s="168"/>
      <c r="I680" s="168"/>
      <c r="J680" s="168"/>
      <c r="K680" s="168"/>
      <c r="L680" s="168"/>
      <c r="M680" s="168"/>
      <c r="N680" s="168"/>
      <c r="O680" s="168"/>
      <c r="P680" s="168"/>
      <c r="Q680" s="168"/>
      <c r="R680" s="168"/>
      <c r="S680" s="168"/>
      <c r="T680" s="168"/>
      <c r="U680" s="168"/>
      <c r="V680" s="168"/>
      <c r="W680" s="168"/>
      <c r="X680" s="168"/>
    </row>
    <row r="681" spans="1:24">
      <c r="A681" s="168"/>
      <c r="B681" s="168"/>
      <c r="C681" s="168"/>
      <c r="D681" s="168"/>
      <c r="E681" s="168"/>
      <c r="F681" s="168"/>
      <c r="G681" s="168"/>
      <c r="H681" s="168"/>
      <c r="I681" s="168"/>
      <c r="J681" s="168"/>
      <c r="K681" s="168"/>
      <c r="L681" s="168"/>
      <c r="M681" s="168"/>
      <c r="N681" s="168"/>
      <c r="O681" s="168"/>
      <c r="P681" s="168"/>
      <c r="Q681" s="168"/>
      <c r="R681" s="168"/>
      <c r="S681" s="168"/>
      <c r="T681" s="168"/>
      <c r="U681" s="168"/>
      <c r="V681" s="168"/>
      <c r="W681" s="168"/>
      <c r="X681" s="168"/>
    </row>
    <row r="682" spans="1:24">
      <c r="A682" s="168"/>
      <c r="B682" s="168"/>
      <c r="C682" s="168"/>
      <c r="D682" s="168"/>
      <c r="E682" s="168"/>
      <c r="F682" s="168"/>
      <c r="G682" s="168"/>
      <c r="H682" s="168"/>
      <c r="I682" s="168"/>
      <c r="J682" s="168"/>
      <c r="K682" s="168"/>
      <c r="L682" s="168"/>
      <c r="M682" s="168"/>
      <c r="N682" s="168"/>
      <c r="O682" s="168"/>
      <c r="P682" s="168"/>
      <c r="Q682" s="168"/>
      <c r="R682" s="168"/>
      <c r="S682" s="168"/>
      <c r="T682" s="168"/>
      <c r="U682" s="168"/>
      <c r="V682" s="168"/>
      <c r="W682" s="168"/>
      <c r="X682" s="168"/>
    </row>
    <row r="683" spans="1:24">
      <c r="A683" s="168"/>
      <c r="B683" s="168"/>
      <c r="C683" s="168"/>
      <c r="D683" s="168"/>
      <c r="E683" s="168"/>
      <c r="F683" s="168"/>
      <c r="G683" s="168"/>
      <c r="H683" s="168"/>
      <c r="I683" s="168"/>
      <c r="J683" s="168"/>
      <c r="K683" s="168"/>
      <c r="L683" s="168"/>
      <c r="M683" s="168"/>
      <c r="N683" s="168"/>
      <c r="O683" s="168"/>
      <c r="P683" s="168"/>
      <c r="Q683" s="168"/>
      <c r="R683" s="168"/>
      <c r="S683" s="168"/>
      <c r="T683" s="168"/>
      <c r="U683" s="168"/>
      <c r="V683" s="168"/>
      <c r="W683" s="168"/>
      <c r="X683" s="168"/>
    </row>
    <row r="684" spans="1:24">
      <c r="A684" s="168"/>
      <c r="B684" s="168"/>
      <c r="C684" s="168"/>
      <c r="D684" s="168"/>
      <c r="E684" s="168"/>
      <c r="F684" s="168"/>
      <c r="G684" s="168"/>
      <c r="H684" s="168"/>
      <c r="I684" s="168"/>
      <c r="J684" s="168"/>
      <c r="K684" s="168"/>
      <c r="L684" s="168"/>
      <c r="M684" s="168"/>
      <c r="N684" s="168"/>
      <c r="O684" s="168"/>
      <c r="P684" s="168"/>
      <c r="Q684" s="168"/>
      <c r="R684" s="168"/>
      <c r="S684" s="168"/>
      <c r="T684" s="168"/>
      <c r="U684" s="168"/>
      <c r="V684" s="168"/>
      <c r="W684" s="168"/>
      <c r="X684" s="168"/>
    </row>
    <row r="685" spans="1:24">
      <c r="A685" s="168"/>
      <c r="B685" s="168"/>
      <c r="C685" s="168"/>
      <c r="D685" s="168"/>
      <c r="E685" s="168"/>
      <c r="F685" s="168"/>
      <c r="G685" s="168"/>
      <c r="H685" s="168"/>
      <c r="I685" s="168"/>
      <c r="J685" s="168"/>
      <c r="K685" s="168"/>
      <c r="L685" s="168"/>
      <c r="M685" s="168"/>
      <c r="N685" s="168"/>
      <c r="O685" s="168"/>
      <c r="P685" s="168"/>
      <c r="Q685" s="168"/>
      <c r="R685" s="168"/>
      <c r="S685" s="168"/>
      <c r="T685" s="168"/>
      <c r="U685" s="168"/>
      <c r="V685" s="168"/>
      <c r="W685" s="168"/>
      <c r="X685" s="168"/>
    </row>
    <row r="686" spans="1:24">
      <c r="A686" s="86"/>
      <c r="B686" s="86"/>
      <c r="C686" s="86"/>
      <c r="D686" s="86"/>
      <c r="E686" s="86"/>
      <c r="F686" s="86"/>
      <c r="G686" s="86"/>
      <c r="H686" s="86"/>
      <c r="I686" s="86"/>
      <c r="J686" s="86"/>
      <c r="K686" s="86"/>
      <c r="L686" s="86"/>
      <c r="M686" s="86"/>
      <c r="N686" s="86"/>
      <c r="O686" s="86"/>
      <c r="P686" s="86"/>
      <c r="Q686" s="86"/>
      <c r="R686" s="86"/>
      <c r="S686" s="86"/>
      <c r="T686" s="86"/>
      <c r="U686" s="86"/>
      <c r="V686" s="86"/>
      <c r="W686" s="86"/>
      <c r="X686" s="86"/>
    </row>
    <row r="687" spans="1:24">
      <c r="A687" s="86"/>
      <c r="B687" s="160"/>
      <c r="C687" s="159" t="s">
        <v>1</v>
      </c>
      <c r="D687" s="159" t="s">
        <v>100</v>
      </c>
      <c r="E687" s="159" t="s">
        <v>102</v>
      </c>
      <c r="F687" s="86"/>
      <c r="G687" s="86"/>
      <c r="H687" s="86"/>
      <c r="I687" s="86"/>
      <c r="J687" s="86"/>
      <c r="K687" s="86"/>
      <c r="L687" s="86"/>
      <c r="M687" s="86"/>
      <c r="N687" s="160"/>
      <c r="O687" s="159" t="s">
        <v>1</v>
      </c>
      <c r="P687" s="159" t="s">
        <v>102</v>
      </c>
      <c r="Q687" s="86"/>
      <c r="R687" s="86"/>
      <c r="S687" s="86"/>
      <c r="T687" s="86"/>
      <c r="U687" s="86"/>
      <c r="V687" s="86"/>
      <c r="W687" s="86"/>
    </row>
    <row r="688" spans="1:24">
      <c r="A688" s="86"/>
      <c r="B688" s="134" t="str">
        <f>A667</f>
        <v>Abingdon AC</v>
      </c>
      <c r="C688" s="160">
        <f>D667+J667+P667+V667</f>
        <v>0</v>
      </c>
      <c r="D688" s="160">
        <f t="shared" ref="D688:D695" si="89">F667+L667+R667+X667</f>
        <v>0</v>
      </c>
      <c r="E688" s="51" t="str">
        <f>IF(D688=0,"",RANK(D688,D$688:D$695) + COUNTIFS(D$688:D$695, D688, C$688:C$695, "&gt;"&amp; C688))</f>
        <v/>
      </c>
      <c r="F688" s="86"/>
      <c r="G688" s="86"/>
      <c r="H688" s="169" t="e" cm="1" vm="1">
        <f t="array" ref="H688">_xlfn._xlws.FILTER((_xlfn._xlws.SORT((_xlfn._xlws.SORT(_xlfn._xlws.FILTER(B688:E695,D688:D695&lt;&gt;0),2,-1)),4)), _xlfn.CHOOSECOLS((_xlfn._xlws.SORT((_xlfn._xlws.SORT(_xlfn._xlws.FILTER(B688:E695,D688:D695&lt;&gt;0),2,-1)),4)),1)&lt;&gt;0)</f>
        <v>#VALUE!</v>
      </c>
      <c r="I688" s="169"/>
      <c r="J688" s="169"/>
      <c r="K688" s="169"/>
      <c r="L688" s="86"/>
      <c r="M688" s="86"/>
      <c r="N688" s="134" t="str">
        <f>M667</f>
        <v>Abingdon AC</v>
      </c>
      <c r="O688" s="160">
        <f>D667+J667+P667+V667</f>
        <v>0</v>
      </c>
      <c r="P688" s="51" t="str">
        <f>IF(O688=0,"",RANK(O688,O$688:O$695))</f>
        <v/>
      </c>
      <c r="Q688" s="86"/>
      <c r="R688" s="86"/>
      <c r="S688" s="169" t="e" cm="1" vm="1">
        <f t="array" ref="S688">_xlfn._xlws.FILTER((_xlfn._xlws.SORT((_xlfn._xlws.SORT(_xlfn._xlws.FILTER(N688:P695,O688:O695&lt;&gt;0),2,-1)),3)), _xlfn.CHOOSECOLS((_xlfn._xlws.SORT((_xlfn._xlws.SORT(_xlfn._xlws.FILTER(N688:P695,O688:O695&lt;&gt;0),2,-1)),3)),1)&lt;&gt;0)</f>
        <v>#VALUE!</v>
      </c>
      <c r="T688" s="169"/>
      <c r="U688" s="169"/>
      <c r="V688" s="169"/>
      <c r="W688" s="86"/>
    </row>
    <row r="689" spans="1:24">
      <c r="A689" s="86"/>
      <c r="B689" s="134" t="str">
        <f t="shared" ref="B689:B695" si="90">A668</f>
        <v>Banbury Harriers AC</v>
      </c>
      <c r="C689" s="160">
        <f t="shared" ref="C689:C695" si="91">D668+J668+P668+V668</f>
        <v>0</v>
      </c>
      <c r="D689" s="160">
        <f t="shared" si="89"/>
        <v>0</v>
      </c>
      <c r="E689" s="51" t="str">
        <f t="shared" ref="E689:E695" si="92">IF(D689=0,"",RANK(D689,D$688:D$695) + COUNTIFS(D$688:D$695, D689, C$688:C$695, "&gt;"&amp; C689))</f>
        <v/>
      </c>
      <c r="F689" s="86"/>
      <c r="G689" s="86"/>
      <c r="H689" s="169"/>
      <c r="I689" s="169"/>
      <c r="J689" s="169"/>
      <c r="K689" s="169"/>
      <c r="L689" s="86"/>
      <c r="M689" s="86"/>
      <c r="N689" s="134" t="str">
        <f t="shared" ref="N689:N695" si="93">M668</f>
        <v>Banbury Harriers AC</v>
      </c>
      <c r="O689" s="160">
        <f t="shared" ref="O689:O695" si="94">D668+J668+P668+V668</f>
        <v>0</v>
      </c>
      <c r="P689" s="51" t="str">
        <f t="shared" ref="P689:P695" si="95">IF(O689=0,"",RANK(O689,O$688:O$695))</f>
        <v/>
      </c>
      <c r="Q689" s="86"/>
      <c r="R689" s="86"/>
      <c r="S689" s="169"/>
      <c r="T689" s="169"/>
      <c r="U689" s="169"/>
      <c r="V689" s="169"/>
      <c r="W689" s="86"/>
    </row>
    <row r="690" spans="1:24">
      <c r="B690" s="134" t="str">
        <f t="shared" si="90"/>
        <v>Bicester AC</v>
      </c>
      <c r="C690" s="160">
        <f t="shared" si="91"/>
        <v>0</v>
      </c>
      <c r="D690" s="160">
        <f t="shared" si="89"/>
        <v>0</v>
      </c>
      <c r="E690" s="51" t="str">
        <f t="shared" si="92"/>
        <v/>
      </c>
      <c r="F690" s="87"/>
      <c r="H690" s="173"/>
      <c r="I690" s="173"/>
      <c r="J690" s="173"/>
      <c r="K690" s="173"/>
      <c r="N690" s="134" t="str">
        <f t="shared" si="93"/>
        <v>Bicester AC</v>
      </c>
      <c r="O690" s="160">
        <f t="shared" si="94"/>
        <v>0</v>
      </c>
      <c r="P690" s="51" t="str">
        <f t="shared" si="95"/>
        <v/>
      </c>
      <c r="Q690" s="87"/>
      <c r="R690" s="4"/>
      <c r="S690" s="173"/>
      <c r="T690" s="173"/>
      <c r="U690" s="173"/>
      <c r="V690" s="173"/>
    </row>
    <row r="691" spans="1:24">
      <c r="B691" s="134" t="str">
        <f t="shared" si="90"/>
        <v>Oxford City AC</v>
      </c>
      <c r="C691" s="160">
        <f t="shared" si="91"/>
        <v>0</v>
      </c>
      <c r="D691" s="160">
        <f t="shared" si="89"/>
        <v>0</v>
      </c>
      <c r="E691" s="51" t="str">
        <f t="shared" si="92"/>
        <v/>
      </c>
      <c r="F691" s="87"/>
      <c r="H691" s="173"/>
      <c r="I691" s="173"/>
      <c r="J691" s="173"/>
      <c r="K691" s="173"/>
      <c r="N691" s="134" t="str">
        <f t="shared" si="93"/>
        <v>Oxford City AC</v>
      </c>
      <c r="O691" s="160">
        <f t="shared" si="94"/>
        <v>0</v>
      </c>
      <c r="P691" s="51" t="str">
        <f t="shared" si="95"/>
        <v/>
      </c>
      <c r="Q691" s="87"/>
      <c r="R691" s="4"/>
      <c r="S691" s="173"/>
      <c r="T691" s="173"/>
      <c r="U691" s="173"/>
      <c r="V691" s="173"/>
      <c r="X691" s="86"/>
    </row>
    <row r="692" spans="1:24">
      <c r="B692" s="134" t="str">
        <f t="shared" si="90"/>
        <v>Radley AC</v>
      </c>
      <c r="C692" s="160">
        <f t="shared" si="91"/>
        <v>0</v>
      </c>
      <c r="D692" s="160">
        <f t="shared" si="89"/>
        <v>0</v>
      </c>
      <c r="E692" s="51" t="str">
        <f t="shared" si="92"/>
        <v/>
      </c>
      <c r="F692" s="87"/>
      <c r="H692" s="173"/>
      <c r="I692" s="173"/>
      <c r="J692" s="173"/>
      <c r="K692" s="173"/>
      <c r="N692" s="134" t="str">
        <f t="shared" si="93"/>
        <v>Radley AC</v>
      </c>
      <c r="O692" s="160">
        <f t="shared" si="94"/>
        <v>0</v>
      </c>
      <c r="P692" s="51" t="str">
        <f t="shared" si="95"/>
        <v/>
      </c>
      <c r="Q692" s="87"/>
      <c r="R692" s="4"/>
      <c r="S692" s="173"/>
      <c r="T692" s="173"/>
      <c r="U692" s="173"/>
      <c r="V692" s="173"/>
      <c r="X692" s="86"/>
    </row>
    <row r="693" spans="1:24">
      <c r="B693" s="134" t="str">
        <f t="shared" si="90"/>
        <v>Team Kennet</v>
      </c>
      <c r="C693" s="160">
        <f t="shared" si="91"/>
        <v>0</v>
      </c>
      <c r="D693" s="160">
        <f t="shared" si="89"/>
        <v>0</v>
      </c>
      <c r="E693" s="51" t="str">
        <f t="shared" si="92"/>
        <v/>
      </c>
      <c r="F693" s="87"/>
      <c r="H693" s="173"/>
      <c r="I693" s="173"/>
      <c r="J693" s="173"/>
      <c r="K693" s="173"/>
      <c r="N693" s="134" t="str">
        <f t="shared" si="93"/>
        <v>Team Kennet</v>
      </c>
      <c r="O693" s="160">
        <f t="shared" si="94"/>
        <v>0</v>
      </c>
      <c r="P693" s="51" t="str">
        <f t="shared" si="95"/>
        <v/>
      </c>
      <c r="Q693" s="87"/>
      <c r="R693" s="4"/>
      <c r="S693" s="173"/>
      <c r="T693" s="173"/>
      <c r="U693" s="173"/>
      <c r="V693" s="173"/>
      <c r="X693" s="86"/>
    </row>
    <row r="694" spans="1:24">
      <c r="B694" s="134" t="str">
        <f t="shared" si="90"/>
        <v>White Horse Harriers</v>
      </c>
      <c r="C694" s="160">
        <f t="shared" si="91"/>
        <v>0</v>
      </c>
      <c r="D694" s="160">
        <f t="shared" si="89"/>
        <v>0</v>
      </c>
      <c r="E694" s="51" t="str">
        <f t="shared" si="92"/>
        <v/>
      </c>
      <c r="F694" s="87"/>
      <c r="H694" s="173"/>
      <c r="I694" s="173"/>
      <c r="J694" s="173"/>
      <c r="K694" s="173"/>
      <c r="N694" s="134" t="str">
        <f t="shared" si="93"/>
        <v>White Horse Harriers</v>
      </c>
      <c r="O694" s="160">
        <f t="shared" si="94"/>
        <v>0</v>
      </c>
      <c r="P694" s="51" t="str">
        <f t="shared" si="95"/>
        <v/>
      </c>
      <c r="Q694" s="87"/>
      <c r="R694" s="4"/>
      <c r="S694" s="173"/>
      <c r="T694" s="173"/>
      <c r="U694" s="173"/>
      <c r="V694" s="173"/>
    </row>
    <row r="695" spans="1:24">
      <c r="B695" s="134" t="str">
        <f t="shared" si="90"/>
        <v>Witney Road Runners</v>
      </c>
      <c r="C695" s="160">
        <f t="shared" si="91"/>
        <v>0</v>
      </c>
      <c r="D695" s="160">
        <f t="shared" si="89"/>
        <v>0</v>
      </c>
      <c r="E695" s="51" t="str">
        <f t="shared" si="92"/>
        <v/>
      </c>
      <c r="F695" s="87"/>
      <c r="H695" s="173"/>
      <c r="I695" s="173"/>
      <c r="J695" s="173"/>
      <c r="K695" s="173"/>
      <c r="N695" s="134" t="str">
        <f t="shared" si="93"/>
        <v>Witney Road Runners</v>
      </c>
      <c r="O695" s="160">
        <f t="shared" si="94"/>
        <v>0</v>
      </c>
      <c r="P695" s="51" t="str">
        <f t="shared" si="95"/>
        <v/>
      </c>
      <c r="Q695" s="87"/>
      <c r="R695" s="4"/>
      <c r="S695" s="173"/>
      <c r="T695" s="173"/>
      <c r="U695" s="173"/>
      <c r="V695" s="173"/>
    </row>
  </sheetData>
  <sheetProtection sheet="1" objects="1" scenarios="1"/>
  <mergeCells count="33">
    <mergeCell ref="Y374:AA377"/>
    <mergeCell ref="A374:U374"/>
    <mergeCell ref="F376:G376"/>
    <mergeCell ref="I376:J376"/>
    <mergeCell ref="L376:M376"/>
    <mergeCell ref="O376:P376"/>
    <mergeCell ref="A22:C22"/>
    <mergeCell ref="A23:C23"/>
    <mergeCell ref="A11:C11"/>
    <mergeCell ref="A17:C17"/>
    <mergeCell ref="A24:C24"/>
    <mergeCell ref="A50:U50"/>
    <mergeCell ref="A8:C8"/>
    <mergeCell ref="O52:P52"/>
    <mergeCell ref="F52:G52"/>
    <mergeCell ref="I52:J52"/>
    <mergeCell ref="L52:M52"/>
    <mergeCell ref="A25:C25"/>
    <mergeCell ref="A9:C9"/>
    <mergeCell ref="A10:C10"/>
    <mergeCell ref="A12:C12"/>
    <mergeCell ref="A14:C14"/>
    <mergeCell ref="A15:C15"/>
    <mergeCell ref="A16:C16"/>
    <mergeCell ref="A18:C18"/>
    <mergeCell ref="A20:C20"/>
    <mergeCell ref="A21:C21"/>
    <mergeCell ref="A1:C1"/>
    <mergeCell ref="A2:C2"/>
    <mergeCell ref="A3:C3"/>
    <mergeCell ref="A5:C5"/>
    <mergeCell ref="A7:C7"/>
    <mergeCell ref="A4:C4"/>
  </mergeCells>
  <phoneticPr fontId="5" type="noConversion"/>
  <printOptions horizontalCentered="1"/>
  <pageMargins left="0" right="0" top="0.19685039370078741" bottom="0" header="0.51181102362204722" footer="0.51181102362204722"/>
  <pageSetup paperSize="9" scale="39" fitToHeight="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theme="0" tint="-0.249977111117893"/>
  </sheetPr>
  <dimension ref="A1:V161"/>
  <sheetViews>
    <sheetView workbookViewId="0">
      <selection activeCell="M161" sqref="M161"/>
    </sheetView>
  </sheetViews>
  <sheetFormatPr baseColWidth="10" defaultColWidth="8.83203125" defaultRowHeight="13"/>
  <cols>
    <col min="1" max="6" width="10.6640625" style="9" customWidth="1"/>
    <col min="7" max="7" width="10.6640625" style="13" customWidth="1"/>
    <col min="8" max="9" width="10.6640625" style="9" customWidth="1"/>
  </cols>
  <sheetData>
    <row r="1" spans="1:22">
      <c r="A1" s="9" t="s">
        <v>1</v>
      </c>
      <c r="B1" s="9" t="s">
        <v>2</v>
      </c>
      <c r="C1" s="9" t="s">
        <v>3</v>
      </c>
      <c r="D1" s="9" t="s">
        <v>4</v>
      </c>
      <c r="E1" s="9" t="s">
        <v>5</v>
      </c>
      <c r="F1" s="9" t="s">
        <v>6</v>
      </c>
      <c r="G1" s="13" t="s">
        <v>2</v>
      </c>
      <c r="H1" s="9" t="s">
        <v>3</v>
      </c>
      <c r="I1" s="9" t="s">
        <v>1</v>
      </c>
      <c r="L1" t="s">
        <v>162</v>
      </c>
      <c r="M1" t="s">
        <v>2</v>
      </c>
      <c r="N1" t="s">
        <v>3</v>
      </c>
      <c r="O1" t="s">
        <v>26</v>
      </c>
      <c r="P1" t="s">
        <v>5</v>
      </c>
      <c r="R1" t="s">
        <v>163</v>
      </c>
      <c r="S1" t="s">
        <v>2</v>
      </c>
      <c r="T1" t="s">
        <v>3</v>
      </c>
      <c r="U1" t="s">
        <v>26</v>
      </c>
      <c r="V1" t="s">
        <v>5</v>
      </c>
    </row>
    <row r="2" spans="1:22" ht="15">
      <c r="B2" s="12">
        <v>0</v>
      </c>
      <c r="C2" s="13">
        <v>0</v>
      </c>
      <c r="D2" s="13">
        <v>0</v>
      </c>
      <c r="E2" s="13">
        <v>0</v>
      </c>
      <c r="F2" s="12"/>
      <c r="G2" s="13">
        <v>0</v>
      </c>
      <c r="H2" s="14">
        <v>0</v>
      </c>
      <c r="I2" s="9">
        <v>0</v>
      </c>
      <c r="L2" s="292">
        <v>160</v>
      </c>
      <c r="M2" s="293">
        <v>9.8000000000000007</v>
      </c>
      <c r="N2" s="294">
        <v>1.0648148148148149E-3</v>
      </c>
      <c r="O2" s="293">
        <v>5.12</v>
      </c>
      <c r="P2" s="293">
        <v>54</v>
      </c>
      <c r="R2" s="292">
        <v>160</v>
      </c>
      <c r="S2" s="293">
        <v>10.1</v>
      </c>
      <c r="T2" s="294">
        <v>1.1226851851851851E-3</v>
      </c>
      <c r="U2" s="293">
        <v>5</v>
      </c>
      <c r="V2" s="293">
        <v>52</v>
      </c>
    </row>
    <row r="3" spans="1:22" ht="15">
      <c r="B3" s="12">
        <v>0.01</v>
      </c>
      <c r="C3" s="13">
        <v>0.01</v>
      </c>
      <c r="D3" s="13">
        <v>0.01</v>
      </c>
      <c r="E3" s="13">
        <v>0.01</v>
      </c>
      <c r="F3" s="12"/>
      <c r="G3" s="13">
        <v>960</v>
      </c>
      <c r="H3" s="14">
        <v>980</v>
      </c>
      <c r="I3" s="9">
        <v>10</v>
      </c>
      <c r="L3" s="292">
        <v>159</v>
      </c>
      <c r="M3" s="293">
        <v>9.81</v>
      </c>
      <c r="N3" s="294">
        <v>1.0671296296296297E-3</v>
      </c>
      <c r="O3" s="293">
        <v>5.1100000000000003</v>
      </c>
      <c r="P3" s="293">
        <v>53.5</v>
      </c>
      <c r="R3" s="292">
        <v>159</v>
      </c>
      <c r="S3" s="293">
        <v>10.11</v>
      </c>
      <c r="T3" s="294">
        <v>1.1250000000000001E-3</v>
      </c>
      <c r="U3" s="293">
        <v>4.99</v>
      </c>
      <c r="V3" s="293">
        <v>51.5</v>
      </c>
    </row>
    <row r="4" spans="1:22" ht="15">
      <c r="B4" s="12">
        <v>30</v>
      </c>
      <c r="C4" s="13">
        <v>10</v>
      </c>
      <c r="D4" s="13"/>
      <c r="E4" s="13"/>
      <c r="F4" s="12"/>
      <c r="G4" s="13">
        <f>1000-B4</f>
        <v>970</v>
      </c>
      <c r="H4" s="14">
        <f>1000-C4</f>
        <v>990</v>
      </c>
      <c r="I4" s="9">
        <v>10</v>
      </c>
      <c r="L4" s="292">
        <v>158</v>
      </c>
      <c r="M4" s="293">
        <v>9.82</v>
      </c>
      <c r="N4" s="294">
        <v>1.0694444444444445E-3</v>
      </c>
      <c r="O4" s="293">
        <v>5.0999999999999996</v>
      </c>
      <c r="P4" s="293">
        <v>53</v>
      </c>
      <c r="R4" s="292">
        <v>158</v>
      </c>
      <c r="S4" s="293">
        <v>10.119999999999999</v>
      </c>
      <c r="T4" s="294">
        <v>1.1273148148148149E-3</v>
      </c>
      <c r="U4" s="293">
        <v>4.9800000000000004</v>
      </c>
      <c r="V4" s="293">
        <v>51</v>
      </c>
    </row>
    <row r="5" spans="1:22" ht="15">
      <c r="A5" s="9">
        <v>10</v>
      </c>
      <c r="B5" s="12">
        <v>16</v>
      </c>
      <c r="C5" s="13">
        <v>3</v>
      </c>
      <c r="D5" s="13">
        <v>2.2000000000000002</v>
      </c>
      <c r="E5" s="13">
        <v>5</v>
      </c>
      <c r="F5" s="12">
        <v>94</v>
      </c>
      <c r="G5" s="13">
        <f>1000-B5</f>
        <v>984</v>
      </c>
      <c r="H5" s="14">
        <f>1000-C5</f>
        <v>997</v>
      </c>
      <c r="I5" s="9">
        <v>10</v>
      </c>
      <c r="L5" s="292">
        <v>157</v>
      </c>
      <c r="M5" s="293">
        <v>9.83</v>
      </c>
      <c r="N5" s="294">
        <v>1.0717592592592593E-3</v>
      </c>
      <c r="O5" s="293">
        <v>5.09</v>
      </c>
      <c r="P5" s="293">
        <v>52.5</v>
      </c>
      <c r="R5" s="292">
        <v>157</v>
      </c>
      <c r="S5" s="293">
        <v>10.130000000000001</v>
      </c>
      <c r="T5" s="294">
        <v>1.1296296296296295E-3</v>
      </c>
      <c r="U5" s="293">
        <v>4.97</v>
      </c>
      <c r="V5" s="293">
        <v>50.5</v>
      </c>
    </row>
    <row r="6" spans="1:22" ht="15">
      <c r="A6" s="9">
        <v>11</v>
      </c>
      <c r="B6" s="12">
        <v>15.9</v>
      </c>
      <c r="C6" s="13">
        <v>2.5900000000000003</v>
      </c>
      <c r="D6" s="13">
        <v>2.23</v>
      </c>
      <c r="E6" s="13">
        <v>5.5</v>
      </c>
      <c r="F6" s="12">
        <v>93.5</v>
      </c>
      <c r="G6" s="13">
        <f t="shared" ref="G6:G69" si="0">1000-B6</f>
        <v>984.1</v>
      </c>
      <c r="H6" s="14">
        <f t="shared" ref="H6:H69" si="1">1000-C6</f>
        <v>997.41</v>
      </c>
      <c r="I6" s="9">
        <v>11</v>
      </c>
      <c r="L6" s="292">
        <v>156</v>
      </c>
      <c r="M6" s="293">
        <v>9.84</v>
      </c>
      <c r="N6" s="294">
        <v>1.0740740740740741E-3</v>
      </c>
      <c r="O6" s="293">
        <v>5.08</v>
      </c>
      <c r="P6" s="293">
        <v>52</v>
      </c>
      <c r="R6" s="292">
        <v>156</v>
      </c>
      <c r="S6" s="293">
        <v>10.14</v>
      </c>
      <c r="T6" s="294">
        <v>1.1319444444444443E-3</v>
      </c>
      <c r="U6" s="293">
        <v>4.96</v>
      </c>
      <c r="V6" s="293">
        <v>50</v>
      </c>
    </row>
    <row r="7" spans="1:22" ht="15">
      <c r="A7" s="9">
        <v>12</v>
      </c>
      <c r="B7" s="12">
        <v>15.8</v>
      </c>
      <c r="C7" s="13">
        <v>2.5800000000000005</v>
      </c>
      <c r="D7" s="13">
        <v>2.2599999999999998</v>
      </c>
      <c r="E7" s="13">
        <v>6</v>
      </c>
      <c r="F7" s="12">
        <v>93</v>
      </c>
      <c r="G7" s="13">
        <f t="shared" si="0"/>
        <v>984.2</v>
      </c>
      <c r="H7" s="14">
        <f t="shared" si="1"/>
        <v>997.42</v>
      </c>
      <c r="I7" s="9">
        <v>12</v>
      </c>
      <c r="L7" s="292">
        <v>155</v>
      </c>
      <c r="M7" s="293">
        <v>9.85</v>
      </c>
      <c r="N7" s="294">
        <v>1.0763888888888889E-3</v>
      </c>
      <c r="O7" s="293">
        <v>5.07</v>
      </c>
      <c r="P7" s="293">
        <v>51.5</v>
      </c>
      <c r="R7" s="292">
        <v>155</v>
      </c>
      <c r="S7" s="293">
        <v>10.15</v>
      </c>
      <c r="T7" s="294">
        <v>1.1342592592592593E-3</v>
      </c>
      <c r="U7" s="293">
        <v>4.95</v>
      </c>
      <c r="V7" s="293">
        <v>49.5</v>
      </c>
    </row>
    <row r="8" spans="1:22" ht="15">
      <c r="A8" s="9">
        <v>13</v>
      </c>
      <c r="B8" s="12">
        <v>15.700000000000001</v>
      </c>
      <c r="C8" s="13">
        <v>2.5700000000000007</v>
      </c>
      <c r="D8" s="13">
        <v>2.2899999999999996</v>
      </c>
      <c r="E8" s="13">
        <v>6.5</v>
      </c>
      <c r="F8" s="12">
        <v>92.5</v>
      </c>
      <c r="G8" s="13">
        <f t="shared" si="0"/>
        <v>984.3</v>
      </c>
      <c r="H8" s="14">
        <f t="shared" si="1"/>
        <v>997.43</v>
      </c>
      <c r="I8" s="9">
        <v>13</v>
      </c>
      <c r="L8" s="292">
        <v>154</v>
      </c>
      <c r="M8" s="293">
        <v>9.86</v>
      </c>
      <c r="N8" s="294">
        <v>1.0787037037037037E-3</v>
      </c>
      <c r="O8" s="293">
        <v>5.0599999999999996</v>
      </c>
      <c r="P8" s="293">
        <v>51</v>
      </c>
      <c r="R8" s="292">
        <v>154</v>
      </c>
      <c r="S8" s="293">
        <v>10.16</v>
      </c>
      <c r="T8" s="294">
        <v>1.1365740740740741E-3</v>
      </c>
      <c r="U8" s="293">
        <v>4.9400000000000004</v>
      </c>
      <c r="V8" s="293">
        <v>49</v>
      </c>
    </row>
    <row r="9" spans="1:22" ht="15">
      <c r="A9" s="9">
        <v>14</v>
      </c>
      <c r="B9" s="12">
        <v>15.600000000000001</v>
      </c>
      <c r="C9" s="13">
        <v>2.5600000000000009</v>
      </c>
      <c r="D9" s="13">
        <v>2.3199999999999994</v>
      </c>
      <c r="E9" s="13">
        <v>7</v>
      </c>
      <c r="F9" s="12">
        <v>92</v>
      </c>
      <c r="G9" s="13">
        <f t="shared" si="0"/>
        <v>984.4</v>
      </c>
      <c r="H9" s="14">
        <f t="shared" si="1"/>
        <v>997.44</v>
      </c>
      <c r="I9" s="9">
        <v>14</v>
      </c>
      <c r="L9" s="292">
        <v>153</v>
      </c>
      <c r="M9" s="293">
        <v>9.8699999999999992</v>
      </c>
      <c r="N9" s="294">
        <v>1.0810185185185185E-3</v>
      </c>
      <c r="O9" s="293">
        <v>5.05</v>
      </c>
      <c r="P9" s="293">
        <v>50.5</v>
      </c>
      <c r="R9" s="292">
        <v>153</v>
      </c>
      <c r="S9" s="293">
        <v>10.17</v>
      </c>
      <c r="T9" s="294">
        <v>1.1388888888888889E-3</v>
      </c>
      <c r="U9" s="293">
        <v>4.93</v>
      </c>
      <c r="V9" s="293">
        <v>48.5</v>
      </c>
    </row>
    <row r="10" spans="1:22" ht="15">
      <c r="A10" s="9">
        <v>15</v>
      </c>
      <c r="B10" s="12">
        <v>15.500000000000002</v>
      </c>
      <c r="C10" s="13">
        <v>2.5500000000000012</v>
      </c>
      <c r="D10" s="13">
        <v>2.3499999999999992</v>
      </c>
      <c r="E10" s="13">
        <v>7.5</v>
      </c>
      <c r="F10" s="12">
        <v>91.5</v>
      </c>
      <c r="G10" s="13">
        <f t="shared" si="0"/>
        <v>984.5</v>
      </c>
      <c r="H10" s="14">
        <f t="shared" si="1"/>
        <v>997.45</v>
      </c>
      <c r="I10" s="9">
        <v>15</v>
      </c>
      <c r="L10" s="292">
        <v>152</v>
      </c>
      <c r="M10" s="293">
        <v>9.8800000000000008</v>
      </c>
      <c r="N10" s="294">
        <v>1.0833333333333333E-3</v>
      </c>
      <c r="O10" s="293">
        <v>5.04</v>
      </c>
      <c r="P10" s="293">
        <v>50</v>
      </c>
      <c r="R10" s="292">
        <v>152</v>
      </c>
      <c r="S10" s="293">
        <v>10.18</v>
      </c>
      <c r="T10" s="294">
        <v>1.1412037037037037E-3</v>
      </c>
      <c r="U10" s="293">
        <v>4.91</v>
      </c>
      <c r="V10" s="293">
        <v>48</v>
      </c>
    </row>
    <row r="11" spans="1:22" ht="15">
      <c r="A11" s="9">
        <v>16</v>
      </c>
      <c r="B11" s="12">
        <v>15.400000000000002</v>
      </c>
      <c r="C11" s="13">
        <v>2.5400000000000014</v>
      </c>
      <c r="D11" s="13">
        <v>2.379999999999999</v>
      </c>
      <c r="E11" s="13">
        <v>8</v>
      </c>
      <c r="F11" s="12">
        <v>91</v>
      </c>
      <c r="G11" s="13">
        <f t="shared" si="0"/>
        <v>984.6</v>
      </c>
      <c r="H11" s="14">
        <f t="shared" si="1"/>
        <v>997.46</v>
      </c>
      <c r="I11" s="9">
        <v>16</v>
      </c>
      <c r="L11" s="292">
        <v>151</v>
      </c>
      <c r="M11" s="293">
        <v>9.89</v>
      </c>
      <c r="N11" s="294">
        <v>1.0856481481481481E-3</v>
      </c>
      <c r="O11" s="293">
        <v>5.03</v>
      </c>
      <c r="P11" s="293">
        <v>49.5</v>
      </c>
      <c r="R11" s="292">
        <v>151</v>
      </c>
      <c r="S11" s="293">
        <v>10.19</v>
      </c>
      <c r="T11" s="294">
        <v>1.1435185185185185E-3</v>
      </c>
      <c r="U11" s="293">
        <v>4.8899999999999997</v>
      </c>
      <c r="V11" s="293">
        <v>47.5</v>
      </c>
    </row>
    <row r="12" spans="1:22" ht="15">
      <c r="A12" s="9">
        <v>17</v>
      </c>
      <c r="B12" s="12">
        <v>15.300000000000002</v>
      </c>
      <c r="C12" s="13">
        <v>2.5300000000000016</v>
      </c>
      <c r="D12" s="13">
        <v>2.4099999999999988</v>
      </c>
      <c r="E12" s="13">
        <v>8.5</v>
      </c>
      <c r="F12" s="12">
        <v>90.5</v>
      </c>
      <c r="G12" s="13">
        <f t="shared" si="0"/>
        <v>984.7</v>
      </c>
      <c r="H12" s="14">
        <f t="shared" si="1"/>
        <v>997.47</v>
      </c>
      <c r="I12" s="9">
        <v>17</v>
      </c>
      <c r="L12" s="292">
        <v>150</v>
      </c>
      <c r="M12" s="293">
        <v>9.9</v>
      </c>
      <c r="N12" s="294">
        <v>1.0879629629629629E-3</v>
      </c>
      <c r="O12" s="293">
        <v>5.0199999999999996</v>
      </c>
      <c r="P12" s="293">
        <v>49</v>
      </c>
      <c r="R12" s="292">
        <v>150</v>
      </c>
      <c r="S12" s="293">
        <v>10.199999999999999</v>
      </c>
      <c r="T12" s="294">
        <v>1.1458333333333333E-3</v>
      </c>
      <c r="U12" s="293">
        <v>4.8499999999999996</v>
      </c>
      <c r="V12" s="293">
        <v>47</v>
      </c>
    </row>
    <row r="13" spans="1:22" ht="15">
      <c r="A13" s="9">
        <v>18</v>
      </c>
      <c r="B13" s="12">
        <v>15.200000000000003</v>
      </c>
      <c r="C13" s="13">
        <v>2.5200000000000018</v>
      </c>
      <c r="D13" s="13">
        <v>2.4399999999999986</v>
      </c>
      <c r="E13" s="13">
        <v>9</v>
      </c>
      <c r="F13" s="12">
        <v>90</v>
      </c>
      <c r="G13" s="13">
        <f t="shared" si="0"/>
        <v>984.8</v>
      </c>
      <c r="H13" s="14">
        <f t="shared" si="1"/>
        <v>997.48</v>
      </c>
      <c r="I13" s="9">
        <v>18</v>
      </c>
      <c r="L13" s="292">
        <v>149</v>
      </c>
      <c r="M13" s="293">
        <v>9.91</v>
      </c>
      <c r="N13" s="294">
        <v>1.0902777777777779E-3</v>
      </c>
      <c r="O13" s="293">
        <v>5.01</v>
      </c>
      <c r="P13" s="293">
        <v>48.5</v>
      </c>
      <c r="R13" s="292">
        <v>149</v>
      </c>
      <c r="S13" s="293">
        <v>10.210000000000001</v>
      </c>
      <c r="T13" s="294">
        <v>1.1481481481481481E-3</v>
      </c>
      <c r="U13" s="293">
        <v>4.83</v>
      </c>
      <c r="V13" s="293">
        <v>46.5</v>
      </c>
    </row>
    <row r="14" spans="1:22" ht="15">
      <c r="A14" s="9">
        <v>19</v>
      </c>
      <c r="B14" s="12">
        <v>15.100000000000003</v>
      </c>
      <c r="C14" s="13">
        <v>2.510000000000002</v>
      </c>
      <c r="D14" s="13">
        <v>2.4699999999999984</v>
      </c>
      <c r="E14" s="13">
        <v>9.5</v>
      </c>
      <c r="F14" s="12">
        <v>89.5</v>
      </c>
      <c r="G14" s="13">
        <f t="shared" si="0"/>
        <v>984.9</v>
      </c>
      <c r="H14" s="14">
        <f t="shared" si="1"/>
        <v>997.49</v>
      </c>
      <c r="I14" s="9">
        <v>19</v>
      </c>
      <c r="L14" s="292">
        <v>148</v>
      </c>
      <c r="M14" s="293">
        <v>9.92</v>
      </c>
      <c r="N14" s="294">
        <v>1.0925925925925927E-3</v>
      </c>
      <c r="O14" s="293">
        <v>5</v>
      </c>
      <c r="P14" s="293">
        <v>48</v>
      </c>
      <c r="R14" s="292">
        <v>148</v>
      </c>
      <c r="S14" s="293">
        <v>10.220000000000001</v>
      </c>
      <c r="T14" s="294">
        <v>1.1504629629629629E-3</v>
      </c>
      <c r="U14" s="293">
        <v>4.8099999999999996</v>
      </c>
      <c r="V14" s="293">
        <v>46</v>
      </c>
    </row>
    <row r="15" spans="1:22" ht="15">
      <c r="A15" s="9">
        <v>20</v>
      </c>
      <c r="B15" s="12">
        <v>15.000000000000004</v>
      </c>
      <c r="C15" s="13">
        <v>2.5000000000000022</v>
      </c>
      <c r="D15" s="13">
        <v>2.4999999999999982</v>
      </c>
      <c r="E15" s="13">
        <v>10</v>
      </c>
      <c r="F15" s="12">
        <v>89</v>
      </c>
      <c r="G15" s="13">
        <f t="shared" si="0"/>
        <v>985</v>
      </c>
      <c r="H15" s="14">
        <f t="shared" si="1"/>
        <v>997.5</v>
      </c>
      <c r="I15" s="9">
        <v>20</v>
      </c>
      <c r="L15" s="292">
        <v>147</v>
      </c>
      <c r="M15" s="293">
        <v>9.93</v>
      </c>
      <c r="N15" s="294">
        <v>1.0949074074074073E-3</v>
      </c>
      <c r="O15" s="293">
        <v>4.99</v>
      </c>
      <c r="P15" s="293">
        <v>47.5</v>
      </c>
      <c r="R15" s="292">
        <v>147</v>
      </c>
      <c r="S15" s="293">
        <v>10.23</v>
      </c>
      <c r="T15" s="294">
        <v>1.1527777777777777E-3</v>
      </c>
      <c r="U15" s="293">
        <v>4.79</v>
      </c>
      <c r="V15" s="293">
        <v>45.5</v>
      </c>
    </row>
    <row r="16" spans="1:22" ht="15">
      <c r="A16" s="9">
        <v>21</v>
      </c>
      <c r="B16" s="12">
        <v>14.900000000000004</v>
      </c>
      <c r="C16" s="13">
        <v>2.4900000000000024</v>
      </c>
      <c r="D16" s="13">
        <v>2.529999999999998</v>
      </c>
      <c r="E16" s="13">
        <v>10.5</v>
      </c>
      <c r="F16" s="12">
        <v>88.5</v>
      </c>
      <c r="G16" s="13">
        <f t="shared" si="0"/>
        <v>985.1</v>
      </c>
      <c r="H16" s="14">
        <f t="shared" si="1"/>
        <v>997.51</v>
      </c>
      <c r="I16" s="9">
        <v>21</v>
      </c>
      <c r="L16" s="292">
        <v>146</v>
      </c>
      <c r="M16" s="293">
        <v>9.94</v>
      </c>
      <c r="N16" s="294">
        <v>1.0972222222222221E-3</v>
      </c>
      <c r="O16" s="293">
        <v>4.9800000000000004</v>
      </c>
      <c r="P16" s="293">
        <v>47</v>
      </c>
      <c r="R16" s="292">
        <v>146</v>
      </c>
      <c r="S16" s="293">
        <v>10.24</v>
      </c>
      <c r="T16" s="294">
        <v>1.1550925925925925E-3</v>
      </c>
      <c r="U16" s="293">
        <v>4.7699999999999996</v>
      </c>
      <c r="V16" s="293">
        <v>45</v>
      </c>
    </row>
    <row r="17" spans="1:22" ht="15">
      <c r="A17" s="9">
        <v>22</v>
      </c>
      <c r="B17" s="12">
        <v>14.800000000000004</v>
      </c>
      <c r="C17" s="13">
        <v>2.4800000000000026</v>
      </c>
      <c r="D17" s="13">
        <v>2.5599999999999978</v>
      </c>
      <c r="E17" s="13">
        <v>11</v>
      </c>
      <c r="F17" s="12">
        <v>88</v>
      </c>
      <c r="G17" s="13">
        <f t="shared" si="0"/>
        <v>985.2</v>
      </c>
      <c r="H17" s="14">
        <f t="shared" si="1"/>
        <v>997.52</v>
      </c>
      <c r="I17" s="9">
        <v>22</v>
      </c>
      <c r="L17" s="292">
        <v>145</v>
      </c>
      <c r="M17" s="293">
        <v>9.9499999999999993</v>
      </c>
      <c r="N17" s="294">
        <v>1.0995370370370371E-3</v>
      </c>
      <c r="O17" s="293">
        <v>4.97</v>
      </c>
      <c r="P17" s="293">
        <v>46.5</v>
      </c>
      <c r="R17" s="292">
        <v>145</v>
      </c>
      <c r="S17" s="293">
        <v>10.25</v>
      </c>
      <c r="T17" s="294">
        <v>1.1574074074074073E-3</v>
      </c>
      <c r="U17" s="293">
        <v>4.75</v>
      </c>
      <c r="V17" s="293">
        <v>44.5</v>
      </c>
    </row>
    <row r="18" spans="1:22" ht="15">
      <c r="A18" s="9">
        <v>23</v>
      </c>
      <c r="B18" s="12">
        <v>14.700000000000005</v>
      </c>
      <c r="C18" s="13">
        <v>2.4700000000000029</v>
      </c>
      <c r="D18" s="13">
        <v>2.5899999999999976</v>
      </c>
      <c r="E18" s="13">
        <v>11.5</v>
      </c>
      <c r="F18" s="12">
        <v>87.5</v>
      </c>
      <c r="G18" s="13">
        <f t="shared" si="0"/>
        <v>985.3</v>
      </c>
      <c r="H18" s="14">
        <f t="shared" si="1"/>
        <v>997.53</v>
      </c>
      <c r="I18" s="9">
        <v>23</v>
      </c>
      <c r="L18" s="292">
        <v>144</v>
      </c>
      <c r="M18" s="293">
        <v>9.9600000000000009</v>
      </c>
      <c r="N18" s="294">
        <v>1.1018518518518519E-3</v>
      </c>
      <c r="O18" s="293">
        <v>4.96</v>
      </c>
      <c r="P18" s="293">
        <v>46</v>
      </c>
      <c r="R18" s="292">
        <v>144</v>
      </c>
      <c r="S18" s="293">
        <v>10.26</v>
      </c>
      <c r="T18" s="294">
        <v>1.1597222222222224E-3</v>
      </c>
      <c r="U18" s="293">
        <v>4.7300000000000004</v>
      </c>
      <c r="V18" s="293">
        <v>44</v>
      </c>
    </row>
    <row r="19" spans="1:22" ht="15">
      <c r="A19" s="9">
        <v>24</v>
      </c>
      <c r="B19" s="12">
        <v>14.600000000000005</v>
      </c>
      <c r="C19" s="13">
        <v>2.4600000000000031</v>
      </c>
      <c r="D19" s="13">
        <v>2.6199999999999974</v>
      </c>
      <c r="E19" s="13">
        <v>12</v>
      </c>
      <c r="F19" s="12">
        <v>87</v>
      </c>
      <c r="G19" s="13">
        <f t="shared" si="0"/>
        <v>985.4</v>
      </c>
      <c r="H19" s="14">
        <f t="shared" si="1"/>
        <v>997.54</v>
      </c>
      <c r="I19" s="9">
        <v>24</v>
      </c>
      <c r="L19" s="292">
        <v>143</v>
      </c>
      <c r="M19" s="293">
        <v>9.9700000000000006</v>
      </c>
      <c r="N19" s="294">
        <v>1.1041666666666667E-3</v>
      </c>
      <c r="O19" s="293">
        <v>4.95</v>
      </c>
      <c r="P19" s="293">
        <v>45.5</v>
      </c>
      <c r="R19" s="292">
        <v>143</v>
      </c>
      <c r="S19" s="293">
        <v>10.27</v>
      </c>
      <c r="T19" s="294">
        <v>1.1620370370370372E-3</v>
      </c>
      <c r="U19" s="293">
        <v>4.71</v>
      </c>
      <c r="V19" s="293">
        <v>43.5</v>
      </c>
    </row>
    <row r="20" spans="1:22" ht="15">
      <c r="A20" s="9">
        <v>25</v>
      </c>
      <c r="B20" s="12">
        <v>14.500000000000005</v>
      </c>
      <c r="C20" s="13">
        <v>2.4500000000000033</v>
      </c>
      <c r="D20" s="13">
        <v>2.6499999999999972</v>
      </c>
      <c r="E20" s="13">
        <v>12.5</v>
      </c>
      <c r="F20" s="12">
        <v>86.5</v>
      </c>
      <c r="G20" s="13">
        <f t="shared" si="0"/>
        <v>985.5</v>
      </c>
      <c r="H20" s="14">
        <f t="shared" si="1"/>
        <v>997.55</v>
      </c>
      <c r="I20" s="9">
        <v>25</v>
      </c>
      <c r="L20" s="292">
        <v>142</v>
      </c>
      <c r="M20" s="293">
        <v>9.98</v>
      </c>
      <c r="N20" s="294">
        <v>1.1064814814814815E-3</v>
      </c>
      <c r="O20" s="293">
        <v>4.9400000000000004</v>
      </c>
      <c r="P20" s="293">
        <v>45</v>
      </c>
      <c r="R20" s="292">
        <v>142</v>
      </c>
      <c r="S20" s="293">
        <v>10.28</v>
      </c>
      <c r="T20" s="294">
        <v>1.1643518518518517E-3</v>
      </c>
      <c r="U20" s="293">
        <v>4.6900000000000004</v>
      </c>
      <c r="V20" s="293">
        <v>43</v>
      </c>
    </row>
    <row r="21" spans="1:22" ht="15">
      <c r="A21" s="9">
        <v>26</v>
      </c>
      <c r="B21" s="12">
        <v>14.400000000000006</v>
      </c>
      <c r="C21" s="13">
        <v>2.4400000000000035</v>
      </c>
      <c r="D21" s="13">
        <v>2.6799999999999971</v>
      </c>
      <c r="E21" s="13">
        <v>13</v>
      </c>
      <c r="F21" s="12">
        <v>86</v>
      </c>
      <c r="G21" s="13">
        <f t="shared" si="0"/>
        <v>985.6</v>
      </c>
      <c r="H21" s="14">
        <f t="shared" si="1"/>
        <v>997.56</v>
      </c>
      <c r="I21" s="9">
        <v>26</v>
      </c>
      <c r="L21" s="292">
        <v>141</v>
      </c>
      <c r="M21" s="293">
        <v>9.99</v>
      </c>
      <c r="N21" s="294">
        <v>1.1087962962962963E-3</v>
      </c>
      <c r="O21" s="293">
        <v>4.93</v>
      </c>
      <c r="P21" s="293">
        <v>44.5</v>
      </c>
      <c r="R21" s="292">
        <v>141</v>
      </c>
      <c r="S21" s="293">
        <v>10.29</v>
      </c>
      <c r="T21" s="294">
        <v>1.1666666666666665E-3</v>
      </c>
      <c r="U21" s="293">
        <v>4.67</v>
      </c>
      <c r="V21" s="293">
        <v>42.5</v>
      </c>
    </row>
    <row r="22" spans="1:22" ht="15">
      <c r="A22" s="9">
        <v>27</v>
      </c>
      <c r="B22" s="12">
        <v>14.300000000000006</v>
      </c>
      <c r="C22" s="13">
        <v>2.4300000000000037</v>
      </c>
      <c r="D22" s="13">
        <v>2.7099999999999969</v>
      </c>
      <c r="E22" s="13">
        <v>13.5</v>
      </c>
      <c r="F22" s="12">
        <v>85.5</v>
      </c>
      <c r="G22" s="13">
        <f t="shared" si="0"/>
        <v>985.7</v>
      </c>
      <c r="H22" s="14">
        <f t="shared" si="1"/>
        <v>997.57</v>
      </c>
      <c r="I22" s="9">
        <v>27</v>
      </c>
      <c r="L22" s="292">
        <v>140</v>
      </c>
      <c r="M22" s="293">
        <v>10</v>
      </c>
      <c r="N22" s="294">
        <v>1.1111111111111111E-3</v>
      </c>
      <c r="O22" s="293">
        <v>4.91</v>
      </c>
      <c r="P22" s="293">
        <v>44</v>
      </c>
      <c r="R22" s="292">
        <v>140</v>
      </c>
      <c r="S22" s="293">
        <v>10.3</v>
      </c>
      <c r="T22" s="294">
        <v>1.1689814814814816E-3</v>
      </c>
      <c r="U22" s="293">
        <v>4.6500000000000004</v>
      </c>
      <c r="V22" s="293">
        <v>42</v>
      </c>
    </row>
    <row r="23" spans="1:22" ht="15">
      <c r="A23" s="9">
        <v>28</v>
      </c>
      <c r="B23" s="12">
        <v>14.200000000000006</v>
      </c>
      <c r="C23" s="13">
        <v>2.4200000000000039</v>
      </c>
      <c r="D23" s="13">
        <v>2.7399999999999967</v>
      </c>
      <c r="E23" s="13">
        <v>14</v>
      </c>
      <c r="F23" s="12">
        <v>85</v>
      </c>
      <c r="G23" s="13">
        <f t="shared" si="0"/>
        <v>985.8</v>
      </c>
      <c r="H23" s="14">
        <f t="shared" si="1"/>
        <v>997.58</v>
      </c>
      <c r="I23" s="9">
        <v>28</v>
      </c>
      <c r="L23" s="292">
        <v>139</v>
      </c>
      <c r="M23" s="293">
        <v>10.02</v>
      </c>
      <c r="N23" s="294">
        <v>1.1134259259259259E-3</v>
      </c>
      <c r="O23" s="293">
        <v>4.8899999999999997</v>
      </c>
      <c r="P23" s="293">
        <v>43.5</v>
      </c>
      <c r="R23" s="292">
        <v>139</v>
      </c>
      <c r="S23" s="293">
        <v>10.32</v>
      </c>
      <c r="T23" s="294">
        <v>1.1712962962962964E-3</v>
      </c>
      <c r="U23" s="293">
        <v>4.63</v>
      </c>
      <c r="V23" s="293">
        <v>41.5</v>
      </c>
    </row>
    <row r="24" spans="1:22" ht="15">
      <c r="A24" s="9">
        <v>29</v>
      </c>
      <c r="B24" s="12">
        <v>14.100000000000007</v>
      </c>
      <c r="C24" s="13">
        <v>2.4100000000000041</v>
      </c>
      <c r="D24" s="13">
        <v>2.7699999999999965</v>
      </c>
      <c r="E24" s="13">
        <v>14.5</v>
      </c>
      <c r="F24" s="12">
        <v>84.5</v>
      </c>
      <c r="G24" s="13">
        <f t="shared" si="0"/>
        <v>985.9</v>
      </c>
      <c r="H24" s="14">
        <f t="shared" si="1"/>
        <v>997.59</v>
      </c>
      <c r="I24" s="9">
        <v>29</v>
      </c>
      <c r="L24" s="292">
        <v>138</v>
      </c>
      <c r="M24" s="293">
        <v>10.039999999999999</v>
      </c>
      <c r="N24" s="294">
        <v>1.1157407407407407E-3</v>
      </c>
      <c r="O24" s="293">
        <v>4.8499999999999996</v>
      </c>
      <c r="P24" s="293">
        <v>43</v>
      </c>
      <c r="R24" s="292">
        <v>138</v>
      </c>
      <c r="S24" s="293">
        <v>10.34</v>
      </c>
      <c r="T24" s="294">
        <v>1.1736111111111112E-3</v>
      </c>
      <c r="U24" s="293">
        <v>4.6100000000000003</v>
      </c>
      <c r="V24" s="293">
        <v>41</v>
      </c>
    </row>
    <row r="25" spans="1:22" ht="15">
      <c r="A25" s="9">
        <v>30</v>
      </c>
      <c r="B25" s="12">
        <v>14.000000000000007</v>
      </c>
      <c r="C25" s="13">
        <v>2.4000000000000044</v>
      </c>
      <c r="D25" s="13">
        <v>2.7999999999999963</v>
      </c>
      <c r="E25" s="13">
        <v>15</v>
      </c>
      <c r="F25" s="12">
        <v>84</v>
      </c>
      <c r="G25" s="13">
        <f t="shared" si="0"/>
        <v>986</v>
      </c>
      <c r="H25" s="14">
        <f t="shared" si="1"/>
        <v>997.6</v>
      </c>
      <c r="I25" s="9">
        <v>30</v>
      </c>
      <c r="L25" s="292">
        <v>137</v>
      </c>
      <c r="M25" s="293">
        <v>10.06</v>
      </c>
      <c r="N25" s="294">
        <v>1.1180555555555555E-3</v>
      </c>
      <c r="O25" s="293">
        <v>4.83</v>
      </c>
      <c r="P25" s="293">
        <v>42.5</v>
      </c>
      <c r="R25" s="292">
        <v>137</v>
      </c>
      <c r="S25" s="293">
        <v>10.36</v>
      </c>
      <c r="T25" s="294">
        <v>1.175925925925926E-3</v>
      </c>
      <c r="U25" s="293">
        <v>4.59</v>
      </c>
      <c r="V25" s="293">
        <v>40.5</v>
      </c>
    </row>
    <row r="26" spans="1:22" ht="15">
      <c r="A26" s="9">
        <v>31</v>
      </c>
      <c r="B26" s="12">
        <v>13.900000000000007</v>
      </c>
      <c r="C26" s="13">
        <v>2.3900000000000046</v>
      </c>
      <c r="D26" s="13">
        <v>2.8299999999999961</v>
      </c>
      <c r="E26" s="13">
        <v>15.5</v>
      </c>
      <c r="F26" s="12">
        <v>83.5</v>
      </c>
      <c r="G26" s="13">
        <f t="shared" si="0"/>
        <v>986.1</v>
      </c>
      <c r="H26" s="14">
        <f t="shared" si="1"/>
        <v>997.61</v>
      </c>
      <c r="I26" s="9">
        <v>31</v>
      </c>
      <c r="L26" s="292">
        <v>136</v>
      </c>
      <c r="M26" s="293">
        <v>10.08</v>
      </c>
      <c r="N26" s="294">
        <v>1.1203703703703703E-3</v>
      </c>
      <c r="O26" s="293">
        <v>4.8099999999999996</v>
      </c>
      <c r="P26" s="293">
        <v>42</v>
      </c>
      <c r="R26" s="292">
        <v>136</v>
      </c>
      <c r="S26" s="293">
        <v>10.38</v>
      </c>
      <c r="T26" s="294">
        <v>1.1782407407407408E-3</v>
      </c>
      <c r="U26" s="293">
        <v>4.57</v>
      </c>
      <c r="V26" s="293">
        <v>40</v>
      </c>
    </row>
    <row r="27" spans="1:22" ht="15">
      <c r="A27" s="9">
        <v>32</v>
      </c>
      <c r="B27" s="12">
        <v>13.800000000000008</v>
      </c>
      <c r="C27" s="13">
        <v>2.3800000000000048</v>
      </c>
      <c r="D27" s="13">
        <v>2.8599999999999959</v>
      </c>
      <c r="E27" s="13">
        <v>16</v>
      </c>
      <c r="F27" s="12">
        <v>83</v>
      </c>
      <c r="G27" s="13">
        <f t="shared" si="0"/>
        <v>986.2</v>
      </c>
      <c r="H27" s="14">
        <f t="shared" si="1"/>
        <v>997.62</v>
      </c>
      <c r="I27" s="9">
        <v>32</v>
      </c>
      <c r="L27" s="292">
        <v>135</v>
      </c>
      <c r="M27" s="293">
        <v>10.1</v>
      </c>
      <c r="N27" s="294">
        <v>1.1226851851851851E-3</v>
      </c>
      <c r="O27" s="293">
        <v>4.79</v>
      </c>
      <c r="P27" s="293">
        <v>41.5</v>
      </c>
      <c r="R27" s="292">
        <v>135</v>
      </c>
      <c r="S27" s="293">
        <v>10.4</v>
      </c>
      <c r="T27" s="294">
        <v>1.1805555555555556E-3</v>
      </c>
      <c r="U27" s="293">
        <v>4.55</v>
      </c>
      <c r="V27" s="293">
        <v>39.5</v>
      </c>
    </row>
    <row r="28" spans="1:22" ht="15">
      <c r="A28" s="9">
        <v>33</v>
      </c>
      <c r="B28" s="12">
        <v>13.700000000000008</v>
      </c>
      <c r="C28" s="13">
        <v>2.370000000000005</v>
      </c>
      <c r="D28" s="13">
        <v>2.8899999999999957</v>
      </c>
      <c r="E28" s="13">
        <v>16.5</v>
      </c>
      <c r="F28" s="12">
        <v>82.5</v>
      </c>
      <c r="G28" s="13">
        <f t="shared" si="0"/>
        <v>986.3</v>
      </c>
      <c r="H28" s="14">
        <f t="shared" si="1"/>
        <v>997.63</v>
      </c>
      <c r="I28" s="9">
        <v>33</v>
      </c>
      <c r="L28" s="292">
        <v>134</v>
      </c>
      <c r="M28" s="293">
        <v>10.119999999999999</v>
      </c>
      <c r="N28" s="294">
        <v>1.1250000000000001E-3</v>
      </c>
      <c r="O28" s="293">
        <v>4.7699999999999996</v>
      </c>
      <c r="P28" s="293">
        <v>41</v>
      </c>
      <c r="R28" s="292">
        <v>134</v>
      </c>
      <c r="S28" s="293">
        <v>10.42</v>
      </c>
      <c r="T28" s="294">
        <v>1.1828703703703704E-3</v>
      </c>
      <c r="U28" s="293">
        <v>4.53</v>
      </c>
      <c r="V28" s="293">
        <v>39</v>
      </c>
    </row>
    <row r="29" spans="1:22" ht="15">
      <c r="A29" s="9">
        <v>34</v>
      </c>
      <c r="B29" s="12">
        <v>13.600000000000009</v>
      </c>
      <c r="C29" s="13">
        <v>2.3600000000000052</v>
      </c>
      <c r="D29" s="13">
        <v>2.9199999999999955</v>
      </c>
      <c r="E29" s="13">
        <v>17</v>
      </c>
      <c r="F29" s="12">
        <v>82</v>
      </c>
      <c r="G29" s="13">
        <f t="shared" si="0"/>
        <v>986.4</v>
      </c>
      <c r="H29" s="14">
        <f t="shared" si="1"/>
        <v>997.64</v>
      </c>
      <c r="I29" s="9">
        <v>34</v>
      </c>
      <c r="L29" s="292">
        <v>133</v>
      </c>
      <c r="M29" s="293">
        <v>10.14</v>
      </c>
      <c r="N29" s="294">
        <v>1.1273148148148149E-3</v>
      </c>
      <c r="O29" s="293">
        <v>4.75</v>
      </c>
      <c r="P29" s="293">
        <v>40.5</v>
      </c>
      <c r="R29" s="292">
        <v>133</v>
      </c>
      <c r="S29" s="293">
        <v>10.44</v>
      </c>
      <c r="T29" s="294">
        <v>1.1851851851851852E-3</v>
      </c>
      <c r="U29" s="293">
        <v>4.51</v>
      </c>
      <c r="V29" s="293">
        <v>38.5</v>
      </c>
    </row>
    <row r="30" spans="1:22" ht="15">
      <c r="A30" s="9">
        <v>35</v>
      </c>
      <c r="B30" s="12">
        <v>13.500000000000009</v>
      </c>
      <c r="C30" s="13">
        <v>2.3500000000000054</v>
      </c>
      <c r="D30" s="13">
        <v>2.9499999999999953</v>
      </c>
      <c r="E30" s="13">
        <v>17.5</v>
      </c>
      <c r="F30" s="12">
        <v>81.5</v>
      </c>
      <c r="G30" s="13">
        <f t="shared" si="0"/>
        <v>986.5</v>
      </c>
      <c r="H30" s="14">
        <f t="shared" si="1"/>
        <v>997.65</v>
      </c>
      <c r="I30" s="9">
        <v>35</v>
      </c>
      <c r="L30" s="292">
        <v>132</v>
      </c>
      <c r="M30" s="293">
        <v>10.16</v>
      </c>
      <c r="N30" s="294">
        <v>1.1296296296296295E-3</v>
      </c>
      <c r="O30" s="293">
        <v>4.7300000000000004</v>
      </c>
      <c r="P30" s="293">
        <v>40</v>
      </c>
      <c r="R30" s="292">
        <v>132</v>
      </c>
      <c r="S30" s="293">
        <v>10.46</v>
      </c>
      <c r="T30" s="294">
        <v>1.1875E-3</v>
      </c>
      <c r="U30" s="293">
        <v>4.49</v>
      </c>
      <c r="V30" s="293">
        <v>38</v>
      </c>
    </row>
    <row r="31" spans="1:22" ht="15">
      <c r="A31" s="9">
        <v>36</v>
      </c>
      <c r="B31" s="12">
        <v>13.400000000000009</v>
      </c>
      <c r="C31" s="13">
        <v>2.3400000000000056</v>
      </c>
      <c r="D31" s="13">
        <v>2.9799999999999951</v>
      </c>
      <c r="E31" s="13">
        <v>18</v>
      </c>
      <c r="F31" s="12">
        <v>81</v>
      </c>
      <c r="G31" s="13">
        <f t="shared" si="0"/>
        <v>986.6</v>
      </c>
      <c r="H31" s="14">
        <f t="shared" si="1"/>
        <v>997.66</v>
      </c>
      <c r="I31" s="9">
        <v>36</v>
      </c>
      <c r="L31" s="292">
        <v>131</v>
      </c>
      <c r="M31" s="293">
        <v>10.18</v>
      </c>
      <c r="N31" s="294">
        <v>1.1319444444444443E-3</v>
      </c>
      <c r="O31" s="293">
        <v>4.71</v>
      </c>
      <c r="P31" s="293">
        <v>39.5</v>
      </c>
      <c r="R31" s="292">
        <v>131</v>
      </c>
      <c r="S31" s="293">
        <v>10.48</v>
      </c>
      <c r="T31" s="294">
        <v>1.1898148148148148E-3</v>
      </c>
      <c r="U31" s="293">
        <v>4.47</v>
      </c>
      <c r="V31" s="293">
        <v>37.5</v>
      </c>
    </row>
    <row r="32" spans="1:22" ht="15">
      <c r="A32" s="9">
        <v>37</v>
      </c>
      <c r="B32" s="12">
        <v>13.30000000000001</v>
      </c>
      <c r="C32" s="13">
        <v>2.3300000000000058</v>
      </c>
      <c r="D32" s="13">
        <v>3.0099999999999949</v>
      </c>
      <c r="E32" s="13">
        <v>18.5</v>
      </c>
      <c r="F32" s="12">
        <v>80.5</v>
      </c>
      <c r="G32" s="13">
        <f t="shared" si="0"/>
        <v>986.7</v>
      </c>
      <c r="H32" s="14">
        <f t="shared" si="1"/>
        <v>997.67</v>
      </c>
      <c r="I32" s="9">
        <v>37</v>
      </c>
      <c r="L32" s="292">
        <v>130</v>
      </c>
      <c r="M32" s="293">
        <v>10.199999999999999</v>
      </c>
      <c r="N32" s="294">
        <v>1.1342592592592593E-3</v>
      </c>
      <c r="O32" s="293">
        <v>4.6900000000000004</v>
      </c>
      <c r="P32" s="293">
        <v>39</v>
      </c>
      <c r="R32" s="292">
        <v>130</v>
      </c>
      <c r="S32" s="293">
        <v>10.5</v>
      </c>
      <c r="T32" s="294">
        <v>1.1921296296296296E-3</v>
      </c>
      <c r="U32" s="293">
        <v>4.45</v>
      </c>
      <c r="V32" s="293">
        <v>37</v>
      </c>
    </row>
    <row r="33" spans="1:22" ht="15">
      <c r="A33" s="9">
        <v>38</v>
      </c>
      <c r="B33" s="12">
        <v>13.20000000000001</v>
      </c>
      <c r="C33" s="13">
        <v>2.3200000000000061</v>
      </c>
      <c r="D33" s="13">
        <v>3.0399999999999947</v>
      </c>
      <c r="E33" s="13">
        <v>19</v>
      </c>
      <c r="F33" s="12">
        <v>80</v>
      </c>
      <c r="G33" s="13">
        <f t="shared" si="0"/>
        <v>986.8</v>
      </c>
      <c r="H33" s="14">
        <f t="shared" si="1"/>
        <v>997.68</v>
      </c>
      <c r="I33" s="9">
        <v>38</v>
      </c>
      <c r="L33" s="292">
        <v>129</v>
      </c>
      <c r="M33" s="293">
        <v>10.220000000000001</v>
      </c>
      <c r="N33" s="294">
        <v>1.1365740740740741E-3</v>
      </c>
      <c r="O33" s="293">
        <v>4.67</v>
      </c>
      <c r="P33" s="293">
        <v>38.5</v>
      </c>
      <c r="R33" s="292">
        <v>129</v>
      </c>
      <c r="S33" s="293">
        <v>10.52</v>
      </c>
      <c r="T33" s="294">
        <v>1.1944444444444444E-3</v>
      </c>
      <c r="U33" s="293">
        <v>4.43</v>
      </c>
      <c r="V33" s="293">
        <v>36.5</v>
      </c>
    </row>
    <row r="34" spans="1:22" ht="15">
      <c r="A34" s="9">
        <v>39</v>
      </c>
      <c r="B34" s="12">
        <v>13.10000000000001</v>
      </c>
      <c r="C34" s="13">
        <v>2.3100000000000063</v>
      </c>
      <c r="D34" s="13">
        <v>3.0699999999999945</v>
      </c>
      <c r="E34" s="13">
        <v>19.5</v>
      </c>
      <c r="F34" s="12">
        <v>79.5</v>
      </c>
      <c r="G34" s="13">
        <f t="shared" si="0"/>
        <v>986.9</v>
      </c>
      <c r="H34" s="14">
        <f t="shared" si="1"/>
        <v>997.68999999999994</v>
      </c>
      <c r="I34" s="9">
        <v>39</v>
      </c>
      <c r="L34" s="292">
        <v>128</v>
      </c>
      <c r="M34" s="293">
        <v>10.24</v>
      </c>
      <c r="N34" s="294">
        <v>1.1388888888888889E-3</v>
      </c>
      <c r="O34" s="293">
        <v>4.6500000000000004</v>
      </c>
      <c r="P34" s="293">
        <v>38</v>
      </c>
      <c r="R34" s="292">
        <v>128</v>
      </c>
      <c r="S34" s="293">
        <v>10.54</v>
      </c>
      <c r="T34" s="294">
        <v>1.1967592592592594E-3</v>
      </c>
      <c r="U34" s="293">
        <v>4.41</v>
      </c>
      <c r="V34" s="293">
        <v>36</v>
      </c>
    </row>
    <row r="35" spans="1:22" ht="15">
      <c r="A35" s="9">
        <v>40</v>
      </c>
      <c r="B35" s="12">
        <v>13.000000000000011</v>
      </c>
      <c r="C35" s="13">
        <v>2.3000000000000065</v>
      </c>
      <c r="D35" s="13">
        <v>3.0999999999999943</v>
      </c>
      <c r="E35" s="13">
        <v>20</v>
      </c>
      <c r="F35" s="12">
        <v>79</v>
      </c>
      <c r="G35" s="13">
        <f t="shared" si="0"/>
        <v>987</v>
      </c>
      <c r="H35" s="14">
        <f t="shared" si="1"/>
        <v>997.7</v>
      </c>
      <c r="I35" s="9">
        <v>40</v>
      </c>
      <c r="L35" s="292">
        <v>127</v>
      </c>
      <c r="M35" s="293">
        <v>10.26</v>
      </c>
      <c r="N35" s="294">
        <v>1.1412037037037037E-3</v>
      </c>
      <c r="O35" s="293">
        <v>4.63</v>
      </c>
      <c r="P35" s="293">
        <v>37.5</v>
      </c>
      <c r="R35" s="292">
        <v>127</v>
      </c>
      <c r="S35" s="293">
        <v>10.56</v>
      </c>
      <c r="T35" s="294">
        <v>1.199074074074074E-3</v>
      </c>
      <c r="U35" s="293">
        <v>4.3899999999999997</v>
      </c>
      <c r="V35" s="293">
        <v>35.5</v>
      </c>
    </row>
    <row r="36" spans="1:22" ht="15">
      <c r="A36" s="9">
        <v>41</v>
      </c>
      <c r="B36" s="12">
        <v>12.900000000000011</v>
      </c>
      <c r="C36" s="13">
        <v>2.2900000000000067</v>
      </c>
      <c r="D36" s="13">
        <v>3.1299999999999941</v>
      </c>
      <c r="E36" s="13">
        <v>20.5</v>
      </c>
      <c r="F36" s="12">
        <v>78.5</v>
      </c>
      <c r="G36" s="13">
        <f t="shared" si="0"/>
        <v>987.1</v>
      </c>
      <c r="H36" s="14">
        <f t="shared" si="1"/>
        <v>997.71</v>
      </c>
      <c r="I36" s="9">
        <v>41</v>
      </c>
      <c r="L36" s="292">
        <v>126</v>
      </c>
      <c r="M36" s="293">
        <v>10.28</v>
      </c>
      <c r="N36" s="294">
        <v>1.1435185185185185E-3</v>
      </c>
      <c r="O36" s="293">
        <v>4.6100000000000003</v>
      </c>
      <c r="P36" s="293">
        <v>37</v>
      </c>
      <c r="R36" s="292">
        <v>126</v>
      </c>
      <c r="S36" s="293">
        <v>10.58</v>
      </c>
      <c r="T36" s="294">
        <v>1.2013888888888888E-3</v>
      </c>
      <c r="U36" s="293">
        <v>4.37</v>
      </c>
      <c r="V36" s="293">
        <v>35</v>
      </c>
    </row>
    <row r="37" spans="1:22" ht="15">
      <c r="A37" s="9">
        <v>42</v>
      </c>
      <c r="B37" s="12">
        <v>12.800000000000011</v>
      </c>
      <c r="C37" s="13">
        <v>2.2800000000000069</v>
      </c>
      <c r="D37" s="13">
        <v>3.1599999999999939</v>
      </c>
      <c r="E37" s="13">
        <v>21</v>
      </c>
      <c r="F37" s="12">
        <v>78</v>
      </c>
      <c r="G37" s="13">
        <f t="shared" si="0"/>
        <v>987.2</v>
      </c>
      <c r="H37" s="14">
        <f t="shared" si="1"/>
        <v>997.72</v>
      </c>
      <c r="I37" s="9">
        <v>42</v>
      </c>
      <c r="L37" s="292">
        <v>125</v>
      </c>
      <c r="M37" s="293">
        <v>10.3</v>
      </c>
      <c r="N37" s="294">
        <v>1.1458333333333333E-3</v>
      </c>
      <c r="O37" s="293">
        <v>4.59</v>
      </c>
      <c r="P37" s="293">
        <v>36.5</v>
      </c>
      <c r="R37" s="292">
        <v>125</v>
      </c>
      <c r="S37" s="293">
        <v>10.6</v>
      </c>
      <c r="T37" s="294">
        <v>1.2037037037037038E-3</v>
      </c>
      <c r="U37" s="293">
        <v>4.3499999999999996</v>
      </c>
      <c r="V37" s="293">
        <v>34.5</v>
      </c>
    </row>
    <row r="38" spans="1:22" ht="15">
      <c r="A38" s="9">
        <v>43</v>
      </c>
      <c r="B38" s="12">
        <v>12.700000000000012</v>
      </c>
      <c r="C38" s="13">
        <v>2.2700000000000071</v>
      </c>
      <c r="D38" s="13">
        <v>3.1899999999999937</v>
      </c>
      <c r="E38" s="13">
        <v>21.5</v>
      </c>
      <c r="F38" s="12">
        <v>77.5</v>
      </c>
      <c r="G38" s="13">
        <f t="shared" si="0"/>
        <v>987.3</v>
      </c>
      <c r="H38" s="14">
        <f t="shared" si="1"/>
        <v>997.73</v>
      </c>
      <c r="I38" s="9">
        <v>43</v>
      </c>
      <c r="L38" s="292">
        <v>124</v>
      </c>
      <c r="M38" s="293">
        <v>10.32</v>
      </c>
      <c r="N38" s="294">
        <v>1.1481481481481481E-3</v>
      </c>
      <c r="O38" s="293">
        <v>4.57</v>
      </c>
      <c r="P38" s="293">
        <v>36</v>
      </c>
      <c r="R38" s="292">
        <v>124</v>
      </c>
      <c r="S38" s="293">
        <v>10.62</v>
      </c>
      <c r="T38" s="294">
        <v>1.2060185185185186E-3</v>
      </c>
      <c r="U38" s="293">
        <v>4.33</v>
      </c>
      <c r="V38" s="293">
        <v>34</v>
      </c>
    </row>
    <row r="39" spans="1:22" ht="15">
      <c r="A39" s="9">
        <v>44</v>
      </c>
      <c r="B39" s="12">
        <v>12.600000000000012</v>
      </c>
      <c r="C39" s="13">
        <v>2.2600000000000073</v>
      </c>
      <c r="D39" s="13">
        <v>3.2199999999999935</v>
      </c>
      <c r="E39" s="13">
        <v>22</v>
      </c>
      <c r="F39" s="12">
        <v>77</v>
      </c>
      <c r="G39" s="13">
        <f t="shared" si="0"/>
        <v>987.4</v>
      </c>
      <c r="H39" s="14">
        <f t="shared" si="1"/>
        <v>997.74</v>
      </c>
      <c r="I39" s="9">
        <v>44</v>
      </c>
      <c r="L39" s="292">
        <v>123</v>
      </c>
      <c r="M39" s="293">
        <v>10.34</v>
      </c>
      <c r="N39" s="294">
        <v>1.1504629629629629E-3</v>
      </c>
      <c r="O39" s="293">
        <v>4.55</v>
      </c>
      <c r="P39" s="293">
        <v>35.5</v>
      </c>
      <c r="R39" s="292">
        <v>123</v>
      </c>
      <c r="S39" s="293">
        <v>10.64</v>
      </c>
      <c r="T39" s="294">
        <v>1.2083333333333334E-3</v>
      </c>
      <c r="U39" s="293">
        <v>4.3099999999999996</v>
      </c>
      <c r="V39" s="293">
        <v>33.5</v>
      </c>
    </row>
    <row r="40" spans="1:22" ht="15">
      <c r="A40" s="9">
        <v>45</v>
      </c>
      <c r="B40" s="12">
        <v>12.500000000000012</v>
      </c>
      <c r="C40" s="13">
        <v>2.2500000000000075</v>
      </c>
      <c r="D40" s="13">
        <v>3.2499999999999933</v>
      </c>
      <c r="E40" s="13">
        <v>22.5</v>
      </c>
      <c r="F40" s="12">
        <v>76.5</v>
      </c>
      <c r="G40" s="13">
        <f t="shared" si="0"/>
        <v>987.5</v>
      </c>
      <c r="H40" s="14">
        <f t="shared" si="1"/>
        <v>997.75</v>
      </c>
      <c r="I40" s="9">
        <v>45</v>
      </c>
      <c r="L40" s="292">
        <v>122</v>
      </c>
      <c r="M40" s="293">
        <v>10.36</v>
      </c>
      <c r="N40" s="294">
        <v>1.1527777777777777E-3</v>
      </c>
      <c r="O40" s="293">
        <v>4.53</v>
      </c>
      <c r="P40" s="293">
        <v>35</v>
      </c>
      <c r="R40" s="292">
        <v>122</v>
      </c>
      <c r="S40" s="293">
        <v>10.66</v>
      </c>
      <c r="T40" s="294">
        <v>1.210648148148148E-3</v>
      </c>
      <c r="U40" s="293">
        <v>4.29</v>
      </c>
      <c r="V40" s="293">
        <v>33</v>
      </c>
    </row>
    <row r="41" spans="1:22" ht="15">
      <c r="A41" s="9">
        <v>46</v>
      </c>
      <c r="B41" s="12">
        <v>12.400000000000013</v>
      </c>
      <c r="C41" s="13">
        <v>2.2400000000000078</v>
      </c>
      <c r="D41" s="13">
        <v>3.2799999999999931</v>
      </c>
      <c r="E41" s="13">
        <v>23</v>
      </c>
      <c r="F41" s="12">
        <v>76</v>
      </c>
      <c r="G41" s="13">
        <f t="shared" si="0"/>
        <v>987.6</v>
      </c>
      <c r="H41" s="14">
        <f t="shared" si="1"/>
        <v>997.76</v>
      </c>
      <c r="I41" s="9">
        <v>46</v>
      </c>
      <c r="L41" s="292">
        <v>121</v>
      </c>
      <c r="M41" s="293">
        <v>10.38</v>
      </c>
      <c r="N41" s="294">
        <v>1.1550925925925925E-3</v>
      </c>
      <c r="O41" s="293">
        <v>4.51</v>
      </c>
      <c r="P41" s="293">
        <v>34.5</v>
      </c>
      <c r="R41" s="292">
        <v>121</v>
      </c>
      <c r="S41" s="293">
        <v>10.68</v>
      </c>
      <c r="T41" s="294">
        <v>1.212962962962963E-3</v>
      </c>
      <c r="U41" s="293">
        <v>4.2699999999999996</v>
      </c>
      <c r="V41" s="293">
        <v>32.5</v>
      </c>
    </row>
    <row r="42" spans="1:22" ht="15">
      <c r="A42" s="9">
        <v>47</v>
      </c>
      <c r="B42" s="12">
        <v>12.300000000000013</v>
      </c>
      <c r="C42" s="13">
        <v>2.230000000000008</v>
      </c>
      <c r="D42" s="13">
        <v>3.3099999999999929</v>
      </c>
      <c r="E42" s="13">
        <v>23.5</v>
      </c>
      <c r="F42" s="12">
        <v>75.5</v>
      </c>
      <c r="G42" s="13">
        <f t="shared" si="0"/>
        <v>987.69999999999993</v>
      </c>
      <c r="H42" s="14">
        <f t="shared" si="1"/>
        <v>997.77</v>
      </c>
      <c r="I42" s="9">
        <v>47</v>
      </c>
      <c r="L42" s="292">
        <v>120</v>
      </c>
      <c r="M42" s="293">
        <v>10.4</v>
      </c>
      <c r="N42" s="294">
        <v>1.1574074074074073E-3</v>
      </c>
      <c r="O42" s="293">
        <v>4.5</v>
      </c>
      <c r="P42" s="293">
        <v>34</v>
      </c>
      <c r="R42" s="292">
        <v>120</v>
      </c>
      <c r="S42" s="293">
        <v>10.7</v>
      </c>
      <c r="T42" s="294">
        <v>1.2152777777777778E-3</v>
      </c>
      <c r="U42" s="293">
        <v>4.25</v>
      </c>
      <c r="V42" s="293">
        <v>32</v>
      </c>
    </row>
    <row r="43" spans="1:22" ht="15">
      <c r="A43" s="9">
        <v>48</v>
      </c>
      <c r="B43" s="12">
        <v>12.200000000000014</v>
      </c>
      <c r="C43" s="13">
        <v>2.2200000000000082</v>
      </c>
      <c r="D43" s="13">
        <v>3.3399999999999928</v>
      </c>
      <c r="E43" s="13">
        <v>24</v>
      </c>
      <c r="F43" s="12">
        <v>75</v>
      </c>
      <c r="G43" s="13">
        <f t="shared" si="0"/>
        <v>987.8</v>
      </c>
      <c r="H43" s="14">
        <f t="shared" si="1"/>
        <v>997.78</v>
      </c>
      <c r="I43" s="9">
        <v>48</v>
      </c>
      <c r="L43" s="292">
        <v>119</v>
      </c>
      <c r="M43" s="293">
        <v>10.44</v>
      </c>
      <c r="N43" s="294">
        <v>1.1608796296296295E-3</v>
      </c>
      <c r="O43" s="293">
        <v>4.4800000000000004</v>
      </c>
      <c r="P43" s="293">
        <v>33.799999999999997</v>
      </c>
      <c r="R43" s="292">
        <v>119</v>
      </c>
      <c r="S43" s="293">
        <v>10.75</v>
      </c>
      <c r="T43" s="294">
        <v>1.2175925925925926E-3</v>
      </c>
      <c r="U43" s="293">
        <v>4.2300000000000004</v>
      </c>
      <c r="V43" s="293">
        <v>31.8</v>
      </c>
    </row>
    <row r="44" spans="1:22" ht="15">
      <c r="A44" s="9">
        <v>49</v>
      </c>
      <c r="B44" s="12">
        <v>12.100000000000014</v>
      </c>
      <c r="C44" s="13">
        <v>2.2100000000000084</v>
      </c>
      <c r="D44" s="13">
        <v>3.3699999999999926</v>
      </c>
      <c r="E44" s="13">
        <v>24.5</v>
      </c>
      <c r="F44" s="12">
        <v>74.5</v>
      </c>
      <c r="G44" s="13">
        <f t="shared" si="0"/>
        <v>987.9</v>
      </c>
      <c r="H44" s="14">
        <f t="shared" si="1"/>
        <v>997.79</v>
      </c>
      <c r="I44" s="9">
        <v>49</v>
      </c>
      <c r="L44" s="292">
        <v>118</v>
      </c>
      <c r="M44" s="293">
        <v>10.48</v>
      </c>
      <c r="N44" s="294">
        <v>1.1643518518518517E-3</v>
      </c>
      <c r="O44" s="293">
        <v>4.46</v>
      </c>
      <c r="P44" s="293">
        <v>33.6</v>
      </c>
      <c r="R44" s="292">
        <v>118</v>
      </c>
      <c r="S44" s="293">
        <v>10.8</v>
      </c>
      <c r="T44" s="294">
        <v>1.2199074074074074E-3</v>
      </c>
      <c r="U44" s="293">
        <v>4.21</v>
      </c>
      <c r="V44" s="293">
        <v>31.6</v>
      </c>
    </row>
    <row r="45" spans="1:22" ht="15">
      <c r="A45" s="9">
        <v>50</v>
      </c>
      <c r="B45" s="12">
        <v>12.000000000000014</v>
      </c>
      <c r="C45" s="13">
        <v>2.2000000000000086</v>
      </c>
      <c r="D45" s="13">
        <v>3.3999999999999924</v>
      </c>
      <c r="E45" s="13">
        <v>25</v>
      </c>
      <c r="F45" s="12">
        <v>74</v>
      </c>
      <c r="G45" s="13">
        <f t="shared" si="0"/>
        <v>988</v>
      </c>
      <c r="H45" s="14">
        <f t="shared" si="1"/>
        <v>997.8</v>
      </c>
      <c r="I45" s="9">
        <v>50</v>
      </c>
      <c r="L45" s="292">
        <v>117</v>
      </c>
      <c r="M45" s="293">
        <v>10.52</v>
      </c>
      <c r="N45" s="294">
        <v>1.1678240740740742E-3</v>
      </c>
      <c r="O45" s="293">
        <v>4.4400000000000004</v>
      </c>
      <c r="P45" s="293">
        <v>33.4</v>
      </c>
      <c r="R45" s="292">
        <v>117</v>
      </c>
      <c r="S45" s="293">
        <v>10.85</v>
      </c>
      <c r="T45" s="294">
        <v>1.2222222222222222E-3</v>
      </c>
      <c r="U45" s="293">
        <v>4.1900000000000004</v>
      </c>
      <c r="V45" s="293">
        <v>31.4</v>
      </c>
    </row>
    <row r="46" spans="1:22" ht="15">
      <c r="A46" s="9">
        <v>51</v>
      </c>
      <c r="B46" s="12">
        <v>11.900000000000015</v>
      </c>
      <c r="C46" s="13">
        <v>2.1900000000000088</v>
      </c>
      <c r="D46" s="13">
        <v>3.4299999999999922</v>
      </c>
      <c r="E46" s="13">
        <v>25.5</v>
      </c>
      <c r="F46" s="12">
        <v>73.5</v>
      </c>
      <c r="G46" s="13">
        <f t="shared" si="0"/>
        <v>988.1</v>
      </c>
      <c r="H46" s="14">
        <f t="shared" si="1"/>
        <v>997.81</v>
      </c>
      <c r="I46" s="9">
        <v>51</v>
      </c>
      <c r="L46" s="292">
        <v>116</v>
      </c>
      <c r="M46" s="293">
        <v>10.56</v>
      </c>
      <c r="N46" s="294">
        <v>1.1712962962962964E-3</v>
      </c>
      <c r="O46" s="293">
        <v>4.42</v>
      </c>
      <c r="R46" s="292">
        <v>116</v>
      </c>
      <c r="S46" s="293">
        <v>10.9</v>
      </c>
      <c r="T46" s="294">
        <v>1.224537037037037E-3</v>
      </c>
      <c r="U46" s="293">
        <v>4.17</v>
      </c>
      <c r="V46" s="293">
        <v>31.2</v>
      </c>
    </row>
    <row r="47" spans="1:22" ht="16">
      <c r="A47" s="9">
        <v>52</v>
      </c>
      <c r="B47" s="12">
        <v>11.800000000000015</v>
      </c>
      <c r="C47" s="13">
        <v>2.180000000000009</v>
      </c>
      <c r="D47" s="13">
        <v>3.459999999999992</v>
      </c>
      <c r="E47" s="13">
        <v>26</v>
      </c>
      <c r="F47" s="12">
        <v>73</v>
      </c>
      <c r="G47" s="13">
        <f t="shared" si="0"/>
        <v>988.19999999999993</v>
      </c>
      <c r="H47" s="14">
        <f t="shared" si="1"/>
        <v>997.81999999999994</v>
      </c>
      <c r="I47" s="9">
        <v>52</v>
      </c>
      <c r="L47" s="295">
        <v>115</v>
      </c>
      <c r="M47" s="296">
        <v>10.6</v>
      </c>
      <c r="N47" s="297">
        <v>1.1747685185185186E-3</v>
      </c>
      <c r="O47" s="296">
        <v>4.4000000000000004</v>
      </c>
      <c r="P47" s="296">
        <v>33</v>
      </c>
      <c r="R47" s="292">
        <v>115</v>
      </c>
      <c r="S47" s="293">
        <v>10.95</v>
      </c>
      <c r="T47" s="294">
        <v>1.2268518518518518E-3</v>
      </c>
      <c r="U47" s="293">
        <v>4.1500000000000004</v>
      </c>
      <c r="V47" s="293">
        <v>31</v>
      </c>
    </row>
    <row r="48" spans="1:22" ht="16">
      <c r="A48" s="9">
        <v>53</v>
      </c>
      <c r="B48" s="12">
        <v>11.700000000000015</v>
      </c>
      <c r="C48" s="13">
        <v>2.1700000000000093</v>
      </c>
      <c r="D48" s="13">
        <v>3.4899999999999918</v>
      </c>
      <c r="E48" s="13">
        <v>26.5</v>
      </c>
      <c r="F48" s="12">
        <v>72.5</v>
      </c>
      <c r="G48" s="13">
        <f t="shared" si="0"/>
        <v>988.3</v>
      </c>
      <c r="H48" s="14">
        <f t="shared" si="1"/>
        <v>997.83</v>
      </c>
      <c r="I48" s="9">
        <v>53</v>
      </c>
      <c r="L48" s="295">
        <v>114</v>
      </c>
      <c r="M48" s="296">
        <v>10.64</v>
      </c>
      <c r="N48" s="297">
        <v>1.1782407407407408E-3</v>
      </c>
      <c r="O48" s="296">
        <v>4.37</v>
      </c>
      <c r="P48" s="296">
        <v>32.799999999999997</v>
      </c>
      <c r="R48" s="292">
        <v>114</v>
      </c>
      <c r="S48" s="293">
        <v>11</v>
      </c>
      <c r="T48" s="294">
        <v>1.2291666666666666E-3</v>
      </c>
      <c r="U48" s="293">
        <v>4.12</v>
      </c>
      <c r="V48" s="293">
        <v>30.8</v>
      </c>
    </row>
    <row r="49" spans="1:22" ht="16">
      <c r="A49" s="9">
        <v>54</v>
      </c>
      <c r="B49" s="12">
        <v>11.600000000000016</v>
      </c>
      <c r="C49" s="13">
        <v>2.1600000000000095</v>
      </c>
      <c r="D49" s="13">
        <v>3.5199999999999916</v>
      </c>
      <c r="E49" s="13">
        <v>27</v>
      </c>
      <c r="F49" s="12">
        <v>72</v>
      </c>
      <c r="G49" s="13">
        <f t="shared" si="0"/>
        <v>988.4</v>
      </c>
      <c r="H49" s="14">
        <f t="shared" si="1"/>
        <v>997.84</v>
      </c>
      <c r="I49" s="9">
        <v>54</v>
      </c>
      <c r="L49" s="295">
        <v>113</v>
      </c>
      <c r="M49" s="296">
        <v>10.68</v>
      </c>
      <c r="N49" s="297">
        <v>1.181712962962963E-3</v>
      </c>
      <c r="O49" s="296">
        <v>4.34</v>
      </c>
      <c r="P49" s="296">
        <v>32.6</v>
      </c>
      <c r="R49" s="292">
        <v>113</v>
      </c>
      <c r="S49" s="293">
        <v>11.05</v>
      </c>
      <c r="T49" s="294">
        <v>1.2314814814814816E-3</v>
      </c>
      <c r="U49" s="293">
        <v>4.09</v>
      </c>
      <c r="V49" s="293">
        <v>30.6</v>
      </c>
    </row>
    <row r="50" spans="1:22" ht="16">
      <c r="A50" s="9">
        <v>55</v>
      </c>
      <c r="B50" s="12">
        <v>11.500000000000016</v>
      </c>
      <c r="C50" s="13">
        <v>2.1500000000000097</v>
      </c>
      <c r="D50" s="13">
        <v>3.5499999999999914</v>
      </c>
      <c r="E50" s="13">
        <v>27.5</v>
      </c>
      <c r="F50" s="12">
        <v>71.5</v>
      </c>
      <c r="G50" s="13">
        <f t="shared" si="0"/>
        <v>988.5</v>
      </c>
      <c r="H50" s="14">
        <f t="shared" si="1"/>
        <v>997.85</v>
      </c>
      <c r="I50" s="9">
        <v>55</v>
      </c>
      <c r="L50" s="295">
        <v>112</v>
      </c>
      <c r="M50" s="296">
        <v>10.72</v>
      </c>
      <c r="N50" s="297">
        <v>1.1851851851851852E-3</v>
      </c>
      <c r="O50" s="296">
        <v>4.3099999999999996</v>
      </c>
      <c r="P50" s="296">
        <v>32.4</v>
      </c>
      <c r="R50" s="292">
        <v>112</v>
      </c>
      <c r="S50" s="293">
        <v>11.1</v>
      </c>
      <c r="T50" s="294">
        <v>1.2337962962962962E-3</v>
      </c>
      <c r="U50" s="293">
        <v>4.0599999999999996</v>
      </c>
      <c r="V50" s="293">
        <v>30.4</v>
      </c>
    </row>
    <row r="51" spans="1:22" ht="16">
      <c r="A51" s="9">
        <v>56</v>
      </c>
      <c r="B51" s="12">
        <v>11.400000000000016</v>
      </c>
      <c r="C51" s="13">
        <v>2.1400000000000099</v>
      </c>
      <c r="D51" s="13">
        <v>3.5799999999999912</v>
      </c>
      <c r="E51" s="13">
        <v>28</v>
      </c>
      <c r="F51" s="12">
        <v>71</v>
      </c>
      <c r="G51" s="13">
        <f t="shared" si="0"/>
        <v>988.6</v>
      </c>
      <c r="H51" s="14">
        <f t="shared" si="1"/>
        <v>997.86</v>
      </c>
      <c r="I51" s="9">
        <v>56</v>
      </c>
      <c r="L51" s="295">
        <v>111</v>
      </c>
      <c r="M51" s="296">
        <v>10.76</v>
      </c>
      <c r="N51" s="297">
        <v>1.1886574074074074E-3</v>
      </c>
      <c r="O51" s="296">
        <v>4.28</v>
      </c>
      <c r="P51" s="296">
        <v>32.200000000000003</v>
      </c>
      <c r="R51" s="292">
        <v>111</v>
      </c>
      <c r="S51" s="293">
        <v>11.15</v>
      </c>
      <c r="T51" s="294">
        <v>1.236111111111111E-3</v>
      </c>
      <c r="U51" s="293">
        <v>4.03</v>
      </c>
      <c r="V51" s="293">
        <v>30.2</v>
      </c>
    </row>
    <row r="52" spans="1:22" ht="16">
      <c r="A52" s="9">
        <v>57</v>
      </c>
      <c r="B52" s="12">
        <v>11.300000000000017</v>
      </c>
      <c r="C52" s="13">
        <v>2.1300000000000101</v>
      </c>
      <c r="D52" s="13">
        <v>3.609999999999991</v>
      </c>
      <c r="E52" s="13">
        <v>28.5</v>
      </c>
      <c r="F52" s="12">
        <v>70.5</v>
      </c>
      <c r="G52" s="13">
        <f t="shared" si="0"/>
        <v>988.69999999999993</v>
      </c>
      <c r="H52" s="14">
        <f t="shared" si="1"/>
        <v>997.87</v>
      </c>
      <c r="I52" s="9">
        <v>57</v>
      </c>
      <c r="L52" s="295">
        <v>110</v>
      </c>
      <c r="M52" s="296">
        <v>10.8</v>
      </c>
      <c r="N52" s="297">
        <v>1.1921296296296296E-3</v>
      </c>
      <c r="O52" s="296">
        <v>4.25</v>
      </c>
      <c r="P52" s="296">
        <v>32</v>
      </c>
      <c r="R52" s="292">
        <v>110</v>
      </c>
      <c r="S52" s="293">
        <v>11.2</v>
      </c>
      <c r="T52" s="294">
        <v>1.238425925925926E-3</v>
      </c>
      <c r="U52" s="293">
        <v>4</v>
      </c>
      <c r="V52" s="293">
        <v>30</v>
      </c>
    </row>
    <row r="53" spans="1:22" ht="16">
      <c r="A53" s="9">
        <v>58</v>
      </c>
      <c r="B53" s="12">
        <v>11.200000000000017</v>
      </c>
      <c r="C53" s="13">
        <v>2.1200000000000103</v>
      </c>
      <c r="D53" s="13">
        <v>3.6399999999999908</v>
      </c>
      <c r="E53" s="13">
        <v>29</v>
      </c>
      <c r="F53" s="12">
        <v>70</v>
      </c>
      <c r="G53" s="13">
        <f t="shared" si="0"/>
        <v>988.8</v>
      </c>
      <c r="H53" s="14">
        <f t="shared" si="1"/>
        <v>997.88</v>
      </c>
      <c r="I53" s="9">
        <v>58</v>
      </c>
      <c r="L53" s="295">
        <v>109</v>
      </c>
      <c r="M53" s="296">
        <v>10.84</v>
      </c>
      <c r="N53" s="297">
        <v>1.1956018518518518E-3</v>
      </c>
      <c r="O53" s="296">
        <v>4.2300000000000004</v>
      </c>
      <c r="P53" s="296">
        <v>31.8</v>
      </c>
      <c r="R53" s="292">
        <v>109</v>
      </c>
      <c r="S53" s="293">
        <v>11.25</v>
      </c>
      <c r="T53" s="294">
        <v>1.2418981481481482E-3</v>
      </c>
      <c r="U53" s="293">
        <v>3.98</v>
      </c>
      <c r="V53" s="293">
        <v>29.8</v>
      </c>
    </row>
    <row r="54" spans="1:22" ht="16">
      <c r="A54" s="9">
        <v>59</v>
      </c>
      <c r="B54" s="12">
        <v>11.100000000000017</v>
      </c>
      <c r="C54" s="13">
        <v>2.1100000000000105</v>
      </c>
      <c r="D54" s="13">
        <v>3.6699999999999906</v>
      </c>
      <c r="E54" s="13">
        <v>29.5</v>
      </c>
      <c r="F54" s="12">
        <v>69.5</v>
      </c>
      <c r="G54" s="13">
        <f t="shared" si="0"/>
        <v>988.9</v>
      </c>
      <c r="H54" s="14">
        <f t="shared" si="1"/>
        <v>997.89</v>
      </c>
      <c r="I54" s="9">
        <v>59</v>
      </c>
      <c r="L54" s="295">
        <v>108</v>
      </c>
      <c r="M54" s="296">
        <v>10.88</v>
      </c>
      <c r="N54" s="297">
        <v>1.199074074074074E-3</v>
      </c>
      <c r="O54" s="296">
        <v>4.21</v>
      </c>
      <c r="P54" s="296">
        <v>31.6</v>
      </c>
      <c r="R54" s="292">
        <v>108</v>
      </c>
      <c r="S54" s="293">
        <v>11.3</v>
      </c>
      <c r="T54" s="294">
        <v>1.2453703703703702E-3</v>
      </c>
      <c r="U54" s="293">
        <v>3.96</v>
      </c>
      <c r="V54" s="293">
        <v>29.6</v>
      </c>
    </row>
    <row r="55" spans="1:22" ht="16">
      <c r="A55" s="9">
        <v>60</v>
      </c>
      <c r="B55" s="12">
        <v>11.000000000000018</v>
      </c>
      <c r="C55" s="13">
        <v>2.1000000000000107</v>
      </c>
      <c r="D55" s="13">
        <v>3.6999999999999904</v>
      </c>
      <c r="E55" s="13">
        <v>30</v>
      </c>
      <c r="F55" s="12">
        <v>69</v>
      </c>
      <c r="G55" s="13">
        <f t="shared" si="0"/>
        <v>989</v>
      </c>
      <c r="H55" s="14">
        <f t="shared" si="1"/>
        <v>997.9</v>
      </c>
      <c r="I55" s="9">
        <v>60</v>
      </c>
      <c r="L55" s="295">
        <v>107</v>
      </c>
      <c r="M55" s="296">
        <v>10.92</v>
      </c>
      <c r="N55" s="297">
        <v>1.2025462962962964E-3</v>
      </c>
      <c r="O55" s="296">
        <v>4.1900000000000004</v>
      </c>
      <c r="P55" s="296">
        <v>31.4</v>
      </c>
      <c r="R55" s="292">
        <v>107</v>
      </c>
      <c r="S55" s="293">
        <v>11.35</v>
      </c>
      <c r="T55" s="294">
        <v>1.2488425925925926E-3</v>
      </c>
      <c r="U55" s="293">
        <v>3.94</v>
      </c>
      <c r="V55" s="293">
        <v>29.4</v>
      </c>
    </row>
    <row r="56" spans="1:22" ht="16">
      <c r="A56" s="9">
        <v>61</v>
      </c>
      <c r="B56" s="12">
        <v>10.900000000000018</v>
      </c>
      <c r="C56" s="13">
        <v>2.090000000000011</v>
      </c>
      <c r="D56" s="13">
        <v>3.7299999999999902</v>
      </c>
      <c r="E56" s="13">
        <v>30.5</v>
      </c>
      <c r="F56" s="12">
        <v>68.5</v>
      </c>
      <c r="G56" s="13">
        <f t="shared" si="0"/>
        <v>989.1</v>
      </c>
      <c r="H56" s="14">
        <f t="shared" si="1"/>
        <v>997.91</v>
      </c>
      <c r="I56" s="9">
        <v>61</v>
      </c>
      <c r="L56" s="295">
        <v>106</v>
      </c>
      <c r="M56" s="296">
        <v>10.96</v>
      </c>
      <c r="N56" s="297">
        <v>1.2060185185185186E-3</v>
      </c>
      <c r="O56" s="296">
        <v>4.17</v>
      </c>
      <c r="P56" s="296">
        <v>31.2</v>
      </c>
      <c r="R56" s="292">
        <v>106</v>
      </c>
      <c r="S56" s="293">
        <v>11.4</v>
      </c>
      <c r="T56" s="294">
        <v>1.2523148148148148E-3</v>
      </c>
      <c r="U56" s="293">
        <v>3.92</v>
      </c>
      <c r="V56" s="293">
        <v>29.2</v>
      </c>
    </row>
    <row r="57" spans="1:22" ht="16">
      <c r="A57" s="9">
        <v>62</v>
      </c>
      <c r="B57" s="12">
        <v>10.800000000000018</v>
      </c>
      <c r="C57" s="13">
        <v>2.0800000000000112</v>
      </c>
      <c r="D57" s="13">
        <v>3.75999999999999</v>
      </c>
      <c r="E57" s="13">
        <v>31</v>
      </c>
      <c r="F57" s="12">
        <v>68</v>
      </c>
      <c r="G57" s="13">
        <f t="shared" si="0"/>
        <v>989.19999999999993</v>
      </c>
      <c r="H57" s="14">
        <f t="shared" si="1"/>
        <v>997.92</v>
      </c>
      <c r="I57" s="9">
        <v>62</v>
      </c>
      <c r="L57" s="295">
        <v>105</v>
      </c>
      <c r="M57" s="296">
        <v>11</v>
      </c>
      <c r="N57" s="297">
        <v>1.2094907407407408E-3</v>
      </c>
      <c r="O57" s="296">
        <v>4.1500000000000004</v>
      </c>
      <c r="P57" s="296">
        <v>31</v>
      </c>
      <c r="R57" s="292">
        <v>105</v>
      </c>
      <c r="S57" s="293">
        <v>11.45</v>
      </c>
      <c r="T57" s="294">
        <v>1.255787037037037E-3</v>
      </c>
      <c r="U57" s="293">
        <v>3.9</v>
      </c>
      <c r="V57" s="293">
        <v>29</v>
      </c>
    </row>
    <row r="58" spans="1:22" ht="16">
      <c r="A58" s="9">
        <v>63</v>
      </c>
      <c r="B58" s="12">
        <v>10.700000000000019</v>
      </c>
      <c r="C58" s="13">
        <v>2.0700000000000114</v>
      </c>
      <c r="D58" s="13">
        <v>3.7899999999999898</v>
      </c>
      <c r="E58" s="13">
        <v>31.5</v>
      </c>
      <c r="F58" s="12">
        <v>67.5</v>
      </c>
      <c r="G58" s="13">
        <f t="shared" si="0"/>
        <v>989.3</v>
      </c>
      <c r="H58" s="14">
        <f t="shared" si="1"/>
        <v>997.93</v>
      </c>
      <c r="I58" s="9">
        <v>63</v>
      </c>
      <c r="L58" s="295">
        <v>104</v>
      </c>
      <c r="M58" s="296">
        <v>11.04</v>
      </c>
      <c r="N58" s="297">
        <v>1.212962962962963E-3</v>
      </c>
      <c r="O58" s="296">
        <v>4.12</v>
      </c>
      <c r="P58" s="296">
        <v>30.8</v>
      </c>
      <c r="R58" s="292">
        <v>104</v>
      </c>
      <c r="S58" s="293">
        <v>11.5</v>
      </c>
      <c r="T58" s="294">
        <v>1.2592592592592592E-3</v>
      </c>
      <c r="U58" s="293">
        <v>3.87</v>
      </c>
      <c r="V58" s="293">
        <v>28.8</v>
      </c>
    </row>
    <row r="59" spans="1:22" ht="16">
      <c r="A59" s="9">
        <v>64</v>
      </c>
      <c r="B59" s="12">
        <v>10.600000000000019</v>
      </c>
      <c r="C59" s="13">
        <v>2.0600000000000116</v>
      </c>
      <c r="D59" s="13">
        <v>3.8199999999999896</v>
      </c>
      <c r="E59" s="13">
        <v>32</v>
      </c>
      <c r="F59" s="12">
        <v>67</v>
      </c>
      <c r="G59" s="13">
        <f t="shared" si="0"/>
        <v>989.4</v>
      </c>
      <c r="H59" s="14">
        <f t="shared" si="1"/>
        <v>997.93999999999994</v>
      </c>
      <c r="I59" s="9">
        <v>64</v>
      </c>
      <c r="L59" s="295">
        <v>103</v>
      </c>
      <c r="M59" s="296">
        <v>11.08</v>
      </c>
      <c r="N59" s="297">
        <v>1.2164351851851852E-3</v>
      </c>
      <c r="O59" s="296">
        <v>4.09</v>
      </c>
      <c r="P59" s="296">
        <v>30.6</v>
      </c>
      <c r="R59" s="292">
        <v>103</v>
      </c>
      <c r="S59" s="293">
        <v>11.55</v>
      </c>
      <c r="T59" s="294">
        <v>1.2627314814814814E-3</v>
      </c>
      <c r="U59" s="293">
        <v>3.84</v>
      </c>
      <c r="V59" s="293">
        <v>28.6</v>
      </c>
    </row>
    <row r="60" spans="1:22" ht="16">
      <c r="A60" s="9">
        <v>65</v>
      </c>
      <c r="B60" s="12">
        <v>10.50000000000002</v>
      </c>
      <c r="C60" s="13">
        <v>2.0500000000000118</v>
      </c>
      <c r="D60" s="13">
        <v>3.8499999999999894</v>
      </c>
      <c r="E60" s="13">
        <v>32.5</v>
      </c>
      <c r="F60" s="12">
        <v>66.5</v>
      </c>
      <c r="G60" s="13">
        <f t="shared" si="0"/>
        <v>989.5</v>
      </c>
      <c r="H60" s="14">
        <f t="shared" si="1"/>
        <v>997.94999999999993</v>
      </c>
      <c r="I60" s="9">
        <v>65</v>
      </c>
      <c r="L60" s="295">
        <v>102</v>
      </c>
      <c r="M60" s="296">
        <v>11.12</v>
      </c>
      <c r="N60" s="297">
        <v>1.2199074074074074E-3</v>
      </c>
      <c r="O60" s="296">
        <v>4.0599999999999996</v>
      </c>
      <c r="P60" s="296">
        <v>30.4</v>
      </c>
      <c r="R60" s="292">
        <v>102</v>
      </c>
      <c r="S60" s="293">
        <v>11.6</v>
      </c>
      <c r="T60" s="294">
        <v>1.2662037037037038E-3</v>
      </c>
      <c r="U60" s="293">
        <v>3.81</v>
      </c>
      <c r="V60" s="293">
        <v>28.4</v>
      </c>
    </row>
    <row r="61" spans="1:22" ht="16">
      <c r="A61" s="9">
        <v>66</v>
      </c>
      <c r="B61" s="12">
        <v>10.40000000000002</v>
      </c>
      <c r="C61" s="13">
        <v>2.040000000000012</v>
      </c>
      <c r="D61" s="13">
        <v>3.8799999999999892</v>
      </c>
      <c r="E61" s="13">
        <v>33</v>
      </c>
      <c r="F61" s="12">
        <v>66</v>
      </c>
      <c r="G61" s="13">
        <f t="shared" si="0"/>
        <v>989.6</v>
      </c>
      <c r="H61" s="14">
        <f t="shared" si="1"/>
        <v>997.96</v>
      </c>
      <c r="I61" s="9">
        <v>66</v>
      </c>
      <c r="L61" s="295">
        <v>101</v>
      </c>
      <c r="M61" s="296">
        <v>11.16</v>
      </c>
      <c r="N61" s="297">
        <v>1.2233796296296296E-3</v>
      </c>
      <c r="O61" s="296">
        <v>4.03</v>
      </c>
      <c r="P61" s="296">
        <v>30.2</v>
      </c>
      <c r="R61" s="292">
        <v>101</v>
      </c>
      <c r="S61" s="293">
        <v>11.65</v>
      </c>
      <c r="T61" s="294">
        <v>1.269675925925926E-3</v>
      </c>
      <c r="U61" s="293">
        <v>3.78</v>
      </c>
      <c r="V61" s="293">
        <v>28.2</v>
      </c>
    </row>
    <row r="62" spans="1:22" ht="16">
      <c r="A62" s="9">
        <v>67</v>
      </c>
      <c r="B62" s="12">
        <v>10.30000000000002</v>
      </c>
      <c r="C62" s="13">
        <v>2.0300000000000122</v>
      </c>
      <c r="D62" s="13">
        <v>3.909999999999989</v>
      </c>
      <c r="E62" s="13">
        <v>33.5</v>
      </c>
      <c r="F62" s="12">
        <v>65.5</v>
      </c>
      <c r="G62" s="13">
        <f t="shared" si="0"/>
        <v>989.69999999999993</v>
      </c>
      <c r="H62" s="14">
        <f t="shared" si="1"/>
        <v>997.97</v>
      </c>
      <c r="I62" s="9">
        <v>67</v>
      </c>
      <c r="L62" s="295">
        <v>100</v>
      </c>
      <c r="M62" s="296">
        <v>11.2</v>
      </c>
      <c r="N62" s="297">
        <v>1.2268518518518518E-3</v>
      </c>
      <c r="O62" s="296">
        <v>4</v>
      </c>
      <c r="P62" s="296">
        <v>30</v>
      </c>
      <c r="R62" s="292">
        <v>100</v>
      </c>
      <c r="S62" s="293">
        <v>11.7</v>
      </c>
      <c r="T62" s="294">
        <v>1.2731481481481483E-3</v>
      </c>
      <c r="U62" s="293">
        <v>3.75</v>
      </c>
      <c r="V62" s="293">
        <v>28</v>
      </c>
    </row>
    <row r="63" spans="1:22" ht="16">
      <c r="A63" s="9">
        <v>68</v>
      </c>
      <c r="B63" s="12">
        <v>10.200000000000021</v>
      </c>
      <c r="C63" s="13">
        <v>2.0200000000000125</v>
      </c>
      <c r="D63" s="13">
        <v>3.9399999999999888</v>
      </c>
      <c r="E63" s="13">
        <v>34</v>
      </c>
      <c r="F63" s="12">
        <v>65</v>
      </c>
      <c r="G63" s="13">
        <f t="shared" si="0"/>
        <v>989.8</v>
      </c>
      <c r="H63" s="14">
        <f t="shared" si="1"/>
        <v>997.98</v>
      </c>
      <c r="I63" s="9">
        <v>68</v>
      </c>
      <c r="L63" s="295">
        <v>99</v>
      </c>
      <c r="M63" s="296">
        <v>11.24</v>
      </c>
      <c r="N63" s="297">
        <v>1.230324074074074E-3</v>
      </c>
      <c r="O63" s="296">
        <v>3.98</v>
      </c>
      <c r="P63" s="296">
        <v>29.8</v>
      </c>
      <c r="R63" s="292">
        <v>99</v>
      </c>
      <c r="S63" s="293">
        <v>11.74</v>
      </c>
      <c r="T63" s="294">
        <v>1.2789351851851853E-3</v>
      </c>
      <c r="U63" s="293">
        <v>3.73</v>
      </c>
      <c r="V63" s="293">
        <v>27.8</v>
      </c>
    </row>
    <row r="64" spans="1:22" ht="16">
      <c r="A64" s="9">
        <v>69</v>
      </c>
      <c r="B64" s="12">
        <v>10.100000000000021</v>
      </c>
      <c r="C64" s="13">
        <v>2.0100000000000127</v>
      </c>
      <c r="D64" s="13">
        <v>3.9699999999999886</v>
      </c>
      <c r="E64" s="13">
        <v>34.5</v>
      </c>
      <c r="F64" s="12">
        <v>64.5</v>
      </c>
      <c r="G64" s="13">
        <f t="shared" si="0"/>
        <v>989.9</v>
      </c>
      <c r="H64" s="14">
        <f t="shared" si="1"/>
        <v>997.99</v>
      </c>
      <c r="I64" s="9">
        <v>69</v>
      </c>
      <c r="L64" s="295">
        <v>98</v>
      </c>
      <c r="M64" s="296">
        <v>11.28</v>
      </c>
      <c r="N64" s="297">
        <v>1.2337962962962962E-3</v>
      </c>
      <c r="O64" s="296">
        <v>3.96</v>
      </c>
      <c r="P64" s="296">
        <v>29.6</v>
      </c>
      <c r="R64" s="292">
        <v>98</v>
      </c>
      <c r="S64" s="293">
        <v>11.78</v>
      </c>
      <c r="T64" s="294">
        <v>1.2847222222222223E-3</v>
      </c>
      <c r="U64" s="293">
        <v>3.71</v>
      </c>
      <c r="V64" s="293">
        <v>27.6</v>
      </c>
    </row>
    <row r="65" spans="1:22" ht="16">
      <c r="A65" s="9">
        <v>70</v>
      </c>
      <c r="B65" s="12">
        <v>10.000000000000021</v>
      </c>
      <c r="C65" s="13">
        <v>2.0000000000000129</v>
      </c>
      <c r="D65" s="13">
        <v>3.9999999999999885</v>
      </c>
      <c r="E65" s="13">
        <v>35</v>
      </c>
      <c r="F65" s="12">
        <v>64</v>
      </c>
      <c r="G65" s="13">
        <f t="shared" si="0"/>
        <v>990</v>
      </c>
      <c r="H65" s="14">
        <f t="shared" si="1"/>
        <v>998</v>
      </c>
      <c r="I65" s="9">
        <v>70</v>
      </c>
      <c r="L65" s="295">
        <v>97</v>
      </c>
      <c r="M65" s="296">
        <v>11.32</v>
      </c>
      <c r="N65" s="297">
        <v>1.2372685185185186E-3</v>
      </c>
      <c r="O65" s="296">
        <v>3.94</v>
      </c>
      <c r="P65" s="296">
        <v>29.4</v>
      </c>
      <c r="R65" s="292">
        <v>97</v>
      </c>
      <c r="S65" s="293">
        <v>11.82</v>
      </c>
      <c r="T65" s="294">
        <v>1.2905092592592593E-3</v>
      </c>
      <c r="U65" s="293">
        <v>3.69</v>
      </c>
      <c r="V65" s="293">
        <v>27.4</v>
      </c>
    </row>
    <row r="66" spans="1:22" ht="16">
      <c r="A66" s="9">
        <v>71</v>
      </c>
      <c r="B66" s="12">
        <v>9.9000000000000217</v>
      </c>
      <c r="C66" s="13">
        <v>1.5900000000000127</v>
      </c>
      <c r="D66" s="13">
        <v>4.0299999999999887</v>
      </c>
      <c r="E66" s="13">
        <v>35.5</v>
      </c>
      <c r="F66" s="12">
        <v>63.5</v>
      </c>
      <c r="G66" s="13">
        <f t="shared" si="0"/>
        <v>990.1</v>
      </c>
      <c r="H66" s="14">
        <f t="shared" si="1"/>
        <v>998.41</v>
      </c>
      <c r="I66" s="9">
        <v>71</v>
      </c>
      <c r="L66" s="295">
        <v>96</v>
      </c>
      <c r="M66" s="296">
        <v>11.36</v>
      </c>
      <c r="N66" s="297">
        <v>1.2407407407407408E-3</v>
      </c>
      <c r="O66" s="296">
        <v>3.92</v>
      </c>
      <c r="P66" s="296">
        <v>29.2</v>
      </c>
      <c r="R66" s="292">
        <v>96</v>
      </c>
      <c r="S66" s="293">
        <v>11.86</v>
      </c>
      <c r="T66" s="294">
        <v>1.2962962962962963E-3</v>
      </c>
      <c r="U66" s="293">
        <v>3.67</v>
      </c>
      <c r="V66" s="293">
        <v>27.2</v>
      </c>
    </row>
    <row r="67" spans="1:22" ht="16">
      <c r="A67" s="9">
        <v>72</v>
      </c>
      <c r="B67" s="12">
        <v>9.800000000000022</v>
      </c>
      <c r="C67" s="13">
        <v>1.5800000000000127</v>
      </c>
      <c r="D67" s="13">
        <v>4.059999999999989</v>
      </c>
      <c r="E67" s="13">
        <v>36</v>
      </c>
      <c r="F67" s="12">
        <v>63</v>
      </c>
      <c r="G67" s="13">
        <f t="shared" si="0"/>
        <v>990.19999999999993</v>
      </c>
      <c r="H67" s="14">
        <f t="shared" si="1"/>
        <v>998.42</v>
      </c>
      <c r="I67" s="9">
        <v>72</v>
      </c>
      <c r="L67" s="295">
        <v>95</v>
      </c>
      <c r="M67" s="296">
        <v>11.4</v>
      </c>
      <c r="N67" s="297">
        <v>1.244212962962963E-3</v>
      </c>
      <c r="O67" s="296">
        <v>3.9</v>
      </c>
      <c r="P67" s="296">
        <v>29</v>
      </c>
      <c r="R67" s="292">
        <v>95</v>
      </c>
      <c r="S67" s="293">
        <v>11.9</v>
      </c>
      <c r="T67" s="294">
        <v>1.3020833333333333E-3</v>
      </c>
      <c r="U67" s="293">
        <v>3.65</v>
      </c>
      <c r="V67" s="293">
        <v>27</v>
      </c>
    </row>
    <row r="68" spans="1:22" ht="16">
      <c r="A68" s="9">
        <v>73</v>
      </c>
      <c r="B68" s="12">
        <v>9.7000000000000224</v>
      </c>
      <c r="C68" s="13">
        <v>1.5700000000000127</v>
      </c>
      <c r="D68" s="13">
        <v>4.0899999999999892</v>
      </c>
      <c r="E68" s="13">
        <v>36.5</v>
      </c>
      <c r="F68" s="12">
        <v>62.5</v>
      </c>
      <c r="G68" s="13">
        <f t="shared" si="0"/>
        <v>990.3</v>
      </c>
      <c r="H68" s="14">
        <f t="shared" si="1"/>
        <v>998.43</v>
      </c>
      <c r="I68" s="9">
        <v>73</v>
      </c>
      <c r="L68" s="295">
        <v>94</v>
      </c>
      <c r="M68" s="296">
        <v>11.44</v>
      </c>
      <c r="N68" s="297">
        <v>1.2476851851851852E-3</v>
      </c>
      <c r="O68" s="296">
        <v>3.87</v>
      </c>
      <c r="P68" s="296">
        <v>28.8</v>
      </c>
      <c r="R68" s="292">
        <v>94</v>
      </c>
      <c r="S68" s="293">
        <v>11.94</v>
      </c>
      <c r="T68" s="294">
        <v>1.3078703703703703E-3</v>
      </c>
      <c r="U68" s="293">
        <v>3.62</v>
      </c>
      <c r="V68" s="293">
        <v>26.8</v>
      </c>
    </row>
    <row r="69" spans="1:22" ht="16">
      <c r="A69" s="9">
        <v>74</v>
      </c>
      <c r="B69" s="12">
        <v>9.6000000000000227</v>
      </c>
      <c r="C69" s="13">
        <v>1.5600000000000127</v>
      </c>
      <c r="D69" s="13">
        <v>4.1199999999999894</v>
      </c>
      <c r="E69" s="13">
        <v>37</v>
      </c>
      <c r="F69" s="12">
        <v>62</v>
      </c>
      <c r="G69" s="13">
        <f t="shared" si="0"/>
        <v>990.4</v>
      </c>
      <c r="H69" s="14">
        <f t="shared" si="1"/>
        <v>998.43999999999994</v>
      </c>
      <c r="I69" s="9">
        <v>74</v>
      </c>
      <c r="L69" s="295">
        <v>93</v>
      </c>
      <c r="M69" s="296">
        <v>11.48</v>
      </c>
      <c r="N69" s="297">
        <v>1.2511574074074074E-3</v>
      </c>
      <c r="O69" s="296">
        <v>3.84</v>
      </c>
      <c r="P69" s="296">
        <v>28.6</v>
      </c>
      <c r="R69" s="292">
        <v>93</v>
      </c>
      <c r="S69" s="293">
        <v>11.98</v>
      </c>
      <c r="T69" s="294">
        <v>1.3136574074074075E-3</v>
      </c>
      <c r="U69" s="293">
        <v>3.59</v>
      </c>
      <c r="V69" s="293">
        <v>26.6</v>
      </c>
    </row>
    <row r="70" spans="1:22" ht="16">
      <c r="A70" s="9">
        <v>75</v>
      </c>
      <c r="B70" s="12">
        <v>9.5000000000000231</v>
      </c>
      <c r="C70" s="13">
        <v>1.5500000000000127</v>
      </c>
      <c r="D70" s="13">
        <v>4.1499999999999897</v>
      </c>
      <c r="E70" s="13">
        <v>37.5</v>
      </c>
      <c r="F70" s="12">
        <v>61.5</v>
      </c>
      <c r="G70" s="13">
        <f t="shared" ref="G70:G95" si="2">1000-B70</f>
        <v>990.5</v>
      </c>
      <c r="H70" s="14">
        <f t="shared" ref="H70:H95" si="3">1000-C70</f>
        <v>998.44999999999993</v>
      </c>
      <c r="I70" s="9">
        <v>75</v>
      </c>
      <c r="L70" s="295">
        <v>92</v>
      </c>
      <c r="M70" s="296">
        <v>11.52</v>
      </c>
      <c r="N70" s="297">
        <v>1.2546296296296296E-3</v>
      </c>
      <c r="O70" s="296">
        <v>3.81</v>
      </c>
      <c r="P70" s="296">
        <v>28.4</v>
      </c>
      <c r="R70" s="292">
        <v>92</v>
      </c>
      <c r="S70" s="293">
        <v>12.02</v>
      </c>
      <c r="T70" s="294">
        <v>1.3194444444444445E-3</v>
      </c>
      <c r="U70" s="293">
        <v>3.56</v>
      </c>
      <c r="V70" s="293">
        <v>26.4</v>
      </c>
    </row>
    <row r="71" spans="1:22" ht="16">
      <c r="A71" s="9">
        <v>76</v>
      </c>
      <c r="B71" s="12">
        <v>9.4000000000000234</v>
      </c>
      <c r="C71" s="13">
        <v>1.5400000000000127</v>
      </c>
      <c r="D71" s="13">
        <v>4.1799999999999899</v>
      </c>
      <c r="E71" s="13">
        <v>38</v>
      </c>
      <c r="F71" s="12">
        <v>61</v>
      </c>
      <c r="G71" s="13">
        <f t="shared" si="2"/>
        <v>990.6</v>
      </c>
      <c r="H71" s="14">
        <f t="shared" si="3"/>
        <v>998.46</v>
      </c>
      <c r="I71" s="9">
        <v>76</v>
      </c>
      <c r="L71" s="295">
        <v>91</v>
      </c>
      <c r="M71" s="296">
        <v>11.56</v>
      </c>
      <c r="N71" s="297">
        <v>1.2581018518518518E-3</v>
      </c>
      <c r="O71" s="296">
        <v>3.78</v>
      </c>
      <c r="P71" s="296">
        <v>28.2</v>
      </c>
      <c r="R71" s="292">
        <v>91</v>
      </c>
      <c r="S71" s="293">
        <v>12.06</v>
      </c>
      <c r="T71" s="294">
        <v>1.3252314814814815E-3</v>
      </c>
      <c r="U71" s="293">
        <v>3.53</v>
      </c>
      <c r="V71" s="293">
        <v>26.2</v>
      </c>
    </row>
    <row r="72" spans="1:22" ht="16">
      <c r="A72" s="9">
        <v>77</v>
      </c>
      <c r="B72" s="12">
        <v>9.3000000000000238</v>
      </c>
      <c r="C72" s="13">
        <v>1.5300000000000127</v>
      </c>
      <c r="D72" s="13">
        <v>4.2099999999999902</v>
      </c>
      <c r="E72" s="13">
        <v>38.5</v>
      </c>
      <c r="F72" s="12">
        <v>60.5</v>
      </c>
      <c r="G72" s="13">
        <f t="shared" si="2"/>
        <v>990.69999999999993</v>
      </c>
      <c r="H72" s="14">
        <f t="shared" si="3"/>
        <v>998.47</v>
      </c>
      <c r="I72" s="9">
        <v>77</v>
      </c>
      <c r="L72" s="295">
        <v>90</v>
      </c>
      <c r="M72" s="296">
        <v>11.6</v>
      </c>
      <c r="N72" s="297">
        <v>1.261574074074074E-3</v>
      </c>
      <c r="O72" s="296">
        <v>3.75</v>
      </c>
      <c r="P72" s="296">
        <v>28</v>
      </c>
      <c r="R72" s="292">
        <v>90</v>
      </c>
      <c r="S72" s="293">
        <v>12.1</v>
      </c>
      <c r="T72" s="294">
        <v>1.3310185185185185E-3</v>
      </c>
      <c r="U72" s="293">
        <v>3.5</v>
      </c>
      <c r="V72" s="293">
        <v>26</v>
      </c>
    </row>
    <row r="73" spans="1:22" ht="16">
      <c r="A73" s="9">
        <v>78</v>
      </c>
      <c r="B73" s="12">
        <v>9.2000000000000242</v>
      </c>
      <c r="C73" s="13">
        <v>1.5200000000000127</v>
      </c>
      <c r="D73" s="13">
        <v>4.2399999999999904</v>
      </c>
      <c r="E73" s="13">
        <v>39</v>
      </c>
      <c r="F73" s="12">
        <v>60</v>
      </c>
      <c r="G73" s="13">
        <f t="shared" si="2"/>
        <v>990.8</v>
      </c>
      <c r="H73" s="14">
        <f t="shared" si="3"/>
        <v>998.48</v>
      </c>
      <c r="I73" s="9">
        <v>78</v>
      </c>
      <c r="L73" s="295">
        <v>89</v>
      </c>
      <c r="M73" s="296">
        <v>11.64</v>
      </c>
      <c r="N73" s="297">
        <v>1.2650462962962962E-3</v>
      </c>
      <c r="O73" s="296">
        <v>3.73</v>
      </c>
      <c r="P73" s="296">
        <v>27.8</v>
      </c>
      <c r="R73" s="292">
        <v>89</v>
      </c>
      <c r="S73" s="293">
        <v>12.14</v>
      </c>
      <c r="T73" s="294">
        <v>1.3368055555555555E-3</v>
      </c>
      <c r="U73" s="293">
        <v>3.48</v>
      </c>
      <c r="V73" s="293">
        <v>25.8</v>
      </c>
    </row>
    <row r="74" spans="1:22" ht="16">
      <c r="A74" s="9">
        <v>79</v>
      </c>
      <c r="B74" s="12">
        <v>9.1000000000000245</v>
      </c>
      <c r="C74" s="13">
        <v>1.5100000000000127</v>
      </c>
      <c r="D74" s="13">
        <v>4.2699999999999907</v>
      </c>
      <c r="E74" s="13">
        <v>39.5</v>
      </c>
      <c r="F74" s="12">
        <v>59.5</v>
      </c>
      <c r="G74" s="13">
        <f t="shared" si="2"/>
        <v>990.9</v>
      </c>
      <c r="H74" s="14">
        <f t="shared" si="3"/>
        <v>998.49</v>
      </c>
      <c r="I74" s="9">
        <v>79</v>
      </c>
      <c r="L74" s="295">
        <v>88</v>
      </c>
      <c r="M74" s="296">
        <v>11.68</v>
      </c>
      <c r="N74" s="297">
        <v>1.2685185185185184E-3</v>
      </c>
      <c r="O74" s="296">
        <v>3.71</v>
      </c>
      <c r="P74" s="296">
        <v>27.6</v>
      </c>
      <c r="R74" s="292">
        <v>88</v>
      </c>
      <c r="S74" s="293">
        <v>12.18</v>
      </c>
      <c r="T74" s="294">
        <v>1.3425925925925925E-3</v>
      </c>
      <c r="U74" s="293">
        <v>3.46</v>
      </c>
      <c r="V74" s="293">
        <v>25.6</v>
      </c>
    </row>
    <row r="75" spans="1:22" ht="16">
      <c r="A75" s="9">
        <v>80</v>
      </c>
      <c r="B75" s="12">
        <v>9.0000000000000249</v>
      </c>
      <c r="C75" s="13">
        <v>1.5000000000000127</v>
      </c>
      <c r="D75" s="13">
        <v>4.2999999999999909</v>
      </c>
      <c r="E75" s="13">
        <v>40</v>
      </c>
      <c r="F75" s="12">
        <v>59</v>
      </c>
      <c r="G75" s="13">
        <f t="shared" si="2"/>
        <v>991</v>
      </c>
      <c r="H75" s="14">
        <f t="shared" si="3"/>
        <v>998.5</v>
      </c>
      <c r="I75" s="9">
        <v>80</v>
      </c>
      <c r="L75" s="295">
        <v>87</v>
      </c>
      <c r="M75" s="296">
        <v>11.72</v>
      </c>
      <c r="N75" s="297">
        <v>1.2719907407407409E-3</v>
      </c>
      <c r="O75" s="296">
        <v>3.69</v>
      </c>
      <c r="P75" s="296">
        <v>27.4</v>
      </c>
      <c r="R75" s="292">
        <v>87</v>
      </c>
      <c r="S75" s="293">
        <v>12.22</v>
      </c>
      <c r="T75" s="294">
        <v>1.3483796296296297E-3</v>
      </c>
      <c r="U75" s="293">
        <v>3.44</v>
      </c>
      <c r="V75" s="293">
        <v>25.4</v>
      </c>
    </row>
    <row r="76" spans="1:22" ht="16">
      <c r="A76" s="9">
        <v>81</v>
      </c>
      <c r="B76" s="12">
        <v>8.9000000000000252</v>
      </c>
      <c r="C76" s="13">
        <v>1.4900000000000126</v>
      </c>
      <c r="D76" s="13">
        <v>4.3299999999999912</v>
      </c>
      <c r="E76" s="13">
        <v>40.5</v>
      </c>
      <c r="F76" s="12">
        <v>58.5</v>
      </c>
      <c r="G76" s="13">
        <f t="shared" si="2"/>
        <v>991.1</v>
      </c>
      <c r="H76" s="14">
        <f t="shared" si="3"/>
        <v>998.51</v>
      </c>
      <c r="I76" s="9">
        <v>81</v>
      </c>
      <c r="L76" s="295">
        <v>86</v>
      </c>
      <c r="M76" s="296">
        <v>11.76</v>
      </c>
      <c r="N76" s="297">
        <v>1.2754629629629631E-3</v>
      </c>
      <c r="O76" s="296">
        <v>3.67</v>
      </c>
      <c r="P76" s="296">
        <v>27.2</v>
      </c>
      <c r="R76" s="292">
        <v>86</v>
      </c>
      <c r="S76" s="293">
        <v>12.26</v>
      </c>
      <c r="T76" s="294">
        <v>1.3541666666666667E-3</v>
      </c>
      <c r="U76" s="293">
        <v>3.42</v>
      </c>
      <c r="V76" s="293">
        <v>25.2</v>
      </c>
    </row>
    <row r="77" spans="1:22" ht="16">
      <c r="A77" s="9">
        <v>82</v>
      </c>
      <c r="B77" s="12">
        <v>8.8000000000000256</v>
      </c>
      <c r="C77" s="13">
        <v>1.4800000000000126</v>
      </c>
      <c r="D77" s="13">
        <v>4.3599999999999914</v>
      </c>
      <c r="E77" s="13">
        <v>41</v>
      </c>
      <c r="F77" s="12">
        <v>58</v>
      </c>
      <c r="G77" s="13">
        <f t="shared" si="2"/>
        <v>991.19999999999993</v>
      </c>
      <c r="H77" s="14">
        <f t="shared" si="3"/>
        <v>998.52</v>
      </c>
      <c r="I77" s="9">
        <v>82</v>
      </c>
      <c r="L77" s="295">
        <v>85</v>
      </c>
      <c r="M77" s="296">
        <v>11.8</v>
      </c>
      <c r="N77" s="297">
        <v>1.2789351851851853E-3</v>
      </c>
      <c r="O77" s="296">
        <v>3.65</v>
      </c>
      <c r="P77" s="296">
        <v>27</v>
      </c>
      <c r="R77" s="292">
        <v>85</v>
      </c>
      <c r="S77" s="293">
        <v>12.3</v>
      </c>
      <c r="T77" s="294">
        <v>1.3599537037037037E-3</v>
      </c>
      <c r="U77" s="293">
        <v>3.4</v>
      </c>
      <c r="V77" s="293">
        <v>25</v>
      </c>
    </row>
    <row r="78" spans="1:22" ht="16">
      <c r="A78" s="9">
        <v>83</v>
      </c>
      <c r="B78" s="12">
        <v>8.7000000000000259</v>
      </c>
      <c r="C78" s="13">
        <v>1.4700000000000126</v>
      </c>
      <c r="D78" s="13">
        <v>4.3899999999999917</v>
      </c>
      <c r="E78" s="13">
        <v>41.5</v>
      </c>
      <c r="F78" s="12">
        <v>57.5</v>
      </c>
      <c r="G78" s="13">
        <f t="shared" si="2"/>
        <v>991.3</v>
      </c>
      <c r="H78" s="14">
        <f t="shared" si="3"/>
        <v>998.53</v>
      </c>
      <c r="I78" s="9">
        <v>83</v>
      </c>
      <c r="L78" s="295">
        <v>84</v>
      </c>
      <c r="M78" s="296">
        <v>11.84</v>
      </c>
      <c r="N78" s="297">
        <v>1.2824074074074075E-3</v>
      </c>
      <c r="O78" s="296">
        <v>3.62</v>
      </c>
      <c r="P78" s="296">
        <v>26.8</v>
      </c>
      <c r="R78" s="292">
        <v>84</v>
      </c>
      <c r="S78" s="293">
        <v>12.34</v>
      </c>
      <c r="T78" s="294">
        <v>1.3657407407407407E-3</v>
      </c>
      <c r="U78" s="293">
        <v>3.37</v>
      </c>
      <c r="V78" s="293">
        <v>24.8</v>
      </c>
    </row>
    <row r="79" spans="1:22" ht="16">
      <c r="A79" s="9">
        <v>84</v>
      </c>
      <c r="B79" s="12">
        <v>8.6000000000000263</v>
      </c>
      <c r="C79" s="13">
        <v>1.4600000000000126</v>
      </c>
      <c r="D79" s="13">
        <v>4.4199999999999919</v>
      </c>
      <c r="E79" s="13">
        <v>42</v>
      </c>
      <c r="F79" s="12">
        <v>57</v>
      </c>
      <c r="G79" s="13">
        <f t="shared" si="2"/>
        <v>991.4</v>
      </c>
      <c r="H79" s="14">
        <f t="shared" si="3"/>
        <v>998.54</v>
      </c>
      <c r="I79" s="9">
        <v>84</v>
      </c>
      <c r="L79" s="295">
        <v>83</v>
      </c>
      <c r="M79" s="296">
        <v>11.88</v>
      </c>
      <c r="N79" s="297">
        <v>1.2858796296296297E-3</v>
      </c>
      <c r="O79" s="296">
        <v>3.59</v>
      </c>
      <c r="P79" s="296">
        <v>26.6</v>
      </c>
      <c r="R79" s="292">
        <v>83</v>
      </c>
      <c r="S79" s="293">
        <v>12.38</v>
      </c>
      <c r="T79" s="294">
        <v>1.3715277777777777E-3</v>
      </c>
      <c r="U79" s="293">
        <v>3.34</v>
      </c>
      <c r="V79" s="293">
        <v>24.6</v>
      </c>
    </row>
    <row r="80" spans="1:22" ht="16">
      <c r="A80" s="9">
        <v>85</v>
      </c>
      <c r="B80" s="12">
        <v>8.5000000000000266</v>
      </c>
      <c r="C80" s="13">
        <v>1.4500000000000126</v>
      </c>
      <c r="D80" s="13">
        <v>4.4499999999999922</v>
      </c>
      <c r="E80" s="13">
        <v>42.5</v>
      </c>
      <c r="F80" s="12">
        <v>56.5</v>
      </c>
      <c r="G80" s="13">
        <f t="shared" si="2"/>
        <v>991.5</v>
      </c>
      <c r="H80" s="14">
        <f t="shared" si="3"/>
        <v>998.55</v>
      </c>
      <c r="I80" s="9">
        <v>85</v>
      </c>
      <c r="L80" s="295">
        <v>82</v>
      </c>
      <c r="M80" s="296">
        <v>11.92</v>
      </c>
      <c r="N80" s="297">
        <v>1.2893518518518519E-3</v>
      </c>
      <c r="O80" s="296">
        <v>3.56</v>
      </c>
      <c r="P80" s="296">
        <v>26.4</v>
      </c>
      <c r="R80" s="292">
        <v>82</v>
      </c>
      <c r="S80" s="293">
        <v>12.42</v>
      </c>
      <c r="T80" s="294">
        <v>1.3773148148148147E-3</v>
      </c>
      <c r="U80" s="293">
        <v>3.31</v>
      </c>
      <c r="V80" s="293">
        <v>24.4</v>
      </c>
    </row>
    <row r="81" spans="1:22" ht="16">
      <c r="A81" s="9">
        <v>86</v>
      </c>
      <c r="B81" s="12">
        <v>8.400000000000027</v>
      </c>
      <c r="C81" s="13">
        <v>1.4400000000000126</v>
      </c>
      <c r="D81" s="13">
        <v>4.4799999999999924</v>
      </c>
      <c r="E81" s="13">
        <v>43</v>
      </c>
      <c r="F81" s="12">
        <v>56</v>
      </c>
      <c r="G81" s="13">
        <f t="shared" si="2"/>
        <v>991.6</v>
      </c>
      <c r="H81" s="14">
        <f t="shared" si="3"/>
        <v>998.56</v>
      </c>
      <c r="I81" s="9">
        <v>86</v>
      </c>
      <c r="L81" s="295">
        <v>81</v>
      </c>
      <c r="M81" s="296">
        <v>11.96</v>
      </c>
      <c r="N81" s="297">
        <v>1.2928240740740741E-3</v>
      </c>
      <c r="O81" s="296">
        <v>3.53</v>
      </c>
      <c r="P81" s="296">
        <v>26.2</v>
      </c>
      <c r="R81" s="292">
        <v>81</v>
      </c>
      <c r="S81" s="293">
        <v>12.46</v>
      </c>
      <c r="T81" s="294">
        <v>1.3831018518518519E-3</v>
      </c>
      <c r="U81" s="293">
        <v>3.28</v>
      </c>
      <c r="V81" s="293">
        <v>24.2</v>
      </c>
    </row>
    <row r="82" spans="1:22" ht="16">
      <c r="A82" s="9">
        <v>87</v>
      </c>
      <c r="B82" s="12">
        <v>8.3000000000000274</v>
      </c>
      <c r="C82" s="13">
        <v>1.4300000000000126</v>
      </c>
      <c r="D82" s="13">
        <v>4.5099999999999927</v>
      </c>
      <c r="E82" s="13">
        <v>43.5</v>
      </c>
      <c r="F82" s="12">
        <v>55.5</v>
      </c>
      <c r="G82" s="13">
        <f t="shared" si="2"/>
        <v>991.69999999999993</v>
      </c>
      <c r="H82" s="14">
        <f t="shared" si="3"/>
        <v>998.56999999999994</v>
      </c>
      <c r="I82" s="9">
        <v>87</v>
      </c>
      <c r="L82" s="295">
        <v>80</v>
      </c>
      <c r="M82" s="296">
        <v>12</v>
      </c>
      <c r="N82" s="297">
        <v>1.2962962962962963E-3</v>
      </c>
      <c r="O82" s="296">
        <v>3.5</v>
      </c>
      <c r="P82" s="296">
        <v>26</v>
      </c>
      <c r="R82" s="292">
        <v>80</v>
      </c>
      <c r="S82" s="293">
        <v>12.5</v>
      </c>
      <c r="T82" s="294">
        <v>1.3888888888888889E-3</v>
      </c>
      <c r="U82" s="293">
        <v>3.25</v>
      </c>
      <c r="V82" s="293">
        <v>24</v>
      </c>
    </row>
    <row r="83" spans="1:22" ht="16">
      <c r="A83" s="9">
        <v>88</v>
      </c>
      <c r="B83" s="12">
        <v>8.2000000000000277</v>
      </c>
      <c r="C83" s="13">
        <v>1.4200000000000126</v>
      </c>
      <c r="D83" s="13">
        <v>4.5399999999999929</v>
      </c>
      <c r="E83" s="13">
        <v>44</v>
      </c>
      <c r="F83" s="12">
        <v>55</v>
      </c>
      <c r="G83" s="13">
        <f t="shared" si="2"/>
        <v>991.8</v>
      </c>
      <c r="H83" s="14">
        <f t="shared" si="3"/>
        <v>998.58</v>
      </c>
      <c r="I83" s="9">
        <v>88</v>
      </c>
      <c r="L83" s="295">
        <v>79</v>
      </c>
      <c r="M83" s="296">
        <v>12.05</v>
      </c>
      <c r="N83" s="297">
        <v>1.2997685185185185E-3</v>
      </c>
      <c r="O83" s="296">
        <v>3.48</v>
      </c>
      <c r="P83" s="296">
        <v>25.8</v>
      </c>
      <c r="R83" s="292">
        <v>79</v>
      </c>
      <c r="S83" s="293">
        <v>12.55</v>
      </c>
      <c r="T83" s="294">
        <v>1.3946759259259259E-3</v>
      </c>
      <c r="U83" s="293">
        <v>3.23</v>
      </c>
      <c r="V83" s="293">
        <v>23.8</v>
      </c>
    </row>
    <row r="84" spans="1:22" ht="16">
      <c r="A84" s="9">
        <v>89</v>
      </c>
      <c r="B84" s="12">
        <v>8.1000000000000281</v>
      </c>
      <c r="C84" s="13">
        <v>1.4100000000000126</v>
      </c>
      <c r="D84" s="13">
        <v>4.5699999999999932</v>
      </c>
      <c r="E84" s="13">
        <v>44.5</v>
      </c>
      <c r="F84" s="12">
        <v>54.5</v>
      </c>
      <c r="G84" s="13">
        <f t="shared" si="2"/>
        <v>991.9</v>
      </c>
      <c r="H84" s="14">
        <f t="shared" si="3"/>
        <v>998.59</v>
      </c>
      <c r="I84" s="9">
        <v>89</v>
      </c>
      <c r="L84" s="295">
        <v>78</v>
      </c>
      <c r="M84" s="296">
        <v>12.1</v>
      </c>
      <c r="N84" s="297">
        <v>1.3032407407407407E-3</v>
      </c>
      <c r="O84" s="296">
        <v>3.46</v>
      </c>
      <c r="P84" s="296">
        <v>25.6</v>
      </c>
      <c r="R84" s="292">
        <v>78</v>
      </c>
      <c r="S84" s="293">
        <v>12.6</v>
      </c>
      <c r="T84" s="294">
        <v>1.4004629629629629E-3</v>
      </c>
      <c r="U84" s="293">
        <v>3.21</v>
      </c>
      <c r="V84" s="293">
        <v>23.6</v>
      </c>
    </row>
    <row r="85" spans="1:22" ht="15">
      <c r="A85" s="9">
        <v>90</v>
      </c>
      <c r="B85" s="12">
        <v>8.0000000000000284</v>
      </c>
      <c r="C85" s="13">
        <v>1.4000000000000126</v>
      </c>
      <c r="D85" s="13">
        <v>4.5999999999999934</v>
      </c>
      <c r="E85" s="13">
        <v>45</v>
      </c>
      <c r="F85" s="12">
        <v>54</v>
      </c>
      <c r="G85" s="13">
        <f t="shared" si="2"/>
        <v>992</v>
      </c>
      <c r="H85" s="14">
        <f t="shared" si="3"/>
        <v>998.6</v>
      </c>
      <c r="I85" s="9">
        <v>90</v>
      </c>
      <c r="L85" s="292">
        <v>77</v>
      </c>
      <c r="M85" s="293">
        <v>12.15</v>
      </c>
      <c r="N85" s="294">
        <v>1.3067129629629631E-3</v>
      </c>
      <c r="O85" s="293">
        <v>3.44</v>
      </c>
      <c r="P85" s="293">
        <v>25.4</v>
      </c>
      <c r="R85" s="292">
        <v>77</v>
      </c>
      <c r="S85" s="293">
        <v>12.65</v>
      </c>
      <c r="T85" s="294">
        <v>1.4062499999999999E-3</v>
      </c>
      <c r="U85" s="293">
        <v>3.19</v>
      </c>
      <c r="V85" s="293">
        <v>23.4</v>
      </c>
    </row>
    <row r="86" spans="1:22" ht="15">
      <c r="A86" s="9">
        <v>91</v>
      </c>
      <c r="B86" s="12">
        <v>7.9000000000000288</v>
      </c>
      <c r="C86" s="13">
        <v>1.3900000000000126</v>
      </c>
      <c r="D86" s="13">
        <v>4.6299999999999937</v>
      </c>
      <c r="E86" s="13">
        <v>45.5</v>
      </c>
      <c r="F86" s="12">
        <v>53.5</v>
      </c>
      <c r="G86" s="13">
        <f t="shared" si="2"/>
        <v>992.1</v>
      </c>
      <c r="H86" s="14">
        <f t="shared" si="3"/>
        <v>998.61</v>
      </c>
      <c r="I86" s="9">
        <v>91</v>
      </c>
      <c r="L86" s="292">
        <v>76</v>
      </c>
      <c r="M86" s="293">
        <v>12.2</v>
      </c>
      <c r="N86" s="294">
        <v>1.3101851851851853E-3</v>
      </c>
      <c r="O86" s="293">
        <v>3.42</v>
      </c>
      <c r="P86" s="293">
        <v>25.2</v>
      </c>
      <c r="R86" s="292">
        <v>76</v>
      </c>
      <c r="S86" s="293">
        <v>12.7</v>
      </c>
      <c r="T86" s="294">
        <v>1.4120370370370369E-3</v>
      </c>
      <c r="U86" s="293">
        <v>3.17</v>
      </c>
      <c r="V86" s="293">
        <v>23.2</v>
      </c>
    </row>
    <row r="87" spans="1:22" ht="15">
      <c r="A87" s="9">
        <v>92</v>
      </c>
      <c r="B87" s="12">
        <v>7.8000000000000291</v>
      </c>
      <c r="C87" s="13">
        <v>1.3800000000000125</v>
      </c>
      <c r="D87" s="13">
        <v>4.6599999999999939</v>
      </c>
      <c r="E87" s="13">
        <v>46</v>
      </c>
      <c r="F87" s="12">
        <v>53</v>
      </c>
      <c r="G87" s="13">
        <f t="shared" si="2"/>
        <v>992.19999999999993</v>
      </c>
      <c r="H87" s="14">
        <f t="shared" si="3"/>
        <v>998.62</v>
      </c>
      <c r="I87" s="9">
        <v>92</v>
      </c>
      <c r="L87" s="292">
        <v>75</v>
      </c>
      <c r="M87" s="293">
        <v>12.25</v>
      </c>
      <c r="N87" s="294">
        <v>1.3136574074074075E-3</v>
      </c>
      <c r="O87" s="293">
        <v>3.4</v>
      </c>
      <c r="P87" s="293">
        <v>25</v>
      </c>
      <c r="R87" s="292">
        <v>75</v>
      </c>
      <c r="S87" s="293">
        <v>12.75</v>
      </c>
      <c r="T87" s="294">
        <v>1.4178240740740742E-3</v>
      </c>
      <c r="U87" s="293">
        <v>3.15</v>
      </c>
      <c r="V87" s="293">
        <v>23</v>
      </c>
    </row>
    <row r="88" spans="1:22" ht="15">
      <c r="A88" s="9">
        <v>93</v>
      </c>
      <c r="B88" s="12">
        <v>7.7000000000000295</v>
      </c>
      <c r="C88" s="13">
        <v>1.3700000000000125</v>
      </c>
      <c r="D88" s="13">
        <v>4.6899999999999942</v>
      </c>
      <c r="E88" s="13">
        <v>46.5</v>
      </c>
      <c r="F88" s="12">
        <v>52.5</v>
      </c>
      <c r="G88" s="13">
        <f t="shared" si="2"/>
        <v>992.3</v>
      </c>
      <c r="H88" s="14">
        <f t="shared" si="3"/>
        <v>998.63</v>
      </c>
      <c r="I88" s="9">
        <v>93</v>
      </c>
      <c r="L88" s="292">
        <v>74</v>
      </c>
      <c r="M88" s="293">
        <v>12.3</v>
      </c>
      <c r="N88" s="294">
        <v>1.3171296296296297E-3</v>
      </c>
      <c r="O88" s="293">
        <v>3.37</v>
      </c>
      <c r="P88" s="293">
        <v>24.8</v>
      </c>
      <c r="R88" s="292">
        <v>74</v>
      </c>
      <c r="S88" s="293">
        <v>12.8</v>
      </c>
      <c r="T88" s="294">
        <v>1.4236111111111112E-3</v>
      </c>
      <c r="U88" s="293">
        <v>3.12</v>
      </c>
      <c r="V88" s="293">
        <v>22.8</v>
      </c>
    </row>
    <row r="89" spans="1:22" ht="15">
      <c r="A89" s="9">
        <v>94</v>
      </c>
      <c r="B89" s="12">
        <v>7.6000000000000298</v>
      </c>
      <c r="C89" s="13">
        <v>1.3600000000000125</v>
      </c>
      <c r="D89" s="13">
        <v>4.7199999999999944</v>
      </c>
      <c r="E89" s="13">
        <v>47</v>
      </c>
      <c r="F89" s="12">
        <v>52</v>
      </c>
      <c r="G89" s="13">
        <f t="shared" si="2"/>
        <v>992.4</v>
      </c>
      <c r="H89" s="14">
        <f t="shared" si="3"/>
        <v>998.64</v>
      </c>
      <c r="I89" s="9">
        <v>94</v>
      </c>
      <c r="L89" s="292">
        <v>73</v>
      </c>
      <c r="M89" s="293">
        <v>12.35</v>
      </c>
      <c r="N89" s="294">
        <v>1.3206018518518519E-3</v>
      </c>
      <c r="O89" s="293">
        <v>3.34</v>
      </c>
      <c r="P89" s="293">
        <v>24.6</v>
      </c>
      <c r="R89" s="292">
        <v>73</v>
      </c>
      <c r="S89" s="293">
        <v>12.85</v>
      </c>
      <c r="T89" s="294">
        <v>1.4293981481481482E-3</v>
      </c>
      <c r="U89" s="293">
        <v>3.09</v>
      </c>
      <c r="V89" s="293">
        <v>22.6</v>
      </c>
    </row>
    <row r="90" spans="1:22" ht="15">
      <c r="A90" s="9">
        <v>95</v>
      </c>
      <c r="B90" s="12">
        <v>7.5000000000000302</v>
      </c>
      <c r="C90" s="13">
        <v>1.3500000000000125</v>
      </c>
      <c r="D90" s="13">
        <v>4.7499999999999947</v>
      </c>
      <c r="E90" s="13">
        <v>47.5</v>
      </c>
      <c r="F90" s="12">
        <v>51.5</v>
      </c>
      <c r="G90" s="13">
        <f t="shared" si="2"/>
        <v>992.5</v>
      </c>
      <c r="H90" s="14">
        <f t="shared" si="3"/>
        <v>998.65</v>
      </c>
      <c r="I90" s="9">
        <v>95</v>
      </c>
      <c r="L90" s="292">
        <v>72</v>
      </c>
      <c r="M90" s="293">
        <v>12.4</v>
      </c>
      <c r="N90" s="294">
        <v>1.3240740740740741E-3</v>
      </c>
      <c r="O90" s="293">
        <v>3.31</v>
      </c>
      <c r="P90" s="293">
        <v>24.4</v>
      </c>
      <c r="R90" s="292">
        <v>72</v>
      </c>
      <c r="S90" s="293">
        <v>12.9</v>
      </c>
      <c r="T90" s="294">
        <v>1.4351851851851852E-3</v>
      </c>
      <c r="U90" s="293">
        <v>3.06</v>
      </c>
      <c r="V90" s="293">
        <v>22.4</v>
      </c>
    </row>
    <row r="91" spans="1:22" ht="15">
      <c r="A91" s="9">
        <v>96</v>
      </c>
      <c r="B91" s="12">
        <v>7.4000000000000306</v>
      </c>
      <c r="C91" s="13">
        <v>1.3400000000000125</v>
      </c>
      <c r="D91" s="13">
        <v>4.7799999999999949</v>
      </c>
      <c r="E91" s="13">
        <v>48</v>
      </c>
      <c r="F91" s="12">
        <v>51</v>
      </c>
      <c r="G91" s="13">
        <f t="shared" si="2"/>
        <v>992.6</v>
      </c>
      <c r="H91" s="14">
        <f t="shared" si="3"/>
        <v>998.66</v>
      </c>
      <c r="I91" s="9">
        <v>96</v>
      </c>
      <c r="L91" s="292">
        <v>71</v>
      </c>
      <c r="M91" s="293">
        <v>12.45</v>
      </c>
      <c r="N91" s="294">
        <v>1.3275462962962963E-3</v>
      </c>
      <c r="O91" s="293">
        <v>3.28</v>
      </c>
      <c r="P91" s="293">
        <v>24.2</v>
      </c>
      <c r="R91" s="292">
        <v>71</v>
      </c>
      <c r="S91" s="293">
        <v>12.95</v>
      </c>
      <c r="T91" s="294">
        <v>1.4409722222222222E-3</v>
      </c>
      <c r="U91" s="293">
        <v>3.03</v>
      </c>
      <c r="V91" s="293">
        <v>22.2</v>
      </c>
    </row>
    <row r="92" spans="1:22" ht="15">
      <c r="A92" s="9">
        <v>97</v>
      </c>
      <c r="B92" s="12">
        <v>7.3000000000000309</v>
      </c>
      <c r="C92" s="13">
        <v>1.3300000000000125</v>
      </c>
      <c r="D92" s="13">
        <v>4.8099999999999952</v>
      </c>
      <c r="E92" s="13">
        <v>48.5</v>
      </c>
      <c r="F92" s="12">
        <v>50.5</v>
      </c>
      <c r="G92" s="13">
        <f t="shared" si="2"/>
        <v>992.69999999999993</v>
      </c>
      <c r="H92" s="14">
        <f t="shared" si="3"/>
        <v>998.67</v>
      </c>
      <c r="I92" s="9">
        <v>97</v>
      </c>
      <c r="L92" s="292">
        <v>70</v>
      </c>
      <c r="M92" s="293">
        <v>12.5</v>
      </c>
      <c r="N92" s="294">
        <v>1.3310185185185185E-3</v>
      </c>
      <c r="O92" s="293">
        <v>3.25</v>
      </c>
      <c r="P92" s="293">
        <v>24</v>
      </c>
      <c r="R92" s="292">
        <v>70</v>
      </c>
      <c r="S92" s="293">
        <v>13</v>
      </c>
      <c r="T92" s="294">
        <v>1.4467592592592592E-3</v>
      </c>
      <c r="U92" s="293">
        <v>3</v>
      </c>
      <c r="V92" s="293">
        <v>22</v>
      </c>
    </row>
    <row r="93" spans="1:22" ht="15">
      <c r="A93" s="9">
        <v>98</v>
      </c>
      <c r="B93" s="12">
        <v>7.2000000000000313</v>
      </c>
      <c r="C93" s="13">
        <v>1.3200000000000125</v>
      </c>
      <c r="D93" s="13">
        <v>4.8399999999999954</v>
      </c>
      <c r="E93" s="13">
        <v>49</v>
      </c>
      <c r="F93" s="12">
        <v>50</v>
      </c>
      <c r="G93" s="13">
        <f t="shared" si="2"/>
        <v>992.8</v>
      </c>
      <c r="H93" s="14">
        <f t="shared" si="3"/>
        <v>998.68</v>
      </c>
      <c r="I93" s="9">
        <v>98</v>
      </c>
      <c r="L93" s="292">
        <v>69</v>
      </c>
      <c r="M93" s="293">
        <v>12.55</v>
      </c>
      <c r="N93" s="294">
        <v>1.3368055555555555E-3</v>
      </c>
      <c r="O93" s="293">
        <v>3.23</v>
      </c>
      <c r="P93" s="293">
        <v>23.8</v>
      </c>
      <c r="R93" s="292">
        <v>69</v>
      </c>
      <c r="S93" s="293">
        <v>13.05</v>
      </c>
      <c r="T93" s="294">
        <v>1.4525462962962964E-3</v>
      </c>
      <c r="U93" s="293">
        <v>2.98</v>
      </c>
      <c r="V93" s="293">
        <v>21.8</v>
      </c>
    </row>
    <row r="94" spans="1:22" ht="15">
      <c r="A94" s="9">
        <v>99</v>
      </c>
      <c r="B94" s="12">
        <v>7.1000000000000316</v>
      </c>
      <c r="C94" s="13">
        <v>1.3100000000000125</v>
      </c>
      <c r="D94" s="13">
        <v>4.8699999999999957</v>
      </c>
      <c r="E94" s="13">
        <v>49.5</v>
      </c>
      <c r="F94" s="12">
        <v>49.5</v>
      </c>
      <c r="G94" s="13">
        <f t="shared" si="2"/>
        <v>992.9</v>
      </c>
      <c r="H94" s="14">
        <f t="shared" si="3"/>
        <v>998.68999999999994</v>
      </c>
      <c r="I94" s="9">
        <v>99</v>
      </c>
      <c r="L94" s="292">
        <v>68</v>
      </c>
      <c r="M94" s="293">
        <v>12.6</v>
      </c>
      <c r="N94" s="294">
        <v>1.3425925925925925E-3</v>
      </c>
      <c r="O94" s="293">
        <v>3.21</v>
      </c>
      <c r="P94" s="293">
        <v>23.6</v>
      </c>
      <c r="R94" s="292">
        <v>68</v>
      </c>
      <c r="S94" s="293">
        <v>13.1</v>
      </c>
      <c r="T94" s="294">
        <v>1.4583333333333334E-3</v>
      </c>
      <c r="U94" s="293">
        <v>2.96</v>
      </c>
      <c r="V94" s="293">
        <v>21.6</v>
      </c>
    </row>
    <row r="95" spans="1:22" ht="15">
      <c r="A95" s="9">
        <v>100</v>
      </c>
      <c r="B95" s="12">
        <v>7.000000000000032</v>
      </c>
      <c r="C95" s="13">
        <v>1.3000000000000125</v>
      </c>
      <c r="D95" s="13">
        <v>4.8999999999999959</v>
      </c>
      <c r="E95" s="13">
        <v>50</v>
      </c>
      <c r="F95" s="12">
        <v>50</v>
      </c>
      <c r="G95" s="13">
        <f t="shared" si="2"/>
        <v>993</v>
      </c>
      <c r="H95" s="14">
        <f t="shared" si="3"/>
        <v>998.69999999999993</v>
      </c>
      <c r="I95" s="9">
        <v>100</v>
      </c>
      <c r="L95" s="292">
        <v>67</v>
      </c>
      <c r="M95" s="293">
        <v>12.65</v>
      </c>
      <c r="N95" s="294">
        <v>1.3483796296296297E-3</v>
      </c>
      <c r="O95" s="293">
        <v>3.19</v>
      </c>
      <c r="P95" s="293">
        <v>23.4</v>
      </c>
      <c r="R95" s="292">
        <v>67</v>
      </c>
      <c r="S95" s="293">
        <v>13.15</v>
      </c>
      <c r="T95" s="294">
        <v>1.4641203703703704E-3</v>
      </c>
      <c r="U95" s="293">
        <v>2.94</v>
      </c>
      <c r="V95" s="293">
        <v>21.4</v>
      </c>
    </row>
    <row r="96" spans="1:22" ht="15">
      <c r="L96" s="292">
        <v>66</v>
      </c>
      <c r="M96" s="293">
        <v>12.7</v>
      </c>
      <c r="N96" s="294">
        <v>1.3541666666666667E-3</v>
      </c>
      <c r="O96" s="293">
        <v>3.17</v>
      </c>
      <c r="P96" s="293">
        <v>23.2</v>
      </c>
      <c r="R96" s="292">
        <v>66</v>
      </c>
      <c r="S96" s="293">
        <v>13.2</v>
      </c>
      <c r="T96" s="294">
        <v>1.4699074074074074E-3</v>
      </c>
      <c r="U96" s="293">
        <v>2.92</v>
      </c>
      <c r="V96" s="293">
        <v>21.2</v>
      </c>
    </row>
    <row r="97" spans="12:22" ht="15">
      <c r="L97" s="292">
        <v>65</v>
      </c>
      <c r="M97" s="293">
        <v>12.75</v>
      </c>
      <c r="N97" s="294">
        <v>1.3599537037037037E-3</v>
      </c>
      <c r="O97" s="293">
        <v>3.15</v>
      </c>
      <c r="P97" s="293">
        <v>23</v>
      </c>
      <c r="R97" s="292">
        <v>65</v>
      </c>
      <c r="S97" s="293">
        <v>13.25</v>
      </c>
      <c r="T97" s="294">
        <v>1.4756944444444444E-3</v>
      </c>
      <c r="U97" s="293">
        <v>2.9</v>
      </c>
      <c r="V97" s="293">
        <v>21</v>
      </c>
    </row>
    <row r="98" spans="12:22" ht="15">
      <c r="L98" s="292">
        <v>64</v>
      </c>
      <c r="M98" s="293">
        <v>12.8</v>
      </c>
      <c r="N98" s="294">
        <v>1.3657407407407407E-3</v>
      </c>
      <c r="O98" s="293">
        <v>3.12</v>
      </c>
      <c r="P98" s="293">
        <v>22.8</v>
      </c>
      <c r="R98" s="292">
        <v>64</v>
      </c>
      <c r="S98" s="293">
        <v>13.3</v>
      </c>
      <c r="T98" s="294">
        <v>1.4814814814814814E-3</v>
      </c>
      <c r="U98" s="293">
        <v>2.87</v>
      </c>
      <c r="V98" s="293">
        <v>20.8</v>
      </c>
    </row>
    <row r="99" spans="12:22" ht="15">
      <c r="L99" s="292">
        <v>63</v>
      </c>
      <c r="M99" s="293">
        <v>12.85</v>
      </c>
      <c r="N99" s="294">
        <v>1.3715277777777777E-3</v>
      </c>
      <c r="O99" s="293">
        <v>3.09</v>
      </c>
      <c r="P99" s="293">
        <v>22.6</v>
      </c>
      <c r="R99" s="292">
        <v>63</v>
      </c>
      <c r="S99" s="293">
        <v>13.35</v>
      </c>
      <c r="T99" s="294">
        <v>1.4872685185185186E-3</v>
      </c>
      <c r="U99" s="293">
        <v>2.84</v>
      </c>
      <c r="V99" s="293">
        <v>20.6</v>
      </c>
    </row>
    <row r="100" spans="12:22" ht="15">
      <c r="L100" s="292">
        <v>62</v>
      </c>
      <c r="M100" s="293">
        <v>12.9</v>
      </c>
      <c r="N100" s="294">
        <v>1.3773148148148147E-3</v>
      </c>
      <c r="O100" s="293">
        <v>3.06</v>
      </c>
      <c r="P100" s="293">
        <v>22.4</v>
      </c>
      <c r="R100" s="292">
        <v>62</v>
      </c>
      <c r="S100" s="293">
        <v>13.4</v>
      </c>
      <c r="T100" s="294">
        <v>1.4930555555555556E-3</v>
      </c>
      <c r="U100" s="293">
        <v>2.81</v>
      </c>
      <c r="V100" s="293">
        <v>20.399999999999999</v>
      </c>
    </row>
    <row r="101" spans="12:22" ht="15">
      <c r="L101" s="292">
        <v>61</v>
      </c>
      <c r="M101" s="293">
        <v>12.95</v>
      </c>
      <c r="N101" s="294">
        <v>1.3831018518518519E-3</v>
      </c>
      <c r="O101" s="293">
        <v>3.03</v>
      </c>
      <c r="P101" s="293">
        <v>22.2</v>
      </c>
      <c r="R101" s="292">
        <v>61</v>
      </c>
      <c r="S101" s="293">
        <v>13.45</v>
      </c>
      <c r="T101" s="294">
        <v>1.4988425925925926E-3</v>
      </c>
      <c r="U101" s="293">
        <v>2.78</v>
      </c>
      <c r="V101" s="293">
        <v>20.2</v>
      </c>
    </row>
    <row r="102" spans="12:22" ht="15">
      <c r="L102" s="292">
        <v>60</v>
      </c>
      <c r="M102" s="293">
        <v>13</v>
      </c>
      <c r="N102" s="294">
        <v>1.3888888888888889E-3</v>
      </c>
      <c r="O102" s="293">
        <v>3</v>
      </c>
      <c r="P102" s="293">
        <v>22</v>
      </c>
      <c r="R102" s="292">
        <v>60</v>
      </c>
      <c r="S102" s="293">
        <v>13.5</v>
      </c>
      <c r="T102" s="294">
        <v>1.5046296296296296E-3</v>
      </c>
      <c r="U102" s="293">
        <v>2.75</v>
      </c>
      <c r="V102" s="293">
        <v>20</v>
      </c>
    </row>
    <row r="103" spans="12:22" ht="15">
      <c r="L103" s="292">
        <v>59</v>
      </c>
      <c r="M103" s="293">
        <v>13.05</v>
      </c>
      <c r="N103" s="294">
        <v>1.3946759259259259E-3</v>
      </c>
      <c r="O103" s="293">
        <v>2.98</v>
      </c>
      <c r="P103" s="293">
        <v>21.8</v>
      </c>
      <c r="R103" s="292">
        <v>59</v>
      </c>
      <c r="S103" s="293">
        <v>13.55</v>
      </c>
      <c r="T103" s="294">
        <v>1.5104166666666666E-3</v>
      </c>
      <c r="U103" s="293">
        <v>2.73</v>
      </c>
      <c r="V103" s="293">
        <v>19.8</v>
      </c>
    </row>
    <row r="104" spans="12:22" ht="15">
      <c r="L104" s="292">
        <v>58</v>
      </c>
      <c r="M104" s="293">
        <v>13.1</v>
      </c>
      <c r="N104" s="294">
        <v>1.4004629629629629E-3</v>
      </c>
      <c r="O104" s="293">
        <v>2.96</v>
      </c>
      <c r="P104" s="293">
        <v>21.6</v>
      </c>
      <c r="R104" s="292">
        <v>58</v>
      </c>
      <c r="S104" s="293">
        <v>13.6</v>
      </c>
      <c r="T104" s="294">
        <v>1.5162037037037036E-3</v>
      </c>
      <c r="U104" s="293">
        <v>2.71</v>
      </c>
      <c r="V104" s="293">
        <v>19.600000000000001</v>
      </c>
    </row>
    <row r="105" spans="12:22" ht="15">
      <c r="L105" s="292">
        <v>57</v>
      </c>
      <c r="M105" s="293">
        <v>13.15</v>
      </c>
      <c r="N105" s="294">
        <v>1.4062499999999999E-3</v>
      </c>
      <c r="O105" s="293">
        <v>2.94</v>
      </c>
      <c r="P105" s="293">
        <v>21.4</v>
      </c>
      <c r="R105" s="292">
        <v>57</v>
      </c>
      <c r="S105" s="293">
        <v>13.65</v>
      </c>
      <c r="T105" s="294">
        <v>1.5219907407407406E-3</v>
      </c>
      <c r="U105" s="293">
        <v>2.69</v>
      </c>
      <c r="V105" s="293">
        <v>19.399999999999999</v>
      </c>
    </row>
    <row r="106" spans="12:22" ht="15">
      <c r="L106" s="292">
        <v>56</v>
      </c>
      <c r="M106" s="293">
        <v>13.2</v>
      </c>
      <c r="N106" s="294">
        <v>1.4120370370370369E-3</v>
      </c>
      <c r="O106" s="293">
        <v>2.92</v>
      </c>
      <c r="P106" s="293">
        <v>21.2</v>
      </c>
      <c r="R106" s="292">
        <v>56</v>
      </c>
      <c r="S106" s="293">
        <v>13.7</v>
      </c>
      <c r="T106" s="294">
        <v>1.5277777777777779E-3</v>
      </c>
      <c r="U106" s="293">
        <v>2.67</v>
      </c>
      <c r="V106" s="293">
        <v>19.2</v>
      </c>
    </row>
    <row r="107" spans="12:22" ht="15">
      <c r="L107" s="292">
        <v>55</v>
      </c>
      <c r="M107" s="293">
        <v>13.25</v>
      </c>
      <c r="N107" s="294">
        <v>1.4178240740740742E-3</v>
      </c>
      <c r="O107" s="293">
        <v>2.9</v>
      </c>
      <c r="P107" s="293">
        <v>21</v>
      </c>
      <c r="R107" s="292">
        <v>55</v>
      </c>
      <c r="S107" s="293">
        <v>13.75</v>
      </c>
      <c r="T107" s="294">
        <v>1.5335648148148149E-3</v>
      </c>
      <c r="U107" s="293">
        <v>2.65</v>
      </c>
      <c r="V107" s="293">
        <v>19</v>
      </c>
    </row>
    <row r="108" spans="12:22" ht="15">
      <c r="L108" s="292">
        <v>54</v>
      </c>
      <c r="M108" s="293">
        <v>13.3</v>
      </c>
      <c r="N108" s="294">
        <v>1.4236111111111112E-3</v>
      </c>
      <c r="O108" s="293">
        <v>2.87</v>
      </c>
      <c r="P108" s="293">
        <v>20.8</v>
      </c>
      <c r="R108" s="292">
        <v>54</v>
      </c>
      <c r="S108" s="293">
        <v>13.8</v>
      </c>
      <c r="T108" s="294">
        <v>1.5393518518518519E-3</v>
      </c>
      <c r="U108" s="293">
        <v>2.62</v>
      </c>
      <c r="V108" s="293">
        <v>18.8</v>
      </c>
    </row>
    <row r="109" spans="12:22" ht="15">
      <c r="L109" s="292">
        <v>53</v>
      </c>
      <c r="M109" s="293">
        <v>13.35</v>
      </c>
      <c r="N109" s="294">
        <v>1.4293981481481482E-3</v>
      </c>
      <c r="O109" s="293">
        <v>2.84</v>
      </c>
      <c r="P109" s="293">
        <v>20.6</v>
      </c>
      <c r="R109" s="292">
        <v>53</v>
      </c>
      <c r="S109" s="293">
        <v>13.85</v>
      </c>
      <c r="T109" s="294">
        <v>1.5451388888888889E-3</v>
      </c>
      <c r="U109" s="293">
        <v>2.59</v>
      </c>
      <c r="V109" s="293">
        <v>18.600000000000001</v>
      </c>
    </row>
    <row r="110" spans="12:22" ht="15">
      <c r="L110" s="292">
        <v>52</v>
      </c>
      <c r="M110" s="293">
        <v>13.4</v>
      </c>
      <c r="N110" s="294">
        <v>1.4351851851851852E-3</v>
      </c>
      <c r="O110" s="293">
        <v>2.81</v>
      </c>
      <c r="P110" s="293">
        <v>20.399999999999999</v>
      </c>
      <c r="R110" s="292">
        <v>52</v>
      </c>
      <c r="S110" s="293">
        <v>13.9</v>
      </c>
      <c r="T110" s="294">
        <v>1.5509259259259259E-3</v>
      </c>
      <c r="U110" s="293">
        <v>2.56</v>
      </c>
      <c r="V110" s="293">
        <v>18.399999999999999</v>
      </c>
    </row>
    <row r="111" spans="12:22" ht="15">
      <c r="L111" s="292">
        <v>51</v>
      </c>
      <c r="M111" s="293">
        <v>13.45</v>
      </c>
      <c r="N111" s="294">
        <v>1.4409722222222222E-3</v>
      </c>
      <c r="O111" s="293">
        <v>2.78</v>
      </c>
      <c r="P111" s="293">
        <v>20.2</v>
      </c>
      <c r="R111" s="292">
        <v>51</v>
      </c>
      <c r="S111" s="293">
        <v>13.95</v>
      </c>
      <c r="T111" s="294">
        <v>1.5567129629629629E-3</v>
      </c>
      <c r="U111" s="293">
        <v>2.5299999999999998</v>
      </c>
      <c r="V111" s="293">
        <v>18.2</v>
      </c>
    </row>
    <row r="112" spans="12:22" ht="15">
      <c r="L112" s="292">
        <v>50</v>
      </c>
      <c r="M112" s="293">
        <v>13.5</v>
      </c>
      <c r="N112" s="294">
        <v>1.4467592592592592E-3</v>
      </c>
      <c r="O112" s="293">
        <v>2.75</v>
      </c>
      <c r="P112" s="293">
        <v>20</v>
      </c>
      <c r="R112" s="292">
        <v>50</v>
      </c>
      <c r="S112" s="293">
        <v>14</v>
      </c>
      <c r="T112" s="294">
        <v>1.5625000000000001E-3</v>
      </c>
      <c r="U112" s="293">
        <v>2.5</v>
      </c>
      <c r="V112" s="293">
        <v>18</v>
      </c>
    </row>
    <row r="113" spans="12:22" ht="15">
      <c r="L113" s="292">
        <v>49</v>
      </c>
      <c r="M113" s="293">
        <v>13.55</v>
      </c>
      <c r="N113" s="294">
        <v>1.4525462962962964E-3</v>
      </c>
      <c r="O113" s="293">
        <v>2.73</v>
      </c>
      <c r="P113" s="293">
        <v>19.8</v>
      </c>
      <c r="R113" s="292">
        <v>49</v>
      </c>
      <c r="S113" s="293">
        <v>14.05</v>
      </c>
      <c r="T113" s="294">
        <v>1.5682870370370371E-3</v>
      </c>
      <c r="U113" s="293">
        <v>2.48</v>
      </c>
      <c r="V113" s="293">
        <v>17.8</v>
      </c>
    </row>
    <row r="114" spans="12:22" ht="15">
      <c r="L114" s="292">
        <v>48</v>
      </c>
      <c r="M114" s="293">
        <v>13.6</v>
      </c>
      <c r="N114" s="294">
        <v>1.4583333333333334E-3</v>
      </c>
      <c r="O114" s="293">
        <v>2.71</v>
      </c>
      <c r="P114" s="293">
        <v>19.600000000000001</v>
      </c>
      <c r="R114" s="292">
        <v>48</v>
      </c>
      <c r="S114" s="293">
        <v>14.1</v>
      </c>
      <c r="T114" s="294">
        <v>1.5740740740740741E-3</v>
      </c>
      <c r="U114" s="293">
        <v>2.46</v>
      </c>
      <c r="V114" s="293">
        <v>17.600000000000001</v>
      </c>
    </row>
    <row r="115" spans="12:22" ht="15">
      <c r="L115" s="292">
        <v>47</v>
      </c>
      <c r="M115" s="293">
        <v>13.65</v>
      </c>
      <c r="N115" s="294">
        <v>1.4641203703703704E-3</v>
      </c>
      <c r="O115" s="293">
        <v>2.69</v>
      </c>
      <c r="P115" s="293">
        <v>19.399999999999999</v>
      </c>
      <c r="R115" s="292">
        <v>47</v>
      </c>
      <c r="S115" s="293">
        <v>14.15</v>
      </c>
      <c r="T115" s="294">
        <v>1.5798611111111111E-3</v>
      </c>
      <c r="U115" s="293">
        <v>2.44</v>
      </c>
      <c r="V115" s="293">
        <v>17.399999999999999</v>
      </c>
    </row>
    <row r="116" spans="12:22" ht="15">
      <c r="L116" s="292">
        <v>46</v>
      </c>
      <c r="M116" s="293">
        <v>13.7</v>
      </c>
      <c r="N116" s="294">
        <v>1.4699074074074074E-3</v>
      </c>
      <c r="O116" s="293">
        <v>2.67</v>
      </c>
      <c r="P116" s="293">
        <v>19.2</v>
      </c>
      <c r="R116" s="292">
        <v>46</v>
      </c>
      <c r="S116" s="293">
        <v>14.2</v>
      </c>
      <c r="T116" s="294">
        <v>1.5856481481481481E-3</v>
      </c>
      <c r="U116" s="293">
        <v>2.42</v>
      </c>
      <c r="V116" s="293">
        <v>17.2</v>
      </c>
    </row>
    <row r="117" spans="12:22" ht="15">
      <c r="L117" s="292">
        <v>45</v>
      </c>
      <c r="M117" s="293">
        <v>13.75</v>
      </c>
      <c r="N117" s="294">
        <v>1.4756944444444444E-3</v>
      </c>
      <c r="O117" s="293">
        <v>2.65</v>
      </c>
      <c r="P117" s="293">
        <v>19</v>
      </c>
      <c r="R117" s="292">
        <v>45</v>
      </c>
      <c r="S117" s="293">
        <v>14.25</v>
      </c>
      <c r="T117" s="294">
        <v>1.5914351851851851E-3</v>
      </c>
      <c r="U117" s="293">
        <v>2.4</v>
      </c>
      <c r="V117" s="293">
        <v>17</v>
      </c>
    </row>
    <row r="118" spans="12:22" ht="15">
      <c r="L118" s="292">
        <v>44</v>
      </c>
      <c r="M118" s="293">
        <v>13.8</v>
      </c>
      <c r="N118" s="294">
        <v>1.4814814814814814E-3</v>
      </c>
      <c r="O118" s="293">
        <v>2.62</v>
      </c>
      <c r="P118" s="293">
        <v>18.8</v>
      </c>
      <c r="R118" s="292">
        <v>44</v>
      </c>
      <c r="S118" s="293">
        <v>14.3</v>
      </c>
      <c r="T118" s="294">
        <v>1.5972222222222223E-3</v>
      </c>
      <c r="U118" s="293">
        <v>2.37</v>
      </c>
      <c r="V118" s="293">
        <v>16.8</v>
      </c>
    </row>
    <row r="119" spans="12:22" ht="15">
      <c r="L119" s="292">
        <v>43</v>
      </c>
      <c r="M119" s="293">
        <v>13.85</v>
      </c>
      <c r="N119" s="294">
        <v>1.4872685185185186E-3</v>
      </c>
      <c r="O119" s="293">
        <v>2.59</v>
      </c>
      <c r="P119" s="293">
        <v>18.600000000000001</v>
      </c>
      <c r="R119" s="292">
        <v>43</v>
      </c>
      <c r="S119" s="293">
        <v>14.35</v>
      </c>
      <c r="T119" s="294">
        <v>1.6030092592592593E-3</v>
      </c>
      <c r="U119" s="293">
        <v>2.34</v>
      </c>
      <c r="V119" s="293">
        <v>16.600000000000001</v>
      </c>
    </row>
    <row r="120" spans="12:22" ht="15">
      <c r="L120" s="292">
        <v>42</v>
      </c>
      <c r="M120" s="293">
        <v>13.9</v>
      </c>
      <c r="N120" s="294">
        <v>1.4930555555555556E-3</v>
      </c>
      <c r="O120" s="293">
        <v>2.56</v>
      </c>
      <c r="P120" s="293">
        <v>18.399999999999999</v>
      </c>
      <c r="R120" s="292">
        <v>42</v>
      </c>
      <c r="S120" s="293">
        <v>14.4</v>
      </c>
      <c r="T120" s="294">
        <v>1.6087962962962963E-3</v>
      </c>
      <c r="U120" s="293">
        <v>2.31</v>
      </c>
      <c r="V120" s="293">
        <v>16.399999999999999</v>
      </c>
    </row>
    <row r="121" spans="12:22" ht="15">
      <c r="L121" s="292">
        <v>41</v>
      </c>
      <c r="M121" s="293">
        <v>13.95</v>
      </c>
      <c r="N121" s="294">
        <v>1.4988425925925926E-3</v>
      </c>
      <c r="O121" s="293">
        <v>2.5299999999999998</v>
      </c>
      <c r="P121" s="293">
        <v>18.2</v>
      </c>
      <c r="R121" s="292">
        <v>41</v>
      </c>
      <c r="S121" s="293">
        <v>14.45</v>
      </c>
      <c r="T121" s="294">
        <v>1.6145833333333333E-3</v>
      </c>
      <c r="U121" s="293">
        <v>2.2799999999999998</v>
      </c>
      <c r="V121" s="293">
        <v>16.2</v>
      </c>
    </row>
    <row r="122" spans="12:22" ht="15">
      <c r="L122" s="292">
        <v>40</v>
      </c>
      <c r="M122" s="293">
        <v>14</v>
      </c>
      <c r="N122" s="294">
        <v>1.5046296296296296E-3</v>
      </c>
      <c r="O122" s="293">
        <v>2.5</v>
      </c>
      <c r="P122" s="293">
        <v>18</v>
      </c>
      <c r="R122" s="292">
        <v>40</v>
      </c>
      <c r="S122" s="293">
        <v>14.5</v>
      </c>
      <c r="T122" s="294">
        <v>1.6203703703703703E-3</v>
      </c>
      <c r="U122" s="293">
        <v>2.25</v>
      </c>
      <c r="V122" s="293">
        <v>16</v>
      </c>
    </row>
    <row r="123" spans="12:22" ht="15">
      <c r="L123" s="292">
        <v>39</v>
      </c>
      <c r="M123" s="293">
        <v>14.05</v>
      </c>
      <c r="N123" s="294">
        <v>1.5162037037037036E-3</v>
      </c>
      <c r="O123" s="293">
        <v>2.48</v>
      </c>
      <c r="P123" s="293">
        <v>17.8</v>
      </c>
      <c r="R123" s="292">
        <v>39</v>
      </c>
      <c r="S123" s="293">
        <v>14.55</v>
      </c>
      <c r="T123" s="294">
        <v>1.6261574074074073E-3</v>
      </c>
      <c r="U123" s="293">
        <v>2.23</v>
      </c>
      <c r="V123" s="293">
        <v>15.8</v>
      </c>
    </row>
    <row r="124" spans="12:22" ht="15">
      <c r="L124" s="292">
        <v>38</v>
      </c>
      <c r="M124" s="293">
        <v>14.1</v>
      </c>
      <c r="N124" s="294">
        <v>1.5277777777777779E-3</v>
      </c>
      <c r="O124" s="293">
        <v>2.46</v>
      </c>
      <c r="P124" s="293">
        <v>17.600000000000001</v>
      </c>
      <c r="R124" s="292">
        <v>38</v>
      </c>
      <c r="S124" s="293">
        <v>14.6</v>
      </c>
      <c r="T124" s="294">
        <v>1.6319444444444445E-3</v>
      </c>
      <c r="U124" s="293">
        <v>2.21</v>
      </c>
      <c r="V124" s="293">
        <v>15.6</v>
      </c>
    </row>
    <row r="125" spans="12:22" ht="15">
      <c r="L125" s="292">
        <v>37</v>
      </c>
      <c r="M125" s="293">
        <v>14.15</v>
      </c>
      <c r="N125" s="294">
        <v>1.5393518518518519E-3</v>
      </c>
      <c r="O125" s="293">
        <v>2.44</v>
      </c>
      <c r="P125" s="293">
        <v>17.399999999999999</v>
      </c>
      <c r="R125" s="292">
        <v>37</v>
      </c>
      <c r="S125" s="293">
        <v>14.65</v>
      </c>
      <c r="T125" s="294">
        <v>1.6377314814814815E-3</v>
      </c>
      <c r="U125" s="293">
        <v>2.19</v>
      </c>
      <c r="V125" s="293">
        <v>15.4</v>
      </c>
    </row>
    <row r="126" spans="12:22" ht="15">
      <c r="L126" s="292">
        <v>36</v>
      </c>
      <c r="M126" s="293">
        <v>14.2</v>
      </c>
      <c r="N126" s="294">
        <v>1.5509259259259259E-3</v>
      </c>
      <c r="O126" s="293">
        <v>2.42</v>
      </c>
      <c r="P126" s="293">
        <v>17.2</v>
      </c>
      <c r="R126" s="292">
        <v>36</v>
      </c>
      <c r="S126" s="293">
        <v>14.7</v>
      </c>
      <c r="T126" s="294">
        <v>1.6435185185185185E-3</v>
      </c>
      <c r="U126" s="293">
        <v>2.17</v>
      </c>
      <c r="V126" s="293">
        <v>15.2</v>
      </c>
    </row>
    <row r="127" spans="12:22" ht="15">
      <c r="L127" s="292">
        <v>35</v>
      </c>
      <c r="M127" s="293">
        <v>14.25</v>
      </c>
      <c r="N127" s="294">
        <v>1.5625000000000001E-3</v>
      </c>
      <c r="O127" s="293">
        <v>2.4</v>
      </c>
      <c r="P127" s="293">
        <v>17</v>
      </c>
      <c r="R127" s="292">
        <v>35</v>
      </c>
      <c r="S127" s="293">
        <v>14.75</v>
      </c>
      <c r="T127" s="294">
        <v>1.6493055555555556E-3</v>
      </c>
      <c r="U127" s="293">
        <v>2.15</v>
      </c>
      <c r="V127" s="293">
        <v>15</v>
      </c>
    </row>
    <row r="128" spans="12:22" ht="15">
      <c r="L128" s="292">
        <v>34</v>
      </c>
      <c r="M128" s="293">
        <v>14.3</v>
      </c>
      <c r="N128" s="294">
        <v>1.5740740740740741E-3</v>
      </c>
      <c r="O128" s="293">
        <v>2.37</v>
      </c>
      <c r="P128" s="293">
        <v>16.8</v>
      </c>
      <c r="R128" s="292">
        <v>34</v>
      </c>
      <c r="S128" s="293">
        <v>14.8</v>
      </c>
      <c r="T128" s="294">
        <v>1.6550925925925926E-3</v>
      </c>
      <c r="U128" s="293">
        <v>2.12</v>
      </c>
      <c r="V128" s="293">
        <v>14.8</v>
      </c>
    </row>
    <row r="129" spans="12:22" ht="15">
      <c r="L129" s="292">
        <v>33</v>
      </c>
      <c r="M129" s="293">
        <v>14.35</v>
      </c>
      <c r="N129" s="294">
        <v>1.5856481481481481E-3</v>
      </c>
      <c r="O129" s="293">
        <v>2.34</v>
      </c>
      <c r="P129" s="293">
        <v>16.600000000000001</v>
      </c>
      <c r="R129" s="292">
        <v>33</v>
      </c>
      <c r="S129" s="293">
        <v>14.85</v>
      </c>
      <c r="T129" s="294">
        <v>1.6608796296296296E-3</v>
      </c>
      <c r="U129" s="293">
        <v>2.09</v>
      </c>
      <c r="V129" s="293">
        <v>14.6</v>
      </c>
    </row>
    <row r="130" spans="12:22" ht="15">
      <c r="L130" s="292">
        <v>32</v>
      </c>
      <c r="M130" s="293">
        <v>14.4</v>
      </c>
      <c r="N130" s="294">
        <v>1.5972222222222223E-3</v>
      </c>
      <c r="O130" s="293">
        <v>2.31</v>
      </c>
      <c r="P130" s="293">
        <v>16.399999999999999</v>
      </c>
      <c r="R130" s="292">
        <v>32</v>
      </c>
      <c r="S130" s="293">
        <v>14.9</v>
      </c>
      <c r="T130" s="294">
        <v>1.6666666666666668E-3</v>
      </c>
      <c r="U130" s="293">
        <v>2.06</v>
      </c>
      <c r="V130" s="293">
        <v>14.4</v>
      </c>
    </row>
    <row r="131" spans="12:22" ht="15">
      <c r="L131" s="292">
        <v>31</v>
      </c>
      <c r="M131" s="293">
        <v>14.45</v>
      </c>
      <c r="N131" s="294">
        <v>1.6087962962962963E-3</v>
      </c>
      <c r="O131" s="293">
        <v>2.2799999999999998</v>
      </c>
      <c r="P131" s="293">
        <v>16.2</v>
      </c>
      <c r="R131" s="292">
        <v>31</v>
      </c>
      <c r="S131" s="293">
        <v>14.95</v>
      </c>
      <c r="T131" s="294">
        <v>1.6724537037037038E-3</v>
      </c>
      <c r="U131" s="293">
        <v>2.0299999999999998</v>
      </c>
      <c r="V131" s="293">
        <v>14.2</v>
      </c>
    </row>
    <row r="132" spans="12:22" ht="15">
      <c r="L132" s="292">
        <v>30</v>
      </c>
      <c r="M132" s="293">
        <v>14.5</v>
      </c>
      <c r="N132" s="294">
        <v>1.6203703703703703E-3</v>
      </c>
      <c r="O132" s="293">
        <v>2.25</v>
      </c>
      <c r="P132" s="293">
        <v>16</v>
      </c>
      <c r="R132" s="292">
        <v>30</v>
      </c>
      <c r="S132" s="293">
        <v>15</v>
      </c>
      <c r="T132" s="294">
        <v>1.6782407407407408E-3</v>
      </c>
      <c r="U132" s="293">
        <v>2</v>
      </c>
      <c r="V132" s="293">
        <v>14</v>
      </c>
    </row>
    <row r="133" spans="12:22" ht="15">
      <c r="L133" s="292">
        <v>29</v>
      </c>
      <c r="M133" s="293">
        <v>14.55</v>
      </c>
      <c r="N133" s="294">
        <v>1.6319444444444445E-3</v>
      </c>
      <c r="O133" s="293">
        <v>2.23</v>
      </c>
      <c r="P133" s="293">
        <v>15.8</v>
      </c>
      <c r="R133" s="292">
        <v>29</v>
      </c>
      <c r="S133" s="293">
        <v>15.1</v>
      </c>
      <c r="T133" s="294">
        <v>1.6898148148148148E-3</v>
      </c>
      <c r="U133" s="293">
        <v>1.99</v>
      </c>
      <c r="V133" s="293">
        <v>13.8</v>
      </c>
    </row>
    <row r="134" spans="12:22" ht="15">
      <c r="L134" s="292">
        <v>28</v>
      </c>
      <c r="M134" s="293">
        <v>14.6</v>
      </c>
      <c r="N134" s="294">
        <v>1.6435185185185185E-3</v>
      </c>
      <c r="O134" s="293">
        <v>2.21</v>
      </c>
      <c r="P134" s="293">
        <v>15.6</v>
      </c>
      <c r="R134" s="292">
        <v>28</v>
      </c>
      <c r="S134" s="293">
        <v>15.2</v>
      </c>
      <c r="T134" s="294">
        <v>1.7013888888888888E-3</v>
      </c>
      <c r="U134" s="293">
        <v>1.98</v>
      </c>
      <c r="V134" s="293">
        <v>13.6</v>
      </c>
    </row>
    <row r="135" spans="12:22" ht="15">
      <c r="L135" s="292">
        <v>27</v>
      </c>
      <c r="M135" s="293">
        <v>14.65</v>
      </c>
      <c r="N135" s="294">
        <v>1.6550925925925926E-3</v>
      </c>
      <c r="O135" s="293">
        <v>2.19</v>
      </c>
      <c r="P135" s="293">
        <v>15.4</v>
      </c>
      <c r="R135" s="292">
        <v>27</v>
      </c>
      <c r="S135" s="293">
        <v>15.3</v>
      </c>
      <c r="T135" s="294">
        <v>1.712962962962963E-3</v>
      </c>
      <c r="U135" s="293">
        <v>1.97</v>
      </c>
      <c r="V135" s="293">
        <v>13.4</v>
      </c>
    </row>
    <row r="136" spans="12:22" ht="15">
      <c r="L136" s="292">
        <v>26</v>
      </c>
      <c r="M136" s="293">
        <v>14.7</v>
      </c>
      <c r="N136" s="294">
        <v>1.6666666666666668E-3</v>
      </c>
      <c r="O136" s="293">
        <v>2.17</v>
      </c>
      <c r="P136" s="293">
        <v>15.2</v>
      </c>
      <c r="R136" s="292">
        <v>26</v>
      </c>
      <c r="S136" s="293">
        <v>15.4</v>
      </c>
      <c r="T136" s="294">
        <v>1.724537037037037E-3</v>
      </c>
      <c r="U136" s="293">
        <v>1.96</v>
      </c>
      <c r="V136" s="293">
        <v>13.2</v>
      </c>
    </row>
    <row r="137" spans="12:22" ht="15">
      <c r="L137" s="292">
        <v>25</v>
      </c>
      <c r="M137" s="293">
        <v>14.75</v>
      </c>
      <c r="N137" s="294">
        <v>1.6782407407407408E-3</v>
      </c>
      <c r="O137" s="293">
        <v>2.15</v>
      </c>
      <c r="P137" s="293">
        <v>15</v>
      </c>
      <c r="R137" s="292">
        <v>25</v>
      </c>
      <c r="S137" s="293">
        <v>15.5</v>
      </c>
      <c r="T137" s="294">
        <v>1.736111111111111E-3</v>
      </c>
      <c r="U137" s="293">
        <v>1.95</v>
      </c>
      <c r="V137" s="293">
        <v>13</v>
      </c>
    </row>
    <row r="138" spans="12:22" ht="15">
      <c r="L138" s="292">
        <v>24</v>
      </c>
      <c r="M138" s="293">
        <v>14.8</v>
      </c>
      <c r="N138" s="294">
        <v>1.6898148148148148E-3</v>
      </c>
      <c r="O138" s="293">
        <v>2.12</v>
      </c>
      <c r="P138" s="293">
        <v>14.8</v>
      </c>
      <c r="R138" s="292">
        <v>24</v>
      </c>
      <c r="S138" s="293">
        <v>15.6</v>
      </c>
      <c r="T138" s="294">
        <v>1.7476851851851852E-3</v>
      </c>
      <c r="U138" s="293">
        <v>1.94</v>
      </c>
      <c r="V138" s="293">
        <v>12.8</v>
      </c>
    </row>
    <row r="139" spans="12:22" ht="15">
      <c r="L139" s="292">
        <v>23</v>
      </c>
      <c r="M139" s="293">
        <v>14.85</v>
      </c>
      <c r="N139" s="294">
        <v>1.7013888888888888E-3</v>
      </c>
      <c r="O139" s="293">
        <v>2.09</v>
      </c>
      <c r="P139" s="293">
        <v>14.6</v>
      </c>
      <c r="R139" s="292">
        <v>23</v>
      </c>
      <c r="S139" s="293">
        <v>15.7</v>
      </c>
      <c r="T139" s="294">
        <v>1.7592592592592592E-3</v>
      </c>
      <c r="U139" s="293">
        <v>1.93</v>
      </c>
      <c r="V139" s="293">
        <v>12.6</v>
      </c>
    </row>
    <row r="140" spans="12:22" ht="15">
      <c r="L140" s="292">
        <v>22</v>
      </c>
      <c r="M140" s="293">
        <v>14.9</v>
      </c>
      <c r="N140" s="294">
        <v>1.712962962962963E-3</v>
      </c>
      <c r="O140" s="293">
        <v>2.06</v>
      </c>
      <c r="P140" s="293">
        <v>14.4</v>
      </c>
      <c r="R140" s="292">
        <v>22</v>
      </c>
      <c r="S140" s="293">
        <v>15.8</v>
      </c>
      <c r="T140" s="294">
        <v>1.7708333333333332E-3</v>
      </c>
      <c r="U140" s="293">
        <v>1.92</v>
      </c>
      <c r="V140" s="293">
        <v>12.4</v>
      </c>
    </row>
    <row r="141" spans="12:22" ht="15">
      <c r="L141" s="292">
        <v>21</v>
      </c>
      <c r="M141" s="293">
        <v>14.95</v>
      </c>
      <c r="N141" s="294">
        <v>1.724537037037037E-3</v>
      </c>
      <c r="O141" s="293">
        <v>2.0299999999999998</v>
      </c>
      <c r="P141" s="293">
        <v>14.2</v>
      </c>
      <c r="R141" s="292">
        <v>21</v>
      </c>
      <c r="S141" s="293">
        <v>15.9</v>
      </c>
      <c r="T141" s="294">
        <v>1.7824074074074075E-3</v>
      </c>
      <c r="U141" s="293">
        <v>1.91</v>
      </c>
      <c r="V141" s="293">
        <v>12.2</v>
      </c>
    </row>
    <row r="142" spans="12:22" ht="15">
      <c r="L142" s="292">
        <v>20</v>
      </c>
      <c r="M142" s="293">
        <v>15</v>
      </c>
      <c r="N142" s="294">
        <v>1.736111111111111E-3</v>
      </c>
      <c r="O142" s="293">
        <v>2</v>
      </c>
      <c r="P142" s="293">
        <v>14</v>
      </c>
      <c r="R142" s="292">
        <v>20</v>
      </c>
      <c r="S142" s="293">
        <v>16</v>
      </c>
      <c r="T142" s="294">
        <v>1.7939814814814815E-3</v>
      </c>
      <c r="U142" s="293">
        <v>1.9</v>
      </c>
      <c r="V142" s="293">
        <v>12</v>
      </c>
    </row>
    <row r="143" spans="12:22" ht="15">
      <c r="L143" s="292">
        <v>19</v>
      </c>
      <c r="M143" s="293">
        <v>15.05</v>
      </c>
      <c r="N143" s="294">
        <v>1.7708333333333332E-3</v>
      </c>
      <c r="O143" s="293">
        <v>1.97</v>
      </c>
      <c r="P143" s="293">
        <v>13.5</v>
      </c>
      <c r="R143" s="292">
        <v>19</v>
      </c>
      <c r="S143" s="293">
        <v>16.05</v>
      </c>
      <c r="T143" s="294">
        <v>1.8287037037037037E-3</v>
      </c>
      <c r="U143" s="293">
        <v>1.87</v>
      </c>
      <c r="V143" s="293">
        <v>11.5</v>
      </c>
    </row>
    <row r="144" spans="12:22" ht="15">
      <c r="L144" s="292">
        <v>18</v>
      </c>
      <c r="M144" s="293">
        <v>15.1</v>
      </c>
      <c r="N144" s="294">
        <v>1.8055555555555555E-3</v>
      </c>
      <c r="O144" s="293">
        <v>1.94</v>
      </c>
      <c r="P144" s="293">
        <v>13</v>
      </c>
      <c r="R144" s="292">
        <v>18</v>
      </c>
      <c r="S144" s="293">
        <v>16.100000000000001</v>
      </c>
      <c r="T144" s="294">
        <v>1.8634259259259259E-3</v>
      </c>
      <c r="U144" s="293">
        <v>1.84</v>
      </c>
      <c r="V144" s="293">
        <v>11</v>
      </c>
    </row>
    <row r="145" spans="12:22" ht="15">
      <c r="L145" s="292">
        <v>17</v>
      </c>
      <c r="M145" s="293">
        <v>15.15</v>
      </c>
      <c r="N145" s="294">
        <v>1.8402777777777777E-3</v>
      </c>
      <c r="O145" s="293">
        <v>1.91</v>
      </c>
      <c r="P145" s="293">
        <v>12.5</v>
      </c>
      <c r="R145" s="292">
        <v>17</v>
      </c>
      <c r="S145" s="293">
        <v>16.149999999999999</v>
      </c>
      <c r="T145" s="294">
        <v>1.8981481481481482E-3</v>
      </c>
      <c r="U145" s="293">
        <v>1.81</v>
      </c>
      <c r="V145" s="293">
        <v>10.5</v>
      </c>
    </row>
    <row r="146" spans="12:22" ht="15">
      <c r="L146" s="292">
        <v>16</v>
      </c>
      <c r="M146" s="293">
        <v>15.2</v>
      </c>
      <c r="N146" s="294">
        <v>1.8749999999999999E-3</v>
      </c>
      <c r="O146" s="293">
        <v>1.88</v>
      </c>
      <c r="P146" s="293">
        <v>12</v>
      </c>
      <c r="R146" s="292">
        <v>16</v>
      </c>
      <c r="S146" s="293">
        <v>16.2</v>
      </c>
      <c r="T146" s="294">
        <v>1.9328703703703704E-3</v>
      </c>
      <c r="U146" s="293">
        <v>1.78</v>
      </c>
      <c r="V146" s="293">
        <v>10</v>
      </c>
    </row>
    <row r="147" spans="12:22" ht="15">
      <c r="L147" s="292">
        <v>15</v>
      </c>
      <c r="M147" s="293">
        <v>15.25</v>
      </c>
      <c r="N147" s="294">
        <v>1.9097222222222222E-3</v>
      </c>
      <c r="O147" s="293">
        <v>1.85</v>
      </c>
      <c r="P147" s="293">
        <v>11.5</v>
      </c>
      <c r="R147" s="292">
        <v>15</v>
      </c>
      <c r="S147" s="293">
        <v>16.25</v>
      </c>
      <c r="T147" s="294">
        <v>1.9675925925925924E-3</v>
      </c>
      <c r="U147" s="293">
        <v>1.75</v>
      </c>
      <c r="V147" s="293">
        <v>9.5</v>
      </c>
    </row>
    <row r="148" spans="12:22" ht="15">
      <c r="L148" s="292">
        <v>14</v>
      </c>
      <c r="M148" s="293">
        <v>15.3</v>
      </c>
      <c r="N148" s="294">
        <v>1.9444444444444444E-3</v>
      </c>
      <c r="O148" s="293">
        <v>1.82</v>
      </c>
      <c r="P148" s="293">
        <v>11</v>
      </c>
      <c r="R148" s="292">
        <v>14</v>
      </c>
      <c r="S148" s="293">
        <v>16.3</v>
      </c>
      <c r="T148" s="294">
        <v>2.0023148148148148E-3</v>
      </c>
      <c r="U148" s="293">
        <v>1.72</v>
      </c>
      <c r="V148" s="293">
        <v>9</v>
      </c>
    </row>
    <row r="149" spans="12:22" ht="15">
      <c r="L149" s="292">
        <v>13</v>
      </c>
      <c r="M149" s="293">
        <v>15.35</v>
      </c>
      <c r="N149" s="294">
        <v>1.9791666666666668E-3</v>
      </c>
      <c r="O149" s="293">
        <v>1.79</v>
      </c>
      <c r="P149" s="293">
        <v>10.5</v>
      </c>
      <c r="R149" s="292">
        <v>13</v>
      </c>
      <c r="S149" s="293">
        <v>16.350000000000001</v>
      </c>
      <c r="T149" s="294">
        <v>2.0370370370370369E-3</v>
      </c>
      <c r="U149" s="293">
        <v>1.69</v>
      </c>
      <c r="V149" s="293">
        <v>8.5</v>
      </c>
    </row>
    <row r="150" spans="12:22" ht="15">
      <c r="L150" s="292">
        <v>12</v>
      </c>
      <c r="M150" s="293">
        <v>15.4</v>
      </c>
      <c r="N150" s="294">
        <v>2.0138888888888888E-3</v>
      </c>
      <c r="O150" s="293">
        <v>1.76</v>
      </c>
      <c r="P150" s="293">
        <v>10</v>
      </c>
      <c r="R150" s="292">
        <v>12</v>
      </c>
      <c r="S150" s="293">
        <v>16.399999999999999</v>
      </c>
      <c r="T150" s="294">
        <v>2.0717592592592593E-3</v>
      </c>
      <c r="U150" s="293">
        <v>1.66</v>
      </c>
      <c r="V150" s="293">
        <v>8</v>
      </c>
    </row>
    <row r="151" spans="12:22" ht="15">
      <c r="L151" s="292">
        <v>11</v>
      </c>
      <c r="M151" s="293">
        <v>15.45</v>
      </c>
      <c r="N151" s="294">
        <v>2.0486111111111113E-3</v>
      </c>
      <c r="O151" s="293">
        <v>1.73</v>
      </c>
      <c r="P151" s="293">
        <v>9.5</v>
      </c>
      <c r="R151" s="292">
        <v>11</v>
      </c>
      <c r="S151" s="293">
        <v>16.45</v>
      </c>
      <c r="T151" s="294">
        <v>2.1064814814814813E-3</v>
      </c>
      <c r="U151" s="293">
        <v>1.63</v>
      </c>
      <c r="V151" s="293">
        <v>7.5</v>
      </c>
    </row>
    <row r="152" spans="12:22" ht="15">
      <c r="L152" s="292">
        <v>10</v>
      </c>
      <c r="M152" s="293">
        <v>15.5</v>
      </c>
      <c r="N152" s="294">
        <v>2.0833333333333333E-3</v>
      </c>
      <c r="O152" s="293">
        <v>1.7</v>
      </c>
      <c r="P152" s="293">
        <v>9</v>
      </c>
      <c r="R152" s="292">
        <v>10</v>
      </c>
      <c r="S152" s="293">
        <v>16.5</v>
      </c>
      <c r="T152" s="294">
        <v>2.1412037037037038E-3</v>
      </c>
      <c r="U152" s="293">
        <v>1.6</v>
      </c>
      <c r="V152" s="293">
        <v>7</v>
      </c>
    </row>
    <row r="153" spans="12:22" ht="15">
      <c r="L153" s="292">
        <v>9</v>
      </c>
      <c r="M153" s="293">
        <v>16</v>
      </c>
      <c r="N153" s="294">
        <v>2.1412037037037038E-3</v>
      </c>
      <c r="O153" s="293">
        <v>1.65</v>
      </c>
      <c r="P153" s="293">
        <v>8.25</v>
      </c>
      <c r="R153" s="292">
        <v>9</v>
      </c>
      <c r="S153" s="293">
        <v>17</v>
      </c>
      <c r="T153" s="294">
        <v>2.1990740740740742E-3</v>
      </c>
      <c r="U153" s="293">
        <v>1.5</v>
      </c>
      <c r="V153" s="293">
        <v>6.5</v>
      </c>
    </row>
    <row r="154" spans="12:22" ht="15">
      <c r="L154" s="292">
        <v>8</v>
      </c>
      <c r="M154" s="293">
        <v>17</v>
      </c>
      <c r="N154" s="294">
        <v>2.1990740740740742E-3</v>
      </c>
      <c r="O154" s="293">
        <v>1.6</v>
      </c>
      <c r="P154" s="293">
        <v>7.5</v>
      </c>
      <c r="R154" s="292">
        <v>8</v>
      </c>
      <c r="S154" s="293">
        <v>18</v>
      </c>
      <c r="T154" s="294">
        <v>2.2569444444444442E-3</v>
      </c>
      <c r="U154" s="293">
        <v>1.45</v>
      </c>
      <c r="V154" s="293">
        <v>6</v>
      </c>
    </row>
    <row r="155" spans="12:22" ht="15">
      <c r="L155" s="292">
        <v>7</v>
      </c>
      <c r="M155" s="293">
        <v>18</v>
      </c>
      <c r="N155" s="294">
        <v>2.2569444444444442E-3</v>
      </c>
      <c r="O155" s="293">
        <v>1.55</v>
      </c>
      <c r="P155" s="293">
        <v>6.75</v>
      </c>
      <c r="R155" s="292">
        <v>7</v>
      </c>
      <c r="S155" s="293">
        <v>19</v>
      </c>
      <c r="T155" s="294">
        <v>2.3148148148148147E-3</v>
      </c>
      <c r="U155" s="293">
        <v>1.4</v>
      </c>
      <c r="V155" s="293">
        <v>5.25</v>
      </c>
    </row>
    <row r="156" spans="12:22" ht="15">
      <c r="L156" s="292">
        <v>6</v>
      </c>
      <c r="M156" s="293">
        <v>19</v>
      </c>
      <c r="N156" s="294">
        <v>2.3148148148148147E-3</v>
      </c>
      <c r="O156" s="293">
        <v>1.5</v>
      </c>
      <c r="P156" s="293">
        <v>6</v>
      </c>
      <c r="R156" s="292">
        <v>6</v>
      </c>
      <c r="S156" s="293">
        <v>20</v>
      </c>
      <c r="T156" s="294">
        <v>2.3726851851851851E-3</v>
      </c>
      <c r="U156" s="293">
        <v>1.35</v>
      </c>
      <c r="V156" s="293">
        <v>4.5</v>
      </c>
    </row>
    <row r="157" spans="12:22" ht="15">
      <c r="L157" s="292">
        <v>5</v>
      </c>
      <c r="M157" s="293">
        <v>20</v>
      </c>
      <c r="N157" s="294">
        <v>2.3726851851851851E-3</v>
      </c>
      <c r="O157" s="293">
        <v>1.45</v>
      </c>
      <c r="P157" s="293">
        <v>5.25</v>
      </c>
      <c r="R157" s="292">
        <v>5</v>
      </c>
      <c r="S157" s="293">
        <v>21</v>
      </c>
      <c r="T157" s="294">
        <v>2.4305555555555556E-3</v>
      </c>
      <c r="U157" s="293">
        <v>1.3</v>
      </c>
      <c r="V157" s="293">
        <v>3.75</v>
      </c>
    </row>
    <row r="158" spans="12:22" ht="15">
      <c r="L158" s="292">
        <v>4</v>
      </c>
      <c r="M158" s="293">
        <v>21</v>
      </c>
      <c r="N158" s="294">
        <v>2.4305555555555556E-3</v>
      </c>
      <c r="O158" s="293">
        <v>1.4</v>
      </c>
      <c r="P158" s="293">
        <v>4.5</v>
      </c>
      <c r="R158" s="292">
        <v>4</v>
      </c>
      <c r="S158" s="293">
        <v>22</v>
      </c>
      <c r="T158" s="294">
        <v>2.488425925925926E-3</v>
      </c>
      <c r="U158" s="293">
        <v>1.25</v>
      </c>
      <c r="V158" s="293">
        <v>3</v>
      </c>
    </row>
    <row r="159" spans="12:22" ht="15">
      <c r="L159" s="292">
        <v>3</v>
      </c>
      <c r="M159" s="293">
        <v>22</v>
      </c>
      <c r="N159" s="294">
        <v>2.488425925925926E-3</v>
      </c>
      <c r="O159" s="293">
        <v>1.35</v>
      </c>
      <c r="P159" s="293">
        <v>3.75</v>
      </c>
      <c r="R159" s="292">
        <v>3</v>
      </c>
      <c r="S159" s="293">
        <v>23</v>
      </c>
      <c r="T159" s="294">
        <v>2.5462962962962965E-3</v>
      </c>
      <c r="U159" s="293">
        <v>1.2</v>
      </c>
      <c r="V159" s="293">
        <v>2.25</v>
      </c>
    </row>
    <row r="160" spans="12:22" ht="15">
      <c r="L160" s="292">
        <v>2</v>
      </c>
      <c r="M160" s="293">
        <v>23</v>
      </c>
      <c r="N160" s="294">
        <v>2.5462962962962965E-3</v>
      </c>
      <c r="O160" s="293">
        <v>1.3</v>
      </c>
      <c r="P160" s="293">
        <v>3</v>
      </c>
      <c r="R160" s="292">
        <v>2</v>
      </c>
      <c r="S160" s="293">
        <v>24</v>
      </c>
      <c r="T160" s="294">
        <v>2.6041666666666665E-3</v>
      </c>
      <c r="U160" s="293">
        <v>1.1499999999999999</v>
      </c>
      <c r="V160" s="293">
        <v>1.5</v>
      </c>
    </row>
    <row r="161" spans="12:22" ht="15">
      <c r="L161" s="292">
        <v>1</v>
      </c>
      <c r="M161" s="293">
        <v>24</v>
      </c>
      <c r="N161" s="294">
        <v>2.7777777777777779E-3</v>
      </c>
      <c r="O161" s="293">
        <v>1</v>
      </c>
      <c r="P161" s="293">
        <v>1</v>
      </c>
      <c r="R161" s="292">
        <v>1</v>
      </c>
      <c r="S161" s="293">
        <v>25</v>
      </c>
      <c r="T161" s="294">
        <v>2.7777777777777779E-3</v>
      </c>
      <c r="U161" s="293">
        <v>1</v>
      </c>
      <c r="V161" s="293">
        <v>1</v>
      </c>
    </row>
  </sheetData>
  <sheetProtection sheet="1" objects="1" scenarios="1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A8CB6-BAA7-0E45-8F70-A174AA26F8A6}">
  <sheetPr>
    <pageSetUpPr fitToPage="1"/>
  </sheetPr>
  <dimension ref="A1:W467"/>
  <sheetViews>
    <sheetView zoomScale="70" zoomScaleNormal="70" zoomScaleSheetLayoutView="75" workbookViewId="0">
      <pane ySplit="5" topLeftCell="A6" activePane="bottomLeft" state="frozen"/>
      <selection activeCell="F147" sqref="F147"/>
      <selection pane="bottomLeft" activeCell="K407" sqref="K407:O407"/>
    </sheetView>
  </sheetViews>
  <sheetFormatPr baseColWidth="10" defaultColWidth="8.83203125" defaultRowHeight="13"/>
  <cols>
    <col min="1" max="1" width="13.33203125" style="9" customWidth="1"/>
    <col min="2" max="2" width="13.33203125" style="4" customWidth="1"/>
    <col min="3" max="4" width="33.33203125" style="4" customWidth="1"/>
    <col min="5" max="6" width="13.33203125" style="4" customWidth="1"/>
    <col min="7" max="7" width="13.33203125" style="5" customWidth="1"/>
    <col min="8" max="9" width="13.33203125" style="4" customWidth="1"/>
    <col min="10" max="10" width="13.33203125" style="6" customWidth="1"/>
    <col min="11" max="12" width="13.33203125" customWidth="1"/>
    <col min="13" max="13" width="13.33203125" style="15" customWidth="1"/>
    <col min="14" max="15" width="13.33203125" customWidth="1"/>
    <col min="16" max="16" width="13.33203125" style="6" customWidth="1"/>
    <col min="17" max="17" width="13.33203125" customWidth="1"/>
    <col min="18" max="22" width="13.33203125" style="4" customWidth="1"/>
    <col min="23" max="23" width="18.5" style="4" customWidth="1"/>
  </cols>
  <sheetData>
    <row r="1" spans="1:23" s="9" customFormat="1" ht="38" customHeight="1">
      <c r="A1" s="362" t="str">
        <f>'Read Me First'!A1:F1</f>
        <v>Oxfordshire Track and Field League 2026</v>
      </c>
      <c r="B1" s="362"/>
      <c r="C1" s="362"/>
      <c r="D1" s="362"/>
      <c r="E1" s="362"/>
      <c r="F1" s="362"/>
      <c r="G1" s="382" t="s">
        <v>11</v>
      </c>
      <c r="H1" s="382"/>
      <c r="I1" s="382"/>
      <c r="J1" s="382"/>
      <c r="K1" s="361" t="s">
        <v>13</v>
      </c>
      <c r="L1" s="361"/>
      <c r="M1" s="361"/>
      <c r="N1" s="361"/>
      <c r="O1" s="361"/>
      <c r="P1" s="361"/>
      <c r="Q1" s="361"/>
      <c r="R1" s="361" t="s">
        <v>12</v>
      </c>
      <c r="S1" s="361"/>
      <c r="T1" s="361"/>
      <c r="U1" s="361"/>
      <c r="V1" s="361"/>
      <c r="W1" s="54"/>
    </row>
    <row r="2" spans="1:23" s="9" customFormat="1" ht="38" customHeight="1">
      <c r="A2" s="362" t="str">
        <f>'Read Me First'!A2:F2</f>
        <v>QuadKids</v>
      </c>
      <c r="B2" s="362"/>
      <c r="C2" s="362"/>
      <c r="D2" s="362"/>
      <c r="E2" s="362"/>
      <c r="F2" s="362"/>
      <c r="G2" s="363">
        <f>'Read Me First'!C9</f>
        <v>2</v>
      </c>
      <c r="H2" s="363"/>
      <c r="I2" s="363"/>
      <c r="J2" s="363"/>
      <c r="K2" s="361" t="str">
        <f>(VLOOKUP('Read Me First'!F4,'Read Me First'!A22:D24,4,FALSE))</f>
        <v>Banbury</v>
      </c>
      <c r="L2" s="361"/>
      <c r="M2" s="361"/>
      <c r="N2" s="361"/>
      <c r="O2" s="361"/>
      <c r="P2" s="361"/>
      <c r="Q2" s="361"/>
      <c r="R2" s="364">
        <f ca="1">IF(TEXT('Read Me First'!C10,"dd/mm/yy")=TEXT(NOW(),"dd/mm/yy"), TEXT(NOW(),"dd mmmm yyyy") &amp; " (Printed " &amp; TEXT(NOW(),"hh:mm") &amp; ")",'Read Me First'!C10)</f>
        <v>46250</v>
      </c>
      <c r="S2" s="364"/>
      <c r="T2" s="364"/>
      <c r="U2" s="364"/>
      <c r="V2" s="364"/>
      <c r="W2" s="55"/>
    </row>
    <row r="3" spans="1:23" s="4" customFormat="1" ht="10.5" customHeight="1">
      <c r="A3" s="392"/>
      <c r="B3" s="392"/>
      <c r="C3" s="392"/>
      <c r="D3" s="392"/>
      <c r="E3" s="392"/>
      <c r="F3" s="392"/>
      <c r="G3" s="392"/>
      <c r="H3" s="392"/>
      <c r="I3" s="392"/>
      <c r="J3" s="392"/>
      <c r="K3" s="392"/>
      <c r="L3" s="392"/>
      <c r="M3" s="392"/>
      <c r="N3" s="392"/>
      <c r="O3" s="392"/>
      <c r="P3" s="392"/>
      <c r="Q3" s="392"/>
      <c r="R3" s="392"/>
      <c r="S3" s="392"/>
      <c r="T3" s="392"/>
      <c r="U3" s="392"/>
      <c r="V3" s="392"/>
      <c r="W3" s="26"/>
    </row>
    <row r="4" spans="1:23" s="4" customFormat="1" ht="20" customHeight="1">
      <c r="A4" s="386"/>
      <c r="B4" s="386" t="s">
        <v>16</v>
      </c>
      <c r="C4" s="388" t="s">
        <v>91</v>
      </c>
      <c r="D4" s="388" t="s">
        <v>21</v>
      </c>
      <c r="E4" s="388" t="s">
        <v>15</v>
      </c>
      <c r="F4" s="393" t="s">
        <v>155</v>
      </c>
      <c r="G4" s="395" t="s">
        <v>2</v>
      </c>
      <c r="H4" s="396"/>
      <c r="I4" s="397"/>
      <c r="J4" s="395" t="s">
        <v>3</v>
      </c>
      <c r="K4" s="396"/>
      <c r="L4" s="397"/>
      <c r="M4" s="395" t="s">
        <v>26</v>
      </c>
      <c r="N4" s="396"/>
      <c r="O4" s="397"/>
      <c r="P4" s="398" t="s">
        <v>27</v>
      </c>
      <c r="Q4" s="399"/>
      <c r="R4" s="80" t="s">
        <v>1</v>
      </c>
      <c r="S4" s="390" t="s">
        <v>97</v>
      </c>
      <c r="T4" s="391"/>
      <c r="U4" s="390" t="s">
        <v>98</v>
      </c>
      <c r="V4" s="391"/>
      <c r="W4" s="56"/>
    </row>
    <row r="5" spans="1:23" s="4" customFormat="1" ht="20" customHeight="1" thickBot="1">
      <c r="A5" s="387"/>
      <c r="B5" s="387"/>
      <c r="C5" s="389"/>
      <c r="D5" s="389"/>
      <c r="E5" s="389"/>
      <c r="F5" s="394"/>
      <c r="G5" s="141" t="s">
        <v>17</v>
      </c>
      <c r="H5" s="142" t="s">
        <v>1</v>
      </c>
      <c r="I5" s="142" t="s">
        <v>96</v>
      </c>
      <c r="J5" s="143" t="s">
        <v>17</v>
      </c>
      <c r="K5" s="142" t="s">
        <v>1</v>
      </c>
      <c r="L5" s="142" t="s">
        <v>96</v>
      </c>
      <c r="M5" s="141" t="s">
        <v>18</v>
      </c>
      <c r="N5" s="142" t="s">
        <v>1</v>
      </c>
      <c r="O5" s="142" t="s">
        <v>96</v>
      </c>
      <c r="P5" s="141" t="s">
        <v>18</v>
      </c>
      <c r="Q5" s="142" t="s">
        <v>1</v>
      </c>
      <c r="R5" s="135" t="s">
        <v>71</v>
      </c>
      <c r="S5" s="135" t="s">
        <v>150</v>
      </c>
      <c r="T5" s="135" t="s">
        <v>145</v>
      </c>
      <c r="U5" s="135" t="s">
        <v>150</v>
      </c>
      <c r="V5" s="135" t="s">
        <v>145</v>
      </c>
      <c r="W5" s="56"/>
    </row>
    <row r="6" spans="1:23" s="4" customFormat="1" ht="20" customHeight="1">
      <c r="A6" s="383" t="str">
        <f>'Read Me First'!C11</f>
        <v>Abingdon AC</v>
      </c>
      <c r="B6" s="144" t="str" cm="1">
        <f t="array" ref="B6">_xlfn.LET(_xlpm.x, _xlfn._xlws.SORT(_xlfn._xlws.FILTER(Data!$A$378:$U$665,(Data!$C$378:$C$665=$A6)*(Data!$D$378:$D$665=$E$4)*(Data!$E$378:$E$665="U10")),18),_xlpm.y,_xlfn._xlws.SORT(_xlfn._xlws.FILTER(Data!$A$378:$U$665,(Data!$C$378:$C$665=$A6)*(Data!$D$378:$D$665=$E$4)*(Data!$E$378:$E$665="U12")),19), IFERROR(_xlfn.VSTACK(_xlpm.x,_xlpm.y), IFERROR(_xlpm.y,IFERROR(_xlpm.x, ""))))</f>
        <v/>
      </c>
      <c r="C6" s="145"/>
      <c r="D6" s="145"/>
      <c r="E6" s="145"/>
      <c r="F6" s="145"/>
      <c r="G6" s="146"/>
      <c r="H6" s="145"/>
      <c r="I6" s="145"/>
      <c r="J6" s="147"/>
      <c r="K6" s="145"/>
      <c r="L6" s="145"/>
      <c r="M6" s="148"/>
      <c r="N6" s="145"/>
      <c r="O6" s="145"/>
      <c r="P6" s="148"/>
      <c r="Q6" s="145"/>
      <c r="R6" s="145"/>
      <c r="S6" s="145"/>
      <c r="T6" s="145"/>
      <c r="U6" s="145"/>
      <c r="V6" s="149"/>
      <c r="W6" s="140"/>
    </row>
    <row r="7" spans="1:23" ht="20" customHeight="1">
      <c r="A7" s="384"/>
      <c r="B7" s="156"/>
      <c r="C7" s="137"/>
      <c r="D7" s="137"/>
      <c r="E7" s="137"/>
      <c r="F7" s="137"/>
      <c r="G7" s="136"/>
      <c r="H7" s="137"/>
      <c r="I7" s="137"/>
      <c r="J7" s="138"/>
      <c r="K7" s="137"/>
      <c r="L7" s="137"/>
      <c r="M7" s="139"/>
      <c r="N7" s="137"/>
      <c r="O7" s="137"/>
      <c r="P7" s="139"/>
      <c r="Q7" s="137"/>
      <c r="R7" s="137"/>
      <c r="S7" s="137"/>
      <c r="T7" s="137"/>
      <c r="U7" s="137"/>
      <c r="V7" s="150"/>
      <c r="W7" s="26"/>
    </row>
    <row r="8" spans="1:23" ht="20" customHeight="1">
      <c r="A8" s="384"/>
      <c r="B8" s="156"/>
      <c r="C8" s="137"/>
      <c r="D8" s="137"/>
      <c r="E8" s="137"/>
      <c r="F8" s="137"/>
      <c r="G8" s="136"/>
      <c r="H8" s="137"/>
      <c r="I8" s="137"/>
      <c r="J8" s="138"/>
      <c r="K8" s="137"/>
      <c r="L8" s="137"/>
      <c r="M8" s="139"/>
      <c r="N8" s="137"/>
      <c r="O8" s="137"/>
      <c r="P8" s="139"/>
      <c r="Q8" s="137"/>
      <c r="R8" s="137"/>
      <c r="S8" s="137"/>
      <c r="T8" s="137"/>
      <c r="U8" s="137"/>
      <c r="V8" s="150"/>
      <c r="W8" s="26"/>
    </row>
    <row r="9" spans="1:23" ht="20" customHeight="1">
      <c r="A9" s="384"/>
      <c r="B9" s="156"/>
      <c r="C9" s="137"/>
      <c r="D9" s="137"/>
      <c r="E9" s="137"/>
      <c r="F9" s="137"/>
      <c r="G9" s="136"/>
      <c r="H9" s="137"/>
      <c r="I9" s="137"/>
      <c r="J9" s="138"/>
      <c r="K9" s="137"/>
      <c r="L9" s="137"/>
      <c r="M9" s="139"/>
      <c r="N9" s="137"/>
      <c r="O9" s="137"/>
      <c r="P9" s="139"/>
      <c r="Q9" s="137"/>
      <c r="R9" s="137"/>
      <c r="S9" s="137"/>
      <c r="T9" s="137"/>
      <c r="U9" s="137"/>
      <c r="V9" s="150"/>
      <c r="W9" s="26"/>
    </row>
    <row r="10" spans="1:23" ht="20" customHeight="1">
      <c r="A10" s="384"/>
      <c r="B10" s="156"/>
      <c r="C10" s="137"/>
      <c r="D10" s="137"/>
      <c r="E10" s="137"/>
      <c r="F10" s="137"/>
      <c r="G10" s="136"/>
      <c r="H10" s="137"/>
      <c r="I10" s="137"/>
      <c r="J10" s="138"/>
      <c r="K10" s="137"/>
      <c r="L10" s="137"/>
      <c r="M10" s="139"/>
      <c r="N10" s="137"/>
      <c r="O10" s="137"/>
      <c r="P10" s="139"/>
      <c r="Q10" s="137"/>
      <c r="R10" s="137"/>
      <c r="S10" s="137"/>
      <c r="T10" s="137"/>
      <c r="U10" s="137"/>
      <c r="V10" s="150"/>
      <c r="W10" s="26"/>
    </row>
    <row r="11" spans="1:23" ht="20" customHeight="1">
      <c r="A11" s="384"/>
      <c r="B11" s="156"/>
      <c r="C11" s="137"/>
      <c r="D11" s="137"/>
      <c r="E11" s="137"/>
      <c r="F11" s="137"/>
      <c r="G11" s="136"/>
      <c r="H11" s="137"/>
      <c r="I11" s="137"/>
      <c r="J11" s="138"/>
      <c r="K11" s="137"/>
      <c r="L11" s="137"/>
      <c r="M11" s="139"/>
      <c r="N11" s="137"/>
      <c r="O11" s="137"/>
      <c r="P11" s="139"/>
      <c r="Q11" s="137"/>
      <c r="R11" s="137"/>
      <c r="S11" s="137"/>
      <c r="T11" s="137"/>
      <c r="U11" s="137"/>
      <c r="V11" s="150"/>
      <c r="W11" s="26"/>
    </row>
    <row r="12" spans="1:23" ht="20" customHeight="1">
      <c r="A12" s="384"/>
      <c r="B12" s="156"/>
      <c r="C12" s="137"/>
      <c r="D12" s="137"/>
      <c r="E12" s="137"/>
      <c r="F12" s="137"/>
      <c r="G12" s="136"/>
      <c r="H12" s="137"/>
      <c r="I12" s="137"/>
      <c r="J12" s="138"/>
      <c r="K12" s="137"/>
      <c r="L12" s="137"/>
      <c r="M12" s="139"/>
      <c r="N12" s="137"/>
      <c r="O12" s="137"/>
      <c r="P12" s="139"/>
      <c r="Q12" s="137"/>
      <c r="R12" s="137"/>
      <c r="S12" s="137"/>
      <c r="T12" s="137"/>
      <c r="U12" s="137"/>
      <c r="V12" s="150"/>
      <c r="W12" s="26"/>
    </row>
    <row r="13" spans="1:23" ht="20" customHeight="1">
      <c r="A13" s="384"/>
      <c r="B13" s="156"/>
      <c r="C13" s="137"/>
      <c r="D13" s="137"/>
      <c r="E13" s="137"/>
      <c r="F13" s="137"/>
      <c r="G13" s="136"/>
      <c r="H13" s="137"/>
      <c r="I13" s="137"/>
      <c r="J13" s="138"/>
      <c r="K13" s="137"/>
      <c r="L13" s="137"/>
      <c r="M13" s="139"/>
      <c r="N13" s="137"/>
      <c r="O13" s="137"/>
      <c r="P13" s="139"/>
      <c r="Q13" s="137"/>
      <c r="R13" s="137"/>
      <c r="S13" s="137"/>
      <c r="T13" s="137"/>
      <c r="U13" s="137"/>
      <c r="V13" s="150"/>
      <c r="W13" s="26"/>
    </row>
    <row r="14" spans="1:23" ht="20" customHeight="1">
      <c r="A14" s="384"/>
      <c r="B14" s="156"/>
      <c r="C14" s="137"/>
      <c r="D14" s="137"/>
      <c r="E14" s="137"/>
      <c r="F14" s="137"/>
      <c r="G14" s="136"/>
      <c r="H14" s="137"/>
      <c r="I14" s="137"/>
      <c r="J14" s="138"/>
      <c r="K14" s="137"/>
      <c r="L14" s="137"/>
      <c r="M14" s="139"/>
      <c r="N14" s="137"/>
      <c r="O14" s="137"/>
      <c r="P14" s="139"/>
      <c r="Q14" s="137"/>
      <c r="R14" s="137"/>
      <c r="S14" s="137"/>
      <c r="T14" s="137"/>
      <c r="U14" s="137"/>
      <c r="V14" s="150"/>
      <c r="W14" s="26"/>
    </row>
    <row r="15" spans="1:23" ht="20" customHeight="1">
      <c r="A15" s="384"/>
      <c r="B15" s="156"/>
      <c r="C15" s="137"/>
      <c r="D15" s="137"/>
      <c r="E15" s="137"/>
      <c r="F15" s="137"/>
      <c r="G15" s="136"/>
      <c r="H15" s="137"/>
      <c r="I15" s="137"/>
      <c r="J15" s="138"/>
      <c r="K15" s="137"/>
      <c r="L15" s="137"/>
      <c r="M15" s="139"/>
      <c r="N15" s="137"/>
      <c r="O15" s="137"/>
      <c r="P15" s="139"/>
      <c r="Q15" s="137"/>
      <c r="R15" s="137"/>
      <c r="S15" s="137"/>
      <c r="T15" s="137"/>
      <c r="U15" s="137"/>
      <c r="V15" s="150"/>
      <c r="W15" s="26"/>
    </row>
    <row r="16" spans="1:23" ht="20" customHeight="1">
      <c r="A16" s="384"/>
      <c r="B16" s="156"/>
      <c r="C16" s="137"/>
      <c r="D16" s="137"/>
      <c r="E16" s="137"/>
      <c r="F16" s="137"/>
      <c r="G16" s="136"/>
      <c r="H16" s="137"/>
      <c r="I16" s="137"/>
      <c r="J16" s="138"/>
      <c r="K16" s="137"/>
      <c r="L16" s="137"/>
      <c r="M16" s="139"/>
      <c r="N16" s="137"/>
      <c r="O16" s="137"/>
      <c r="P16" s="139"/>
      <c r="Q16" s="137"/>
      <c r="R16" s="137"/>
      <c r="S16" s="137"/>
      <c r="T16" s="137"/>
      <c r="U16" s="137"/>
      <c r="V16" s="150"/>
      <c r="W16" s="26"/>
    </row>
    <row r="17" spans="1:23" ht="20" customHeight="1">
      <c r="A17" s="384"/>
      <c r="B17" s="156"/>
      <c r="C17" s="137"/>
      <c r="D17" s="137"/>
      <c r="E17" s="137"/>
      <c r="F17" s="137"/>
      <c r="G17" s="136"/>
      <c r="H17" s="137"/>
      <c r="I17" s="137"/>
      <c r="J17" s="138"/>
      <c r="K17" s="137"/>
      <c r="L17" s="137"/>
      <c r="M17" s="139"/>
      <c r="N17" s="137"/>
      <c r="O17" s="137"/>
      <c r="P17" s="139"/>
      <c r="Q17" s="137"/>
      <c r="R17" s="137"/>
      <c r="S17" s="137"/>
      <c r="T17" s="137"/>
      <c r="U17" s="137"/>
      <c r="V17" s="150"/>
      <c r="W17" s="26"/>
    </row>
    <row r="18" spans="1:23" ht="20" customHeight="1">
      <c r="A18" s="384"/>
      <c r="B18" s="156"/>
      <c r="C18" s="137"/>
      <c r="D18" s="137"/>
      <c r="E18" s="137"/>
      <c r="F18" s="137"/>
      <c r="G18" s="136"/>
      <c r="H18" s="137"/>
      <c r="I18" s="137"/>
      <c r="J18" s="138"/>
      <c r="K18" s="137"/>
      <c r="L18" s="137"/>
      <c r="M18" s="139"/>
      <c r="N18" s="137"/>
      <c r="O18" s="137"/>
      <c r="P18" s="139"/>
      <c r="Q18" s="137"/>
      <c r="R18" s="137"/>
      <c r="S18" s="137"/>
      <c r="T18" s="137"/>
      <c r="U18" s="137"/>
      <c r="V18" s="150"/>
      <c r="W18" s="26"/>
    </row>
    <row r="19" spans="1:23" ht="20" customHeight="1">
      <c r="A19" s="384"/>
      <c r="B19" s="156"/>
      <c r="C19" s="137"/>
      <c r="D19" s="137"/>
      <c r="E19" s="137"/>
      <c r="F19" s="137"/>
      <c r="G19" s="136"/>
      <c r="H19" s="137"/>
      <c r="I19" s="137"/>
      <c r="J19" s="138"/>
      <c r="K19" s="137"/>
      <c r="L19" s="137"/>
      <c r="M19" s="139"/>
      <c r="N19" s="137"/>
      <c r="O19" s="137"/>
      <c r="P19" s="139"/>
      <c r="Q19" s="137"/>
      <c r="R19" s="137"/>
      <c r="S19" s="137"/>
      <c r="T19" s="137"/>
      <c r="U19" s="137"/>
      <c r="V19" s="150"/>
      <c r="W19" s="26"/>
    </row>
    <row r="20" spans="1:23" ht="20" customHeight="1">
      <c r="A20" s="384"/>
      <c r="B20" s="156"/>
      <c r="C20" s="137"/>
      <c r="D20" s="137"/>
      <c r="E20" s="137"/>
      <c r="F20" s="137"/>
      <c r="G20" s="136"/>
      <c r="H20" s="137"/>
      <c r="I20" s="137"/>
      <c r="J20" s="138"/>
      <c r="K20" s="137"/>
      <c r="L20" s="137"/>
      <c r="M20" s="139"/>
      <c r="N20" s="137"/>
      <c r="O20" s="137"/>
      <c r="P20" s="139"/>
      <c r="Q20" s="137"/>
      <c r="R20" s="137"/>
      <c r="S20" s="137"/>
      <c r="T20" s="137"/>
      <c r="U20" s="137"/>
      <c r="V20" s="150"/>
      <c r="W20" s="26"/>
    </row>
    <row r="21" spans="1:23" ht="20" customHeight="1">
      <c r="A21" s="384"/>
      <c r="B21" s="156"/>
      <c r="C21" s="137"/>
      <c r="D21" s="137"/>
      <c r="E21" s="137"/>
      <c r="F21" s="137"/>
      <c r="G21" s="136"/>
      <c r="H21" s="137"/>
      <c r="I21" s="137"/>
      <c r="J21" s="138"/>
      <c r="K21" s="137"/>
      <c r="L21" s="137"/>
      <c r="M21" s="139"/>
      <c r="N21" s="137"/>
      <c r="O21" s="137"/>
      <c r="P21" s="139"/>
      <c r="Q21" s="137"/>
      <c r="R21" s="137"/>
      <c r="S21" s="137"/>
      <c r="T21" s="137"/>
      <c r="U21" s="137"/>
      <c r="V21" s="150"/>
      <c r="W21" s="26"/>
    </row>
    <row r="22" spans="1:23" ht="20" customHeight="1">
      <c r="A22" s="384"/>
      <c r="B22" s="156"/>
      <c r="C22" s="137"/>
      <c r="D22" s="137"/>
      <c r="E22" s="137"/>
      <c r="F22" s="137"/>
      <c r="G22" s="136"/>
      <c r="H22" s="137"/>
      <c r="I22" s="137"/>
      <c r="J22" s="138"/>
      <c r="K22" s="137"/>
      <c r="L22" s="137"/>
      <c r="M22" s="139"/>
      <c r="N22" s="137"/>
      <c r="O22" s="137"/>
      <c r="P22" s="139"/>
      <c r="Q22" s="137"/>
      <c r="R22" s="137"/>
      <c r="S22" s="137"/>
      <c r="T22" s="137"/>
      <c r="U22" s="137"/>
      <c r="V22" s="150"/>
      <c r="W22" s="26"/>
    </row>
    <row r="23" spans="1:23" ht="20" customHeight="1">
      <c r="A23" s="384"/>
      <c r="B23" s="156"/>
      <c r="C23" s="137"/>
      <c r="D23" s="137"/>
      <c r="E23" s="137"/>
      <c r="F23" s="137"/>
      <c r="G23" s="136"/>
      <c r="H23" s="137"/>
      <c r="I23" s="137"/>
      <c r="J23" s="138"/>
      <c r="K23" s="137"/>
      <c r="L23" s="137"/>
      <c r="M23" s="139"/>
      <c r="N23" s="137"/>
      <c r="O23" s="137"/>
      <c r="P23" s="139"/>
      <c r="Q23" s="137"/>
      <c r="R23" s="137"/>
      <c r="S23" s="137"/>
      <c r="T23" s="137"/>
      <c r="U23" s="137"/>
      <c r="V23" s="150"/>
      <c r="W23" s="26"/>
    </row>
    <row r="24" spans="1:23" ht="20" customHeight="1">
      <c r="A24" s="384"/>
      <c r="B24" s="156"/>
      <c r="C24" s="137"/>
      <c r="D24" s="137"/>
      <c r="E24" s="137"/>
      <c r="F24" s="137"/>
      <c r="G24" s="136"/>
      <c r="H24" s="137"/>
      <c r="I24" s="137"/>
      <c r="J24" s="138"/>
      <c r="K24" s="137"/>
      <c r="L24" s="137"/>
      <c r="M24" s="139"/>
      <c r="N24" s="137"/>
      <c r="O24" s="137"/>
      <c r="P24" s="139"/>
      <c r="Q24" s="137"/>
      <c r="R24" s="137"/>
      <c r="S24" s="137"/>
      <c r="T24" s="137"/>
      <c r="U24" s="137"/>
      <c r="V24" s="150"/>
      <c r="W24" s="26"/>
    </row>
    <row r="25" spans="1:23" ht="20" customHeight="1" thickBot="1">
      <c r="A25" s="385"/>
      <c r="B25" s="157"/>
      <c r="C25" s="151"/>
      <c r="D25" s="151"/>
      <c r="E25" s="151"/>
      <c r="F25" s="151"/>
      <c r="G25" s="152"/>
      <c r="H25" s="151"/>
      <c r="I25" s="151"/>
      <c r="J25" s="153"/>
      <c r="K25" s="151"/>
      <c r="L25" s="151"/>
      <c r="M25" s="154"/>
      <c r="N25" s="151"/>
      <c r="O25" s="151"/>
      <c r="P25" s="154"/>
      <c r="Q25" s="151"/>
      <c r="R25" s="151"/>
      <c r="S25" s="151"/>
      <c r="T25" s="151"/>
      <c r="U25" s="151"/>
      <c r="V25" s="155"/>
      <c r="W25" s="26"/>
    </row>
    <row r="26" spans="1:23" ht="20" customHeight="1">
      <c r="A26" s="383" t="str">
        <f>'Read Me First'!C12</f>
        <v>Banbury Harriers AC</v>
      </c>
      <c r="B26" s="144" t="str" cm="1">
        <f t="array" ref="B26">_xlfn.LET(_xlpm.x, _xlfn._xlws.SORT(_xlfn._xlws.FILTER(Data!$A$378:$U$665,(Data!$C$378:$C$665=$A26)*(Data!$D$378:$D$665=$E$4)*(Data!$E$378:$E$665="U10")),18),_xlpm.y,_xlfn._xlws.SORT(_xlfn._xlws.FILTER(Data!$A$378:$U$665,(Data!$C$378:$C$665=$A26)*(Data!$D$378:$D$665=$E$4)*(Data!$E$378:$E$665="U12")),19), IFERROR(_xlfn.VSTACK(_xlpm.x,_xlpm.y), IFERROR(_xlpm.y,IFERROR(_xlpm.x, ""))))</f>
        <v/>
      </c>
      <c r="C26" s="145"/>
      <c r="D26" s="145"/>
      <c r="E26" s="145"/>
      <c r="F26" s="145"/>
      <c r="G26" s="146"/>
      <c r="H26" s="145"/>
      <c r="I26" s="145"/>
      <c r="J26" s="147"/>
      <c r="K26" s="145"/>
      <c r="L26" s="145"/>
      <c r="M26" s="148"/>
      <c r="N26" s="145"/>
      <c r="O26" s="145"/>
      <c r="P26" s="148"/>
      <c r="Q26" s="145"/>
      <c r="R26" s="145"/>
      <c r="S26" s="145"/>
      <c r="T26" s="145"/>
      <c r="U26" s="145"/>
      <c r="V26" s="149"/>
      <c r="W26" s="26"/>
    </row>
    <row r="27" spans="1:23" s="4" customFormat="1" ht="20" customHeight="1">
      <c r="A27" s="384"/>
      <c r="B27" s="156"/>
      <c r="C27" s="137"/>
      <c r="D27" s="137"/>
      <c r="E27" s="137"/>
      <c r="F27" s="137"/>
      <c r="G27" s="136"/>
      <c r="H27" s="137"/>
      <c r="I27" s="137"/>
      <c r="J27" s="138"/>
      <c r="K27" s="137"/>
      <c r="L27" s="137"/>
      <c r="M27" s="139"/>
      <c r="N27" s="137"/>
      <c r="O27" s="137"/>
      <c r="P27" s="139"/>
      <c r="Q27" s="137"/>
      <c r="R27" s="137"/>
      <c r="S27" s="137"/>
      <c r="T27" s="137"/>
      <c r="U27" s="137"/>
      <c r="V27" s="150"/>
      <c r="W27" s="140"/>
    </row>
    <row r="28" spans="1:23" ht="20" customHeight="1">
      <c r="A28" s="384"/>
      <c r="B28" s="156"/>
      <c r="C28" s="137"/>
      <c r="D28" s="137"/>
      <c r="E28" s="137"/>
      <c r="F28" s="137"/>
      <c r="G28" s="136"/>
      <c r="H28" s="137"/>
      <c r="I28" s="137"/>
      <c r="J28" s="138"/>
      <c r="K28" s="137"/>
      <c r="L28" s="137"/>
      <c r="M28" s="139"/>
      <c r="N28" s="137"/>
      <c r="O28" s="137"/>
      <c r="P28" s="139"/>
      <c r="Q28" s="137"/>
      <c r="R28" s="137"/>
      <c r="S28" s="137"/>
      <c r="T28" s="137"/>
      <c r="U28" s="137"/>
      <c r="V28" s="150"/>
      <c r="W28" s="26"/>
    </row>
    <row r="29" spans="1:23" ht="20" customHeight="1">
      <c r="A29" s="384"/>
      <c r="B29" s="156"/>
      <c r="C29" s="137"/>
      <c r="D29" s="137"/>
      <c r="E29" s="137"/>
      <c r="F29" s="137"/>
      <c r="G29" s="136"/>
      <c r="H29" s="137"/>
      <c r="I29" s="137"/>
      <c r="J29" s="138"/>
      <c r="K29" s="137"/>
      <c r="L29" s="137"/>
      <c r="M29" s="139"/>
      <c r="N29" s="137"/>
      <c r="O29" s="137"/>
      <c r="P29" s="139"/>
      <c r="Q29" s="137"/>
      <c r="R29" s="137"/>
      <c r="S29" s="137"/>
      <c r="T29" s="137"/>
      <c r="U29" s="137"/>
      <c r="V29" s="150"/>
      <c r="W29" s="26"/>
    </row>
    <row r="30" spans="1:23" ht="20" customHeight="1">
      <c r="A30" s="384"/>
      <c r="B30" s="156"/>
      <c r="C30" s="137"/>
      <c r="D30" s="137"/>
      <c r="E30" s="137"/>
      <c r="F30" s="137"/>
      <c r="G30" s="136"/>
      <c r="H30" s="137"/>
      <c r="I30" s="137"/>
      <c r="J30" s="138"/>
      <c r="K30" s="137"/>
      <c r="L30" s="137"/>
      <c r="M30" s="139"/>
      <c r="N30" s="137"/>
      <c r="O30" s="137"/>
      <c r="P30" s="139"/>
      <c r="Q30" s="137"/>
      <c r="R30" s="137"/>
      <c r="S30" s="137"/>
      <c r="T30" s="137"/>
      <c r="U30" s="137"/>
      <c r="V30" s="150"/>
      <c r="W30" s="26"/>
    </row>
    <row r="31" spans="1:23" ht="20" customHeight="1">
      <c r="A31" s="384"/>
      <c r="B31" s="156"/>
      <c r="C31" s="137"/>
      <c r="D31" s="137"/>
      <c r="E31" s="137"/>
      <c r="F31" s="137"/>
      <c r="G31" s="136"/>
      <c r="H31" s="137"/>
      <c r="I31" s="137"/>
      <c r="J31" s="138"/>
      <c r="K31" s="137"/>
      <c r="L31" s="137"/>
      <c r="M31" s="139"/>
      <c r="N31" s="137"/>
      <c r="O31" s="137"/>
      <c r="P31" s="139"/>
      <c r="Q31" s="137"/>
      <c r="R31" s="137"/>
      <c r="S31" s="137"/>
      <c r="T31" s="137"/>
      <c r="U31" s="137"/>
      <c r="V31" s="150"/>
      <c r="W31" s="26"/>
    </row>
    <row r="32" spans="1:23" ht="20" customHeight="1">
      <c r="A32" s="384"/>
      <c r="B32" s="156"/>
      <c r="C32" s="137"/>
      <c r="D32" s="137"/>
      <c r="E32" s="137"/>
      <c r="F32" s="137"/>
      <c r="G32" s="136"/>
      <c r="H32" s="137"/>
      <c r="I32" s="137"/>
      <c r="J32" s="138"/>
      <c r="K32" s="137"/>
      <c r="L32" s="137"/>
      <c r="M32" s="139"/>
      <c r="N32" s="137"/>
      <c r="O32" s="137"/>
      <c r="P32" s="139"/>
      <c r="Q32" s="137"/>
      <c r="R32" s="137"/>
      <c r="S32" s="137"/>
      <c r="T32" s="137"/>
      <c r="U32" s="137"/>
      <c r="V32" s="150"/>
      <c r="W32" s="26"/>
    </row>
    <row r="33" spans="1:23" ht="20" customHeight="1">
      <c r="A33" s="384"/>
      <c r="B33" s="156"/>
      <c r="C33" s="137"/>
      <c r="D33" s="137"/>
      <c r="E33" s="137"/>
      <c r="F33" s="137"/>
      <c r="G33" s="136"/>
      <c r="H33" s="137"/>
      <c r="I33" s="137"/>
      <c r="J33" s="138"/>
      <c r="K33" s="137"/>
      <c r="L33" s="137"/>
      <c r="M33" s="139"/>
      <c r="N33" s="137"/>
      <c r="O33" s="137"/>
      <c r="P33" s="139"/>
      <c r="Q33" s="137"/>
      <c r="R33" s="137"/>
      <c r="S33" s="137"/>
      <c r="T33" s="137"/>
      <c r="U33" s="137"/>
      <c r="V33" s="150"/>
      <c r="W33" s="26"/>
    </row>
    <row r="34" spans="1:23" ht="20" customHeight="1">
      <c r="A34" s="384"/>
      <c r="B34" s="156"/>
      <c r="C34" s="137"/>
      <c r="D34" s="137"/>
      <c r="E34" s="137"/>
      <c r="F34" s="137"/>
      <c r="G34" s="136"/>
      <c r="H34" s="137"/>
      <c r="I34" s="137"/>
      <c r="J34" s="138"/>
      <c r="K34" s="137"/>
      <c r="L34" s="137"/>
      <c r="M34" s="139"/>
      <c r="N34" s="137"/>
      <c r="O34" s="137"/>
      <c r="P34" s="139"/>
      <c r="Q34" s="137"/>
      <c r="R34" s="137"/>
      <c r="S34" s="137"/>
      <c r="T34" s="137"/>
      <c r="U34" s="137"/>
      <c r="V34" s="150"/>
      <c r="W34" s="26"/>
    </row>
    <row r="35" spans="1:23" ht="20" customHeight="1">
      <c r="A35" s="384"/>
      <c r="B35" s="156"/>
      <c r="C35" s="137"/>
      <c r="D35" s="137"/>
      <c r="E35" s="137"/>
      <c r="F35" s="137"/>
      <c r="G35" s="136"/>
      <c r="H35" s="137"/>
      <c r="I35" s="137"/>
      <c r="J35" s="138"/>
      <c r="K35" s="137"/>
      <c r="L35" s="137"/>
      <c r="M35" s="139"/>
      <c r="N35" s="137"/>
      <c r="O35" s="137"/>
      <c r="P35" s="139"/>
      <c r="Q35" s="137"/>
      <c r="R35" s="137"/>
      <c r="S35" s="137"/>
      <c r="T35" s="137"/>
      <c r="U35" s="137"/>
      <c r="V35" s="150"/>
      <c r="W35" s="26"/>
    </row>
    <row r="36" spans="1:23" ht="20" customHeight="1">
      <c r="A36" s="384"/>
      <c r="B36" s="156"/>
      <c r="C36" s="137"/>
      <c r="D36" s="137"/>
      <c r="E36" s="137"/>
      <c r="F36" s="137"/>
      <c r="G36" s="136"/>
      <c r="H36" s="137"/>
      <c r="I36" s="137"/>
      <c r="J36" s="138"/>
      <c r="K36" s="137"/>
      <c r="L36" s="137"/>
      <c r="M36" s="139"/>
      <c r="N36" s="137"/>
      <c r="O36" s="137"/>
      <c r="P36" s="139"/>
      <c r="Q36" s="137"/>
      <c r="R36" s="137"/>
      <c r="S36" s="137"/>
      <c r="T36" s="137"/>
      <c r="U36" s="137"/>
      <c r="V36" s="150"/>
      <c r="W36" s="26"/>
    </row>
    <row r="37" spans="1:23" ht="20" customHeight="1">
      <c r="A37" s="384"/>
      <c r="B37" s="156"/>
      <c r="C37" s="137"/>
      <c r="D37" s="137"/>
      <c r="E37" s="137"/>
      <c r="F37" s="137"/>
      <c r="G37" s="136"/>
      <c r="H37" s="137"/>
      <c r="I37" s="137"/>
      <c r="J37" s="138"/>
      <c r="K37" s="137"/>
      <c r="L37" s="137"/>
      <c r="M37" s="139"/>
      <c r="N37" s="137"/>
      <c r="O37" s="137"/>
      <c r="P37" s="139"/>
      <c r="Q37" s="137"/>
      <c r="R37" s="137"/>
      <c r="S37" s="137"/>
      <c r="T37" s="137"/>
      <c r="U37" s="137"/>
      <c r="V37" s="150"/>
      <c r="W37" s="26"/>
    </row>
    <row r="38" spans="1:23" ht="20" customHeight="1">
      <c r="A38" s="384"/>
      <c r="B38" s="156"/>
      <c r="C38" s="137"/>
      <c r="D38" s="137"/>
      <c r="E38" s="137"/>
      <c r="F38" s="137"/>
      <c r="G38" s="136"/>
      <c r="H38" s="137"/>
      <c r="I38" s="137"/>
      <c r="J38" s="138"/>
      <c r="K38" s="137"/>
      <c r="L38" s="137"/>
      <c r="M38" s="139"/>
      <c r="N38" s="137"/>
      <c r="O38" s="137"/>
      <c r="P38" s="139"/>
      <c r="Q38" s="137"/>
      <c r="R38" s="137"/>
      <c r="S38" s="137"/>
      <c r="T38" s="137"/>
      <c r="U38" s="137"/>
      <c r="V38" s="150"/>
      <c r="W38" s="26"/>
    </row>
    <row r="39" spans="1:23" ht="20" customHeight="1">
      <c r="A39" s="384"/>
      <c r="B39" s="156"/>
      <c r="C39" s="137"/>
      <c r="D39" s="137"/>
      <c r="E39" s="137"/>
      <c r="F39" s="137"/>
      <c r="G39" s="136"/>
      <c r="H39" s="137"/>
      <c r="I39" s="137"/>
      <c r="J39" s="138"/>
      <c r="K39" s="137"/>
      <c r="L39" s="137"/>
      <c r="M39" s="139"/>
      <c r="N39" s="137"/>
      <c r="O39" s="137"/>
      <c r="P39" s="139"/>
      <c r="Q39" s="137"/>
      <c r="R39" s="137"/>
      <c r="S39" s="137"/>
      <c r="T39" s="137"/>
      <c r="U39" s="137"/>
      <c r="V39" s="150"/>
      <c r="W39" s="26"/>
    </row>
    <row r="40" spans="1:23" ht="20" customHeight="1">
      <c r="A40" s="384"/>
      <c r="B40" s="156"/>
      <c r="C40" s="137"/>
      <c r="D40" s="137"/>
      <c r="E40" s="137"/>
      <c r="F40" s="137"/>
      <c r="G40" s="136"/>
      <c r="H40" s="137"/>
      <c r="I40" s="137"/>
      <c r="J40" s="138"/>
      <c r="K40" s="137"/>
      <c r="L40" s="137"/>
      <c r="M40" s="139"/>
      <c r="N40" s="137"/>
      <c r="O40" s="137"/>
      <c r="P40" s="139"/>
      <c r="Q40" s="137"/>
      <c r="R40" s="137"/>
      <c r="S40" s="137"/>
      <c r="T40" s="137"/>
      <c r="U40" s="137"/>
      <c r="V40" s="150"/>
      <c r="W40" s="26"/>
    </row>
    <row r="41" spans="1:23" ht="20" customHeight="1">
      <c r="A41" s="384"/>
      <c r="B41" s="156"/>
      <c r="C41" s="137"/>
      <c r="D41" s="137"/>
      <c r="E41" s="137"/>
      <c r="F41" s="137"/>
      <c r="G41" s="136"/>
      <c r="H41" s="137"/>
      <c r="I41" s="137"/>
      <c r="J41" s="138"/>
      <c r="K41" s="137"/>
      <c r="L41" s="137"/>
      <c r="M41" s="139"/>
      <c r="N41" s="137"/>
      <c r="O41" s="137"/>
      <c r="P41" s="139"/>
      <c r="Q41" s="137"/>
      <c r="R41" s="137"/>
      <c r="S41" s="137"/>
      <c r="T41" s="137"/>
      <c r="U41" s="137"/>
      <c r="V41" s="150"/>
      <c r="W41" s="26"/>
    </row>
    <row r="42" spans="1:23" ht="20" customHeight="1">
      <c r="A42" s="384"/>
      <c r="B42" s="156"/>
      <c r="C42" s="137"/>
      <c r="D42" s="137"/>
      <c r="E42" s="137"/>
      <c r="F42" s="137"/>
      <c r="G42" s="136"/>
      <c r="H42" s="137"/>
      <c r="I42" s="137"/>
      <c r="J42" s="138"/>
      <c r="K42" s="137"/>
      <c r="L42" s="137"/>
      <c r="M42" s="139"/>
      <c r="N42" s="137"/>
      <c r="O42" s="137"/>
      <c r="P42" s="139"/>
      <c r="Q42" s="137"/>
      <c r="R42" s="137"/>
      <c r="S42" s="137"/>
      <c r="T42" s="137"/>
      <c r="U42" s="137"/>
      <c r="V42" s="150"/>
      <c r="W42" s="26"/>
    </row>
    <row r="43" spans="1:23" ht="20" customHeight="1">
      <c r="A43" s="384"/>
      <c r="B43" s="156"/>
      <c r="C43" s="137"/>
      <c r="D43" s="137"/>
      <c r="E43" s="137"/>
      <c r="F43" s="137"/>
      <c r="G43" s="136"/>
      <c r="H43" s="137"/>
      <c r="I43" s="137"/>
      <c r="J43" s="138"/>
      <c r="K43" s="137"/>
      <c r="L43" s="137"/>
      <c r="M43" s="139"/>
      <c r="N43" s="137"/>
      <c r="O43" s="137"/>
      <c r="P43" s="139"/>
      <c r="Q43" s="137"/>
      <c r="R43" s="137"/>
      <c r="S43" s="137"/>
      <c r="T43" s="137"/>
      <c r="U43" s="137"/>
      <c r="V43" s="150"/>
      <c r="W43" s="26"/>
    </row>
    <row r="44" spans="1:23" ht="20" customHeight="1">
      <c r="A44" s="384"/>
      <c r="B44" s="156"/>
      <c r="C44" s="137"/>
      <c r="D44" s="137"/>
      <c r="E44" s="137"/>
      <c r="F44" s="137"/>
      <c r="G44" s="136"/>
      <c r="H44" s="137"/>
      <c r="I44" s="137"/>
      <c r="J44" s="138"/>
      <c r="K44" s="137"/>
      <c r="L44" s="137"/>
      <c r="M44" s="139"/>
      <c r="N44" s="137"/>
      <c r="O44" s="137"/>
      <c r="P44" s="139"/>
      <c r="Q44" s="137"/>
      <c r="R44" s="137"/>
      <c r="S44" s="137"/>
      <c r="T44" s="137"/>
      <c r="U44" s="137"/>
      <c r="V44" s="150"/>
      <c r="W44" s="26"/>
    </row>
    <row r="45" spans="1:23" ht="20" customHeight="1" thickBot="1">
      <c r="A45" s="385"/>
      <c r="B45" s="157"/>
      <c r="C45" s="151"/>
      <c r="D45" s="151"/>
      <c r="E45" s="151"/>
      <c r="F45" s="151"/>
      <c r="G45" s="152"/>
      <c r="H45" s="151"/>
      <c r="I45" s="151"/>
      <c r="J45" s="153"/>
      <c r="K45" s="151"/>
      <c r="L45" s="151"/>
      <c r="M45" s="154"/>
      <c r="N45" s="151"/>
      <c r="O45" s="151"/>
      <c r="P45" s="154"/>
      <c r="Q45" s="151"/>
      <c r="R45" s="151"/>
      <c r="S45" s="151"/>
      <c r="T45" s="151"/>
      <c r="U45" s="151"/>
      <c r="V45" s="155"/>
      <c r="W45" s="26"/>
    </row>
    <row r="46" spans="1:23" ht="20" customHeight="1">
      <c r="A46" s="383" t="str">
        <f>'Read Me First'!C13</f>
        <v>Bicester AC</v>
      </c>
      <c r="B46" s="144" t="str" cm="1">
        <f t="array" ref="B46">_xlfn.LET(_xlpm.x, _xlfn._xlws.SORT(_xlfn._xlws.FILTER(Data!$A$378:$U$665,(Data!$C$378:$C$665=$A46)*(Data!$D$378:$D$665=$E$4)*(Data!$E$378:$E$665="U10")),18),_xlpm.y,_xlfn._xlws.SORT(_xlfn._xlws.FILTER(Data!$A$378:$U$665,(Data!$C$378:$C$665=$A46)*(Data!$D$378:$D$665=$E$4)*(Data!$E$378:$E$665="U12")),19), IFERROR(_xlfn.VSTACK(_xlpm.x,_xlpm.y), IFERROR(_xlpm.y,IFERROR(_xlpm.x, ""))))</f>
        <v/>
      </c>
      <c r="C46" s="145"/>
      <c r="D46" s="145"/>
      <c r="E46" s="145"/>
      <c r="F46" s="145"/>
      <c r="G46" s="146"/>
      <c r="H46" s="145"/>
      <c r="I46" s="145"/>
      <c r="J46" s="147"/>
      <c r="K46" s="145"/>
      <c r="L46" s="145"/>
      <c r="M46" s="148"/>
      <c r="N46" s="145"/>
      <c r="O46" s="145"/>
      <c r="P46" s="148"/>
      <c r="Q46" s="145"/>
      <c r="R46" s="145"/>
      <c r="S46" s="145"/>
      <c r="T46" s="145"/>
      <c r="U46" s="145"/>
      <c r="V46" s="149"/>
      <c r="W46" s="26"/>
    </row>
    <row r="47" spans="1:23" ht="20" customHeight="1">
      <c r="A47" s="384"/>
      <c r="B47" s="156"/>
      <c r="C47" s="137"/>
      <c r="D47" s="137"/>
      <c r="E47" s="137"/>
      <c r="F47" s="137"/>
      <c r="G47" s="136"/>
      <c r="H47" s="137"/>
      <c r="I47" s="137"/>
      <c r="J47" s="138"/>
      <c r="K47" s="137"/>
      <c r="L47" s="137"/>
      <c r="M47" s="139"/>
      <c r="N47" s="137"/>
      <c r="O47" s="137"/>
      <c r="P47" s="139"/>
      <c r="Q47" s="137"/>
      <c r="R47" s="137"/>
      <c r="S47" s="137"/>
      <c r="T47" s="137"/>
      <c r="U47" s="137"/>
      <c r="V47" s="150"/>
      <c r="W47" s="26"/>
    </row>
    <row r="48" spans="1:23" ht="20" customHeight="1">
      <c r="A48" s="384"/>
      <c r="B48" s="156"/>
      <c r="C48" s="137"/>
      <c r="D48" s="137"/>
      <c r="E48" s="137"/>
      <c r="F48" s="137"/>
      <c r="G48" s="136"/>
      <c r="H48" s="137"/>
      <c r="I48" s="137"/>
      <c r="J48" s="138"/>
      <c r="K48" s="137"/>
      <c r="L48" s="137"/>
      <c r="M48" s="139"/>
      <c r="N48" s="137"/>
      <c r="O48" s="137"/>
      <c r="P48" s="139"/>
      <c r="Q48" s="137"/>
      <c r="R48" s="137"/>
      <c r="S48" s="137"/>
      <c r="T48" s="137"/>
      <c r="U48" s="137"/>
      <c r="V48" s="150"/>
      <c r="W48" s="56"/>
    </row>
    <row r="49" spans="1:23" ht="20" customHeight="1">
      <c r="A49" s="384"/>
      <c r="B49" s="156"/>
      <c r="C49" s="137"/>
      <c r="D49" s="137"/>
      <c r="E49" s="137"/>
      <c r="F49" s="137"/>
      <c r="G49" s="136"/>
      <c r="H49" s="137"/>
      <c r="I49" s="137"/>
      <c r="J49" s="138"/>
      <c r="K49" s="137"/>
      <c r="L49" s="137"/>
      <c r="M49" s="139"/>
      <c r="N49" s="137"/>
      <c r="O49" s="137"/>
      <c r="P49" s="139"/>
      <c r="Q49" s="137"/>
      <c r="R49" s="137"/>
      <c r="S49" s="137"/>
      <c r="T49" s="137"/>
      <c r="U49" s="137"/>
      <c r="V49" s="150"/>
      <c r="W49" s="26"/>
    </row>
    <row r="50" spans="1:23" ht="20" customHeight="1">
      <c r="A50" s="384"/>
      <c r="B50" s="156"/>
      <c r="C50" s="137"/>
      <c r="D50" s="137"/>
      <c r="E50" s="137"/>
      <c r="F50" s="137"/>
      <c r="G50" s="136"/>
      <c r="H50" s="137"/>
      <c r="I50" s="137"/>
      <c r="J50" s="138"/>
      <c r="K50" s="137"/>
      <c r="L50" s="137"/>
      <c r="M50" s="139"/>
      <c r="N50" s="137"/>
      <c r="O50" s="137"/>
      <c r="P50" s="139"/>
      <c r="Q50" s="137"/>
      <c r="R50" s="137"/>
      <c r="S50" s="137"/>
      <c r="T50" s="137"/>
      <c r="U50" s="137"/>
      <c r="V50" s="150"/>
      <c r="W50" s="26"/>
    </row>
    <row r="51" spans="1:23" ht="20" customHeight="1">
      <c r="A51" s="384"/>
      <c r="B51" s="156"/>
      <c r="C51" s="137"/>
      <c r="D51" s="137"/>
      <c r="E51" s="137"/>
      <c r="F51" s="137"/>
      <c r="G51" s="136"/>
      <c r="H51" s="137"/>
      <c r="I51" s="137"/>
      <c r="J51" s="138"/>
      <c r="K51" s="137"/>
      <c r="L51" s="137"/>
      <c r="M51" s="139"/>
      <c r="N51" s="137"/>
      <c r="O51" s="137"/>
      <c r="P51" s="139"/>
      <c r="Q51" s="137"/>
      <c r="R51" s="137"/>
      <c r="S51" s="137"/>
      <c r="T51" s="137"/>
      <c r="U51" s="137"/>
      <c r="V51" s="150"/>
      <c r="W51" s="26"/>
    </row>
    <row r="52" spans="1:23" ht="20" customHeight="1">
      <c r="A52" s="384"/>
      <c r="B52" s="156"/>
      <c r="C52" s="137"/>
      <c r="D52" s="137"/>
      <c r="E52" s="137"/>
      <c r="F52" s="137"/>
      <c r="G52" s="136"/>
      <c r="H52" s="137"/>
      <c r="I52" s="137"/>
      <c r="J52" s="138"/>
      <c r="K52" s="137"/>
      <c r="L52" s="137"/>
      <c r="M52" s="139"/>
      <c r="N52" s="137"/>
      <c r="O52" s="137"/>
      <c r="P52" s="139"/>
      <c r="Q52" s="137"/>
      <c r="R52" s="137"/>
      <c r="S52" s="137"/>
      <c r="T52" s="137"/>
      <c r="U52" s="137"/>
      <c r="V52" s="150"/>
      <c r="W52" s="26"/>
    </row>
    <row r="53" spans="1:23" ht="20" customHeight="1">
      <c r="A53" s="384"/>
      <c r="B53" s="156"/>
      <c r="C53" s="137"/>
      <c r="D53" s="137"/>
      <c r="E53" s="137"/>
      <c r="F53" s="137"/>
      <c r="G53" s="136"/>
      <c r="H53" s="137"/>
      <c r="I53" s="137"/>
      <c r="J53" s="138"/>
      <c r="K53" s="137"/>
      <c r="L53" s="137"/>
      <c r="M53" s="139"/>
      <c r="N53" s="137"/>
      <c r="O53" s="137"/>
      <c r="P53" s="139"/>
      <c r="Q53" s="137"/>
      <c r="R53" s="137"/>
      <c r="S53" s="137"/>
      <c r="T53" s="137"/>
      <c r="U53" s="137"/>
      <c r="V53" s="150"/>
      <c r="W53" s="26"/>
    </row>
    <row r="54" spans="1:23" ht="20" customHeight="1">
      <c r="A54" s="384"/>
      <c r="B54" s="156"/>
      <c r="C54" s="137"/>
      <c r="D54" s="137"/>
      <c r="E54" s="137"/>
      <c r="F54" s="137"/>
      <c r="G54" s="136"/>
      <c r="H54" s="137"/>
      <c r="I54" s="137"/>
      <c r="J54" s="138"/>
      <c r="K54" s="137"/>
      <c r="L54" s="137"/>
      <c r="M54" s="139"/>
      <c r="N54" s="137"/>
      <c r="O54" s="137"/>
      <c r="P54" s="139"/>
      <c r="Q54" s="137"/>
      <c r="R54" s="137"/>
      <c r="S54" s="137"/>
      <c r="T54" s="137"/>
      <c r="U54" s="137"/>
      <c r="V54" s="150"/>
      <c r="W54" s="26"/>
    </row>
    <row r="55" spans="1:23" ht="20" customHeight="1">
      <c r="A55" s="384"/>
      <c r="B55" s="156"/>
      <c r="C55" s="137"/>
      <c r="D55" s="137"/>
      <c r="E55" s="137"/>
      <c r="F55" s="137"/>
      <c r="G55" s="136"/>
      <c r="H55" s="137"/>
      <c r="I55" s="137"/>
      <c r="J55" s="138"/>
      <c r="K55" s="137"/>
      <c r="L55" s="137"/>
      <c r="M55" s="139"/>
      <c r="N55" s="137"/>
      <c r="O55" s="137"/>
      <c r="P55" s="139"/>
      <c r="Q55" s="137"/>
      <c r="R55" s="137"/>
      <c r="S55" s="137"/>
      <c r="T55" s="137"/>
      <c r="U55" s="137"/>
      <c r="V55" s="150"/>
      <c r="W55" s="26"/>
    </row>
    <row r="56" spans="1:23" ht="20" customHeight="1">
      <c r="A56" s="384"/>
      <c r="B56" s="156"/>
      <c r="C56" s="137"/>
      <c r="D56" s="137"/>
      <c r="E56" s="137"/>
      <c r="F56" s="137"/>
      <c r="G56" s="136"/>
      <c r="H56" s="137"/>
      <c r="I56" s="137"/>
      <c r="J56" s="138"/>
      <c r="K56" s="137"/>
      <c r="L56" s="137"/>
      <c r="M56" s="139"/>
      <c r="N56" s="137"/>
      <c r="O56" s="137"/>
      <c r="P56" s="139"/>
      <c r="Q56" s="137"/>
      <c r="R56" s="137"/>
      <c r="S56" s="137"/>
      <c r="T56" s="137"/>
      <c r="U56" s="137"/>
      <c r="V56" s="150"/>
      <c r="W56" s="26"/>
    </row>
    <row r="57" spans="1:23" ht="20" customHeight="1">
      <c r="A57" s="384"/>
      <c r="B57" s="156"/>
      <c r="C57" s="137"/>
      <c r="D57" s="137"/>
      <c r="E57" s="137"/>
      <c r="F57" s="137"/>
      <c r="G57" s="136"/>
      <c r="H57" s="137"/>
      <c r="I57" s="137"/>
      <c r="J57" s="138"/>
      <c r="K57" s="137"/>
      <c r="L57" s="137"/>
      <c r="M57" s="139"/>
      <c r="N57" s="137"/>
      <c r="O57" s="137"/>
      <c r="P57" s="139"/>
      <c r="Q57" s="137"/>
      <c r="R57" s="137"/>
      <c r="S57" s="137"/>
      <c r="T57" s="137"/>
      <c r="U57" s="137"/>
      <c r="V57" s="150"/>
      <c r="W57" s="26"/>
    </row>
    <row r="58" spans="1:23" ht="20" customHeight="1">
      <c r="A58" s="384"/>
      <c r="B58" s="156"/>
      <c r="C58" s="137"/>
      <c r="D58" s="137"/>
      <c r="E58" s="137"/>
      <c r="F58" s="137"/>
      <c r="G58" s="136"/>
      <c r="H58" s="137"/>
      <c r="I58" s="137"/>
      <c r="J58" s="138"/>
      <c r="K58" s="137"/>
      <c r="L58" s="137"/>
      <c r="M58" s="139"/>
      <c r="N58" s="137"/>
      <c r="O58" s="137"/>
      <c r="P58" s="139"/>
      <c r="Q58" s="137"/>
      <c r="R58" s="137"/>
      <c r="S58" s="137"/>
      <c r="T58" s="137"/>
      <c r="U58" s="137"/>
      <c r="V58" s="150"/>
      <c r="W58" s="26"/>
    </row>
    <row r="59" spans="1:23" ht="20" customHeight="1">
      <c r="A59" s="384"/>
      <c r="B59" s="156"/>
      <c r="C59" s="137"/>
      <c r="D59" s="137"/>
      <c r="E59" s="137"/>
      <c r="F59" s="137"/>
      <c r="G59" s="136"/>
      <c r="H59" s="137"/>
      <c r="I59" s="137"/>
      <c r="J59" s="138"/>
      <c r="K59" s="137"/>
      <c r="L59" s="137"/>
      <c r="M59" s="139"/>
      <c r="N59" s="137"/>
      <c r="O59" s="137"/>
      <c r="P59" s="139"/>
      <c r="Q59" s="137"/>
      <c r="R59" s="137"/>
      <c r="S59" s="137"/>
      <c r="T59" s="137"/>
      <c r="U59" s="137"/>
      <c r="V59" s="150"/>
      <c r="W59" s="26"/>
    </row>
    <row r="60" spans="1:23" ht="20" customHeight="1">
      <c r="A60" s="384"/>
      <c r="B60" s="156"/>
      <c r="C60" s="137"/>
      <c r="D60" s="137"/>
      <c r="E60" s="137"/>
      <c r="F60" s="137"/>
      <c r="G60" s="136"/>
      <c r="H60" s="137"/>
      <c r="I60" s="137"/>
      <c r="J60" s="138"/>
      <c r="K60" s="137"/>
      <c r="L60" s="137"/>
      <c r="M60" s="139"/>
      <c r="N60" s="137"/>
      <c r="O60" s="137"/>
      <c r="P60" s="139"/>
      <c r="Q60" s="137"/>
      <c r="R60" s="137"/>
      <c r="S60" s="137"/>
      <c r="T60" s="137"/>
      <c r="U60" s="137"/>
      <c r="V60" s="150"/>
      <c r="W60" s="26"/>
    </row>
    <row r="61" spans="1:23" ht="20" customHeight="1">
      <c r="A61" s="384"/>
      <c r="B61" s="156"/>
      <c r="C61" s="137"/>
      <c r="D61" s="137"/>
      <c r="E61" s="137"/>
      <c r="F61" s="137"/>
      <c r="G61" s="136"/>
      <c r="H61" s="137"/>
      <c r="I61" s="137"/>
      <c r="J61" s="138"/>
      <c r="K61" s="137"/>
      <c r="L61" s="137"/>
      <c r="M61" s="139"/>
      <c r="N61" s="137"/>
      <c r="O61" s="137"/>
      <c r="P61" s="139"/>
      <c r="Q61" s="137"/>
      <c r="R61" s="137"/>
      <c r="S61" s="137"/>
      <c r="T61" s="137"/>
      <c r="U61" s="137"/>
      <c r="V61" s="150"/>
      <c r="W61" s="26"/>
    </row>
    <row r="62" spans="1:23" ht="20" customHeight="1">
      <c r="A62" s="384"/>
      <c r="B62" s="156"/>
      <c r="C62" s="137"/>
      <c r="D62" s="137"/>
      <c r="E62" s="137"/>
      <c r="F62" s="137"/>
      <c r="G62" s="136"/>
      <c r="H62" s="137"/>
      <c r="I62" s="137"/>
      <c r="J62" s="138"/>
      <c r="K62" s="137"/>
      <c r="L62" s="137"/>
      <c r="M62" s="139"/>
      <c r="N62" s="137"/>
      <c r="O62" s="137"/>
      <c r="P62" s="139"/>
      <c r="Q62" s="137"/>
      <c r="R62" s="137"/>
      <c r="S62" s="137"/>
      <c r="T62" s="137"/>
      <c r="U62" s="137"/>
      <c r="V62" s="150"/>
      <c r="W62" s="26"/>
    </row>
    <row r="63" spans="1:23" ht="20" customHeight="1">
      <c r="A63" s="384"/>
      <c r="B63" s="156"/>
      <c r="C63" s="137"/>
      <c r="D63" s="137"/>
      <c r="E63" s="137"/>
      <c r="F63" s="137"/>
      <c r="G63" s="136"/>
      <c r="H63" s="137"/>
      <c r="I63" s="137"/>
      <c r="J63" s="138"/>
      <c r="K63" s="137"/>
      <c r="L63" s="137"/>
      <c r="M63" s="139"/>
      <c r="N63" s="137"/>
      <c r="O63" s="137"/>
      <c r="P63" s="139"/>
      <c r="Q63" s="137"/>
      <c r="R63" s="137"/>
      <c r="S63" s="137"/>
      <c r="T63" s="137"/>
      <c r="U63" s="137"/>
      <c r="V63" s="150"/>
      <c r="W63" s="26"/>
    </row>
    <row r="64" spans="1:23" ht="20" customHeight="1">
      <c r="A64" s="384"/>
      <c r="B64" s="156"/>
      <c r="C64" s="137"/>
      <c r="D64" s="137"/>
      <c r="E64" s="137"/>
      <c r="F64" s="137"/>
      <c r="G64" s="136"/>
      <c r="H64" s="137"/>
      <c r="I64" s="137"/>
      <c r="J64" s="138"/>
      <c r="K64" s="137"/>
      <c r="L64" s="137"/>
      <c r="M64" s="139"/>
      <c r="N64" s="137"/>
      <c r="O64" s="137"/>
      <c r="P64" s="139"/>
      <c r="Q64" s="137"/>
      <c r="R64" s="137"/>
      <c r="S64" s="137"/>
      <c r="T64" s="137"/>
      <c r="U64" s="137"/>
      <c r="V64" s="150"/>
      <c r="W64" s="26"/>
    </row>
    <row r="65" spans="1:23" ht="20" customHeight="1" thickBot="1">
      <c r="A65" s="385"/>
      <c r="B65" s="157"/>
      <c r="C65" s="151"/>
      <c r="D65" s="151"/>
      <c r="E65" s="151"/>
      <c r="F65" s="151"/>
      <c r="G65" s="152"/>
      <c r="H65" s="151"/>
      <c r="I65" s="151"/>
      <c r="J65" s="153"/>
      <c r="K65" s="151"/>
      <c r="L65" s="151"/>
      <c r="M65" s="154"/>
      <c r="N65" s="151"/>
      <c r="O65" s="151"/>
      <c r="P65" s="154"/>
      <c r="Q65" s="151"/>
      <c r="R65" s="151"/>
      <c r="S65" s="151"/>
      <c r="T65" s="151"/>
      <c r="U65" s="151"/>
      <c r="V65" s="155"/>
      <c r="W65" s="26"/>
    </row>
    <row r="66" spans="1:23" ht="20" customHeight="1">
      <c r="A66" s="383" t="str">
        <f>'Read Me First'!C14</f>
        <v>Oxford City AC</v>
      </c>
      <c r="B66" s="144" t="str" cm="1">
        <f t="array" ref="B66">_xlfn.LET(_xlpm.x, _xlfn._xlws.SORT(_xlfn._xlws.FILTER(Data!$A$378:$U$665,(Data!$C$378:$C$665=$A66)*(Data!$D$378:$D$665=$E$4)*(Data!$E$378:$E$665="U10")),18),_xlpm.y,_xlfn._xlws.SORT(_xlfn._xlws.FILTER(Data!$A$378:$U$665,(Data!$C$378:$C$665=$A66)*(Data!$D$378:$D$665=$E$4)*(Data!$E$378:$E$665="U12")),19), IFERROR(_xlfn.VSTACK(_xlpm.x,_xlpm.y), IFERROR(_xlpm.y,IFERROR(_xlpm.x, ""))))</f>
        <v/>
      </c>
      <c r="C66" s="145"/>
      <c r="D66" s="145"/>
      <c r="E66" s="145"/>
      <c r="F66" s="145"/>
      <c r="G66" s="146"/>
      <c r="H66" s="145"/>
      <c r="I66" s="145"/>
      <c r="J66" s="147"/>
      <c r="K66" s="145"/>
      <c r="L66" s="145"/>
      <c r="M66" s="148"/>
      <c r="N66" s="145"/>
      <c r="O66" s="145"/>
      <c r="P66" s="148"/>
      <c r="Q66" s="145"/>
      <c r="R66" s="145"/>
      <c r="S66" s="145"/>
      <c r="T66" s="145"/>
      <c r="U66" s="145"/>
      <c r="V66" s="149"/>
      <c r="W66" s="26"/>
    </row>
    <row r="67" spans="1:23" ht="20" customHeight="1">
      <c r="A67" s="384"/>
      <c r="B67" s="156"/>
      <c r="C67" s="137"/>
      <c r="D67" s="137"/>
      <c r="E67" s="137"/>
      <c r="F67" s="137"/>
      <c r="G67" s="136"/>
      <c r="H67" s="137"/>
      <c r="I67" s="137"/>
      <c r="J67" s="138"/>
      <c r="K67" s="137"/>
      <c r="L67" s="137"/>
      <c r="M67" s="139"/>
      <c r="N67" s="137"/>
      <c r="O67" s="137"/>
      <c r="P67" s="139"/>
      <c r="Q67" s="137"/>
      <c r="R67" s="137"/>
      <c r="S67" s="137"/>
      <c r="T67" s="137"/>
      <c r="U67" s="137"/>
      <c r="V67" s="150"/>
      <c r="W67" s="26"/>
    </row>
    <row r="68" spans="1:23" ht="20" customHeight="1">
      <c r="A68" s="384"/>
      <c r="B68" s="156"/>
      <c r="C68" s="137"/>
      <c r="D68" s="137"/>
      <c r="E68" s="137"/>
      <c r="F68" s="137"/>
      <c r="G68" s="136"/>
      <c r="H68" s="137"/>
      <c r="I68" s="137"/>
      <c r="J68" s="138"/>
      <c r="K68" s="137"/>
      <c r="L68" s="137"/>
      <c r="M68" s="139"/>
      <c r="N68" s="137"/>
      <c r="O68" s="137"/>
      <c r="P68" s="139"/>
      <c r="Q68" s="137"/>
      <c r="R68" s="137"/>
      <c r="S68" s="137"/>
      <c r="T68" s="137"/>
      <c r="U68" s="137"/>
      <c r="V68" s="150"/>
      <c r="W68" s="26"/>
    </row>
    <row r="69" spans="1:23" ht="20" customHeight="1">
      <c r="A69" s="384"/>
      <c r="B69" s="156"/>
      <c r="C69" s="137"/>
      <c r="D69" s="137"/>
      <c r="E69" s="137"/>
      <c r="F69" s="137"/>
      <c r="G69" s="136"/>
      <c r="H69" s="137"/>
      <c r="I69" s="137"/>
      <c r="J69" s="138"/>
      <c r="K69" s="137"/>
      <c r="L69" s="137"/>
      <c r="M69" s="139"/>
      <c r="N69" s="137"/>
      <c r="O69" s="137"/>
      <c r="P69" s="139"/>
      <c r="Q69" s="137"/>
      <c r="R69" s="137"/>
      <c r="S69" s="137"/>
      <c r="T69" s="137"/>
      <c r="U69" s="137"/>
      <c r="V69" s="150"/>
      <c r="W69" s="56"/>
    </row>
    <row r="70" spans="1:23" ht="20" customHeight="1">
      <c r="A70" s="384"/>
      <c r="B70" s="156"/>
      <c r="C70" s="137"/>
      <c r="D70" s="137"/>
      <c r="E70" s="137"/>
      <c r="F70" s="137"/>
      <c r="G70" s="136"/>
      <c r="H70" s="137"/>
      <c r="I70" s="137"/>
      <c r="J70" s="138"/>
      <c r="K70" s="137"/>
      <c r="L70" s="137"/>
      <c r="M70" s="139"/>
      <c r="N70" s="137"/>
      <c r="O70" s="137"/>
      <c r="P70" s="139"/>
      <c r="Q70" s="137"/>
      <c r="R70" s="137"/>
      <c r="S70" s="137"/>
      <c r="T70" s="137"/>
      <c r="U70" s="137"/>
      <c r="V70" s="150"/>
      <c r="W70" s="26"/>
    </row>
    <row r="71" spans="1:23" ht="20" customHeight="1">
      <c r="A71" s="384"/>
      <c r="B71" s="156"/>
      <c r="C71" s="137"/>
      <c r="D71" s="137"/>
      <c r="E71" s="137"/>
      <c r="F71" s="137"/>
      <c r="G71" s="136"/>
      <c r="H71" s="137"/>
      <c r="I71" s="137"/>
      <c r="J71" s="138"/>
      <c r="K71" s="137"/>
      <c r="L71" s="137"/>
      <c r="M71" s="139"/>
      <c r="N71" s="137"/>
      <c r="O71" s="137"/>
      <c r="P71" s="139"/>
      <c r="Q71" s="137"/>
      <c r="R71" s="137"/>
      <c r="S71" s="137"/>
      <c r="T71" s="137"/>
      <c r="U71" s="137"/>
      <c r="V71" s="150"/>
      <c r="W71" s="26"/>
    </row>
    <row r="72" spans="1:23" ht="20" customHeight="1">
      <c r="A72" s="384"/>
      <c r="B72" s="156"/>
      <c r="C72" s="137"/>
      <c r="D72" s="137"/>
      <c r="E72" s="137"/>
      <c r="F72" s="137"/>
      <c r="G72" s="136"/>
      <c r="H72" s="137"/>
      <c r="I72" s="137"/>
      <c r="J72" s="138"/>
      <c r="K72" s="137"/>
      <c r="L72" s="137"/>
      <c r="M72" s="139"/>
      <c r="N72" s="137"/>
      <c r="O72" s="137"/>
      <c r="P72" s="139"/>
      <c r="Q72" s="137"/>
      <c r="R72" s="137"/>
      <c r="S72" s="137"/>
      <c r="T72" s="137"/>
      <c r="U72" s="137"/>
      <c r="V72" s="150"/>
      <c r="W72" s="26"/>
    </row>
    <row r="73" spans="1:23" ht="20" customHeight="1">
      <c r="A73" s="384"/>
      <c r="B73" s="156"/>
      <c r="C73" s="137"/>
      <c r="D73" s="137"/>
      <c r="E73" s="137"/>
      <c r="F73" s="137"/>
      <c r="G73" s="136"/>
      <c r="H73" s="137"/>
      <c r="I73" s="137"/>
      <c r="J73" s="138"/>
      <c r="K73" s="137"/>
      <c r="L73" s="137"/>
      <c r="M73" s="139"/>
      <c r="N73" s="137"/>
      <c r="O73" s="137"/>
      <c r="P73" s="139"/>
      <c r="Q73" s="137"/>
      <c r="R73" s="137"/>
      <c r="S73" s="137"/>
      <c r="T73" s="137"/>
      <c r="U73" s="137"/>
      <c r="V73" s="150"/>
      <c r="W73" s="26"/>
    </row>
    <row r="74" spans="1:23" ht="20" customHeight="1">
      <c r="A74" s="384"/>
      <c r="B74" s="156"/>
      <c r="C74" s="137"/>
      <c r="D74" s="137"/>
      <c r="E74" s="137"/>
      <c r="F74" s="137"/>
      <c r="G74" s="136"/>
      <c r="H74" s="137"/>
      <c r="I74" s="137"/>
      <c r="J74" s="138"/>
      <c r="K74" s="137"/>
      <c r="L74" s="137"/>
      <c r="M74" s="139"/>
      <c r="N74" s="137"/>
      <c r="O74" s="137"/>
      <c r="P74" s="139"/>
      <c r="Q74" s="137"/>
      <c r="R74" s="137"/>
      <c r="S74" s="137"/>
      <c r="T74" s="137"/>
      <c r="U74" s="137"/>
      <c r="V74" s="150"/>
      <c r="W74" s="26"/>
    </row>
    <row r="75" spans="1:23" ht="20" customHeight="1">
      <c r="A75" s="384"/>
      <c r="B75" s="156"/>
      <c r="C75" s="137"/>
      <c r="D75" s="137"/>
      <c r="E75" s="137"/>
      <c r="F75" s="137"/>
      <c r="G75" s="136"/>
      <c r="H75" s="137"/>
      <c r="I75" s="137"/>
      <c r="J75" s="138"/>
      <c r="K75" s="137"/>
      <c r="L75" s="137"/>
      <c r="M75" s="139"/>
      <c r="N75" s="137"/>
      <c r="O75" s="137"/>
      <c r="P75" s="139"/>
      <c r="Q75" s="137"/>
      <c r="R75" s="137"/>
      <c r="S75" s="137"/>
      <c r="T75" s="137"/>
      <c r="U75" s="137"/>
      <c r="V75" s="150"/>
      <c r="W75" s="26"/>
    </row>
    <row r="76" spans="1:23" ht="20" customHeight="1">
      <c r="A76" s="384"/>
      <c r="B76" s="156"/>
      <c r="C76" s="137"/>
      <c r="D76" s="137"/>
      <c r="E76" s="137"/>
      <c r="F76" s="137"/>
      <c r="G76" s="136"/>
      <c r="H76" s="137"/>
      <c r="I76" s="137"/>
      <c r="J76" s="138"/>
      <c r="K76" s="137"/>
      <c r="L76" s="137"/>
      <c r="M76" s="139"/>
      <c r="N76" s="137"/>
      <c r="O76" s="137"/>
      <c r="P76" s="139"/>
      <c r="Q76" s="137"/>
      <c r="R76" s="137"/>
      <c r="S76" s="137"/>
      <c r="T76" s="137"/>
      <c r="U76" s="137"/>
      <c r="V76" s="150"/>
      <c r="W76" s="26"/>
    </row>
    <row r="77" spans="1:23" ht="20" customHeight="1">
      <c r="A77" s="384"/>
      <c r="B77" s="156"/>
      <c r="C77" s="137"/>
      <c r="D77" s="137"/>
      <c r="E77" s="137"/>
      <c r="F77" s="137"/>
      <c r="G77" s="136"/>
      <c r="H77" s="137"/>
      <c r="I77" s="137"/>
      <c r="J77" s="138"/>
      <c r="K77" s="137"/>
      <c r="L77" s="137"/>
      <c r="M77" s="139"/>
      <c r="N77" s="137"/>
      <c r="O77" s="137"/>
      <c r="P77" s="139"/>
      <c r="Q77" s="137"/>
      <c r="R77" s="137"/>
      <c r="S77" s="137"/>
      <c r="T77" s="137"/>
      <c r="U77" s="137"/>
      <c r="V77" s="150"/>
      <c r="W77" s="26"/>
    </row>
    <row r="78" spans="1:23" ht="20" customHeight="1">
      <c r="A78" s="384"/>
      <c r="B78" s="156"/>
      <c r="C78" s="137"/>
      <c r="D78" s="137"/>
      <c r="E78" s="137"/>
      <c r="F78" s="137"/>
      <c r="G78" s="136"/>
      <c r="H78" s="137"/>
      <c r="I78" s="137"/>
      <c r="J78" s="138"/>
      <c r="K78" s="137"/>
      <c r="L78" s="137"/>
      <c r="M78" s="139"/>
      <c r="N78" s="137"/>
      <c r="O78" s="137"/>
      <c r="P78" s="139"/>
      <c r="Q78" s="137"/>
      <c r="R78" s="137"/>
      <c r="S78" s="137"/>
      <c r="T78" s="137"/>
      <c r="U78" s="137"/>
      <c r="V78" s="150"/>
      <c r="W78" s="26"/>
    </row>
    <row r="79" spans="1:23" ht="20" customHeight="1">
      <c r="A79" s="384"/>
      <c r="B79" s="156"/>
      <c r="C79" s="137"/>
      <c r="D79" s="137"/>
      <c r="E79" s="137"/>
      <c r="F79" s="137"/>
      <c r="G79" s="136"/>
      <c r="H79" s="137"/>
      <c r="I79" s="137"/>
      <c r="J79" s="138"/>
      <c r="K79" s="137"/>
      <c r="L79" s="137"/>
      <c r="M79" s="139"/>
      <c r="N79" s="137"/>
      <c r="O79" s="137"/>
      <c r="P79" s="139"/>
      <c r="Q79" s="137"/>
      <c r="R79" s="137"/>
      <c r="S79" s="137"/>
      <c r="T79" s="137"/>
      <c r="U79" s="137"/>
      <c r="V79" s="150"/>
      <c r="W79" s="26"/>
    </row>
    <row r="80" spans="1:23" ht="20" customHeight="1">
      <c r="A80" s="384"/>
      <c r="B80" s="156"/>
      <c r="C80" s="137"/>
      <c r="D80" s="137"/>
      <c r="E80" s="137"/>
      <c r="F80" s="137"/>
      <c r="G80" s="136"/>
      <c r="H80" s="137"/>
      <c r="I80" s="137"/>
      <c r="J80" s="138"/>
      <c r="K80" s="137"/>
      <c r="L80" s="137"/>
      <c r="M80" s="139"/>
      <c r="N80" s="137"/>
      <c r="O80" s="137"/>
      <c r="P80" s="139"/>
      <c r="Q80" s="137"/>
      <c r="R80" s="137"/>
      <c r="S80" s="137"/>
      <c r="T80" s="137"/>
      <c r="U80" s="137"/>
      <c r="V80" s="150"/>
      <c r="W80" s="26"/>
    </row>
    <row r="81" spans="1:23" ht="20" customHeight="1">
      <c r="A81" s="384"/>
      <c r="B81" s="156"/>
      <c r="C81" s="137"/>
      <c r="D81" s="137"/>
      <c r="E81" s="137"/>
      <c r="F81" s="137"/>
      <c r="G81" s="136"/>
      <c r="H81" s="137"/>
      <c r="I81" s="137"/>
      <c r="J81" s="138"/>
      <c r="K81" s="137"/>
      <c r="L81" s="137"/>
      <c r="M81" s="139"/>
      <c r="N81" s="137"/>
      <c r="O81" s="137"/>
      <c r="P81" s="139"/>
      <c r="Q81" s="137"/>
      <c r="R81" s="137"/>
      <c r="S81" s="137"/>
      <c r="T81" s="137"/>
      <c r="U81" s="137"/>
      <c r="V81" s="150"/>
      <c r="W81" s="26"/>
    </row>
    <row r="82" spans="1:23" ht="20" customHeight="1">
      <c r="A82" s="384"/>
      <c r="B82" s="156"/>
      <c r="C82" s="137"/>
      <c r="D82" s="137"/>
      <c r="E82" s="137"/>
      <c r="F82" s="137"/>
      <c r="G82" s="136"/>
      <c r="H82" s="137"/>
      <c r="I82" s="137"/>
      <c r="J82" s="138"/>
      <c r="K82" s="137"/>
      <c r="L82" s="137"/>
      <c r="M82" s="139"/>
      <c r="N82" s="137"/>
      <c r="O82" s="137"/>
      <c r="P82" s="139"/>
      <c r="Q82" s="137"/>
      <c r="R82" s="137"/>
      <c r="S82" s="137"/>
      <c r="T82" s="137"/>
      <c r="U82" s="137"/>
      <c r="V82" s="150"/>
      <c r="W82" s="26"/>
    </row>
    <row r="83" spans="1:23" ht="20" customHeight="1">
      <c r="A83" s="384"/>
      <c r="B83" s="156"/>
      <c r="C83" s="137"/>
      <c r="D83" s="137"/>
      <c r="E83" s="137"/>
      <c r="F83" s="137"/>
      <c r="G83" s="136"/>
      <c r="H83" s="137"/>
      <c r="I83" s="137"/>
      <c r="J83" s="138"/>
      <c r="K83" s="137"/>
      <c r="L83" s="137"/>
      <c r="M83" s="139"/>
      <c r="N83" s="137"/>
      <c r="O83" s="137"/>
      <c r="P83" s="139"/>
      <c r="Q83" s="137"/>
      <c r="R83" s="137"/>
      <c r="S83" s="137"/>
      <c r="T83" s="137"/>
      <c r="U83" s="137"/>
      <c r="V83" s="150"/>
      <c r="W83" s="26"/>
    </row>
    <row r="84" spans="1:23" ht="20" customHeight="1">
      <c r="A84" s="384"/>
      <c r="B84" s="156"/>
      <c r="C84" s="137"/>
      <c r="D84" s="137"/>
      <c r="E84" s="137"/>
      <c r="F84" s="137"/>
      <c r="G84" s="136"/>
      <c r="H84" s="137"/>
      <c r="I84" s="137"/>
      <c r="J84" s="138"/>
      <c r="K84" s="137"/>
      <c r="L84" s="137"/>
      <c r="M84" s="139"/>
      <c r="N84" s="137"/>
      <c r="O84" s="137"/>
      <c r="P84" s="139"/>
      <c r="Q84" s="137"/>
      <c r="R84" s="137"/>
      <c r="S84" s="137"/>
      <c r="T84" s="137"/>
      <c r="U84" s="137"/>
      <c r="V84" s="150"/>
      <c r="W84" s="26"/>
    </row>
    <row r="85" spans="1:23" ht="20" customHeight="1" thickBot="1">
      <c r="A85" s="385"/>
      <c r="B85" s="157"/>
      <c r="C85" s="151"/>
      <c r="D85" s="151"/>
      <c r="E85" s="151"/>
      <c r="F85" s="151"/>
      <c r="G85" s="152"/>
      <c r="H85" s="151"/>
      <c r="I85" s="151"/>
      <c r="J85" s="153"/>
      <c r="K85" s="151"/>
      <c r="L85" s="151"/>
      <c r="M85" s="154"/>
      <c r="N85" s="151"/>
      <c r="O85" s="151"/>
      <c r="P85" s="154"/>
      <c r="Q85" s="151"/>
      <c r="R85" s="151"/>
      <c r="S85" s="151"/>
      <c r="T85" s="151"/>
      <c r="U85" s="151"/>
      <c r="V85" s="155"/>
      <c r="W85" s="26"/>
    </row>
    <row r="86" spans="1:23" ht="20" customHeight="1">
      <c r="A86" s="383" t="str">
        <f>'Read Me First'!C15</f>
        <v>Radley AC</v>
      </c>
      <c r="B86" s="144" t="str" cm="1">
        <f t="array" ref="B86">_xlfn.LET(_xlpm.x, _xlfn._xlws.SORT(_xlfn._xlws.FILTER(Data!$A$378:$U$665,(Data!$C$378:$C$665=$A86)*(Data!$D$378:$D$665=$E$4)*(Data!$E$378:$E$665="U10")),18),_xlpm.y,_xlfn._xlws.SORT(_xlfn._xlws.FILTER(Data!$A$378:$U$665,(Data!$C$378:$C$665=$A86)*(Data!$D$378:$D$665=$E$4)*(Data!$E$378:$E$665="U12")),19), IFERROR(_xlfn.VSTACK(_xlpm.x,_xlpm.y), IFERROR(_xlpm.y,IFERROR(_xlpm.x, ""))))</f>
        <v/>
      </c>
      <c r="C86" s="145"/>
      <c r="D86" s="145"/>
      <c r="E86" s="145"/>
      <c r="F86" s="145"/>
      <c r="G86" s="146"/>
      <c r="H86" s="145"/>
      <c r="I86" s="145"/>
      <c r="J86" s="147"/>
      <c r="K86" s="145"/>
      <c r="L86" s="145"/>
      <c r="M86" s="148"/>
      <c r="N86" s="145"/>
      <c r="O86" s="145"/>
      <c r="P86" s="148"/>
      <c r="Q86" s="145"/>
      <c r="R86" s="145"/>
      <c r="S86" s="145"/>
      <c r="T86" s="145"/>
      <c r="U86" s="145"/>
      <c r="V86" s="149"/>
      <c r="W86" s="26"/>
    </row>
    <row r="87" spans="1:23" ht="20" customHeight="1">
      <c r="A87" s="384"/>
      <c r="B87" s="156"/>
      <c r="C87" s="137"/>
      <c r="D87" s="137"/>
      <c r="E87" s="137"/>
      <c r="F87" s="137"/>
      <c r="G87" s="136"/>
      <c r="H87" s="137"/>
      <c r="I87" s="137"/>
      <c r="J87" s="138"/>
      <c r="K87" s="137"/>
      <c r="L87" s="137"/>
      <c r="M87" s="139"/>
      <c r="N87" s="137"/>
      <c r="O87" s="137"/>
      <c r="P87" s="139"/>
      <c r="Q87" s="137"/>
      <c r="R87" s="137"/>
      <c r="S87" s="137"/>
      <c r="T87" s="137"/>
      <c r="U87" s="137"/>
      <c r="V87" s="150"/>
      <c r="W87" s="26"/>
    </row>
    <row r="88" spans="1:23" ht="20" customHeight="1">
      <c r="A88" s="384"/>
      <c r="B88" s="156"/>
      <c r="C88" s="137"/>
      <c r="D88" s="137"/>
      <c r="E88" s="137"/>
      <c r="F88" s="137"/>
      <c r="G88" s="136"/>
      <c r="H88" s="137"/>
      <c r="I88" s="137"/>
      <c r="J88" s="138"/>
      <c r="K88" s="137"/>
      <c r="L88" s="137"/>
      <c r="M88" s="139"/>
      <c r="N88" s="137"/>
      <c r="O88" s="137"/>
      <c r="P88" s="139"/>
      <c r="Q88" s="137"/>
      <c r="R88" s="137"/>
      <c r="S88" s="137"/>
      <c r="T88" s="137"/>
      <c r="U88" s="137"/>
      <c r="V88" s="150"/>
      <c r="W88" s="26"/>
    </row>
    <row r="89" spans="1:23" ht="20" customHeight="1">
      <c r="A89" s="384"/>
      <c r="B89" s="156"/>
      <c r="C89" s="137"/>
      <c r="D89" s="137"/>
      <c r="E89" s="137"/>
      <c r="F89" s="137"/>
      <c r="G89" s="136"/>
      <c r="H89" s="137"/>
      <c r="I89" s="137"/>
      <c r="J89" s="138"/>
      <c r="K89" s="137"/>
      <c r="L89" s="137"/>
      <c r="M89" s="139"/>
      <c r="N89" s="137"/>
      <c r="O89" s="137"/>
      <c r="P89" s="139"/>
      <c r="Q89" s="137"/>
      <c r="R89" s="137"/>
      <c r="S89" s="137"/>
      <c r="T89" s="137"/>
      <c r="U89" s="137"/>
      <c r="V89" s="150"/>
      <c r="W89" s="26"/>
    </row>
    <row r="90" spans="1:23" ht="20" customHeight="1">
      <c r="A90" s="384"/>
      <c r="B90" s="156"/>
      <c r="C90" s="137"/>
      <c r="D90" s="137"/>
      <c r="E90" s="137"/>
      <c r="F90" s="137"/>
      <c r="G90" s="136"/>
      <c r="H90" s="137"/>
      <c r="I90" s="137"/>
      <c r="J90" s="138"/>
      <c r="K90" s="137"/>
      <c r="L90" s="137"/>
      <c r="M90" s="139"/>
      <c r="N90" s="137"/>
      <c r="O90" s="137"/>
      <c r="P90" s="139"/>
      <c r="Q90" s="137"/>
      <c r="R90" s="137"/>
      <c r="S90" s="137"/>
      <c r="T90" s="137"/>
      <c r="U90" s="137"/>
      <c r="V90" s="150"/>
      <c r="W90" s="56"/>
    </row>
    <row r="91" spans="1:23" ht="20" customHeight="1">
      <c r="A91" s="384"/>
      <c r="B91" s="156"/>
      <c r="C91" s="137"/>
      <c r="D91" s="137"/>
      <c r="E91" s="137"/>
      <c r="F91" s="137"/>
      <c r="G91" s="136"/>
      <c r="H91" s="137"/>
      <c r="I91" s="137"/>
      <c r="J91" s="138"/>
      <c r="K91" s="137"/>
      <c r="L91" s="137"/>
      <c r="M91" s="139"/>
      <c r="N91" s="137"/>
      <c r="O91" s="137"/>
      <c r="P91" s="139"/>
      <c r="Q91" s="137"/>
      <c r="R91" s="137"/>
      <c r="S91" s="137"/>
      <c r="T91" s="137"/>
      <c r="U91" s="137"/>
      <c r="V91" s="150"/>
      <c r="W91" s="26"/>
    </row>
    <row r="92" spans="1:23" ht="20" customHeight="1">
      <c r="A92" s="384"/>
      <c r="B92" s="156"/>
      <c r="C92" s="137"/>
      <c r="D92" s="137"/>
      <c r="E92" s="137"/>
      <c r="F92" s="137"/>
      <c r="G92" s="136"/>
      <c r="H92" s="137"/>
      <c r="I92" s="137"/>
      <c r="J92" s="138"/>
      <c r="K92" s="137"/>
      <c r="L92" s="137"/>
      <c r="M92" s="139"/>
      <c r="N92" s="137"/>
      <c r="O92" s="137"/>
      <c r="P92" s="139"/>
      <c r="Q92" s="137"/>
      <c r="R92" s="137"/>
      <c r="S92" s="137"/>
      <c r="T92" s="137"/>
      <c r="U92" s="137"/>
      <c r="V92" s="150"/>
      <c r="W92" s="26"/>
    </row>
    <row r="93" spans="1:23" ht="20" customHeight="1">
      <c r="A93" s="384"/>
      <c r="B93" s="156"/>
      <c r="C93" s="137"/>
      <c r="D93" s="137"/>
      <c r="E93" s="137"/>
      <c r="F93" s="137"/>
      <c r="G93" s="136"/>
      <c r="H93" s="137"/>
      <c r="I93" s="137"/>
      <c r="J93" s="138"/>
      <c r="K93" s="137"/>
      <c r="L93" s="137"/>
      <c r="M93" s="139"/>
      <c r="N93" s="137"/>
      <c r="O93" s="137"/>
      <c r="P93" s="139"/>
      <c r="Q93" s="137"/>
      <c r="R93" s="137"/>
      <c r="S93" s="137"/>
      <c r="T93" s="137"/>
      <c r="U93" s="137"/>
      <c r="V93" s="150"/>
      <c r="W93" s="26"/>
    </row>
    <row r="94" spans="1:23" ht="20" customHeight="1">
      <c r="A94" s="384"/>
      <c r="B94" s="156"/>
      <c r="C94" s="137"/>
      <c r="D94" s="137"/>
      <c r="E94" s="137"/>
      <c r="F94" s="137"/>
      <c r="G94" s="136"/>
      <c r="H94" s="137"/>
      <c r="I94" s="137"/>
      <c r="J94" s="138"/>
      <c r="K94" s="137"/>
      <c r="L94" s="137"/>
      <c r="M94" s="139"/>
      <c r="N94" s="137"/>
      <c r="O94" s="137"/>
      <c r="P94" s="139"/>
      <c r="Q94" s="137"/>
      <c r="R94" s="137"/>
      <c r="S94" s="137"/>
      <c r="T94" s="137"/>
      <c r="U94" s="137"/>
      <c r="V94" s="150"/>
      <c r="W94" s="26"/>
    </row>
    <row r="95" spans="1:23" ht="20" customHeight="1">
      <c r="A95" s="384"/>
      <c r="B95" s="156"/>
      <c r="C95" s="137"/>
      <c r="D95" s="137"/>
      <c r="E95" s="137"/>
      <c r="F95" s="137"/>
      <c r="G95" s="136"/>
      <c r="H95" s="137"/>
      <c r="I95" s="137"/>
      <c r="J95" s="138"/>
      <c r="K95" s="137"/>
      <c r="L95" s="137"/>
      <c r="M95" s="139"/>
      <c r="N95" s="137"/>
      <c r="O95" s="137"/>
      <c r="P95" s="139"/>
      <c r="Q95" s="137"/>
      <c r="R95" s="137"/>
      <c r="S95" s="137"/>
      <c r="T95" s="137"/>
      <c r="U95" s="137"/>
      <c r="V95" s="150"/>
      <c r="W95" s="26"/>
    </row>
    <row r="96" spans="1:23" ht="20" customHeight="1">
      <c r="A96" s="384"/>
      <c r="B96" s="156"/>
      <c r="C96" s="137"/>
      <c r="D96" s="137"/>
      <c r="E96" s="137"/>
      <c r="F96" s="137"/>
      <c r="G96" s="136"/>
      <c r="H96" s="137"/>
      <c r="I96" s="137"/>
      <c r="J96" s="138"/>
      <c r="K96" s="137"/>
      <c r="L96" s="137"/>
      <c r="M96" s="139"/>
      <c r="N96" s="137"/>
      <c r="O96" s="137"/>
      <c r="P96" s="139"/>
      <c r="Q96" s="137"/>
      <c r="R96" s="137"/>
      <c r="S96" s="137"/>
      <c r="T96" s="137"/>
      <c r="U96" s="137"/>
      <c r="V96" s="150"/>
      <c r="W96" s="26"/>
    </row>
    <row r="97" spans="1:23" ht="20" customHeight="1">
      <c r="A97" s="384"/>
      <c r="B97" s="156"/>
      <c r="C97" s="137"/>
      <c r="D97" s="137"/>
      <c r="E97" s="137"/>
      <c r="F97" s="137"/>
      <c r="G97" s="136"/>
      <c r="H97" s="137"/>
      <c r="I97" s="137"/>
      <c r="J97" s="138"/>
      <c r="K97" s="137"/>
      <c r="L97" s="137"/>
      <c r="M97" s="139"/>
      <c r="N97" s="137"/>
      <c r="O97" s="137"/>
      <c r="P97" s="139"/>
      <c r="Q97" s="137"/>
      <c r="R97" s="137"/>
      <c r="S97" s="137"/>
      <c r="T97" s="137"/>
      <c r="U97" s="137"/>
      <c r="V97" s="150"/>
      <c r="W97" s="26"/>
    </row>
    <row r="98" spans="1:23" ht="20" customHeight="1">
      <c r="A98" s="384"/>
      <c r="B98" s="156"/>
      <c r="C98" s="137"/>
      <c r="D98" s="137"/>
      <c r="E98" s="137"/>
      <c r="F98" s="137"/>
      <c r="G98" s="136"/>
      <c r="H98" s="137"/>
      <c r="I98" s="137"/>
      <c r="J98" s="138"/>
      <c r="K98" s="137"/>
      <c r="L98" s="137"/>
      <c r="M98" s="139"/>
      <c r="N98" s="137"/>
      <c r="O98" s="137"/>
      <c r="P98" s="139"/>
      <c r="Q98" s="137"/>
      <c r="R98" s="137"/>
      <c r="S98" s="137"/>
      <c r="T98" s="137"/>
      <c r="U98" s="137"/>
      <c r="V98" s="150"/>
      <c r="W98" s="26"/>
    </row>
    <row r="99" spans="1:23" ht="20" customHeight="1">
      <c r="A99" s="384"/>
      <c r="B99" s="156"/>
      <c r="C99" s="137"/>
      <c r="D99" s="137"/>
      <c r="E99" s="137"/>
      <c r="F99" s="137"/>
      <c r="G99" s="136"/>
      <c r="H99" s="137"/>
      <c r="I99" s="137"/>
      <c r="J99" s="138"/>
      <c r="K99" s="137"/>
      <c r="L99" s="137"/>
      <c r="M99" s="139"/>
      <c r="N99" s="137"/>
      <c r="O99" s="137"/>
      <c r="P99" s="139"/>
      <c r="Q99" s="137"/>
      <c r="R99" s="137"/>
      <c r="S99" s="137"/>
      <c r="T99" s="137"/>
      <c r="U99" s="137"/>
      <c r="V99" s="150"/>
      <c r="W99" s="26"/>
    </row>
    <row r="100" spans="1:23" ht="20" customHeight="1">
      <c r="A100" s="384"/>
      <c r="B100" s="156"/>
      <c r="C100" s="137"/>
      <c r="D100" s="137"/>
      <c r="E100" s="137"/>
      <c r="F100" s="137"/>
      <c r="G100" s="136"/>
      <c r="H100" s="137"/>
      <c r="I100" s="137"/>
      <c r="J100" s="138"/>
      <c r="K100" s="137"/>
      <c r="L100" s="137"/>
      <c r="M100" s="139"/>
      <c r="N100" s="137"/>
      <c r="O100" s="137"/>
      <c r="P100" s="139"/>
      <c r="Q100" s="137"/>
      <c r="R100" s="137"/>
      <c r="S100" s="137"/>
      <c r="T100" s="137"/>
      <c r="U100" s="137"/>
      <c r="V100" s="150"/>
      <c r="W100" s="26"/>
    </row>
    <row r="101" spans="1:23" ht="20" customHeight="1">
      <c r="A101" s="384"/>
      <c r="B101" s="156"/>
      <c r="C101" s="137"/>
      <c r="D101" s="137"/>
      <c r="E101" s="137"/>
      <c r="F101" s="137"/>
      <c r="G101" s="136"/>
      <c r="H101" s="137"/>
      <c r="I101" s="137"/>
      <c r="J101" s="138"/>
      <c r="K101" s="137"/>
      <c r="L101" s="137"/>
      <c r="M101" s="139"/>
      <c r="N101" s="137"/>
      <c r="O101" s="137"/>
      <c r="P101" s="139"/>
      <c r="Q101" s="137"/>
      <c r="R101" s="137"/>
      <c r="S101" s="137"/>
      <c r="T101" s="137"/>
      <c r="U101" s="137"/>
      <c r="V101" s="150"/>
      <c r="W101" s="26"/>
    </row>
    <row r="102" spans="1:23" ht="20" customHeight="1">
      <c r="A102" s="384"/>
      <c r="B102" s="156"/>
      <c r="C102" s="137"/>
      <c r="D102" s="137"/>
      <c r="E102" s="137"/>
      <c r="F102" s="137"/>
      <c r="G102" s="136"/>
      <c r="H102" s="137"/>
      <c r="I102" s="137"/>
      <c r="J102" s="138"/>
      <c r="K102" s="137"/>
      <c r="L102" s="137"/>
      <c r="M102" s="139"/>
      <c r="N102" s="137"/>
      <c r="O102" s="137"/>
      <c r="P102" s="139"/>
      <c r="Q102" s="137"/>
      <c r="R102" s="137"/>
      <c r="S102" s="137"/>
      <c r="T102" s="137"/>
      <c r="U102" s="137"/>
      <c r="V102" s="150"/>
      <c r="W102" s="26"/>
    </row>
    <row r="103" spans="1:23" ht="20" customHeight="1">
      <c r="A103" s="384"/>
      <c r="B103" s="156"/>
      <c r="C103" s="137"/>
      <c r="D103" s="137"/>
      <c r="E103" s="137"/>
      <c r="F103" s="137"/>
      <c r="G103" s="136"/>
      <c r="H103" s="137"/>
      <c r="I103" s="137"/>
      <c r="J103" s="138"/>
      <c r="K103" s="137"/>
      <c r="L103" s="137"/>
      <c r="M103" s="139"/>
      <c r="N103" s="137"/>
      <c r="O103" s="137"/>
      <c r="P103" s="139"/>
      <c r="Q103" s="137"/>
      <c r="R103" s="137"/>
      <c r="S103" s="137"/>
      <c r="T103" s="137"/>
      <c r="U103" s="137"/>
      <c r="V103" s="150"/>
      <c r="W103" s="26"/>
    </row>
    <row r="104" spans="1:23" ht="20" customHeight="1">
      <c r="A104" s="384"/>
      <c r="B104" s="156"/>
      <c r="C104" s="137"/>
      <c r="D104" s="137"/>
      <c r="E104" s="137"/>
      <c r="F104" s="137"/>
      <c r="G104" s="136"/>
      <c r="H104" s="137"/>
      <c r="I104" s="137"/>
      <c r="J104" s="138"/>
      <c r="K104" s="137"/>
      <c r="L104" s="137"/>
      <c r="M104" s="139"/>
      <c r="N104" s="137"/>
      <c r="O104" s="137"/>
      <c r="P104" s="139"/>
      <c r="Q104" s="137"/>
      <c r="R104" s="137"/>
      <c r="S104" s="137"/>
      <c r="T104" s="137"/>
      <c r="U104" s="137"/>
      <c r="V104" s="150"/>
      <c r="W104" s="26"/>
    </row>
    <row r="105" spans="1:23" ht="20" customHeight="1" thickBot="1">
      <c r="A105" s="385"/>
      <c r="B105" s="157"/>
      <c r="C105" s="151"/>
      <c r="D105" s="151"/>
      <c r="E105" s="151"/>
      <c r="F105" s="151"/>
      <c r="G105" s="152"/>
      <c r="H105" s="151"/>
      <c r="I105" s="151"/>
      <c r="J105" s="153"/>
      <c r="K105" s="151"/>
      <c r="L105" s="151"/>
      <c r="M105" s="154"/>
      <c r="N105" s="151"/>
      <c r="O105" s="151"/>
      <c r="P105" s="154"/>
      <c r="Q105" s="151"/>
      <c r="R105" s="151"/>
      <c r="S105" s="151"/>
      <c r="T105" s="151"/>
      <c r="U105" s="151"/>
      <c r="V105" s="155"/>
      <c r="W105" s="26"/>
    </row>
    <row r="106" spans="1:23" ht="20" customHeight="1">
      <c r="A106" s="383" t="str">
        <f>'Read Me First'!C16</f>
        <v>Team Kennet</v>
      </c>
      <c r="B106" s="144" t="str" cm="1">
        <f t="array" ref="B106">_xlfn.LET(_xlpm.x, _xlfn._xlws.SORT(_xlfn._xlws.FILTER(Data!$A$378:$U$665,(Data!$C$378:$C$665=$A106)*(Data!$D$378:$D$665=$E$4)*(Data!$E$378:$E$665="U10")),18),_xlpm.y,_xlfn._xlws.SORT(_xlfn._xlws.FILTER(Data!$A$378:$U$665,(Data!$C$378:$C$665=$A106)*(Data!$D$378:$D$665=$E$4)*(Data!$E$378:$E$665="U12")),19), IFERROR(_xlfn.VSTACK(_xlpm.x,_xlpm.y), IFERROR(_xlpm.y,IFERROR(_xlpm.x, ""))))</f>
        <v/>
      </c>
      <c r="C106" s="145"/>
      <c r="D106" s="145"/>
      <c r="E106" s="145"/>
      <c r="F106" s="145"/>
      <c r="G106" s="146"/>
      <c r="H106" s="145"/>
      <c r="I106" s="145"/>
      <c r="J106" s="147"/>
      <c r="K106" s="145"/>
      <c r="L106" s="145"/>
      <c r="M106" s="148"/>
      <c r="N106" s="145"/>
      <c r="O106" s="145"/>
      <c r="P106" s="148"/>
      <c r="Q106" s="145"/>
      <c r="R106" s="145"/>
      <c r="S106" s="145"/>
      <c r="T106" s="145"/>
      <c r="U106" s="145"/>
      <c r="V106" s="149"/>
      <c r="W106" s="26"/>
    </row>
    <row r="107" spans="1:23" ht="20" customHeight="1">
      <c r="A107" s="384"/>
      <c r="B107" s="156"/>
      <c r="C107" s="137"/>
      <c r="D107" s="137"/>
      <c r="E107" s="137"/>
      <c r="F107" s="137"/>
      <c r="G107" s="136"/>
      <c r="H107" s="137"/>
      <c r="I107" s="137"/>
      <c r="J107" s="138"/>
      <c r="K107" s="137"/>
      <c r="L107" s="137"/>
      <c r="M107" s="139"/>
      <c r="N107" s="137"/>
      <c r="O107" s="137"/>
      <c r="P107" s="139"/>
      <c r="Q107" s="137"/>
      <c r="R107" s="137"/>
      <c r="S107" s="137"/>
      <c r="T107" s="137"/>
      <c r="U107" s="137"/>
      <c r="V107" s="150"/>
      <c r="W107" s="26"/>
    </row>
    <row r="108" spans="1:23" ht="20" customHeight="1">
      <c r="A108" s="384"/>
      <c r="B108" s="156"/>
      <c r="C108" s="137"/>
      <c r="D108" s="137"/>
      <c r="E108" s="137"/>
      <c r="F108" s="137"/>
      <c r="G108" s="136"/>
      <c r="H108" s="137"/>
      <c r="I108" s="137"/>
      <c r="J108" s="138"/>
      <c r="K108" s="137"/>
      <c r="L108" s="137"/>
      <c r="M108" s="139"/>
      <c r="N108" s="137"/>
      <c r="O108" s="137"/>
      <c r="P108" s="139"/>
      <c r="Q108" s="137"/>
      <c r="R108" s="137"/>
      <c r="S108" s="137"/>
      <c r="T108" s="137"/>
      <c r="U108" s="137"/>
      <c r="V108" s="150"/>
      <c r="W108" s="26"/>
    </row>
    <row r="109" spans="1:23" ht="20" customHeight="1">
      <c r="A109" s="384"/>
      <c r="B109" s="156"/>
      <c r="C109" s="137"/>
      <c r="D109" s="137"/>
      <c r="E109" s="137"/>
      <c r="F109" s="137"/>
      <c r="G109" s="136"/>
      <c r="H109" s="137"/>
      <c r="I109" s="137"/>
      <c r="J109" s="138"/>
      <c r="K109" s="137"/>
      <c r="L109" s="137"/>
      <c r="M109" s="139"/>
      <c r="N109" s="137"/>
      <c r="O109" s="137"/>
      <c r="P109" s="139"/>
      <c r="Q109" s="137"/>
      <c r="R109" s="137"/>
      <c r="S109" s="137"/>
      <c r="T109" s="137"/>
      <c r="U109" s="137"/>
      <c r="V109" s="150"/>
      <c r="W109" s="26"/>
    </row>
    <row r="110" spans="1:23" ht="20" customHeight="1">
      <c r="A110" s="384"/>
      <c r="B110" s="156"/>
      <c r="C110" s="137"/>
      <c r="D110" s="137"/>
      <c r="E110" s="137"/>
      <c r="F110" s="137"/>
      <c r="G110" s="136"/>
      <c r="H110" s="137"/>
      <c r="I110" s="137"/>
      <c r="J110" s="138"/>
      <c r="K110" s="137"/>
      <c r="L110" s="137"/>
      <c r="M110" s="139"/>
      <c r="N110" s="137"/>
      <c r="O110" s="137"/>
      <c r="P110" s="139"/>
      <c r="Q110" s="137"/>
      <c r="R110" s="137"/>
      <c r="S110" s="137"/>
      <c r="T110" s="137"/>
      <c r="U110" s="137"/>
      <c r="V110" s="150"/>
      <c r="W110" s="26"/>
    </row>
    <row r="111" spans="1:23" ht="20" customHeight="1">
      <c r="A111" s="384"/>
      <c r="B111" s="156"/>
      <c r="C111" s="137"/>
      <c r="D111" s="137"/>
      <c r="E111" s="137"/>
      <c r="F111" s="137"/>
      <c r="G111" s="136"/>
      <c r="H111" s="137"/>
      <c r="I111" s="137"/>
      <c r="J111" s="138"/>
      <c r="K111" s="137"/>
      <c r="L111" s="137"/>
      <c r="M111" s="139"/>
      <c r="N111" s="137"/>
      <c r="O111" s="137"/>
      <c r="P111" s="139"/>
      <c r="Q111" s="137"/>
      <c r="R111" s="137"/>
      <c r="S111" s="137"/>
      <c r="T111" s="137"/>
      <c r="U111" s="137"/>
      <c r="V111" s="150"/>
      <c r="W111" s="56"/>
    </row>
    <row r="112" spans="1:23" ht="20" customHeight="1">
      <c r="A112" s="384"/>
      <c r="B112" s="156"/>
      <c r="C112" s="137"/>
      <c r="D112" s="137"/>
      <c r="E112" s="137"/>
      <c r="F112" s="137"/>
      <c r="G112" s="136"/>
      <c r="H112" s="137"/>
      <c r="I112" s="137"/>
      <c r="J112" s="138"/>
      <c r="K112" s="137"/>
      <c r="L112" s="137"/>
      <c r="M112" s="139"/>
      <c r="N112" s="137"/>
      <c r="O112" s="137"/>
      <c r="P112" s="139"/>
      <c r="Q112" s="137"/>
      <c r="R112" s="137"/>
      <c r="S112" s="137"/>
      <c r="T112" s="137"/>
      <c r="U112" s="137"/>
      <c r="V112" s="150"/>
      <c r="W112" s="56"/>
    </row>
    <row r="113" spans="1:23" ht="20" customHeight="1">
      <c r="A113" s="384"/>
      <c r="B113" s="156"/>
      <c r="C113" s="137"/>
      <c r="D113" s="137"/>
      <c r="E113" s="137"/>
      <c r="F113" s="137"/>
      <c r="G113" s="136"/>
      <c r="H113" s="137"/>
      <c r="I113" s="137"/>
      <c r="J113" s="138"/>
      <c r="K113" s="137"/>
      <c r="L113" s="137"/>
      <c r="M113" s="139"/>
      <c r="N113" s="137"/>
      <c r="O113" s="137"/>
      <c r="P113" s="139"/>
      <c r="Q113" s="137"/>
      <c r="R113" s="137"/>
      <c r="S113" s="137"/>
      <c r="T113" s="137"/>
      <c r="U113" s="137"/>
      <c r="V113" s="150"/>
      <c r="W113" s="56"/>
    </row>
    <row r="114" spans="1:23" ht="20" customHeight="1">
      <c r="A114" s="384"/>
      <c r="B114" s="156"/>
      <c r="C114" s="137"/>
      <c r="D114" s="137"/>
      <c r="E114" s="137"/>
      <c r="F114" s="137"/>
      <c r="G114" s="136"/>
      <c r="H114" s="137"/>
      <c r="I114" s="137"/>
      <c r="J114" s="138"/>
      <c r="K114" s="137"/>
      <c r="L114" s="137"/>
      <c r="M114" s="139"/>
      <c r="N114" s="137"/>
      <c r="O114" s="137"/>
      <c r="P114" s="139"/>
      <c r="Q114" s="137"/>
      <c r="R114" s="137"/>
      <c r="S114" s="137"/>
      <c r="T114" s="137"/>
      <c r="U114" s="137"/>
      <c r="V114" s="150"/>
      <c r="W114" s="56"/>
    </row>
    <row r="115" spans="1:23" ht="20" customHeight="1">
      <c r="A115" s="384"/>
      <c r="B115" s="156"/>
      <c r="C115" s="137"/>
      <c r="D115" s="137"/>
      <c r="E115" s="137"/>
      <c r="F115" s="137"/>
      <c r="G115" s="136"/>
      <c r="H115" s="137"/>
      <c r="I115" s="137"/>
      <c r="J115" s="138"/>
      <c r="K115" s="137"/>
      <c r="L115" s="137"/>
      <c r="M115" s="139"/>
      <c r="N115" s="137"/>
      <c r="O115" s="137"/>
      <c r="P115" s="139"/>
      <c r="Q115" s="137"/>
      <c r="R115" s="137"/>
      <c r="S115" s="137"/>
      <c r="T115" s="137"/>
      <c r="U115" s="137"/>
      <c r="V115" s="150"/>
      <c r="W115" s="56"/>
    </row>
    <row r="116" spans="1:23" ht="20" customHeight="1">
      <c r="A116" s="384"/>
      <c r="B116" s="156"/>
      <c r="C116" s="137"/>
      <c r="D116" s="137"/>
      <c r="E116" s="137"/>
      <c r="F116" s="137"/>
      <c r="G116" s="136"/>
      <c r="H116" s="137"/>
      <c r="I116" s="137"/>
      <c r="J116" s="138"/>
      <c r="K116" s="137"/>
      <c r="L116" s="137"/>
      <c r="M116" s="139"/>
      <c r="N116" s="137"/>
      <c r="O116" s="137"/>
      <c r="P116" s="139"/>
      <c r="Q116" s="137"/>
      <c r="R116" s="137"/>
      <c r="S116" s="137"/>
      <c r="T116" s="137"/>
      <c r="U116" s="137"/>
      <c r="V116" s="150"/>
      <c r="W116" s="26"/>
    </row>
    <row r="117" spans="1:23" ht="20" customHeight="1">
      <c r="A117" s="384"/>
      <c r="B117" s="156"/>
      <c r="C117" s="137"/>
      <c r="D117" s="137"/>
      <c r="E117" s="137"/>
      <c r="F117" s="137"/>
      <c r="G117" s="136"/>
      <c r="H117" s="137"/>
      <c r="I117" s="137"/>
      <c r="J117" s="138"/>
      <c r="K117" s="137"/>
      <c r="L117" s="137"/>
      <c r="M117" s="139"/>
      <c r="N117" s="137"/>
      <c r="O117" s="137"/>
      <c r="P117" s="139"/>
      <c r="Q117" s="137"/>
      <c r="R117" s="137"/>
      <c r="S117" s="137"/>
      <c r="T117" s="137"/>
      <c r="U117" s="137"/>
      <c r="V117" s="150"/>
      <c r="W117" s="26"/>
    </row>
    <row r="118" spans="1:23" ht="20" customHeight="1">
      <c r="A118" s="384"/>
      <c r="B118" s="156"/>
      <c r="C118" s="137"/>
      <c r="D118" s="137"/>
      <c r="E118" s="137"/>
      <c r="F118" s="137"/>
      <c r="G118" s="136"/>
      <c r="H118" s="137"/>
      <c r="I118" s="137"/>
      <c r="J118" s="138"/>
      <c r="K118" s="137"/>
      <c r="L118" s="137"/>
      <c r="M118" s="139"/>
      <c r="N118" s="137"/>
      <c r="O118" s="137"/>
      <c r="P118" s="139"/>
      <c r="Q118" s="137"/>
      <c r="R118" s="137"/>
      <c r="S118" s="137"/>
      <c r="T118" s="137"/>
      <c r="U118" s="137"/>
      <c r="V118" s="150"/>
      <c r="W118" s="26"/>
    </row>
    <row r="119" spans="1:23" ht="20" customHeight="1">
      <c r="A119" s="384"/>
      <c r="B119" s="156"/>
      <c r="C119" s="137"/>
      <c r="D119" s="137"/>
      <c r="E119" s="137"/>
      <c r="F119" s="137"/>
      <c r="G119" s="136"/>
      <c r="H119" s="137"/>
      <c r="I119" s="137"/>
      <c r="J119" s="138"/>
      <c r="K119" s="137"/>
      <c r="L119" s="137"/>
      <c r="M119" s="139"/>
      <c r="N119" s="137"/>
      <c r="O119" s="137"/>
      <c r="P119" s="139"/>
      <c r="Q119" s="137"/>
      <c r="R119" s="137"/>
      <c r="S119" s="137"/>
      <c r="T119" s="137"/>
      <c r="U119" s="137"/>
      <c r="V119" s="150"/>
      <c r="W119" s="26"/>
    </row>
    <row r="120" spans="1:23" ht="20" customHeight="1">
      <c r="A120" s="384"/>
      <c r="B120" s="156"/>
      <c r="C120" s="137"/>
      <c r="D120" s="137"/>
      <c r="E120" s="137"/>
      <c r="F120" s="137"/>
      <c r="G120" s="136"/>
      <c r="H120" s="137"/>
      <c r="I120" s="137"/>
      <c r="J120" s="138"/>
      <c r="K120" s="137"/>
      <c r="L120" s="137"/>
      <c r="M120" s="139"/>
      <c r="N120" s="137"/>
      <c r="O120" s="137"/>
      <c r="P120" s="139"/>
      <c r="Q120" s="137"/>
      <c r="R120" s="137"/>
      <c r="S120" s="137"/>
      <c r="T120" s="137"/>
      <c r="U120" s="137"/>
      <c r="V120" s="150"/>
      <c r="W120" s="26"/>
    </row>
    <row r="121" spans="1:23" ht="20" customHeight="1">
      <c r="A121" s="384"/>
      <c r="B121" s="156"/>
      <c r="C121" s="137"/>
      <c r="D121" s="137"/>
      <c r="E121" s="137"/>
      <c r="F121" s="137"/>
      <c r="G121" s="136"/>
      <c r="H121" s="137"/>
      <c r="I121" s="137"/>
      <c r="J121" s="138"/>
      <c r="K121" s="137"/>
      <c r="L121" s="137"/>
      <c r="M121" s="139"/>
      <c r="N121" s="137"/>
      <c r="O121" s="137"/>
      <c r="P121" s="139"/>
      <c r="Q121" s="137"/>
      <c r="R121" s="137"/>
      <c r="S121" s="137"/>
      <c r="T121" s="137"/>
      <c r="U121" s="137"/>
      <c r="V121" s="150"/>
      <c r="W121" s="26"/>
    </row>
    <row r="122" spans="1:23" ht="20" customHeight="1">
      <c r="A122" s="384"/>
      <c r="B122" s="156"/>
      <c r="C122" s="137"/>
      <c r="D122" s="137"/>
      <c r="E122" s="137"/>
      <c r="F122" s="137"/>
      <c r="G122" s="136"/>
      <c r="H122" s="137"/>
      <c r="I122" s="137"/>
      <c r="J122" s="138"/>
      <c r="K122" s="137"/>
      <c r="L122" s="137"/>
      <c r="M122" s="139"/>
      <c r="N122" s="137"/>
      <c r="O122" s="137"/>
      <c r="P122" s="139"/>
      <c r="Q122" s="137"/>
      <c r="R122" s="137"/>
      <c r="S122" s="137"/>
      <c r="T122" s="137"/>
      <c r="U122" s="137"/>
      <c r="V122" s="150"/>
      <c r="W122" s="26"/>
    </row>
    <row r="123" spans="1:23" ht="20" customHeight="1">
      <c r="A123" s="384"/>
      <c r="B123" s="156"/>
      <c r="C123" s="137"/>
      <c r="D123" s="137"/>
      <c r="E123" s="137"/>
      <c r="F123" s="137"/>
      <c r="G123" s="136"/>
      <c r="H123" s="137"/>
      <c r="I123" s="137"/>
      <c r="J123" s="138"/>
      <c r="K123" s="137"/>
      <c r="L123" s="137"/>
      <c r="M123" s="139"/>
      <c r="N123" s="137"/>
      <c r="O123" s="137"/>
      <c r="P123" s="139"/>
      <c r="Q123" s="137"/>
      <c r="R123" s="137"/>
      <c r="S123" s="137"/>
      <c r="T123" s="137"/>
      <c r="U123" s="137"/>
      <c r="V123" s="150"/>
      <c r="W123" s="26"/>
    </row>
    <row r="124" spans="1:23" ht="20" customHeight="1">
      <c r="A124" s="384"/>
      <c r="B124" s="156"/>
      <c r="C124" s="137"/>
      <c r="D124" s="137"/>
      <c r="E124" s="137"/>
      <c r="F124" s="137"/>
      <c r="G124" s="136"/>
      <c r="H124" s="137"/>
      <c r="I124" s="137"/>
      <c r="J124" s="138"/>
      <c r="K124" s="137"/>
      <c r="L124" s="137"/>
      <c r="M124" s="139"/>
      <c r="N124" s="137"/>
      <c r="O124" s="137"/>
      <c r="P124" s="139"/>
      <c r="Q124" s="137"/>
      <c r="R124" s="137"/>
      <c r="S124" s="137"/>
      <c r="T124" s="137"/>
      <c r="U124" s="137"/>
      <c r="V124" s="150"/>
      <c r="W124" s="26"/>
    </row>
    <row r="125" spans="1:23" ht="20" customHeight="1">
      <c r="A125" s="384"/>
      <c r="B125" s="156"/>
      <c r="C125" s="137"/>
      <c r="D125" s="137"/>
      <c r="E125" s="137"/>
      <c r="F125" s="137"/>
      <c r="G125" s="136"/>
      <c r="H125" s="137"/>
      <c r="I125" s="137"/>
      <c r="J125" s="138"/>
      <c r="K125" s="137"/>
      <c r="L125" s="137"/>
      <c r="M125" s="139"/>
      <c r="N125" s="137"/>
      <c r="O125" s="137"/>
      <c r="P125" s="139"/>
      <c r="Q125" s="137"/>
      <c r="R125" s="137"/>
      <c r="S125" s="137"/>
      <c r="T125" s="137"/>
      <c r="U125" s="137"/>
      <c r="V125" s="150"/>
      <c r="W125" s="26"/>
    </row>
    <row r="126" spans="1:23" ht="20" customHeight="1">
      <c r="A126" s="384"/>
      <c r="B126" s="156"/>
      <c r="C126" s="137"/>
      <c r="D126" s="137"/>
      <c r="E126" s="137"/>
      <c r="F126" s="137"/>
      <c r="G126" s="136"/>
      <c r="H126" s="137"/>
      <c r="I126" s="137"/>
      <c r="J126" s="138"/>
      <c r="K126" s="137"/>
      <c r="L126" s="137"/>
      <c r="M126" s="139"/>
      <c r="N126" s="137"/>
      <c r="O126" s="137"/>
      <c r="P126" s="139"/>
      <c r="Q126" s="137"/>
      <c r="R126" s="137"/>
      <c r="S126" s="137"/>
      <c r="T126" s="137"/>
      <c r="U126" s="137"/>
      <c r="V126" s="150"/>
      <c r="W126" s="26"/>
    </row>
    <row r="127" spans="1:23" ht="20" customHeight="1">
      <c r="A127" s="384"/>
      <c r="B127" s="156"/>
      <c r="C127" s="137"/>
      <c r="D127" s="137"/>
      <c r="E127" s="137"/>
      <c r="F127" s="137"/>
      <c r="G127" s="136"/>
      <c r="H127" s="137"/>
      <c r="I127" s="137"/>
      <c r="J127" s="138"/>
      <c r="K127" s="137"/>
      <c r="L127" s="137"/>
      <c r="M127" s="139"/>
      <c r="N127" s="137"/>
      <c r="O127" s="137"/>
      <c r="P127" s="139"/>
      <c r="Q127" s="137"/>
      <c r="R127" s="137"/>
      <c r="S127" s="137"/>
      <c r="T127" s="137"/>
      <c r="U127" s="137"/>
      <c r="V127" s="150"/>
      <c r="W127" s="26"/>
    </row>
    <row r="128" spans="1:23" ht="20" customHeight="1">
      <c r="A128" s="384"/>
      <c r="B128" s="156"/>
      <c r="C128" s="137"/>
      <c r="D128" s="137"/>
      <c r="E128" s="137"/>
      <c r="F128" s="137"/>
      <c r="G128" s="136"/>
      <c r="H128" s="137"/>
      <c r="I128" s="137"/>
      <c r="J128" s="138"/>
      <c r="K128" s="137"/>
      <c r="L128" s="137"/>
      <c r="M128" s="139"/>
      <c r="N128" s="137"/>
      <c r="O128" s="137"/>
      <c r="P128" s="139"/>
      <c r="Q128" s="137"/>
      <c r="R128" s="137"/>
      <c r="S128" s="137"/>
      <c r="T128" s="137"/>
      <c r="U128" s="137"/>
      <c r="V128" s="150"/>
      <c r="W128" s="26"/>
    </row>
    <row r="129" spans="1:23" ht="20" customHeight="1">
      <c r="A129" s="384"/>
      <c r="B129" s="156"/>
      <c r="C129" s="137"/>
      <c r="D129" s="137"/>
      <c r="E129" s="137"/>
      <c r="F129" s="137"/>
      <c r="G129" s="136"/>
      <c r="H129" s="137"/>
      <c r="I129" s="137"/>
      <c r="J129" s="138"/>
      <c r="K129" s="137"/>
      <c r="L129" s="137"/>
      <c r="M129" s="139"/>
      <c r="N129" s="137"/>
      <c r="O129" s="137"/>
      <c r="P129" s="139"/>
      <c r="Q129" s="137"/>
      <c r="R129" s="137"/>
      <c r="S129" s="137"/>
      <c r="T129" s="137"/>
      <c r="U129" s="137"/>
      <c r="V129" s="150"/>
      <c r="W129" s="26"/>
    </row>
    <row r="130" spans="1:23" ht="20" customHeight="1" thickBot="1">
      <c r="A130" s="385"/>
      <c r="B130" s="157"/>
      <c r="C130" s="151"/>
      <c r="D130" s="151"/>
      <c r="E130" s="151"/>
      <c r="F130" s="151"/>
      <c r="G130" s="152"/>
      <c r="H130" s="151"/>
      <c r="I130" s="151"/>
      <c r="J130" s="153"/>
      <c r="K130" s="151"/>
      <c r="L130" s="151"/>
      <c r="M130" s="154"/>
      <c r="N130" s="151"/>
      <c r="O130" s="151"/>
      <c r="P130" s="154"/>
      <c r="Q130" s="151"/>
      <c r="R130" s="151"/>
      <c r="S130" s="151"/>
      <c r="T130" s="151"/>
      <c r="U130" s="151"/>
      <c r="V130" s="155"/>
      <c r="W130" s="26"/>
    </row>
    <row r="131" spans="1:23" ht="20" customHeight="1">
      <c r="A131" s="383" t="str">
        <f>'Read Me First'!C17</f>
        <v>White Horse Harriers</v>
      </c>
      <c r="B131" s="144" t="str" cm="1">
        <f t="array" ref="B131">_xlfn.LET(_xlpm.x, _xlfn._xlws.SORT(_xlfn._xlws.FILTER(Data!$A$54:$U$341,(Data!$C$54:$C$341=$A131)*(Data!$D$54:$D$341=$E$4)*(Data!$E$54:$E$341="U10")),18),_xlpm.y,_xlfn._xlws.SORT(_xlfn._xlws.FILTER(Data!$A$54:$U$341,(Data!$C$54:$C$341=$A131)*(Data!$D$54:$D$341=$E$4)*(Data!$E$54:$E$341="U12")),19), IFERROR(_xlfn.VSTACK(_xlpm.x,_xlpm.y), IFERROR(_xlpm.y,IFERROR(_xlpm.x, ""))))</f>
        <v/>
      </c>
      <c r="C131" s="145"/>
      <c r="D131" s="145"/>
      <c r="E131" s="145"/>
      <c r="F131" s="145"/>
      <c r="G131" s="146"/>
      <c r="H131" s="145"/>
      <c r="I131" s="145"/>
      <c r="J131" s="147"/>
      <c r="K131" s="145"/>
      <c r="L131" s="145"/>
      <c r="M131" s="148"/>
      <c r="N131" s="145"/>
      <c r="O131" s="145"/>
      <c r="P131" s="148"/>
      <c r="Q131" s="145"/>
      <c r="R131" s="145"/>
      <c r="S131" s="145"/>
      <c r="T131" s="145"/>
      <c r="U131" s="145"/>
      <c r="V131" s="149"/>
      <c r="W131" s="26"/>
    </row>
    <row r="132" spans="1:23" ht="20" customHeight="1">
      <c r="A132" s="384"/>
      <c r="B132" s="156"/>
      <c r="C132" s="137"/>
      <c r="D132" s="137"/>
      <c r="E132" s="137"/>
      <c r="F132" s="137"/>
      <c r="G132" s="136"/>
      <c r="H132" s="137"/>
      <c r="I132" s="137"/>
      <c r="J132" s="138"/>
      <c r="K132" s="137"/>
      <c r="L132" s="137"/>
      <c r="M132" s="139"/>
      <c r="N132" s="137"/>
      <c r="O132" s="137"/>
      <c r="P132" s="139"/>
      <c r="Q132" s="137"/>
      <c r="R132" s="137"/>
      <c r="S132" s="137"/>
      <c r="T132" s="137"/>
      <c r="U132" s="137"/>
      <c r="V132" s="150"/>
      <c r="W132" s="56"/>
    </row>
    <row r="133" spans="1:23" ht="20" customHeight="1">
      <c r="A133" s="384"/>
      <c r="B133" s="156"/>
      <c r="C133" s="137"/>
      <c r="D133" s="137"/>
      <c r="E133" s="137"/>
      <c r="F133" s="137"/>
      <c r="G133" s="136"/>
      <c r="H133" s="137"/>
      <c r="I133" s="137"/>
      <c r="J133" s="138"/>
      <c r="K133" s="137"/>
      <c r="L133" s="137"/>
      <c r="M133" s="139"/>
      <c r="N133" s="137"/>
      <c r="O133" s="137"/>
      <c r="P133" s="139"/>
      <c r="Q133" s="137"/>
      <c r="R133" s="137"/>
      <c r="S133" s="137"/>
      <c r="T133" s="137"/>
      <c r="U133" s="137"/>
      <c r="V133" s="150"/>
      <c r="W133" s="26"/>
    </row>
    <row r="134" spans="1:23" ht="20" customHeight="1">
      <c r="A134" s="384"/>
      <c r="B134" s="156"/>
      <c r="C134" s="137"/>
      <c r="D134" s="137"/>
      <c r="E134" s="137"/>
      <c r="F134" s="137"/>
      <c r="G134" s="136"/>
      <c r="H134" s="137"/>
      <c r="I134" s="137"/>
      <c r="J134" s="138"/>
      <c r="K134" s="137"/>
      <c r="L134" s="137"/>
      <c r="M134" s="139"/>
      <c r="N134" s="137"/>
      <c r="O134" s="137"/>
      <c r="P134" s="139"/>
      <c r="Q134" s="137"/>
      <c r="R134" s="137"/>
      <c r="S134" s="137"/>
      <c r="T134" s="137"/>
      <c r="U134" s="137"/>
      <c r="V134" s="150"/>
      <c r="W134" s="26"/>
    </row>
    <row r="135" spans="1:23" ht="20" customHeight="1">
      <c r="A135" s="384"/>
      <c r="B135" s="156"/>
      <c r="C135" s="137"/>
      <c r="D135" s="137"/>
      <c r="E135" s="137"/>
      <c r="F135" s="137"/>
      <c r="G135" s="136"/>
      <c r="H135" s="137"/>
      <c r="I135" s="137"/>
      <c r="J135" s="138"/>
      <c r="K135" s="137"/>
      <c r="L135" s="137"/>
      <c r="M135" s="139"/>
      <c r="N135" s="137"/>
      <c r="O135" s="137"/>
      <c r="P135" s="139"/>
      <c r="Q135" s="137"/>
      <c r="R135" s="137"/>
      <c r="S135" s="137"/>
      <c r="T135" s="137"/>
      <c r="U135" s="137"/>
      <c r="V135" s="150"/>
      <c r="W135" s="26"/>
    </row>
    <row r="136" spans="1:23" ht="20" customHeight="1">
      <c r="A136" s="384"/>
      <c r="B136" s="156"/>
      <c r="C136" s="137"/>
      <c r="D136" s="137"/>
      <c r="E136" s="137"/>
      <c r="F136" s="137"/>
      <c r="G136" s="136"/>
      <c r="H136" s="137"/>
      <c r="I136" s="137"/>
      <c r="J136" s="138"/>
      <c r="K136" s="137"/>
      <c r="L136" s="137"/>
      <c r="M136" s="139"/>
      <c r="N136" s="137"/>
      <c r="O136" s="137"/>
      <c r="P136" s="139"/>
      <c r="Q136" s="137"/>
      <c r="R136" s="137"/>
      <c r="S136" s="137"/>
      <c r="T136" s="137"/>
      <c r="U136" s="137"/>
      <c r="V136" s="150"/>
      <c r="W136" s="26"/>
    </row>
    <row r="137" spans="1:23" ht="20" customHeight="1">
      <c r="A137" s="384"/>
      <c r="B137" s="156"/>
      <c r="C137" s="137"/>
      <c r="D137" s="137"/>
      <c r="E137" s="137"/>
      <c r="F137" s="137"/>
      <c r="G137" s="136"/>
      <c r="H137" s="137"/>
      <c r="I137" s="137"/>
      <c r="J137" s="138"/>
      <c r="K137" s="137"/>
      <c r="L137" s="137"/>
      <c r="M137" s="139"/>
      <c r="N137" s="137"/>
      <c r="O137" s="137"/>
      <c r="P137" s="139"/>
      <c r="Q137" s="137"/>
      <c r="R137" s="137"/>
      <c r="S137" s="137"/>
      <c r="T137" s="137"/>
      <c r="U137" s="137"/>
      <c r="V137" s="150"/>
      <c r="W137" s="26"/>
    </row>
    <row r="138" spans="1:23" ht="20" customHeight="1">
      <c r="A138" s="384"/>
      <c r="B138" s="156"/>
      <c r="C138" s="137"/>
      <c r="D138" s="137"/>
      <c r="E138" s="137"/>
      <c r="F138" s="137"/>
      <c r="G138" s="136"/>
      <c r="H138" s="137"/>
      <c r="I138" s="137"/>
      <c r="J138" s="138"/>
      <c r="K138" s="137"/>
      <c r="L138" s="137"/>
      <c r="M138" s="139"/>
      <c r="N138" s="137"/>
      <c r="O138" s="137"/>
      <c r="P138" s="139"/>
      <c r="Q138" s="137"/>
      <c r="R138" s="137"/>
      <c r="S138" s="137"/>
      <c r="T138" s="137"/>
      <c r="U138" s="137"/>
      <c r="V138" s="150"/>
      <c r="W138" s="26"/>
    </row>
    <row r="139" spans="1:23" ht="20" customHeight="1">
      <c r="A139" s="384"/>
      <c r="B139" s="156"/>
      <c r="C139" s="137"/>
      <c r="D139" s="137"/>
      <c r="E139" s="137"/>
      <c r="F139" s="137"/>
      <c r="G139" s="136"/>
      <c r="H139" s="137"/>
      <c r="I139" s="137"/>
      <c r="J139" s="138"/>
      <c r="K139" s="137"/>
      <c r="L139" s="137"/>
      <c r="M139" s="139"/>
      <c r="N139" s="137"/>
      <c r="O139" s="137"/>
      <c r="P139" s="139"/>
      <c r="Q139" s="137"/>
      <c r="R139" s="137"/>
      <c r="S139" s="137"/>
      <c r="T139" s="137"/>
      <c r="U139" s="137"/>
      <c r="V139" s="150"/>
      <c r="W139" s="26"/>
    </row>
    <row r="140" spans="1:23" ht="20" customHeight="1">
      <c r="A140" s="384"/>
      <c r="B140" s="156"/>
      <c r="C140" s="137"/>
      <c r="D140" s="137"/>
      <c r="E140" s="137"/>
      <c r="F140" s="137"/>
      <c r="G140" s="136"/>
      <c r="H140" s="137"/>
      <c r="I140" s="137"/>
      <c r="J140" s="138"/>
      <c r="K140" s="137"/>
      <c r="L140" s="137"/>
      <c r="M140" s="139"/>
      <c r="N140" s="137"/>
      <c r="O140" s="137"/>
      <c r="P140" s="139"/>
      <c r="Q140" s="137"/>
      <c r="R140" s="137"/>
      <c r="S140" s="137"/>
      <c r="T140" s="137"/>
      <c r="U140" s="137"/>
      <c r="V140" s="150"/>
      <c r="W140" s="26"/>
    </row>
    <row r="141" spans="1:23" ht="20" customHeight="1">
      <c r="A141" s="384"/>
      <c r="B141" s="156"/>
      <c r="C141" s="137"/>
      <c r="D141" s="137"/>
      <c r="E141" s="137"/>
      <c r="F141" s="137"/>
      <c r="G141" s="136"/>
      <c r="H141" s="137"/>
      <c r="I141" s="137"/>
      <c r="J141" s="138"/>
      <c r="K141" s="137"/>
      <c r="L141" s="137"/>
      <c r="M141" s="139"/>
      <c r="N141" s="137"/>
      <c r="O141" s="137"/>
      <c r="P141" s="139"/>
      <c r="Q141" s="137"/>
      <c r="R141" s="137"/>
      <c r="S141" s="137"/>
      <c r="T141" s="137"/>
      <c r="U141" s="137"/>
      <c r="V141" s="150"/>
      <c r="W141" s="26"/>
    </row>
    <row r="142" spans="1:23" ht="20" customHeight="1">
      <c r="A142" s="384"/>
      <c r="B142" s="156"/>
      <c r="C142" s="137"/>
      <c r="D142" s="137"/>
      <c r="E142" s="137"/>
      <c r="F142" s="137"/>
      <c r="G142" s="136"/>
      <c r="H142" s="137"/>
      <c r="I142" s="137"/>
      <c r="J142" s="138"/>
      <c r="K142" s="137"/>
      <c r="L142" s="137"/>
      <c r="M142" s="139"/>
      <c r="N142" s="137"/>
      <c r="O142" s="137"/>
      <c r="P142" s="139"/>
      <c r="Q142" s="137"/>
      <c r="R142" s="137"/>
      <c r="S142" s="137"/>
      <c r="T142" s="137"/>
      <c r="U142" s="137"/>
      <c r="V142" s="150"/>
      <c r="W142" s="26"/>
    </row>
    <row r="143" spans="1:23" ht="20" customHeight="1">
      <c r="A143" s="384"/>
      <c r="B143" s="156"/>
      <c r="C143" s="137"/>
      <c r="D143" s="137"/>
      <c r="E143" s="137"/>
      <c r="F143" s="137"/>
      <c r="G143" s="136"/>
      <c r="H143" s="137"/>
      <c r="I143" s="137"/>
      <c r="J143" s="138"/>
      <c r="K143" s="137"/>
      <c r="L143" s="137"/>
      <c r="M143" s="139"/>
      <c r="N143" s="137"/>
      <c r="O143" s="137"/>
      <c r="P143" s="139"/>
      <c r="Q143" s="137"/>
      <c r="R143" s="137"/>
      <c r="S143" s="137"/>
      <c r="T143" s="137"/>
      <c r="U143" s="137"/>
      <c r="V143" s="150"/>
      <c r="W143" s="26"/>
    </row>
    <row r="144" spans="1:23" ht="20" customHeight="1">
      <c r="A144" s="384"/>
      <c r="B144" s="156"/>
      <c r="C144" s="137"/>
      <c r="D144" s="137"/>
      <c r="E144" s="137"/>
      <c r="F144" s="137"/>
      <c r="G144" s="136"/>
      <c r="H144" s="137"/>
      <c r="I144" s="137"/>
      <c r="J144" s="138"/>
      <c r="K144" s="137"/>
      <c r="L144" s="137"/>
      <c r="M144" s="139"/>
      <c r="N144" s="137"/>
      <c r="O144" s="137"/>
      <c r="P144" s="139"/>
      <c r="Q144" s="137"/>
      <c r="R144" s="137"/>
      <c r="S144" s="137"/>
      <c r="T144" s="137"/>
      <c r="U144" s="137"/>
      <c r="V144" s="150"/>
      <c r="W144" s="26"/>
    </row>
    <row r="145" spans="1:23" ht="20" customHeight="1">
      <c r="A145" s="384"/>
      <c r="B145" s="156"/>
      <c r="C145" s="137"/>
      <c r="D145" s="137"/>
      <c r="E145" s="137"/>
      <c r="F145" s="137"/>
      <c r="G145" s="136"/>
      <c r="H145" s="137"/>
      <c r="I145" s="137"/>
      <c r="J145" s="138"/>
      <c r="K145" s="137"/>
      <c r="L145" s="137"/>
      <c r="M145" s="139"/>
      <c r="N145" s="137"/>
      <c r="O145" s="137"/>
      <c r="P145" s="139"/>
      <c r="Q145" s="137"/>
      <c r="R145" s="137"/>
      <c r="S145" s="137"/>
      <c r="T145" s="137"/>
      <c r="U145" s="137"/>
      <c r="V145" s="150"/>
      <c r="W145" s="26"/>
    </row>
    <row r="146" spans="1:23" ht="20" customHeight="1">
      <c r="A146" s="384"/>
      <c r="B146" s="156"/>
      <c r="C146" s="137"/>
      <c r="D146" s="137"/>
      <c r="E146" s="137"/>
      <c r="F146" s="137"/>
      <c r="G146" s="136"/>
      <c r="H146" s="137"/>
      <c r="I146" s="137"/>
      <c r="J146" s="138"/>
      <c r="K146" s="137"/>
      <c r="L146" s="137"/>
      <c r="M146" s="139"/>
      <c r="N146" s="137"/>
      <c r="O146" s="137"/>
      <c r="P146" s="139"/>
      <c r="Q146" s="137"/>
      <c r="R146" s="137"/>
      <c r="S146" s="137"/>
      <c r="T146" s="137"/>
      <c r="U146" s="137"/>
      <c r="V146" s="150"/>
      <c r="W146" s="26"/>
    </row>
    <row r="147" spans="1:23" ht="20" customHeight="1">
      <c r="A147" s="384"/>
      <c r="B147" s="156"/>
      <c r="C147" s="137"/>
      <c r="D147" s="137"/>
      <c r="E147" s="137"/>
      <c r="F147" s="137"/>
      <c r="G147" s="136"/>
      <c r="H147" s="137"/>
      <c r="I147" s="137"/>
      <c r="J147" s="138"/>
      <c r="K147" s="137"/>
      <c r="L147" s="137"/>
      <c r="M147" s="139"/>
      <c r="N147" s="137"/>
      <c r="O147" s="137"/>
      <c r="P147" s="139"/>
      <c r="Q147" s="137"/>
      <c r="R147" s="137"/>
      <c r="S147" s="137"/>
      <c r="T147" s="137"/>
      <c r="U147" s="137"/>
      <c r="V147" s="150"/>
      <c r="W147" s="26"/>
    </row>
    <row r="148" spans="1:23" ht="20" customHeight="1">
      <c r="A148" s="384"/>
      <c r="B148" s="156"/>
      <c r="C148" s="137"/>
      <c r="D148" s="137"/>
      <c r="E148" s="137"/>
      <c r="F148" s="137"/>
      <c r="G148" s="136"/>
      <c r="H148" s="137"/>
      <c r="I148" s="137"/>
      <c r="J148" s="138"/>
      <c r="K148" s="137"/>
      <c r="L148" s="137"/>
      <c r="M148" s="139"/>
      <c r="N148" s="137"/>
      <c r="O148" s="137"/>
      <c r="P148" s="139"/>
      <c r="Q148" s="137"/>
      <c r="R148" s="137"/>
      <c r="S148" s="137"/>
      <c r="T148" s="137"/>
      <c r="U148" s="137"/>
      <c r="V148" s="150"/>
      <c r="W148" s="26"/>
    </row>
    <row r="149" spans="1:23" ht="20" customHeight="1">
      <c r="A149" s="384"/>
      <c r="B149" s="156"/>
      <c r="C149" s="137"/>
      <c r="D149" s="137"/>
      <c r="E149" s="137"/>
      <c r="F149" s="137"/>
      <c r="G149" s="136"/>
      <c r="H149" s="137"/>
      <c r="I149" s="137"/>
      <c r="J149" s="138"/>
      <c r="K149" s="137"/>
      <c r="L149" s="137"/>
      <c r="M149" s="139"/>
      <c r="N149" s="137"/>
      <c r="O149" s="137"/>
      <c r="P149" s="139"/>
      <c r="Q149" s="137"/>
      <c r="R149" s="137"/>
      <c r="S149" s="137"/>
      <c r="T149" s="137"/>
      <c r="U149" s="137"/>
      <c r="V149" s="150"/>
      <c r="W149" s="26"/>
    </row>
    <row r="150" spans="1:23" ht="20" customHeight="1" thickBot="1">
      <c r="A150" s="385"/>
      <c r="B150" s="157"/>
      <c r="C150" s="151"/>
      <c r="D150" s="151"/>
      <c r="E150" s="151"/>
      <c r="F150" s="151"/>
      <c r="G150" s="152"/>
      <c r="H150" s="151"/>
      <c r="I150" s="151"/>
      <c r="J150" s="153"/>
      <c r="K150" s="151"/>
      <c r="L150" s="151"/>
      <c r="M150" s="154"/>
      <c r="N150" s="151"/>
      <c r="O150" s="151"/>
      <c r="P150" s="154"/>
      <c r="Q150" s="151"/>
      <c r="R150" s="151"/>
      <c r="S150" s="151"/>
      <c r="T150" s="151"/>
      <c r="U150" s="151"/>
      <c r="V150" s="155"/>
      <c r="W150" s="26"/>
    </row>
    <row r="151" spans="1:23" ht="20" customHeight="1">
      <c r="A151" s="383" t="str">
        <f>'Read Me First'!C18</f>
        <v>Witney Road Runners</v>
      </c>
      <c r="B151" s="144" t="str" cm="1">
        <f t="array" ref="B151">_xlfn.LET(_xlpm.x, _xlfn._xlws.SORT(_xlfn._xlws.FILTER(Data!$A$54:$U$341,(Data!$C$54:$C$341=$A151)*(Data!$D$54:$D$341=$E$4)*(Data!$E$54:$E$341="U10")),18),_xlpm.y,_xlfn._xlws.SORT(_xlfn._xlws.FILTER(Data!$A$54:$U$341,(Data!$C$54:$C$341=$A151)*(Data!$D$54:$D$341=$E$4)*(Data!$E$54:$E$341="U12")),19), IFERROR(_xlfn.VSTACK(_xlpm.x,_xlpm.y), IFERROR(_xlpm.y,IFERROR(_xlpm.x, ""))))</f>
        <v/>
      </c>
      <c r="C151" s="145"/>
      <c r="D151" s="145"/>
      <c r="E151" s="145"/>
      <c r="F151" s="145"/>
      <c r="G151" s="146"/>
      <c r="H151" s="145"/>
      <c r="I151" s="145"/>
      <c r="J151" s="147"/>
      <c r="K151" s="145"/>
      <c r="L151" s="145"/>
      <c r="M151" s="148"/>
      <c r="N151" s="145"/>
      <c r="O151" s="145"/>
      <c r="P151" s="148"/>
      <c r="Q151" s="145"/>
      <c r="R151" s="145"/>
      <c r="S151" s="145"/>
      <c r="T151" s="145"/>
      <c r="U151" s="145"/>
      <c r="V151" s="149"/>
      <c r="W151" s="26"/>
    </row>
    <row r="152" spans="1:23" ht="20" customHeight="1">
      <c r="A152" s="384"/>
      <c r="B152" s="156"/>
      <c r="C152" s="137"/>
      <c r="D152" s="137"/>
      <c r="E152" s="137"/>
      <c r="F152" s="137"/>
      <c r="G152" s="136"/>
      <c r="H152" s="137"/>
      <c r="I152" s="137"/>
      <c r="J152" s="138"/>
      <c r="K152" s="137"/>
      <c r="L152" s="137"/>
      <c r="M152" s="139"/>
      <c r="N152" s="137"/>
      <c r="O152" s="137"/>
      <c r="P152" s="139"/>
      <c r="Q152" s="137"/>
      <c r="R152" s="137"/>
      <c r="S152" s="137"/>
      <c r="T152" s="137"/>
      <c r="U152" s="137"/>
      <c r="V152" s="150"/>
      <c r="W152" s="26"/>
    </row>
    <row r="153" spans="1:23" s="9" customFormat="1" ht="20" customHeight="1">
      <c r="A153" s="384"/>
      <c r="B153" s="156"/>
      <c r="C153" s="137"/>
      <c r="D153" s="137"/>
      <c r="E153" s="137"/>
      <c r="F153" s="137"/>
      <c r="G153" s="136"/>
      <c r="H153" s="137"/>
      <c r="I153" s="137"/>
      <c r="J153" s="138"/>
      <c r="K153" s="137"/>
      <c r="L153" s="137"/>
      <c r="M153" s="139"/>
      <c r="N153" s="137"/>
      <c r="O153" s="137"/>
      <c r="P153" s="139"/>
      <c r="Q153" s="137"/>
      <c r="R153" s="137"/>
      <c r="S153" s="137"/>
      <c r="T153" s="137"/>
      <c r="U153" s="137"/>
      <c r="V153" s="150"/>
      <c r="W153" s="56"/>
    </row>
    <row r="154" spans="1:23" s="9" customFormat="1" ht="20" customHeight="1">
      <c r="A154" s="384"/>
      <c r="B154" s="156"/>
      <c r="C154" s="137"/>
      <c r="D154" s="137"/>
      <c r="E154" s="137"/>
      <c r="F154" s="137"/>
      <c r="G154" s="136"/>
      <c r="H154" s="137"/>
      <c r="I154" s="137"/>
      <c r="J154" s="138"/>
      <c r="K154" s="137"/>
      <c r="L154" s="137"/>
      <c r="M154" s="139"/>
      <c r="N154" s="137"/>
      <c r="O154" s="137"/>
      <c r="P154" s="139"/>
      <c r="Q154" s="137"/>
      <c r="R154" s="137"/>
      <c r="S154" s="137"/>
      <c r="T154" s="137"/>
      <c r="U154" s="137"/>
      <c r="V154" s="150"/>
      <c r="W154" s="56"/>
    </row>
    <row r="155" spans="1:23" s="9" customFormat="1" ht="20" customHeight="1">
      <c r="A155" s="384"/>
      <c r="B155" s="156"/>
      <c r="C155" s="137"/>
      <c r="D155" s="137"/>
      <c r="E155" s="137"/>
      <c r="F155" s="137"/>
      <c r="G155" s="136"/>
      <c r="H155" s="137"/>
      <c r="I155" s="137"/>
      <c r="J155" s="138"/>
      <c r="K155" s="137"/>
      <c r="L155" s="137"/>
      <c r="M155" s="139"/>
      <c r="N155" s="137"/>
      <c r="O155" s="137"/>
      <c r="P155" s="139"/>
      <c r="Q155" s="137"/>
      <c r="R155" s="137"/>
      <c r="S155" s="137"/>
      <c r="T155" s="137"/>
      <c r="U155" s="137"/>
      <c r="V155" s="150"/>
      <c r="W155" s="56"/>
    </row>
    <row r="156" spans="1:23" s="9" customFormat="1" ht="20" customHeight="1">
      <c r="A156" s="384"/>
      <c r="B156" s="156"/>
      <c r="C156" s="137"/>
      <c r="D156" s="137"/>
      <c r="E156" s="137"/>
      <c r="F156" s="137"/>
      <c r="G156" s="136"/>
      <c r="H156" s="137"/>
      <c r="I156" s="137"/>
      <c r="J156" s="138"/>
      <c r="K156" s="137"/>
      <c r="L156" s="137"/>
      <c r="M156" s="139"/>
      <c r="N156" s="137"/>
      <c r="O156" s="137"/>
      <c r="P156" s="139"/>
      <c r="Q156" s="137"/>
      <c r="R156" s="137"/>
      <c r="S156" s="137"/>
      <c r="T156" s="137"/>
      <c r="U156" s="137"/>
      <c r="V156" s="150"/>
      <c r="W156" s="56"/>
    </row>
    <row r="157" spans="1:23" s="9" customFormat="1" ht="20" customHeight="1">
      <c r="A157" s="384"/>
      <c r="B157" s="156"/>
      <c r="C157" s="137"/>
      <c r="D157" s="137"/>
      <c r="E157" s="137"/>
      <c r="F157" s="137"/>
      <c r="G157" s="136"/>
      <c r="H157" s="137"/>
      <c r="I157" s="137"/>
      <c r="J157" s="138"/>
      <c r="K157" s="137"/>
      <c r="L157" s="137"/>
      <c r="M157" s="139"/>
      <c r="N157" s="137"/>
      <c r="O157" s="137"/>
      <c r="P157" s="139"/>
      <c r="Q157" s="137"/>
      <c r="R157" s="137"/>
      <c r="S157" s="137"/>
      <c r="T157" s="137"/>
      <c r="U157" s="137"/>
      <c r="V157" s="150"/>
      <c r="W157" s="56"/>
    </row>
    <row r="158" spans="1:23" s="9" customFormat="1" ht="20" customHeight="1">
      <c r="A158" s="384"/>
      <c r="B158" s="156"/>
      <c r="C158" s="137"/>
      <c r="D158" s="137"/>
      <c r="E158" s="137"/>
      <c r="F158" s="137"/>
      <c r="G158" s="136"/>
      <c r="H158" s="137"/>
      <c r="I158" s="137"/>
      <c r="J158" s="138"/>
      <c r="K158" s="137"/>
      <c r="L158" s="137"/>
      <c r="M158" s="139"/>
      <c r="N158" s="137"/>
      <c r="O158" s="137"/>
      <c r="P158" s="139"/>
      <c r="Q158" s="137"/>
      <c r="R158" s="137"/>
      <c r="S158" s="137"/>
      <c r="T158" s="137"/>
      <c r="U158" s="137"/>
      <c r="V158" s="150"/>
      <c r="W158" s="26"/>
    </row>
    <row r="159" spans="1:23" s="4" customFormat="1" ht="20" customHeight="1">
      <c r="A159" s="384"/>
      <c r="B159" s="156"/>
      <c r="C159" s="137"/>
      <c r="D159" s="137"/>
      <c r="E159" s="137"/>
      <c r="F159" s="137"/>
      <c r="G159" s="136"/>
      <c r="H159" s="137"/>
      <c r="I159" s="137"/>
      <c r="J159" s="138"/>
      <c r="K159" s="137"/>
      <c r="L159" s="137"/>
      <c r="M159" s="139"/>
      <c r="N159" s="137"/>
      <c r="O159" s="137"/>
      <c r="P159" s="139"/>
      <c r="Q159" s="137"/>
      <c r="R159" s="137"/>
      <c r="S159" s="137"/>
      <c r="T159" s="137"/>
      <c r="U159" s="137"/>
      <c r="V159" s="150"/>
      <c r="W159" s="26"/>
    </row>
    <row r="160" spans="1:23" s="4" customFormat="1" ht="20" customHeight="1">
      <c r="A160" s="384"/>
      <c r="B160" s="156"/>
      <c r="C160" s="137"/>
      <c r="D160" s="137"/>
      <c r="E160" s="137"/>
      <c r="F160" s="137"/>
      <c r="G160" s="136"/>
      <c r="H160" s="137"/>
      <c r="I160" s="137"/>
      <c r="J160" s="138"/>
      <c r="K160" s="137"/>
      <c r="L160" s="137"/>
      <c r="M160" s="139"/>
      <c r="N160" s="137"/>
      <c r="O160" s="137"/>
      <c r="P160" s="139"/>
      <c r="Q160" s="137"/>
      <c r="R160" s="137"/>
      <c r="S160" s="137"/>
      <c r="T160" s="137"/>
      <c r="U160" s="137"/>
      <c r="V160" s="150"/>
      <c r="W160" s="26"/>
    </row>
    <row r="161" spans="1:23" s="4" customFormat="1" ht="20" customHeight="1">
      <c r="A161" s="384"/>
      <c r="B161" s="156"/>
      <c r="C161" s="137"/>
      <c r="D161" s="137"/>
      <c r="E161" s="137"/>
      <c r="F161" s="137"/>
      <c r="G161" s="136"/>
      <c r="H161" s="137"/>
      <c r="I161" s="137"/>
      <c r="J161" s="138"/>
      <c r="K161" s="137"/>
      <c r="L161" s="137"/>
      <c r="M161" s="139"/>
      <c r="N161" s="137"/>
      <c r="O161" s="137"/>
      <c r="P161" s="139"/>
      <c r="Q161" s="137"/>
      <c r="R161" s="137"/>
      <c r="S161" s="137"/>
      <c r="T161" s="137"/>
      <c r="U161" s="137"/>
      <c r="V161" s="150"/>
      <c r="W161" s="26"/>
    </row>
    <row r="162" spans="1:23" s="4" customFormat="1" ht="20" customHeight="1">
      <c r="A162" s="384"/>
      <c r="B162" s="156"/>
      <c r="C162" s="137"/>
      <c r="D162" s="137"/>
      <c r="E162" s="137"/>
      <c r="F162" s="137"/>
      <c r="G162" s="136"/>
      <c r="H162" s="137"/>
      <c r="I162" s="137"/>
      <c r="J162" s="138"/>
      <c r="K162" s="137"/>
      <c r="L162" s="137"/>
      <c r="M162" s="139"/>
      <c r="N162" s="137"/>
      <c r="O162" s="137"/>
      <c r="P162" s="139"/>
      <c r="Q162" s="137"/>
      <c r="R162" s="137"/>
      <c r="S162" s="137"/>
      <c r="T162" s="137"/>
      <c r="U162" s="137"/>
      <c r="V162" s="150"/>
      <c r="W162" s="26"/>
    </row>
    <row r="163" spans="1:23" ht="20" customHeight="1">
      <c r="A163" s="384"/>
      <c r="B163" s="156"/>
      <c r="C163" s="137"/>
      <c r="D163" s="137"/>
      <c r="E163" s="137"/>
      <c r="F163" s="137"/>
      <c r="G163" s="136"/>
      <c r="H163" s="137"/>
      <c r="I163" s="137"/>
      <c r="J163" s="138"/>
      <c r="K163" s="137"/>
      <c r="L163" s="137"/>
      <c r="M163" s="139"/>
      <c r="N163" s="137"/>
      <c r="O163" s="137"/>
      <c r="P163" s="139"/>
      <c r="Q163" s="137"/>
      <c r="R163" s="137"/>
      <c r="S163" s="137"/>
      <c r="T163" s="137"/>
      <c r="U163" s="137"/>
      <c r="V163" s="150"/>
      <c r="W163" s="26"/>
    </row>
    <row r="164" spans="1:23" ht="20" customHeight="1">
      <c r="A164" s="384"/>
      <c r="B164" s="156"/>
      <c r="C164" s="137"/>
      <c r="D164" s="137"/>
      <c r="E164" s="137"/>
      <c r="F164" s="137"/>
      <c r="G164" s="136"/>
      <c r="H164" s="137"/>
      <c r="I164" s="137"/>
      <c r="J164" s="138"/>
      <c r="K164" s="137"/>
      <c r="L164" s="137"/>
      <c r="M164" s="139"/>
      <c r="N164" s="137"/>
      <c r="O164" s="137"/>
      <c r="P164" s="139"/>
      <c r="Q164" s="137"/>
      <c r="R164" s="137"/>
      <c r="S164" s="137"/>
      <c r="T164" s="137"/>
      <c r="U164" s="137"/>
      <c r="V164" s="150"/>
      <c r="W164" s="26"/>
    </row>
    <row r="165" spans="1:23" ht="20" customHeight="1">
      <c r="A165" s="384"/>
      <c r="B165" s="156"/>
      <c r="C165" s="137"/>
      <c r="D165" s="137"/>
      <c r="E165" s="137"/>
      <c r="F165" s="137"/>
      <c r="G165" s="136"/>
      <c r="H165" s="137"/>
      <c r="I165" s="137"/>
      <c r="J165" s="138"/>
      <c r="K165" s="137"/>
      <c r="L165" s="137"/>
      <c r="M165" s="139"/>
      <c r="N165" s="137"/>
      <c r="O165" s="137"/>
      <c r="P165" s="139"/>
      <c r="Q165" s="137"/>
      <c r="R165" s="137"/>
      <c r="S165" s="137"/>
      <c r="T165" s="137"/>
      <c r="U165" s="137"/>
      <c r="V165" s="150"/>
      <c r="W165" s="26"/>
    </row>
    <row r="166" spans="1:23" ht="20" customHeight="1">
      <c r="A166" s="384"/>
      <c r="B166" s="156"/>
      <c r="C166" s="137"/>
      <c r="D166" s="137"/>
      <c r="E166" s="137"/>
      <c r="F166" s="137"/>
      <c r="G166" s="136"/>
      <c r="H166" s="137"/>
      <c r="I166" s="137"/>
      <c r="J166" s="138"/>
      <c r="K166" s="137"/>
      <c r="L166" s="137"/>
      <c r="M166" s="139"/>
      <c r="N166" s="137"/>
      <c r="O166" s="137"/>
      <c r="P166" s="139"/>
      <c r="Q166" s="137"/>
      <c r="R166" s="137"/>
      <c r="S166" s="137"/>
      <c r="T166" s="137"/>
      <c r="U166" s="137"/>
      <c r="V166" s="150"/>
      <c r="W166" s="26"/>
    </row>
    <row r="167" spans="1:23" ht="20" customHeight="1">
      <c r="A167" s="384"/>
      <c r="B167" s="156"/>
      <c r="C167" s="137"/>
      <c r="D167" s="137"/>
      <c r="E167" s="137"/>
      <c r="F167" s="137"/>
      <c r="G167" s="136"/>
      <c r="H167" s="137"/>
      <c r="I167" s="137"/>
      <c r="J167" s="138"/>
      <c r="K167" s="137"/>
      <c r="L167" s="137"/>
      <c r="M167" s="139"/>
      <c r="N167" s="137"/>
      <c r="O167" s="137"/>
      <c r="P167" s="139"/>
      <c r="Q167" s="137"/>
      <c r="R167" s="137"/>
      <c r="S167" s="137"/>
      <c r="T167" s="137"/>
      <c r="U167" s="137"/>
      <c r="V167" s="150"/>
      <c r="W167" s="26"/>
    </row>
    <row r="168" spans="1:23" ht="20" customHeight="1">
      <c r="A168" s="384"/>
      <c r="B168" s="156"/>
      <c r="C168" s="137"/>
      <c r="D168" s="137"/>
      <c r="E168" s="137"/>
      <c r="F168" s="137"/>
      <c r="G168" s="136"/>
      <c r="H168" s="137"/>
      <c r="I168" s="137"/>
      <c r="J168" s="138"/>
      <c r="K168" s="137"/>
      <c r="L168" s="137"/>
      <c r="M168" s="139"/>
      <c r="N168" s="137"/>
      <c r="O168" s="137"/>
      <c r="P168" s="139"/>
      <c r="Q168" s="137"/>
      <c r="R168" s="137"/>
      <c r="S168" s="137"/>
      <c r="T168" s="137"/>
      <c r="U168" s="137"/>
      <c r="V168" s="150"/>
      <c r="W168" s="26"/>
    </row>
    <row r="169" spans="1:23" ht="20" customHeight="1">
      <c r="A169" s="384"/>
      <c r="B169" s="156"/>
      <c r="C169" s="137"/>
      <c r="D169" s="137"/>
      <c r="E169" s="137"/>
      <c r="F169" s="137"/>
      <c r="G169" s="136"/>
      <c r="H169" s="137"/>
      <c r="I169" s="137"/>
      <c r="J169" s="138"/>
      <c r="K169" s="137"/>
      <c r="L169" s="137"/>
      <c r="M169" s="139"/>
      <c r="N169" s="137"/>
      <c r="O169" s="137"/>
      <c r="P169" s="139"/>
      <c r="Q169" s="137"/>
      <c r="R169" s="137"/>
      <c r="S169" s="137"/>
      <c r="T169" s="137"/>
      <c r="U169" s="137"/>
      <c r="V169" s="150"/>
      <c r="W169" s="26"/>
    </row>
    <row r="170" spans="1:23" ht="20" customHeight="1" thickBot="1">
      <c r="A170" s="385"/>
      <c r="B170" s="157"/>
      <c r="C170" s="151"/>
      <c r="D170" s="151"/>
      <c r="E170" s="151"/>
      <c r="F170" s="151"/>
      <c r="G170" s="152"/>
      <c r="H170" s="151"/>
      <c r="I170" s="151"/>
      <c r="J170" s="153"/>
      <c r="K170" s="151"/>
      <c r="L170" s="151"/>
      <c r="M170" s="154"/>
      <c r="N170" s="151"/>
      <c r="O170" s="151"/>
      <c r="P170" s="154"/>
      <c r="Q170" s="151"/>
      <c r="R170" s="151"/>
      <c r="S170" s="151"/>
      <c r="T170" s="151"/>
      <c r="U170" s="151"/>
      <c r="V170" s="155"/>
      <c r="W170" s="26"/>
    </row>
    <row r="171" spans="1:23" ht="20" customHeight="1">
      <c r="A171" s="383" t="str">
        <f>'Read Me First'!C19</f>
        <v>Great Milton AC</v>
      </c>
      <c r="B171" s="144" t="str" cm="1">
        <f t="array" ref="B171">_xlfn.LET(_xlpm.x, _xlfn._xlws.SORT(_xlfn._xlws.FILTER(Data!$A$54:$U$341,(Data!$C$54:$C$341=$A171)*(Data!$D$54:$D$341=$E$4)*(Data!$E$54:$E$341="U10")),18),_xlpm.y,_xlfn._xlws.SORT(_xlfn._xlws.FILTER(Data!$A$54:$U$341,(Data!$C$54:$C$341=$A171)*(Data!$D$54:$D$341=$E$4)*(Data!$E$54:$E$341="U12")),19), IFERROR(_xlfn.VSTACK(_xlpm.x,_xlpm.y), IFERROR(_xlpm.y,IFERROR(_xlpm.x, ""))))</f>
        <v/>
      </c>
      <c r="C171" s="145"/>
      <c r="D171" s="145"/>
      <c r="E171" s="145"/>
      <c r="F171" s="145"/>
      <c r="G171" s="146"/>
      <c r="H171" s="145"/>
      <c r="I171" s="145"/>
      <c r="J171" s="147"/>
      <c r="K171" s="145"/>
      <c r="L171" s="145"/>
      <c r="M171" s="148"/>
      <c r="N171" s="145"/>
      <c r="O171" s="145"/>
      <c r="P171" s="148"/>
      <c r="Q171" s="145"/>
      <c r="R171" s="145"/>
      <c r="S171" s="145"/>
      <c r="T171" s="145"/>
      <c r="U171" s="145"/>
      <c r="V171" s="149"/>
      <c r="W171" s="26"/>
    </row>
    <row r="172" spans="1:23" ht="20" customHeight="1">
      <c r="A172" s="384"/>
      <c r="B172" s="156"/>
      <c r="C172" s="137"/>
      <c r="D172" s="137"/>
      <c r="E172" s="137"/>
      <c r="F172" s="137"/>
      <c r="G172" s="136"/>
      <c r="H172" s="137"/>
      <c r="I172" s="137"/>
      <c r="J172" s="138"/>
      <c r="K172" s="137"/>
      <c r="L172" s="137"/>
      <c r="M172" s="139"/>
      <c r="N172" s="137"/>
      <c r="O172" s="137"/>
      <c r="P172" s="139"/>
      <c r="Q172" s="137"/>
      <c r="R172" s="137"/>
      <c r="S172" s="137"/>
      <c r="T172" s="137"/>
      <c r="U172" s="137"/>
      <c r="V172" s="150"/>
      <c r="W172" s="26"/>
    </row>
    <row r="173" spans="1:23" ht="20" customHeight="1">
      <c r="A173" s="384"/>
      <c r="B173" s="156"/>
      <c r="C173" s="137"/>
      <c r="D173" s="137"/>
      <c r="E173" s="137"/>
      <c r="F173" s="137"/>
      <c r="G173" s="136"/>
      <c r="H173" s="137"/>
      <c r="I173" s="137"/>
      <c r="J173" s="138"/>
      <c r="K173" s="137"/>
      <c r="L173" s="137"/>
      <c r="M173" s="139"/>
      <c r="N173" s="137"/>
      <c r="O173" s="137"/>
      <c r="P173" s="139"/>
      <c r="Q173" s="137"/>
      <c r="R173" s="137"/>
      <c r="S173" s="137"/>
      <c r="T173" s="137"/>
      <c r="U173" s="137"/>
      <c r="V173" s="150"/>
      <c r="W173" s="26"/>
    </row>
    <row r="174" spans="1:23" ht="20" customHeight="1">
      <c r="A174" s="384"/>
      <c r="B174" s="156"/>
      <c r="C174" s="137"/>
      <c r="D174" s="137"/>
      <c r="E174" s="137"/>
      <c r="F174" s="137"/>
      <c r="G174" s="136"/>
      <c r="H174" s="137"/>
      <c r="I174" s="137"/>
      <c r="J174" s="138"/>
      <c r="K174" s="137"/>
      <c r="L174" s="137"/>
      <c r="M174" s="139"/>
      <c r="N174" s="137"/>
      <c r="O174" s="137"/>
      <c r="P174" s="139"/>
      <c r="Q174" s="137"/>
      <c r="R174" s="137"/>
      <c r="S174" s="137"/>
      <c r="T174" s="137"/>
      <c r="U174" s="137"/>
      <c r="V174" s="150"/>
      <c r="W174" s="26"/>
    </row>
    <row r="175" spans="1:23" ht="20" customHeight="1">
      <c r="A175" s="384"/>
      <c r="B175" s="156"/>
      <c r="C175" s="137"/>
      <c r="D175" s="137"/>
      <c r="E175" s="137"/>
      <c r="F175" s="137"/>
      <c r="G175" s="136"/>
      <c r="H175" s="137"/>
      <c r="I175" s="137"/>
      <c r="J175" s="138"/>
      <c r="K175" s="137"/>
      <c r="L175" s="137"/>
      <c r="M175" s="139"/>
      <c r="N175" s="137"/>
      <c r="O175" s="137"/>
      <c r="P175" s="139"/>
      <c r="Q175" s="137"/>
      <c r="R175" s="137"/>
      <c r="S175" s="137"/>
      <c r="T175" s="137"/>
      <c r="U175" s="137"/>
      <c r="V175" s="150"/>
      <c r="W175" s="26"/>
    </row>
    <row r="176" spans="1:23" ht="20" customHeight="1">
      <c r="A176" s="384"/>
      <c r="B176" s="156"/>
      <c r="C176" s="137"/>
      <c r="D176" s="137"/>
      <c r="E176" s="137"/>
      <c r="F176" s="137"/>
      <c r="G176" s="136"/>
      <c r="H176" s="137"/>
      <c r="I176" s="137"/>
      <c r="J176" s="138"/>
      <c r="K176" s="137"/>
      <c r="L176" s="137"/>
      <c r="M176" s="139"/>
      <c r="N176" s="137"/>
      <c r="O176" s="137"/>
      <c r="P176" s="139"/>
      <c r="Q176" s="137"/>
      <c r="R176" s="137"/>
      <c r="S176" s="137"/>
      <c r="T176" s="137"/>
      <c r="U176" s="137"/>
      <c r="V176" s="150"/>
      <c r="W176" s="26"/>
    </row>
    <row r="177" spans="1:23" ht="20" customHeight="1">
      <c r="A177" s="384"/>
      <c r="B177" s="156"/>
      <c r="C177" s="137"/>
      <c r="D177" s="137"/>
      <c r="E177" s="137"/>
      <c r="F177" s="137"/>
      <c r="G177" s="136"/>
      <c r="H177" s="137"/>
      <c r="I177" s="137"/>
      <c r="J177" s="138"/>
      <c r="K177" s="137"/>
      <c r="L177" s="137"/>
      <c r="M177" s="139"/>
      <c r="N177" s="137"/>
      <c r="O177" s="137"/>
      <c r="P177" s="139"/>
      <c r="Q177" s="137"/>
      <c r="R177" s="137"/>
      <c r="S177" s="137"/>
      <c r="T177" s="137"/>
      <c r="U177" s="137"/>
      <c r="V177" s="150"/>
      <c r="W177" s="26"/>
    </row>
    <row r="178" spans="1:23" ht="20" customHeight="1">
      <c r="A178" s="384"/>
      <c r="B178" s="156"/>
      <c r="C178" s="137"/>
      <c r="D178" s="137"/>
      <c r="E178" s="137"/>
      <c r="F178" s="137"/>
      <c r="G178" s="136"/>
      <c r="H178" s="137"/>
      <c r="I178" s="137"/>
      <c r="J178" s="138"/>
      <c r="K178" s="137"/>
      <c r="L178" s="137"/>
      <c r="M178" s="139"/>
      <c r="N178" s="137"/>
      <c r="O178" s="137"/>
      <c r="P178" s="139"/>
      <c r="Q178" s="137"/>
      <c r="R178" s="137"/>
      <c r="S178" s="137"/>
      <c r="T178" s="137"/>
      <c r="U178" s="137"/>
      <c r="V178" s="150"/>
      <c r="W178" s="56"/>
    </row>
    <row r="179" spans="1:23" ht="20" customHeight="1">
      <c r="A179" s="384"/>
      <c r="B179" s="156"/>
      <c r="C179" s="137"/>
      <c r="D179" s="137"/>
      <c r="E179" s="137"/>
      <c r="F179" s="137"/>
      <c r="G179" s="136"/>
      <c r="H179" s="137"/>
      <c r="I179" s="137"/>
      <c r="J179" s="138"/>
      <c r="K179" s="137"/>
      <c r="L179" s="137"/>
      <c r="M179" s="139"/>
      <c r="N179" s="137"/>
      <c r="O179" s="137"/>
      <c r="P179" s="139"/>
      <c r="Q179" s="137"/>
      <c r="R179" s="137"/>
      <c r="S179" s="137"/>
      <c r="T179" s="137"/>
      <c r="U179" s="137"/>
      <c r="V179" s="150"/>
      <c r="W179" s="26"/>
    </row>
    <row r="180" spans="1:23" ht="20" customHeight="1">
      <c r="A180" s="384"/>
      <c r="B180" s="156"/>
      <c r="C180" s="137"/>
      <c r="D180" s="137"/>
      <c r="E180" s="137"/>
      <c r="F180" s="137"/>
      <c r="G180" s="136"/>
      <c r="H180" s="137"/>
      <c r="I180" s="137"/>
      <c r="J180" s="138"/>
      <c r="K180" s="137"/>
      <c r="L180" s="137"/>
      <c r="M180" s="139"/>
      <c r="N180" s="137"/>
      <c r="O180" s="137"/>
      <c r="P180" s="139"/>
      <c r="Q180" s="137"/>
      <c r="R180" s="137"/>
      <c r="S180" s="137"/>
      <c r="T180" s="137"/>
      <c r="U180" s="137"/>
      <c r="V180" s="150"/>
      <c r="W180" s="26"/>
    </row>
    <row r="181" spans="1:23" ht="20" customHeight="1">
      <c r="A181" s="384"/>
      <c r="B181" s="156"/>
      <c r="C181" s="137"/>
      <c r="D181" s="137"/>
      <c r="E181" s="137"/>
      <c r="F181" s="137"/>
      <c r="G181" s="136"/>
      <c r="H181" s="137"/>
      <c r="I181" s="137"/>
      <c r="J181" s="138"/>
      <c r="K181" s="137"/>
      <c r="L181" s="137"/>
      <c r="M181" s="139"/>
      <c r="N181" s="137"/>
      <c r="O181" s="137"/>
      <c r="P181" s="139"/>
      <c r="Q181" s="137"/>
      <c r="R181" s="137"/>
      <c r="S181" s="137"/>
      <c r="T181" s="137"/>
      <c r="U181" s="137"/>
      <c r="V181" s="150"/>
      <c r="W181" s="26"/>
    </row>
    <row r="182" spans="1:23" ht="20" customHeight="1">
      <c r="A182" s="384"/>
      <c r="B182" s="156"/>
      <c r="C182" s="137"/>
      <c r="D182" s="137"/>
      <c r="E182" s="137"/>
      <c r="F182" s="137"/>
      <c r="G182" s="136"/>
      <c r="H182" s="137"/>
      <c r="I182" s="137"/>
      <c r="J182" s="138"/>
      <c r="K182" s="137"/>
      <c r="L182" s="137"/>
      <c r="M182" s="139"/>
      <c r="N182" s="137"/>
      <c r="O182" s="137"/>
      <c r="P182" s="139"/>
      <c r="Q182" s="137"/>
      <c r="R182" s="137"/>
      <c r="S182" s="137"/>
      <c r="T182" s="137"/>
      <c r="U182" s="137"/>
      <c r="V182" s="150"/>
      <c r="W182" s="26"/>
    </row>
    <row r="183" spans="1:23" ht="20" customHeight="1">
      <c r="A183" s="384"/>
      <c r="B183" s="156"/>
      <c r="C183" s="137"/>
      <c r="D183" s="137"/>
      <c r="E183" s="137"/>
      <c r="F183" s="137"/>
      <c r="G183" s="136"/>
      <c r="H183" s="137"/>
      <c r="I183" s="137"/>
      <c r="J183" s="138"/>
      <c r="K183" s="137"/>
      <c r="L183" s="137"/>
      <c r="M183" s="139"/>
      <c r="N183" s="137"/>
      <c r="O183" s="137"/>
      <c r="P183" s="139"/>
      <c r="Q183" s="137"/>
      <c r="R183" s="137"/>
      <c r="S183" s="137"/>
      <c r="T183" s="137"/>
      <c r="U183" s="137"/>
      <c r="V183" s="150"/>
      <c r="W183" s="26"/>
    </row>
    <row r="184" spans="1:23" ht="20" customHeight="1">
      <c r="A184" s="384"/>
      <c r="B184" s="156"/>
      <c r="C184" s="137"/>
      <c r="D184" s="137"/>
      <c r="E184" s="137"/>
      <c r="F184" s="137"/>
      <c r="G184" s="136"/>
      <c r="H184" s="137"/>
      <c r="I184" s="137"/>
      <c r="J184" s="138"/>
      <c r="K184" s="137"/>
      <c r="L184" s="137"/>
      <c r="M184" s="139"/>
      <c r="N184" s="137"/>
      <c r="O184" s="137"/>
      <c r="P184" s="139"/>
      <c r="Q184" s="137"/>
      <c r="R184" s="137"/>
      <c r="S184" s="137"/>
      <c r="T184" s="137"/>
      <c r="U184" s="137"/>
      <c r="V184" s="150"/>
      <c r="W184" s="26"/>
    </row>
    <row r="185" spans="1:23" ht="20" customHeight="1">
      <c r="A185" s="384"/>
      <c r="B185" s="156"/>
      <c r="C185" s="137"/>
      <c r="D185" s="137"/>
      <c r="E185" s="137"/>
      <c r="F185" s="137"/>
      <c r="G185" s="136"/>
      <c r="H185" s="137"/>
      <c r="I185" s="137"/>
      <c r="J185" s="138"/>
      <c r="K185" s="137"/>
      <c r="L185" s="137"/>
      <c r="M185" s="139"/>
      <c r="N185" s="137"/>
      <c r="O185" s="137"/>
      <c r="P185" s="139"/>
      <c r="Q185" s="137"/>
      <c r="R185" s="137"/>
      <c r="S185" s="137"/>
      <c r="T185" s="137"/>
      <c r="U185" s="137"/>
      <c r="V185" s="150"/>
      <c r="W185" s="26"/>
    </row>
    <row r="186" spans="1:23" ht="20" customHeight="1">
      <c r="A186" s="384"/>
      <c r="B186" s="156"/>
      <c r="C186" s="137"/>
      <c r="D186" s="137"/>
      <c r="E186" s="137"/>
      <c r="F186" s="137"/>
      <c r="G186" s="136"/>
      <c r="H186" s="137"/>
      <c r="I186" s="137"/>
      <c r="J186" s="138"/>
      <c r="K186" s="137"/>
      <c r="L186" s="137"/>
      <c r="M186" s="139"/>
      <c r="N186" s="137"/>
      <c r="O186" s="137"/>
      <c r="P186" s="139"/>
      <c r="Q186" s="137"/>
      <c r="R186" s="137"/>
      <c r="S186" s="137"/>
      <c r="T186" s="137"/>
      <c r="U186" s="137"/>
      <c r="V186" s="150"/>
      <c r="W186" s="26"/>
    </row>
    <row r="187" spans="1:23" ht="20" customHeight="1">
      <c r="A187" s="384"/>
      <c r="B187" s="156"/>
      <c r="C187" s="137"/>
      <c r="D187" s="137"/>
      <c r="E187" s="137"/>
      <c r="F187" s="137"/>
      <c r="G187" s="136"/>
      <c r="H187" s="137"/>
      <c r="I187" s="137"/>
      <c r="J187" s="138"/>
      <c r="K187" s="137"/>
      <c r="L187" s="137"/>
      <c r="M187" s="139"/>
      <c r="N187" s="137"/>
      <c r="O187" s="137"/>
      <c r="P187" s="139"/>
      <c r="Q187" s="137"/>
      <c r="R187" s="137"/>
      <c r="S187" s="137"/>
      <c r="T187" s="137"/>
      <c r="U187" s="137"/>
      <c r="V187" s="150"/>
      <c r="W187" s="26"/>
    </row>
    <row r="188" spans="1:23" ht="20" customHeight="1">
      <c r="A188" s="384"/>
      <c r="B188" s="156"/>
      <c r="C188" s="137"/>
      <c r="D188" s="137"/>
      <c r="E188" s="137"/>
      <c r="F188" s="137"/>
      <c r="G188" s="136"/>
      <c r="H188" s="137"/>
      <c r="I188" s="137"/>
      <c r="J188" s="138"/>
      <c r="K188" s="137"/>
      <c r="L188" s="137"/>
      <c r="M188" s="139"/>
      <c r="N188" s="137"/>
      <c r="O188" s="137"/>
      <c r="P188" s="139"/>
      <c r="Q188" s="137"/>
      <c r="R188" s="137"/>
      <c r="S188" s="137"/>
      <c r="T188" s="137"/>
      <c r="U188" s="137"/>
      <c r="V188" s="150"/>
      <c r="W188" s="26"/>
    </row>
    <row r="189" spans="1:23" ht="20" customHeight="1">
      <c r="A189" s="384"/>
      <c r="B189" s="156"/>
      <c r="C189" s="137"/>
      <c r="D189" s="137"/>
      <c r="E189" s="137"/>
      <c r="F189" s="137"/>
      <c r="G189" s="136"/>
      <c r="H189" s="137"/>
      <c r="I189" s="137"/>
      <c r="J189" s="138"/>
      <c r="K189" s="137"/>
      <c r="L189" s="137"/>
      <c r="M189" s="139"/>
      <c r="N189" s="137"/>
      <c r="O189" s="137"/>
      <c r="P189" s="139"/>
      <c r="Q189" s="137"/>
      <c r="R189" s="137"/>
      <c r="S189" s="137"/>
      <c r="T189" s="137"/>
      <c r="U189" s="137"/>
      <c r="V189" s="150"/>
      <c r="W189" s="26"/>
    </row>
    <row r="190" spans="1:23" ht="20" customHeight="1" thickBot="1">
      <c r="A190" s="385"/>
      <c r="B190" s="157"/>
      <c r="C190" s="151"/>
      <c r="D190" s="151"/>
      <c r="E190" s="151"/>
      <c r="F190" s="151"/>
      <c r="G190" s="152"/>
      <c r="H190" s="151"/>
      <c r="I190" s="151"/>
      <c r="J190" s="153"/>
      <c r="K190" s="151"/>
      <c r="L190" s="151"/>
      <c r="M190" s="154"/>
      <c r="N190" s="151"/>
      <c r="O190" s="151"/>
      <c r="P190" s="154"/>
      <c r="Q190" s="151"/>
      <c r="R190" s="151"/>
      <c r="S190" s="151"/>
      <c r="T190" s="151"/>
      <c r="U190" s="151"/>
      <c r="V190" s="155"/>
      <c r="W190" s="26"/>
    </row>
    <row r="191" spans="1:23" ht="18" customHeight="1">
      <c r="B191" s="26"/>
      <c r="C191" s="42"/>
      <c r="D191" s="42"/>
      <c r="E191" s="42"/>
      <c r="F191" s="42"/>
      <c r="G191" s="43"/>
      <c r="H191" s="26"/>
      <c r="I191" s="26"/>
      <c r="J191" s="43"/>
      <c r="K191" s="26"/>
      <c r="L191" s="26"/>
      <c r="M191" s="44"/>
      <c r="N191" s="26"/>
      <c r="O191" s="26"/>
      <c r="P191" s="43"/>
      <c r="Q191" s="26"/>
      <c r="R191" s="26"/>
      <c r="S191" s="26"/>
      <c r="T191" s="26"/>
      <c r="U191" s="26"/>
      <c r="V191" s="26"/>
      <c r="W191" s="26"/>
    </row>
    <row r="192" spans="1:23" ht="18" customHeight="1">
      <c r="B192" s="26"/>
      <c r="C192" s="42"/>
      <c r="D192" s="42"/>
      <c r="E192" s="42"/>
      <c r="F192" s="42"/>
      <c r="G192" s="43"/>
      <c r="H192" s="26"/>
      <c r="I192" s="26"/>
      <c r="J192" s="43"/>
      <c r="K192" s="26"/>
      <c r="L192" s="26"/>
      <c r="M192" s="44"/>
      <c r="N192" s="26"/>
      <c r="O192" s="26"/>
      <c r="P192" s="43"/>
      <c r="Q192" s="26"/>
      <c r="R192" s="26"/>
      <c r="S192" s="26"/>
      <c r="T192" s="26"/>
      <c r="U192" s="26"/>
      <c r="V192" s="26"/>
      <c r="W192" s="26"/>
    </row>
    <row r="193" spans="1:23" ht="18" customHeight="1">
      <c r="B193" s="26"/>
      <c r="C193" s="42"/>
      <c r="D193" s="42"/>
      <c r="E193" s="42"/>
      <c r="F193" s="42"/>
      <c r="G193" s="43"/>
      <c r="H193" s="26"/>
      <c r="I193" s="26"/>
      <c r="J193" s="43"/>
      <c r="K193" s="26"/>
      <c r="L193" s="26"/>
      <c r="M193" s="44"/>
      <c r="N193" s="26"/>
      <c r="O193" s="26"/>
      <c r="P193" s="43"/>
      <c r="Q193" s="26"/>
      <c r="R193" s="26"/>
      <c r="S193" s="26"/>
      <c r="T193" s="26"/>
      <c r="U193" s="26"/>
      <c r="V193" s="26"/>
      <c r="W193" s="26"/>
    </row>
    <row r="194" spans="1:23" ht="18" customHeight="1">
      <c r="A194" s="42"/>
      <c r="B194" s="42"/>
      <c r="C194" s="42"/>
      <c r="D194" s="42"/>
      <c r="E194" s="42"/>
      <c r="F194" s="42"/>
      <c r="G194" s="43"/>
      <c r="H194" s="26"/>
      <c r="I194" s="26"/>
      <c r="J194" s="43"/>
      <c r="K194" s="26"/>
      <c r="L194" s="26"/>
      <c r="M194" s="44"/>
      <c r="N194" s="26"/>
      <c r="O194" s="26"/>
      <c r="P194" s="43"/>
      <c r="Q194" s="26"/>
      <c r="R194" s="26"/>
      <c r="S194" s="26"/>
      <c r="T194" s="26"/>
      <c r="U194" s="26"/>
      <c r="V194" s="26"/>
      <c r="W194" s="26"/>
    </row>
    <row r="195" spans="1:23" ht="18" customHeight="1">
      <c r="W195" s="26"/>
    </row>
    <row r="196" spans="1:23" ht="20" customHeight="1">
      <c r="A196" s="386"/>
      <c r="B196" s="386" t="s">
        <v>16</v>
      </c>
      <c r="C196" s="388" t="s">
        <v>91</v>
      </c>
      <c r="D196" s="388" t="s">
        <v>21</v>
      </c>
      <c r="E196" s="388" t="s">
        <v>14</v>
      </c>
      <c r="F196" s="393" t="s">
        <v>155</v>
      </c>
      <c r="G196" s="395" t="s">
        <v>2</v>
      </c>
      <c r="H196" s="396"/>
      <c r="I196" s="397"/>
      <c r="J196" s="395" t="s">
        <v>3</v>
      </c>
      <c r="K196" s="396"/>
      <c r="L196" s="397"/>
      <c r="M196" s="395" t="s">
        <v>26</v>
      </c>
      <c r="N196" s="396"/>
      <c r="O196" s="397"/>
      <c r="P196" s="398" t="s">
        <v>27</v>
      </c>
      <c r="Q196" s="399"/>
      <c r="R196" s="80" t="s">
        <v>1</v>
      </c>
      <c r="S196" s="390" t="s">
        <v>97</v>
      </c>
      <c r="T196" s="391"/>
      <c r="U196" s="390" t="s">
        <v>98</v>
      </c>
      <c r="V196" s="391"/>
      <c r="W196" s="26"/>
    </row>
    <row r="197" spans="1:23" ht="20" customHeight="1" thickBot="1">
      <c r="A197" s="387"/>
      <c r="B197" s="387"/>
      <c r="C197" s="389"/>
      <c r="D197" s="389"/>
      <c r="E197" s="389"/>
      <c r="F197" s="394"/>
      <c r="G197" s="141" t="s">
        <v>17</v>
      </c>
      <c r="H197" s="142" t="s">
        <v>1</v>
      </c>
      <c r="I197" s="142" t="s">
        <v>96</v>
      </c>
      <c r="J197" s="143" t="s">
        <v>17</v>
      </c>
      <c r="K197" s="142" t="s">
        <v>1</v>
      </c>
      <c r="L197" s="142" t="s">
        <v>96</v>
      </c>
      <c r="M197" s="141" t="s">
        <v>18</v>
      </c>
      <c r="N197" s="142" t="s">
        <v>1</v>
      </c>
      <c r="O197" s="142" t="s">
        <v>96</v>
      </c>
      <c r="P197" s="141" t="s">
        <v>18</v>
      </c>
      <c r="Q197" s="142" t="s">
        <v>1</v>
      </c>
      <c r="R197" s="135" t="s">
        <v>71</v>
      </c>
      <c r="S197" s="135" t="s">
        <v>150</v>
      </c>
      <c r="T197" s="135" t="s">
        <v>145</v>
      </c>
      <c r="U197" s="135" t="s">
        <v>150</v>
      </c>
      <c r="V197" s="135" t="s">
        <v>145</v>
      </c>
      <c r="W197" s="26"/>
    </row>
    <row r="198" spans="1:23" ht="20" customHeight="1">
      <c r="A198" s="379" t="str">
        <f>'Read Me First'!C11</f>
        <v>Abingdon AC</v>
      </c>
      <c r="B198" s="144" t="str" cm="1">
        <f t="array" ref="B198">_xlfn.LET(_xlpm.x, _xlfn._xlws.SORT(_xlfn._xlws.FILTER(Data!$A$378:$U$665,(Data!$C$378:$C$665=$A198)*(Data!$D$378:$D$665=$E$196)*(Data!$E$378:$E$665="U10")),18),_xlpm.y,_xlfn._xlws.SORT(_xlfn._xlws.FILTER(Data!$A$378:$U$665,(Data!$C$378:$C$665=$A198)*(Data!$D$378:$D$665=$E$196)*(Data!$E$378:$E$665="U12")),19), IFERROR(_xlfn.VSTACK(_xlpm.x,_xlpm.y), IFERROR(_xlpm.y,IFERROR(_xlpm.x, ""))))</f>
        <v/>
      </c>
      <c r="C198" s="145"/>
      <c r="D198" s="145"/>
      <c r="E198" s="145"/>
      <c r="F198" s="145"/>
      <c r="G198" s="146"/>
      <c r="H198" s="145"/>
      <c r="I198" s="145"/>
      <c r="J198" s="147"/>
      <c r="K198" s="145"/>
      <c r="L198" s="145"/>
      <c r="M198" s="148"/>
      <c r="N198" s="145"/>
      <c r="O198" s="145"/>
      <c r="P198" s="148"/>
      <c r="Q198" s="145"/>
      <c r="R198" s="145"/>
      <c r="S198" s="145"/>
      <c r="T198" s="145"/>
      <c r="U198" s="145"/>
      <c r="V198" s="149"/>
      <c r="W198" s="26"/>
    </row>
    <row r="199" spans="1:23" ht="20" customHeight="1">
      <c r="A199" s="380"/>
      <c r="B199" s="156"/>
      <c r="C199" s="137"/>
      <c r="D199" s="137"/>
      <c r="E199" s="137"/>
      <c r="F199" s="137"/>
      <c r="G199" s="136"/>
      <c r="H199" s="137"/>
      <c r="I199" s="137"/>
      <c r="J199" s="138"/>
      <c r="K199" s="137"/>
      <c r="L199" s="137"/>
      <c r="M199" s="139"/>
      <c r="N199" s="137"/>
      <c r="O199" s="137"/>
      <c r="P199" s="139"/>
      <c r="Q199" s="137"/>
      <c r="R199" s="137"/>
      <c r="S199" s="137"/>
      <c r="T199" s="137"/>
      <c r="U199" s="137"/>
      <c r="V199" s="150"/>
    </row>
    <row r="200" spans="1:23" ht="20" customHeight="1">
      <c r="A200" s="380"/>
      <c r="B200" s="156"/>
      <c r="C200" s="137"/>
      <c r="D200" s="137"/>
      <c r="E200" s="137"/>
      <c r="F200" s="137"/>
      <c r="G200" s="136"/>
      <c r="H200" s="137"/>
      <c r="I200" s="137"/>
      <c r="J200" s="138"/>
      <c r="K200" s="137"/>
      <c r="L200" s="137"/>
      <c r="M200" s="139"/>
      <c r="N200" s="137"/>
      <c r="O200" s="137"/>
      <c r="P200" s="139"/>
      <c r="Q200" s="137"/>
      <c r="R200" s="137"/>
      <c r="S200" s="137"/>
      <c r="T200" s="137"/>
      <c r="U200" s="137"/>
      <c r="V200" s="150"/>
      <c r="W200" s="20"/>
    </row>
    <row r="201" spans="1:23" ht="20" customHeight="1">
      <c r="A201" s="380"/>
      <c r="B201" s="156"/>
      <c r="C201" s="137"/>
      <c r="D201" s="137"/>
      <c r="E201" s="137"/>
      <c r="F201" s="137"/>
      <c r="G201" s="136"/>
      <c r="H201" s="137"/>
      <c r="I201" s="137"/>
      <c r="J201" s="138"/>
      <c r="K201" s="137"/>
      <c r="L201" s="137"/>
      <c r="M201" s="139"/>
      <c r="N201" s="137"/>
      <c r="O201" s="137"/>
      <c r="P201" s="139"/>
      <c r="Q201" s="137"/>
      <c r="R201" s="137"/>
      <c r="S201" s="137"/>
      <c r="T201" s="137"/>
      <c r="U201" s="137"/>
      <c r="V201" s="150"/>
      <c r="W201" s="26"/>
    </row>
    <row r="202" spans="1:23" ht="20" customHeight="1">
      <c r="A202" s="380"/>
      <c r="B202" s="156"/>
      <c r="C202" s="137"/>
      <c r="D202" s="137"/>
      <c r="E202" s="137"/>
      <c r="F202" s="137"/>
      <c r="G202" s="136"/>
      <c r="H202" s="137"/>
      <c r="I202" s="137"/>
      <c r="J202" s="138"/>
      <c r="K202" s="137"/>
      <c r="L202" s="137"/>
      <c r="M202" s="139"/>
      <c r="N202" s="137"/>
      <c r="O202" s="137"/>
      <c r="P202" s="139"/>
      <c r="Q202" s="137"/>
      <c r="R202" s="137"/>
      <c r="S202" s="137"/>
      <c r="T202" s="137"/>
      <c r="U202" s="137"/>
      <c r="V202" s="150"/>
      <c r="W202" s="26"/>
    </row>
    <row r="203" spans="1:23" ht="20" customHeight="1">
      <c r="A203" s="380"/>
      <c r="B203" s="156"/>
      <c r="C203" s="137"/>
      <c r="D203" s="137"/>
      <c r="E203" s="137"/>
      <c r="F203" s="137"/>
      <c r="G203" s="136"/>
      <c r="H203" s="137"/>
      <c r="I203" s="137"/>
      <c r="J203" s="138"/>
      <c r="K203" s="137"/>
      <c r="L203" s="137"/>
      <c r="M203" s="139"/>
      <c r="N203" s="137"/>
      <c r="O203" s="137"/>
      <c r="P203" s="139"/>
      <c r="Q203" s="137"/>
      <c r="R203" s="137"/>
      <c r="S203" s="137"/>
      <c r="T203" s="137"/>
      <c r="U203" s="137"/>
      <c r="V203" s="150"/>
      <c r="W203" s="26"/>
    </row>
    <row r="204" spans="1:23" ht="20" customHeight="1">
      <c r="A204" s="380"/>
      <c r="B204" s="156"/>
      <c r="C204" s="137"/>
      <c r="D204" s="137"/>
      <c r="E204" s="137"/>
      <c r="F204" s="137"/>
      <c r="G204" s="136"/>
      <c r="H204" s="137"/>
      <c r="I204" s="137"/>
      <c r="J204" s="138"/>
      <c r="K204" s="137"/>
      <c r="L204" s="137"/>
      <c r="M204" s="139"/>
      <c r="N204" s="137"/>
      <c r="O204" s="137"/>
      <c r="P204" s="139"/>
      <c r="Q204" s="137"/>
      <c r="R204" s="137"/>
      <c r="S204" s="137"/>
      <c r="T204" s="137"/>
      <c r="U204" s="137"/>
      <c r="V204" s="150"/>
      <c r="W204" s="26"/>
    </row>
    <row r="205" spans="1:23" ht="20" customHeight="1">
      <c r="A205" s="380"/>
      <c r="B205" s="156"/>
      <c r="C205" s="137"/>
      <c r="D205" s="137"/>
      <c r="E205" s="137"/>
      <c r="F205" s="137"/>
      <c r="G205" s="136"/>
      <c r="H205" s="137"/>
      <c r="I205" s="137"/>
      <c r="J205" s="138"/>
      <c r="K205" s="137"/>
      <c r="L205" s="137"/>
      <c r="M205" s="139"/>
      <c r="N205" s="137"/>
      <c r="O205" s="137"/>
      <c r="P205" s="139"/>
      <c r="Q205" s="137"/>
      <c r="R205" s="137"/>
      <c r="S205" s="137"/>
      <c r="T205" s="137"/>
      <c r="U205" s="137"/>
      <c r="V205" s="150"/>
      <c r="W205" s="26"/>
    </row>
    <row r="206" spans="1:23" ht="20" customHeight="1">
      <c r="A206" s="380"/>
      <c r="B206" s="156"/>
      <c r="C206" s="137"/>
      <c r="D206" s="137"/>
      <c r="E206" s="137"/>
      <c r="F206" s="137"/>
      <c r="G206" s="136"/>
      <c r="H206" s="137"/>
      <c r="I206" s="137"/>
      <c r="J206" s="138"/>
      <c r="K206" s="137"/>
      <c r="L206" s="137"/>
      <c r="M206" s="139"/>
      <c r="N206" s="137"/>
      <c r="O206" s="137"/>
      <c r="P206" s="139"/>
      <c r="Q206" s="137"/>
      <c r="R206" s="137"/>
      <c r="S206" s="137"/>
      <c r="T206" s="137"/>
      <c r="U206" s="137"/>
      <c r="V206" s="150"/>
      <c r="W206" s="26"/>
    </row>
    <row r="207" spans="1:23" ht="20" customHeight="1">
      <c r="A207" s="380"/>
      <c r="B207" s="156"/>
      <c r="C207" s="137"/>
      <c r="D207" s="137"/>
      <c r="E207" s="137"/>
      <c r="F207" s="137"/>
      <c r="G207" s="136"/>
      <c r="H207" s="137"/>
      <c r="I207" s="137"/>
      <c r="J207" s="138"/>
      <c r="K207" s="137"/>
      <c r="L207" s="137"/>
      <c r="M207" s="139"/>
      <c r="N207" s="137"/>
      <c r="O207" s="137"/>
      <c r="P207" s="139"/>
      <c r="Q207" s="137"/>
      <c r="R207" s="137"/>
      <c r="S207" s="137"/>
      <c r="T207" s="137"/>
      <c r="U207" s="137"/>
      <c r="V207" s="150"/>
      <c r="W207" s="26"/>
    </row>
    <row r="208" spans="1:23" ht="20" customHeight="1">
      <c r="A208" s="380"/>
      <c r="B208" s="156"/>
      <c r="C208" s="137"/>
      <c r="D208" s="137"/>
      <c r="E208" s="137"/>
      <c r="F208" s="137"/>
      <c r="G208" s="136"/>
      <c r="H208" s="137"/>
      <c r="I208" s="137"/>
      <c r="J208" s="138"/>
      <c r="K208" s="137"/>
      <c r="L208" s="137"/>
      <c r="M208" s="139"/>
      <c r="N208" s="137"/>
      <c r="O208" s="137"/>
      <c r="P208" s="139"/>
      <c r="Q208" s="137"/>
      <c r="R208" s="137"/>
      <c r="S208" s="137"/>
      <c r="T208" s="137"/>
      <c r="U208" s="137"/>
      <c r="V208" s="150"/>
      <c r="W208" s="26"/>
    </row>
    <row r="209" spans="1:23" ht="20" customHeight="1">
      <c r="A209" s="380"/>
      <c r="B209" s="156"/>
      <c r="C209" s="137"/>
      <c r="D209" s="137"/>
      <c r="E209" s="137"/>
      <c r="F209" s="137"/>
      <c r="G209" s="136"/>
      <c r="H209" s="137"/>
      <c r="I209" s="137"/>
      <c r="J209" s="138"/>
      <c r="K209" s="137"/>
      <c r="L209" s="137"/>
      <c r="M209" s="139"/>
      <c r="N209" s="137"/>
      <c r="O209" s="137"/>
      <c r="P209" s="139"/>
      <c r="Q209" s="137"/>
      <c r="R209" s="137"/>
      <c r="S209" s="137"/>
      <c r="T209" s="137"/>
      <c r="U209" s="137"/>
      <c r="V209" s="150"/>
      <c r="W209" s="26"/>
    </row>
    <row r="210" spans="1:23" ht="20" customHeight="1">
      <c r="A210" s="380"/>
      <c r="B210" s="156"/>
      <c r="C210" s="137"/>
      <c r="D210" s="137"/>
      <c r="E210" s="137"/>
      <c r="F210" s="137"/>
      <c r="G210" s="136"/>
      <c r="H210" s="137"/>
      <c r="I210" s="137"/>
      <c r="J210" s="138"/>
      <c r="K210" s="137"/>
      <c r="L210" s="137"/>
      <c r="M210" s="139"/>
      <c r="N210" s="137"/>
      <c r="O210" s="137"/>
      <c r="P210" s="139"/>
      <c r="Q210" s="137"/>
      <c r="R210" s="137"/>
      <c r="S210" s="137"/>
      <c r="T210" s="137"/>
      <c r="U210" s="137"/>
      <c r="V210" s="150"/>
      <c r="W210" s="26"/>
    </row>
    <row r="211" spans="1:23" ht="20" customHeight="1">
      <c r="A211" s="380"/>
      <c r="B211" s="156"/>
      <c r="C211" s="137"/>
      <c r="D211" s="137"/>
      <c r="E211" s="137"/>
      <c r="F211" s="137"/>
      <c r="G211" s="136"/>
      <c r="H211" s="137"/>
      <c r="I211" s="137"/>
      <c r="J211" s="138"/>
      <c r="K211" s="137"/>
      <c r="L211" s="137"/>
      <c r="M211" s="139"/>
      <c r="N211" s="137"/>
      <c r="O211" s="137"/>
      <c r="P211" s="139"/>
      <c r="Q211" s="137"/>
      <c r="R211" s="137"/>
      <c r="S211" s="137"/>
      <c r="T211" s="137"/>
      <c r="U211" s="137"/>
      <c r="V211" s="150"/>
      <c r="W211" s="26"/>
    </row>
    <row r="212" spans="1:23" ht="20" customHeight="1">
      <c r="A212" s="380"/>
      <c r="B212" s="156"/>
      <c r="C212" s="137"/>
      <c r="D212" s="137"/>
      <c r="E212" s="137"/>
      <c r="F212" s="137"/>
      <c r="G212" s="136"/>
      <c r="H212" s="137"/>
      <c r="I212" s="137"/>
      <c r="J212" s="138"/>
      <c r="K212" s="137"/>
      <c r="L212" s="137"/>
      <c r="M212" s="139"/>
      <c r="N212" s="137"/>
      <c r="O212" s="137"/>
      <c r="P212" s="139"/>
      <c r="Q212" s="137"/>
      <c r="R212" s="137"/>
      <c r="S212" s="137"/>
      <c r="T212" s="137"/>
      <c r="U212" s="137"/>
      <c r="V212" s="150"/>
      <c r="W212" s="26"/>
    </row>
    <row r="213" spans="1:23" ht="20" customHeight="1">
      <c r="A213" s="380"/>
      <c r="B213" s="156"/>
      <c r="C213" s="137"/>
      <c r="D213" s="137"/>
      <c r="E213" s="137"/>
      <c r="F213" s="137"/>
      <c r="G213" s="136"/>
      <c r="H213" s="137"/>
      <c r="I213" s="137"/>
      <c r="J213" s="138"/>
      <c r="K213" s="137"/>
      <c r="L213" s="137"/>
      <c r="M213" s="139"/>
      <c r="N213" s="137"/>
      <c r="O213" s="137"/>
      <c r="P213" s="139"/>
      <c r="Q213" s="137"/>
      <c r="R213" s="137"/>
      <c r="S213" s="137"/>
      <c r="T213" s="137"/>
      <c r="U213" s="137"/>
      <c r="V213" s="150"/>
      <c r="W213" s="26"/>
    </row>
    <row r="214" spans="1:23" ht="20" customHeight="1">
      <c r="A214" s="380"/>
      <c r="B214" s="156"/>
      <c r="C214" s="137"/>
      <c r="D214" s="137"/>
      <c r="E214" s="137"/>
      <c r="F214" s="137"/>
      <c r="G214" s="136"/>
      <c r="H214" s="137"/>
      <c r="I214" s="137"/>
      <c r="J214" s="138"/>
      <c r="K214" s="137"/>
      <c r="L214" s="137"/>
      <c r="M214" s="139"/>
      <c r="N214" s="137"/>
      <c r="O214" s="137"/>
      <c r="P214" s="139"/>
      <c r="Q214" s="137"/>
      <c r="R214" s="137"/>
      <c r="S214" s="137"/>
      <c r="T214" s="137"/>
      <c r="U214" s="137"/>
      <c r="V214" s="150"/>
      <c r="W214" s="26"/>
    </row>
    <row r="215" spans="1:23" ht="20" customHeight="1">
      <c r="A215" s="380"/>
      <c r="B215" s="156"/>
      <c r="C215" s="137"/>
      <c r="D215" s="137"/>
      <c r="E215" s="137"/>
      <c r="F215" s="137"/>
      <c r="G215" s="136"/>
      <c r="H215" s="137"/>
      <c r="I215" s="137"/>
      <c r="J215" s="138"/>
      <c r="K215" s="137"/>
      <c r="L215" s="137"/>
      <c r="M215" s="139"/>
      <c r="N215" s="137"/>
      <c r="O215" s="137"/>
      <c r="P215" s="139"/>
      <c r="Q215" s="137"/>
      <c r="R215" s="137"/>
      <c r="S215" s="137"/>
      <c r="T215" s="137"/>
      <c r="U215" s="137"/>
      <c r="V215" s="150"/>
      <c r="W215" s="26"/>
    </row>
    <row r="216" spans="1:23" ht="20" customHeight="1">
      <c r="A216" s="380"/>
      <c r="B216" s="156"/>
      <c r="C216" s="137"/>
      <c r="D216" s="137"/>
      <c r="E216" s="137"/>
      <c r="F216" s="137"/>
      <c r="G216" s="136"/>
      <c r="H216" s="137"/>
      <c r="I216" s="137"/>
      <c r="J216" s="138"/>
      <c r="K216" s="137"/>
      <c r="L216" s="137"/>
      <c r="M216" s="139"/>
      <c r="N216" s="137"/>
      <c r="O216" s="137"/>
      <c r="P216" s="139"/>
      <c r="Q216" s="137"/>
      <c r="R216" s="137"/>
      <c r="S216" s="137"/>
      <c r="T216" s="137"/>
      <c r="U216" s="137"/>
      <c r="V216" s="150"/>
      <c r="W216" s="26"/>
    </row>
    <row r="217" spans="1:23" ht="20" customHeight="1" thickBot="1">
      <c r="A217" s="381"/>
      <c r="B217" s="157"/>
      <c r="C217" s="151"/>
      <c r="D217" s="151"/>
      <c r="E217" s="151"/>
      <c r="F217" s="151"/>
      <c r="G217" s="152"/>
      <c r="H217" s="151"/>
      <c r="I217" s="151"/>
      <c r="J217" s="153"/>
      <c r="K217" s="151"/>
      <c r="L217" s="151"/>
      <c r="M217" s="154"/>
      <c r="N217" s="151"/>
      <c r="O217" s="151"/>
      <c r="P217" s="154"/>
      <c r="Q217" s="151"/>
      <c r="R217" s="151"/>
      <c r="S217" s="151"/>
      <c r="T217" s="151"/>
      <c r="U217" s="151"/>
      <c r="V217" s="155"/>
      <c r="W217" s="26"/>
    </row>
    <row r="218" spans="1:23" ht="20" customHeight="1">
      <c r="A218" s="379" t="str">
        <f>'Read Me First'!C12</f>
        <v>Banbury Harriers AC</v>
      </c>
      <c r="B218" s="144" t="str" cm="1">
        <f t="array" ref="B218">_xlfn.LET(_xlpm.x, _xlfn._xlws.SORT(_xlfn._xlws.FILTER(Data!$A$378:$U$665,(Data!$C$378:$C$665=$A218)*(Data!$D$378:$D$665=$E$196)*(Data!$E$378:$E$665="U10")),18),_xlpm.y,_xlfn._xlws.SORT(_xlfn._xlws.FILTER(Data!$A$378:$U$665,(Data!$C$378:$C$665=$A218)*(Data!$D$378:$D$665=$E$196)*(Data!$E$378:$E$665="U12")),19), IFERROR(_xlfn.VSTACK(_xlpm.x,_xlpm.y), IFERROR(_xlpm.y,IFERROR(_xlpm.x, ""))))</f>
        <v/>
      </c>
      <c r="C218" s="145"/>
      <c r="D218" s="145"/>
      <c r="E218" s="145"/>
      <c r="F218" s="145"/>
      <c r="G218" s="146"/>
      <c r="H218" s="145"/>
      <c r="I218" s="145"/>
      <c r="J218" s="147"/>
      <c r="K218" s="145"/>
      <c r="L218" s="145"/>
      <c r="M218" s="148"/>
      <c r="N218" s="145"/>
      <c r="O218" s="145"/>
      <c r="P218" s="148"/>
      <c r="Q218" s="145"/>
      <c r="R218" s="145"/>
      <c r="S218" s="145"/>
      <c r="T218" s="145"/>
      <c r="U218" s="145"/>
      <c r="V218" s="149"/>
      <c r="W218" s="26"/>
    </row>
    <row r="219" spans="1:23" ht="20" customHeight="1">
      <c r="A219" s="380"/>
      <c r="B219" s="156"/>
      <c r="C219" s="137"/>
      <c r="D219" s="137"/>
      <c r="E219" s="137"/>
      <c r="F219" s="137"/>
      <c r="G219" s="136"/>
      <c r="H219" s="137"/>
      <c r="I219" s="137"/>
      <c r="J219" s="138"/>
      <c r="K219" s="137"/>
      <c r="L219" s="137"/>
      <c r="M219" s="139"/>
      <c r="N219" s="137"/>
      <c r="O219" s="137"/>
      <c r="P219" s="139"/>
      <c r="Q219" s="137"/>
      <c r="R219" s="137"/>
      <c r="S219" s="137"/>
      <c r="T219" s="137"/>
      <c r="U219" s="137"/>
      <c r="V219" s="150"/>
      <c r="W219" s="26"/>
    </row>
    <row r="220" spans="1:23" ht="20" customHeight="1">
      <c r="A220" s="380"/>
      <c r="B220" s="156"/>
      <c r="C220" s="137"/>
      <c r="D220" s="137"/>
      <c r="E220" s="137"/>
      <c r="F220" s="137"/>
      <c r="G220" s="136"/>
      <c r="H220" s="137"/>
      <c r="I220" s="137"/>
      <c r="J220" s="138"/>
      <c r="K220" s="137"/>
      <c r="L220" s="137"/>
      <c r="M220" s="139"/>
      <c r="N220" s="137"/>
      <c r="O220" s="137"/>
      <c r="P220" s="139"/>
      <c r="Q220" s="137"/>
      <c r="R220" s="137"/>
      <c r="S220" s="137"/>
      <c r="T220" s="137"/>
      <c r="U220" s="137"/>
      <c r="V220" s="150"/>
      <c r="W220" s="26"/>
    </row>
    <row r="221" spans="1:23" ht="20" customHeight="1">
      <c r="A221" s="380"/>
      <c r="B221" s="156"/>
      <c r="C221" s="137"/>
      <c r="D221" s="137"/>
      <c r="E221" s="137"/>
      <c r="F221" s="137"/>
      <c r="G221" s="136"/>
      <c r="H221" s="137"/>
      <c r="I221" s="137"/>
      <c r="J221" s="138"/>
      <c r="K221" s="137"/>
      <c r="L221" s="137"/>
      <c r="M221" s="139"/>
      <c r="N221" s="137"/>
      <c r="O221" s="137"/>
      <c r="P221" s="139"/>
      <c r="Q221" s="137"/>
      <c r="R221" s="137"/>
      <c r="S221" s="137"/>
      <c r="T221" s="137"/>
      <c r="U221" s="137"/>
      <c r="V221" s="150"/>
      <c r="W221" s="20"/>
    </row>
    <row r="222" spans="1:23" ht="20" customHeight="1">
      <c r="A222" s="380"/>
      <c r="B222" s="156"/>
      <c r="C222" s="137"/>
      <c r="D222" s="137"/>
      <c r="E222" s="137"/>
      <c r="F222" s="137"/>
      <c r="G222" s="136"/>
      <c r="H222" s="137"/>
      <c r="I222" s="137"/>
      <c r="J222" s="138"/>
      <c r="K222" s="137"/>
      <c r="L222" s="137"/>
      <c r="M222" s="139"/>
      <c r="N222" s="137"/>
      <c r="O222" s="137"/>
      <c r="P222" s="139"/>
      <c r="Q222" s="137"/>
      <c r="R222" s="137"/>
      <c r="S222" s="137"/>
      <c r="T222" s="137"/>
      <c r="U222" s="137"/>
      <c r="V222" s="150"/>
      <c r="W222" s="20"/>
    </row>
    <row r="223" spans="1:23" ht="20" customHeight="1">
      <c r="A223" s="380"/>
      <c r="B223" s="156"/>
      <c r="C223" s="137"/>
      <c r="D223" s="137"/>
      <c r="E223" s="137"/>
      <c r="F223" s="137"/>
      <c r="G223" s="136"/>
      <c r="H223" s="137"/>
      <c r="I223" s="137"/>
      <c r="J223" s="138"/>
      <c r="K223" s="137"/>
      <c r="L223" s="137"/>
      <c r="M223" s="139"/>
      <c r="N223" s="137"/>
      <c r="O223" s="137"/>
      <c r="P223" s="139"/>
      <c r="Q223" s="137"/>
      <c r="R223" s="137"/>
      <c r="S223" s="137"/>
      <c r="T223" s="137"/>
      <c r="U223" s="137"/>
      <c r="V223" s="150"/>
      <c r="W223" s="20"/>
    </row>
    <row r="224" spans="1:23" ht="20" customHeight="1">
      <c r="A224" s="380"/>
      <c r="B224" s="156"/>
      <c r="C224" s="137"/>
      <c r="D224" s="137"/>
      <c r="E224" s="137"/>
      <c r="F224" s="137"/>
      <c r="G224" s="136"/>
      <c r="H224" s="137"/>
      <c r="I224" s="137"/>
      <c r="J224" s="138"/>
      <c r="K224" s="137"/>
      <c r="L224" s="137"/>
      <c r="M224" s="139"/>
      <c r="N224" s="137"/>
      <c r="O224" s="137"/>
      <c r="P224" s="139"/>
      <c r="Q224" s="137"/>
      <c r="R224" s="137"/>
      <c r="S224" s="137"/>
      <c r="T224" s="137"/>
      <c r="U224" s="137"/>
      <c r="V224" s="150"/>
      <c r="W224" s="20"/>
    </row>
    <row r="225" spans="1:23" ht="20" customHeight="1">
      <c r="A225" s="380"/>
      <c r="B225" s="156"/>
      <c r="C225" s="137"/>
      <c r="D225" s="137"/>
      <c r="E225" s="137"/>
      <c r="F225" s="137"/>
      <c r="G225" s="136"/>
      <c r="H225" s="137"/>
      <c r="I225" s="137"/>
      <c r="J225" s="138"/>
      <c r="K225" s="137"/>
      <c r="L225" s="137"/>
      <c r="M225" s="139"/>
      <c r="N225" s="137"/>
      <c r="O225" s="137"/>
      <c r="P225" s="139"/>
      <c r="Q225" s="137"/>
      <c r="R225" s="137"/>
      <c r="S225" s="137"/>
      <c r="T225" s="137"/>
      <c r="U225" s="137"/>
      <c r="V225" s="150"/>
      <c r="W225" s="20"/>
    </row>
    <row r="226" spans="1:23" ht="20" customHeight="1">
      <c r="A226" s="380"/>
      <c r="B226" s="156"/>
      <c r="C226" s="137"/>
      <c r="D226" s="137"/>
      <c r="E226" s="137"/>
      <c r="F226" s="137"/>
      <c r="G226" s="136"/>
      <c r="H226" s="137"/>
      <c r="I226" s="137"/>
      <c r="J226" s="138"/>
      <c r="K226" s="137"/>
      <c r="L226" s="137"/>
      <c r="M226" s="139"/>
      <c r="N226" s="137"/>
      <c r="O226" s="137"/>
      <c r="P226" s="139"/>
      <c r="Q226" s="137"/>
      <c r="R226" s="137"/>
      <c r="S226" s="137"/>
      <c r="T226" s="137"/>
      <c r="U226" s="137"/>
      <c r="V226" s="150"/>
      <c r="W226" s="26"/>
    </row>
    <row r="227" spans="1:23" ht="20" customHeight="1">
      <c r="A227" s="380"/>
      <c r="B227" s="156"/>
      <c r="C227" s="137"/>
      <c r="D227" s="137"/>
      <c r="E227" s="137"/>
      <c r="F227" s="137"/>
      <c r="G227" s="136"/>
      <c r="H227" s="137"/>
      <c r="I227" s="137"/>
      <c r="J227" s="138"/>
      <c r="K227" s="137"/>
      <c r="L227" s="137"/>
      <c r="M227" s="139"/>
      <c r="N227" s="137"/>
      <c r="O227" s="137"/>
      <c r="P227" s="139"/>
      <c r="Q227" s="137"/>
      <c r="R227" s="137"/>
      <c r="S227" s="137"/>
      <c r="T227" s="137"/>
      <c r="U227" s="137"/>
      <c r="V227" s="150"/>
      <c r="W227" s="26"/>
    </row>
    <row r="228" spans="1:23" ht="20" customHeight="1">
      <c r="A228" s="380"/>
      <c r="B228" s="156"/>
      <c r="C228" s="137"/>
      <c r="D228" s="137"/>
      <c r="E228" s="137"/>
      <c r="F228" s="137"/>
      <c r="G228" s="136"/>
      <c r="H228" s="137"/>
      <c r="I228" s="137"/>
      <c r="J228" s="138"/>
      <c r="K228" s="137"/>
      <c r="L228" s="137"/>
      <c r="M228" s="139"/>
      <c r="N228" s="137"/>
      <c r="O228" s="137"/>
      <c r="P228" s="139"/>
      <c r="Q228" s="137"/>
      <c r="R228" s="137"/>
      <c r="S228" s="137"/>
      <c r="T228" s="137"/>
      <c r="U228" s="137"/>
      <c r="V228" s="150"/>
      <c r="W228" s="26"/>
    </row>
    <row r="229" spans="1:23" ht="20" customHeight="1">
      <c r="A229" s="380"/>
      <c r="B229" s="156"/>
      <c r="C229" s="137"/>
      <c r="D229" s="137"/>
      <c r="E229" s="137"/>
      <c r="F229" s="137"/>
      <c r="G229" s="136"/>
      <c r="H229" s="137"/>
      <c r="I229" s="137"/>
      <c r="J229" s="138"/>
      <c r="K229" s="137"/>
      <c r="L229" s="137"/>
      <c r="M229" s="139"/>
      <c r="N229" s="137"/>
      <c r="O229" s="137"/>
      <c r="P229" s="139"/>
      <c r="Q229" s="137"/>
      <c r="R229" s="137"/>
      <c r="S229" s="137"/>
      <c r="T229" s="137"/>
      <c r="U229" s="137"/>
      <c r="V229" s="150"/>
      <c r="W229" s="26"/>
    </row>
    <row r="230" spans="1:23" ht="20" customHeight="1">
      <c r="A230" s="380"/>
      <c r="B230" s="156"/>
      <c r="C230" s="137"/>
      <c r="D230" s="137"/>
      <c r="E230" s="137"/>
      <c r="F230" s="137"/>
      <c r="G230" s="136"/>
      <c r="H230" s="137"/>
      <c r="I230" s="137"/>
      <c r="J230" s="138"/>
      <c r="K230" s="137"/>
      <c r="L230" s="137"/>
      <c r="M230" s="139"/>
      <c r="N230" s="137"/>
      <c r="O230" s="137"/>
      <c r="P230" s="139"/>
      <c r="Q230" s="137"/>
      <c r="R230" s="137"/>
      <c r="S230" s="137"/>
      <c r="T230" s="137"/>
      <c r="U230" s="137"/>
      <c r="V230" s="150"/>
      <c r="W230" s="26"/>
    </row>
    <row r="231" spans="1:23" ht="20" customHeight="1">
      <c r="A231" s="380"/>
      <c r="B231" s="156"/>
      <c r="C231" s="137"/>
      <c r="D231" s="137"/>
      <c r="E231" s="137"/>
      <c r="F231" s="137"/>
      <c r="G231" s="136"/>
      <c r="H231" s="137"/>
      <c r="I231" s="137"/>
      <c r="J231" s="138"/>
      <c r="K231" s="137"/>
      <c r="L231" s="137"/>
      <c r="M231" s="139"/>
      <c r="N231" s="137"/>
      <c r="O231" s="137"/>
      <c r="P231" s="139"/>
      <c r="Q231" s="137"/>
      <c r="R231" s="137"/>
      <c r="S231" s="137"/>
      <c r="T231" s="137"/>
      <c r="U231" s="137"/>
      <c r="V231" s="150"/>
      <c r="W231" s="26"/>
    </row>
    <row r="232" spans="1:23" ht="20" customHeight="1">
      <c r="A232" s="380"/>
      <c r="B232" s="156"/>
      <c r="C232" s="137"/>
      <c r="D232" s="137"/>
      <c r="E232" s="137"/>
      <c r="F232" s="137"/>
      <c r="G232" s="136"/>
      <c r="H232" s="137"/>
      <c r="I232" s="137"/>
      <c r="J232" s="138"/>
      <c r="K232" s="137"/>
      <c r="L232" s="137"/>
      <c r="M232" s="139"/>
      <c r="N232" s="137"/>
      <c r="O232" s="137"/>
      <c r="P232" s="139"/>
      <c r="Q232" s="137"/>
      <c r="R232" s="137"/>
      <c r="S232" s="137"/>
      <c r="T232" s="137"/>
      <c r="U232" s="137"/>
      <c r="V232" s="150"/>
      <c r="W232" s="26"/>
    </row>
    <row r="233" spans="1:23" ht="20" customHeight="1">
      <c r="A233" s="380"/>
      <c r="B233" s="156"/>
      <c r="C233" s="137"/>
      <c r="D233" s="137"/>
      <c r="E233" s="137"/>
      <c r="F233" s="137"/>
      <c r="G233" s="136"/>
      <c r="H233" s="137"/>
      <c r="I233" s="137"/>
      <c r="J233" s="138"/>
      <c r="K233" s="137"/>
      <c r="L233" s="137"/>
      <c r="M233" s="139"/>
      <c r="N233" s="137"/>
      <c r="O233" s="137"/>
      <c r="P233" s="139"/>
      <c r="Q233" s="137"/>
      <c r="R233" s="137"/>
      <c r="S233" s="137"/>
      <c r="T233" s="137"/>
      <c r="U233" s="137"/>
      <c r="V233" s="150"/>
      <c r="W233" s="26"/>
    </row>
    <row r="234" spans="1:23" ht="20" customHeight="1">
      <c r="A234" s="380"/>
      <c r="B234" s="156"/>
      <c r="C234" s="137"/>
      <c r="D234" s="137"/>
      <c r="E234" s="137"/>
      <c r="F234" s="137"/>
      <c r="G234" s="136"/>
      <c r="H234" s="137"/>
      <c r="I234" s="137"/>
      <c r="J234" s="138"/>
      <c r="K234" s="137"/>
      <c r="L234" s="137"/>
      <c r="M234" s="139"/>
      <c r="N234" s="137"/>
      <c r="O234" s="137"/>
      <c r="P234" s="139"/>
      <c r="Q234" s="137"/>
      <c r="R234" s="137"/>
      <c r="S234" s="137"/>
      <c r="T234" s="137"/>
      <c r="U234" s="137"/>
      <c r="V234" s="150"/>
      <c r="W234" s="26"/>
    </row>
    <row r="235" spans="1:23" ht="20" customHeight="1">
      <c r="A235" s="380"/>
      <c r="B235" s="156"/>
      <c r="C235" s="137"/>
      <c r="D235" s="137"/>
      <c r="E235" s="137"/>
      <c r="F235" s="137"/>
      <c r="G235" s="136"/>
      <c r="H235" s="137"/>
      <c r="I235" s="137"/>
      <c r="J235" s="138"/>
      <c r="K235" s="137"/>
      <c r="L235" s="137"/>
      <c r="M235" s="139"/>
      <c r="N235" s="137"/>
      <c r="O235" s="137"/>
      <c r="P235" s="139"/>
      <c r="Q235" s="137"/>
      <c r="R235" s="137"/>
      <c r="S235" s="137"/>
      <c r="T235" s="137"/>
      <c r="U235" s="137"/>
      <c r="V235" s="150"/>
      <c r="W235" s="26"/>
    </row>
    <row r="236" spans="1:23" ht="20" customHeight="1">
      <c r="A236" s="380"/>
      <c r="B236" s="156"/>
      <c r="C236" s="137"/>
      <c r="D236" s="137"/>
      <c r="E236" s="137"/>
      <c r="F236" s="137"/>
      <c r="G236" s="136"/>
      <c r="H236" s="137"/>
      <c r="I236" s="137"/>
      <c r="J236" s="138"/>
      <c r="K236" s="137"/>
      <c r="L236" s="137"/>
      <c r="M236" s="139"/>
      <c r="N236" s="137"/>
      <c r="O236" s="137"/>
      <c r="P236" s="139"/>
      <c r="Q236" s="137"/>
      <c r="R236" s="137"/>
      <c r="S236" s="137"/>
      <c r="T236" s="137"/>
      <c r="U236" s="137"/>
      <c r="V236" s="150"/>
      <c r="W236" s="26"/>
    </row>
    <row r="237" spans="1:23" ht="20" customHeight="1" thickBot="1">
      <c r="A237" s="381"/>
      <c r="B237" s="157"/>
      <c r="C237" s="151"/>
      <c r="D237" s="151"/>
      <c r="E237" s="151"/>
      <c r="F237" s="151"/>
      <c r="G237" s="152"/>
      <c r="H237" s="151"/>
      <c r="I237" s="151"/>
      <c r="J237" s="153"/>
      <c r="K237" s="151"/>
      <c r="L237" s="151"/>
      <c r="M237" s="154"/>
      <c r="N237" s="151"/>
      <c r="O237" s="151"/>
      <c r="P237" s="154"/>
      <c r="Q237" s="151"/>
      <c r="R237" s="151"/>
      <c r="S237" s="151"/>
      <c r="T237" s="151"/>
      <c r="U237" s="151"/>
      <c r="V237" s="155"/>
      <c r="W237" s="26"/>
    </row>
    <row r="238" spans="1:23" ht="20" customHeight="1">
      <c r="A238" s="379" t="str">
        <f>'Read Me First'!C13</f>
        <v>Bicester AC</v>
      </c>
      <c r="B238" s="144" t="str" cm="1">
        <f t="array" ref="B238">_xlfn.LET(_xlpm.x, _xlfn._xlws.SORT(_xlfn._xlws.FILTER(Data!$A$378:$U$665,(Data!$C$378:$C$665=$A238)*(Data!$D$378:$D$665=$E$196)*(Data!$E$378:$E$665="U10")),18),_xlpm.y,_xlfn._xlws.SORT(_xlfn._xlws.FILTER(Data!$A$378:$U$665,(Data!$C$378:$C$665=$A238)*(Data!$D$378:$D$665=$E$196)*(Data!$E$378:$E$665="U12")),19), IFERROR(_xlfn.VSTACK(_xlpm.x,_xlpm.y), IFERROR(_xlpm.y,IFERROR(_xlpm.x, ""))))</f>
        <v/>
      </c>
      <c r="C238" s="145"/>
      <c r="D238" s="145"/>
      <c r="E238" s="145"/>
      <c r="F238" s="145"/>
      <c r="G238" s="146"/>
      <c r="H238" s="145"/>
      <c r="I238" s="145"/>
      <c r="J238" s="147"/>
      <c r="K238" s="145"/>
      <c r="L238" s="145"/>
      <c r="M238" s="148"/>
      <c r="N238" s="145"/>
      <c r="O238" s="145"/>
      <c r="P238" s="148"/>
      <c r="Q238" s="145"/>
      <c r="R238" s="145"/>
      <c r="S238" s="145"/>
      <c r="T238" s="145"/>
      <c r="U238" s="145"/>
      <c r="V238" s="149"/>
      <c r="W238" s="26"/>
    </row>
    <row r="239" spans="1:23" ht="20" customHeight="1">
      <c r="A239" s="380"/>
      <c r="B239" s="156"/>
      <c r="C239" s="137"/>
      <c r="D239" s="137"/>
      <c r="E239" s="137"/>
      <c r="F239" s="137"/>
      <c r="G239" s="136"/>
      <c r="H239" s="137"/>
      <c r="I239" s="137"/>
      <c r="J239" s="138"/>
      <c r="K239" s="137"/>
      <c r="L239" s="137"/>
      <c r="M239" s="139"/>
      <c r="N239" s="137"/>
      <c r="O239" s="137"/>
      <c r="P239" s="139"/>
      <c r="Q239" s="137"/>
      <c r="R239" s="137"/>
      <c r="S239" s="137"/>
      <c r="T239" s="137"/>
      <c r="U239" s="137"/>
      <c r="V239" s="150"/>
      <c r="W239" s="26"/>
    </row>
    <row r="240" spans="1:23" ht="20" customHeight="1">
      <c r="A240" s="380"/>
      <c r="B240" s="156"/>
      <c r="C240" s="137"/>
      <c r="D240" s="137"/>
      <c r="E240" s="137"/>
      <c r="F240" s="137"/>
      <c r="G240" s="136"/>
      <c r="H240" s="137"/>
      <c r="I240" s="137"/>
      <c r="J240" s="138"/>
      <c r="K240" s="137"/>
      <c r="L240" s="137"/>
      <c r="M240" s="139"/>
      <c r="N240" s="137"/>
      <c r="O240" s="137"/>
      <c r="P240" s="139"/>
      <c r="Q240" s="137"/>
      <c r="R240" s="137"/>
      <c r="S240" s="137"/>
      <c r="T240" s="137"/>
      <c r="U240" s="137"/>
      <c r="V240" s="150"/>
      <c r="W240" s="26"/>
    </row>
    <row r="241" spans="1:23" ht="20" customHeight="1">
      <c r="A241" s="380"/>
      <c r="B241" s="156"/>
      <c r="C241" s="137"/>
      <c r="D241" s="137"/>
      <c r="E241" s="137"/>
      <c r="F241" s="137"/>
      <c r="G241" s="136"/>
      <c r="H241" s="137"/>
      <c r="I241" s="137"/>
      <c r="J241" s="138"/>
      <c r="K241" s="137"/>
      <c r="L241" s="137"/>
      <c r="M241" s="139"/>
      <c r="N241" s="137"/>
      <c r="O241" s="137"/>
      <c r="P241" s="139"/>
      <c r="Q241" s="137"/>
      <c r="R241" s="137"/>
      <c r="S241" s="137"/>
      <c r="T241" s="137"/>
      <c r="U241" s="137"/>
      <c r="V241" s="150"/>
      <c r="W241" s="26"/>
    </row>
    <row r="242" spans="1:23" ht="20" customHeight="1">
      <c r="A242" s="380"/>
      <c r="B242" s="156"/>
      <c r="C242" s="137"/>
      <c r="D242" s="137"/>
      <c r="E242" s="137"/>
      <c r="F242" s="137"/>
      <c r="G242" s="136"/>
      <c r="H242" s="137"/>
      <c r="I242" s="137"/>
      <c r="J242" s="138"/>
      <c r="K242" s="137"/>
      <c r="L242" s="137"/>
      <c r="M242" s="139"/>
      <c r="N242" s="137"/>
      <c r="O242" s="137"/>
      <c r="P242" s="139"/>
      <c r="Q242" s="137"/>
      <c r="R242" s="137"/>
      <c r="S242" s="137"/>
      <c r="T242" s="137"/>
      <c r="U242" s="137"/>
      <c r="V242" s="150"/>
      <c r="W242" s="26"/>
    </row>
    <row r="243" spans="1:23" ht="20" customHeight="1">
      <c r="A243" s="380"/>
      <c r="B243" s="156"/>
      <c r="C243" s="137"/>
      <c r="D243" s="137"/>
      <c r="E243" s="137"/>
      <c r="F243" s="137"/>
      <c r="G243" s="136"/>
      <c r="H243" s="137"/>
      <c r="I243" s="137"/>
      <c r="J243" s="138"/>
      <c r="K243" s="137"/>
      <c r="L243" s="137"/>
      <c r="M243" s="139"/>
      <c r="N243" s="137"/>
      <c r="O243" s="137"/>
      <c r="P243" s="139"/>
      <c r="Q243" s="137"/>
      <c r="R243" s="137"/>
      <c r="S243" s="137"/>
      <c r="T243" s="137"/>
      <c r="U243" s="137"/>
      <c r="V243" s="150"/>
      <c r="W243" s="26"/>
    </row>
    <row r="244" spans="1:23" ht="20" customHeight="1">
      <c r="A244" s="380"/>
      <c r="B244" s="156"/>
      <c r="C244" s="137"/>
      <c r="D244" s="137"/>
      <c r="E244" s="137"/>
      <c r="F244" s="137"/>
      <c r="G244" s="136"/>
      <c r="H244" s="137"/>
      <c r="I244" s="137"/>
      <c r="J244" s="138"/>
      <c r="K244" s="137"/>
      <c r="L244" s="137"/>
      <c r="M244" s="139"/>
      <c r="N244" s="137"/>
      <c r="O244" s="137"/>
      <c r="P244" s="139"/>
      <c r="Q244" s="137"/>
      <c r="R244" s="137"/>
      <c r="S244" s="137"/>
      <c r="T244" s="137"/>
      <c r="U244" s="137"/>
      <c r="V244" s="150"/>
      <c r="W244" s="26"/>
    </row>
    <row r="245" spans="1:23" ht="20" customHeight="1">
      <c r="A245" s="380"/>
      <c r="B245" s="156"/>
      <c r="C245" s="137"/>
      <c r="D245" s="137"/>
      <c r="E245" s="137"/>
      <c r="F245" s="137"/>
      <c r="G245" s="136"/>
      <c r="H245" s="137"/>
      <c r="I245" s="137"/>
      <c r="J245" s="138"/>
      <c r="K245" s="137"/>
      <c r="L245" s="137"/>
      <c r="M245" s="139"/>
      <c r="N245" s="137"/>
      <c r="O245" s="137"/>
      <c r="P245" s="139"/>
      <c r="Q245" s="137"/>
      <c r="R245" s="137"/>
      <c r="S245" s="137"/>
      <c r="T245" s="137"/>
      <c r="U245" s="137"/>
      <c r="V245" s="150"/>
      <c r="W245" s="26"/>
    </row>
    <row r="246" spans="1:23" ht="20" customHeight="1">
      <c r="A246" s="380"/>
      <c r="B246" s="156"/>
      <c r="C246" s="137"/>
      <c r="D246" s="137"/>
      <c r="E246" s="137"/>
      <c r="F246" s="137"/>
      <c r="G246" s="136"/>
      <c r="H246" s="137"/>
      <c r="I246" s="137"/>
      <c r="J246" s="138"/>
      <c r="K246" s="137"/>
      <c r="L246" s="137"/>
      <c r="M246" s="139"/>
      <c r="N246" s="137"/>
      <c r="O246" s="137"/>
      <c r="P246" s="139"/>
      <c r="Q246" s="137"/>
      <c r="R246" s="137"/>
      <c r="S246" s="137"/>
      <c r="T246" s="137"/>
      <c r="U246" s="137"/>
      <c r="V246" s="150"/>
      <c r="W246" s="20"/>
    </row>
    <row r="247" spans="1:23" ht="20" customHeight="1">
      <c r="A247" s="380"/>
      <c r="B247" s="156"/>
      <c r="C247" s="137"/>
      <c r="D247" s="137"/>
      <c r="E247" s="137"/>
      <c r="F247" s="137"/>
      <c r="G247" s="136"/>
      <c r="H247" s="137"/>
      <c r="I247" s="137"/>
      <c r="J247" s="138"/>
      <c r="K247" s="137"/>
      <c r="L247" s="137"/>
      <c r="M247" s="139"/>
      <c r="N247" s="137"/>
      <c r="O247" s="137"/>
      <c r="P247" s="139"/>
      <c r="Q247" s="137"/>
      <c r="R247" s="137"/>
      <c r="S247" s="137"/>
      <c r="T247" s="137"/>
      <c r="U247" s="137"/>
      <c r="V247" s="150"/>
      <c r="W247" s="26"/>
    </row>
    <row r="248" spans="1:23" ht="20" customHeight="1">
      <c r="A248" s="380"/>
      <c r="B248" s="156"/>
      <c r="C248" s="137"/>
      <c r="D248" s="137"/>
      <c r="E248" s="137"/>
      <c r="F248" s="137"/>
      <c r="G248" s="136"/>
      <c r="H248" s="137"/>
      <c r="I248" s="137"/>
      <c r="J248" s="138"/>
      <c r="K248" s="137"/>
      <c r="L248" s="137"/>
      <c r="M248" s="139"/>
      <c r="N248" s="137"/>
      <c r="O248" s="137"/>
      <c r="P248" s="139"/>
      <c r="Q248" s="137"/>
      <c r="R248" s="137"/>
      <c r="S248" s="137"/>
      <c r="T248" s="137"/>
      <c r="U248" s="137"/>
      <c r="V248" s="150"/>
      <c r="W248" s="26"/>
    </row>
    <row r="249" spans="1:23" ht="20" customHeight="1">
      <c r="A249" s="380"/>
      <c r="B249" s="156"/>
      <c r="C249" s="137"/>
      <c r="D249" s="137"/>
      <c r="E249" s="137"/>
      <c r="F249" s="137"/>
      <c r="G249" s="136"/>
      <c r="H249" s="137"/>
      <c r="I249" s="137"/>
      <c r="J249" s="138"/>
      <c r="K249" s="137"/>
      <c r="L249" s="137"/>
      <c r="M249" s="139"/>
      <c r="N249" s="137"/>
      <c r="O249" s="137"/>
      <c r="P249" s="139"/>
      <c r="Q249" s="137"/>
      <c r="R249" s="137"/>
      <c r="S249" s="137"/>
      <c r="T249" s="137"/>
      <c r="U249" s="137"/>
      <c r="V249" s="150"/>
      <c r="W249" s="26"/>
    </row>
    <row r="250" spans="1:23" ht="20" customHeight="1">
      <c r="A250" s="380"/>
      <c r="B250" s="156"/>
      <c r="C250" s="137"/>
      <c r="D250" s="137"/>
      <c r="E250" s="137"/>
      <c r="F250" s="137"/>
      <c r="G250" s="136"/>
      <c r="H250" s="137"/>
      <c r="I250" s="137"/>
      <c r="J250" s="138"/>
      <c r="K250" s="137"/>
      <c r="L250" s="137"/>
      <c r="M250" s="139"/>
      <c r="N250" s="137"/>
      <c r="O250" s="137"/>
      <c r="P250" s="139"/>
      <c r="Q250" s="137"/>
      <c r="R250" s="137"/>
      <c r="S250" s="137"/>
      <c r="T250" s="137"/>
      <c r="U250" s="137"/>
      <c r="V250" s="150"/>
      <c r="W250" s="26"/>
    </row>
    <row r="251" spans="1:23" ht="20" customHeight="1">
      <c r="A251" s="380"/>
      <c r="B251" s="156"/>
      <c r="C251" s="137"/>
      <c r="D251" s="137"/>
      <c r="E251" s="137"/>
      <c r="F251" s="137"/>
      <c r="G251" s="136"/>
      <c r="H251" s="137"/>
      <c r="I251" s="137"/>
      <c r="J251" s="138"/>
      <c r="K251" s="137"/>
      <c r="L251" s="137"/>
      <c r="M251" s="139"/>
      <c r="N251" s="137"/>
      <c r="O251" s="137"/>
      <c r="P251" s="139"/>
      <c r="Q251" s="137"/>
      <c r="R251" s="137"/>
      <c r="S251" s="137"/>
      <c r="T251" s="137"/>
      <c r="U251" s="137"/>
      <c r="V251" s="150"/>
      <c r="W251" s="26"/>
    </row>
    <row r="252" spans="1:23" ht="20" customHeight="1">
      <c r="A252" s="380"/>
      <c r="B252" s="156"/>
      <c r="C252" s="137"/>
      <c r="D252" s="137"/>
      <c r="E252" s="137"/>
      <c r="F252" s="137"/>
      <c r="G252" s="136"/>
      <c r="H252" s="137"/>
      <c r="I252" s="137"/>
      <c r="J252" s="138"/>
      <c r="K252" s="137"/>
      <c r="L252" s="137"/>
      <c r="M252" s="139"/>
      <c r="N252" s="137"/>
      <c r="O252" s="137"/>
      <c r="P252" s="139"/>
      <c r="Q252" s="137"/>
      <c r="R252" s="137"/>
      <c r="S252" s="137"/>
      <c r="T252" s="137"/>
      <c r="U252" s="137"/>
      <c r="V252" s="150"/>
      <c r="W252" s="26"/>
    </row>
    <row r="253" spans="1:23" ht="20" customHeight="1">
      <c r="A253" s="380"/>
      <c r="B253" s="156"/>
      <c r="C253" s="137"/>
      <c r="D253" s="137"/>
      <c r="E253" s="137"/>
      <c r="F253" s="137"/>
      <c r="G253" s="136"/>
      <c r="H253" s="137"/>
      <c r="I253" s="137"/>
      <c r="J253" s="138"/>
      <c r="K253" s="137"/>
      <c r="L253" s="137"/>
      <c r="M253" s="139"/>
      <c r="N253" s="137"/>
      <c r="O253" s="137"/>
      <c r="P253" s="139"/>
      <c r="Q253" s="137"/>
      <c r="R253" s="137"/>
      <c r="S253" s="137"/>
      <c r="T253" s="137"/>
      <c r="U253" s="137"/>
      <c r="V253" s="150"/>
      <c r="W253" s="26"/>
    </row>
    <row r="254" spans="1:23" ht="20" customHeight="1">
      <c r="A254" s="380"/>
      <c r="B254" s="156"/>
      <c r="C254" s="137"/>
      <c r="D254" s="137"/>
      <c r="E254" s="137"/>
      <c r="F254" s="137"/>
      <c r="G254" s="136"/>
      <c r="H254" s="137"/>
      <c r="I254" s="137"/>
      <c r="J254" s="138"/>
      <c r="K254" s="137"/>
      <c r="L254" s="137"/>
      <c r="M254" s="139"/>
      <c r="N254" s="137"/>
      <c r="O254" s="137"/>
      <c r="P254" s="139"/>
      <c r="Q254" s="137"/>
      <c r="R254" s="137"/>
      <c r="S254" s="137"/>
      <c r="T254" s="137"/>
      <c r="U254" s="137"/>
      <c r="V254" s="150"/>
      <c r="W254" s="26"/>
    </row>
    <row r="255" spans="1:23" ht="20" customHeight="1">
      <c r="A255" s="380"/>
      <c r="B255" s="156"/>
      <c r="C255" s="137"/>
      <c r="D255" s="137"/>
      <c r="E255" s="137"/>
      <c r="F255" s="137"/>
      <c r="G255" s="136"/>
      <c r="H255" s="137"/>
      <c r="I255" s="137"/>
      <c r="J255" s="138"/>
      <c r="K255" s="137"/>
      <c r="L255" s="137"/>
      <c r="M255" s="139"/>
      <c r="N255" s="137"/>
      <c r="O255" s="137"/>
      <c r="P255" s="139"/>
      <c r="Q255" s="137"/>
      <c r="R255" s="137"/>
      <c r="S255" s="137"/>
      <c r="T255" s="137"/>
      <c r="U255" s="137"/>
      <c r="V255" s="150"/>
      <c r="W255" s="26"/>
    </row>
    <row r="256" spans="1:23" ht="20" customHeight="1">
      <c r="A256" s="380"/>
      <c r="B256" s="156"/>
      <c r="C256" s="137"/>
      <c r="D256" s="137"/>
      <c r="E256" s="137"/>
      <c r="F256" s="137"/>
      <c r="G256" s="136"/>
      <c r="H256" s="137"/>
      <c r="I256" s="137"/>
      <c r="J256" s="138"/>
      <c r="K256" s="137"/>
      <c r="L256" s="137"/>
      <c r="M256" s="139"/>
      <c r="N256" s="137"/>
      <c r="O256" s="137"/>
      <c r="P256" s="139"/>
      <c r="Q256" s="137"/>
      <c r="R256" s="137"/>
      <c r="S256" s="137"/>
      <c r="T256" s="137"/>
      <c r="U256" s="137"/>
      <c r="V256" s="150"/>
      <c r="W256" s="26"/>
    </row>
    <row r="257" spans="1:23" ht="20" customHeight="1" thickBot="1">
      <c r="A257" s="381"/>
      <c r="B257" s="157"/>
      <c r="C257" s="151"/>
      <c r="D257" s="151"/>
      <c r="E257" s="151"/>
      <c r="F257" s="151"/>
      <c r="G257" s="152"/>
      <c r="H257" s="151"/>
      <c r="I257" s="151"/>
      <c r="J257" s="153"/>
      <c r="K257" s="151"/>
      <c r="L257" s="151"/>
      <c r="M257" s="154"/>
      <c r="N257" s="151"/>
      <c r="O257" s="151"/>
      <c r="P257" s="154"/>
      <c r="Q257" s="151"/>
      <c r="R257" s="151"/>
      <c r="S257" s="151"/>
      <c r="T257" s="151"/>
      <c r="U257" s="151"/>
      <c r="V257" s="155"/>
      <c r="W257" s="26"/>
    </row>
    <row r="258" spans="1:23" ht="20" customHeight="1">
      <c r="A258" s="379" t="str">
        <f>'Read Me First'!C14</f>
        <v>Oxford City AC</v>
      </c>
      <c r="B258" s="144" t="str" cm="1">
        <f t="array" ref="B258">_xlfn.LET(_xlpm.x, _xlfn._xlws.SORT(_xlfn._xlws.FILTER(Data!$A$378:$U$665,(Data!$C$378:$C$665=$A258)*(Data!$D$378:$D$665=$E$196)*(Data!$E$378:$E$665="U10")),18),_xlpm.y,_xlfn._xlws.SORT(_xlfn._xlws.FILTER(Data!$A$378:$U$665,(Data!$C$378:$C$665=$A258)*(Data!$D$378:$D$665=$E$196)*(Data!$E$378:$E$665="U12")),19), IFERROR(_xlfn.VSTACK(_xlpm.x,_xlpm.y), IFERROR(_xlpm.y,IFERROR(_xlpm.x, ""))))</f>
        <v/>
      </c>
      <c r="C258" s="145"/>
      <c r="D258" s="145"/>
      <c r="E258" s="145"/>
      <c r="F258" s="145"/>
      <c r="G258" s="146"/>
      <c r="H258" s="145"/>
      <c r="I258" s="145"/>
      <c r="J258" s="147"/>
      <c r="K258" s="145"/>
      <c r="L258" s="145"/>
      <c r="M258" s="148"/>
      <c r="N258" s="145"/>
      <c r="O258" s="145"/>
      <c r="P258" s="148"/>
      <c r="Q258" s="145"/>
      <c r="R258" s="145"/>
      <c r="S258" s="145"/>
      <c r="T258" s="145"/>
      <c r="U258" s="145"/>
      <c r="V258" s="149"/>
      <c r="W258" s="26"/>
    </row>
    <row r="259" spans="1:23" ht="20" customHeight="1">
      <c r="A259" s="380"/>
      <c r="B259" s="156"/>
      <c r="C259" s="137"/>
      <c r="D259" s="137"/>
      <c r="E259" s="137"/>
      <c r="F259" s="137"/>
      <c r="G259" s="136"/>
      <c r="H259" s="137"/>
      <c r="I259" s="137"/>
      <c r="J259" s="138"/>
      <c r="K259" s="137"/>
      <c r="L259" s="137"/>
      <c r="M259" s="139"/>
      <c r="N259" s="137"/>
      <c r="O259" s="137"/>
      <c r="P259" s="139"/>
      <c r="Q259" s="137"/>
      <c r="R259" s="137"/>
      <c r="S259" s="137"/>
      <c r="T259" s="137"/>
      <c r="U259" s="137"/>
      <c r="V259" s="150"/>
      <c r="W259" s="26"/>
    </row>
    <row r="260" spans="1:23" ht="20" customHeight="1">
      <c r="A260" s="380"/>
      <c r="B260" s="156"/>
      <c r="C260" s="137"/>
      <c r="D260" s="137"/>
      <c r="E260" s="137"/>
      <c r="F260" s="137"/>
      <c r="G260" s="136"/>
      <c r="H260" s="137"/>
      <c r="I260" s="137"/>
      <c r="J260" s="138"/>
      <c r="K260" s="137"/>
      <c r="L260" s="137"/>
      <c r="M260" s="139"/>
      <c r="N260" s="137"/>
      <c r="O260" s="137"/>
      <c r="P260" s="139"/>
      <c r="Q260" s="137"/>
      <c r="R260" s="137"/>
      <c r="S260" s="137"/>
      <c r="T260" s="137"/>
      <c r="U260" s="137"/>
      <c r="V260" s="150"/>
      <c r="W260" s="26"/>
    </row>
    <row r="261" spans="1:23" ht="20" customHeight="1">
      <c r="A261" s="380"/>
      <c r="B261" s="156"/>
      <c r="C261" s="137"/>
      <c r="D261" s="137"/>
      <c r="E261" s="137"/>
      <c r="F261" s="137"/>
      <c r="G261" s="136"/>
      <c r="H261" s="137"/>
      <c r="I261" s="137"/>
      <c r="J261" s="138"/>
      <c r="K261" s="137"/>
      <c r="L261" s="137"/>
      <c r="M261" s="139"/>
      <c r="N261" s="137"/>
      <c r="O261" s="137"/>
      <c r="P261" s="139"/>
      <c r="Q261" s="137"/>
      <c r="R261" s="137"/>
      <c r="S261" s="137"/>
      <c r="T261" s="137"/>
      <c r="U261" s="137"/>
      <c r="V261" s="150"/>
      <c r="W261" s="26"/>
    </row>
    <row r="262" spans="1:23" ht="20" customHeight="1">
      <c r="A262" s="380"/>
      <c r="B262" s="156"/>
      <c r="C262" s="137"/>
      <c r="D262" s="137"/>
      <c r="E262" s="137"/>
      <c r="F262" s="137"/>
      <c r="G262" s="136"/>
      <c r="H262" s="137"/>
      <c r="I262" s="137"/>
      <c r="J262" s="138"/>
      <c r="K262" s="137"/>
      <c r="L262" s="137"/>
      <c r="M262" s="139"/>
      <c r="N262" s="137"/>
      <c r="O262" s="137"/>
      <c r="P262" s="139"/>
      <c r="Q262" s="137"/>
      <c r="R262" s="137"/>
      <c r="S262" s="137"/>
      <c r="T262" s="137"/>
      <c r="U262" s="137"/>
      <c r="V262" s="150"/>
      <c r="W262" s="26"/>
    </row>
    <row r="263" spans="1:23" ht="20" customHeight="1">
      <c r="A263" s="380"/>
      <c r="B263" s="156"/>
      <c r="C263" s="137"/>
      <c r="D263" s="137"/>
      <c r="E263" s="137"/>
      <c r="F263" s="137"/>
      <c r="G263" s="136"/>
      <c r="H263" s="137"/>
      <c r="I263" s="137"/>
      <c r="J263" s="138"/>
      <c r="K263" s="137"/>
      <c r="L263" s="137"/>
      <c r="M263" s="139"/>
      <c r="N263" s="137"/>
      <c r="O263" s="137"/>
      <c r="P263" s="139"/>
      <c r="Q263" s="137"/>
      <c r="R263" s="137"/>
      <c r="S263" s="137"/>
      <c r="T263" s="137"/>
      <c r="U263" s="137"/>
      <c r="V263" s="150"/>
      <c r="W263" s="20"/>
    </row>
    <row r="264" spans="1:23" ht="20" customHeight="1">
      <c r="A264" s="380"/>
      <c r="B264" s="156"/>
      <c r="C264" s="137"/>
      <c r="D264" s="137"/>
      <c r="E264" s="137"/>
      <c r="F264" s="137"/>
      <c r="G264" s="136"/>
      <c r="H264" s="137"/>
      <c r="I264" s="137"/>
      <c r="J264" s="138"/>
      <c r="K264" s="137"/>
      <c r="L264" s="137"/>
      <c r="M264" s="139"/>
      <c r="N264" s="137"/>
      <c r="O264" s="137"/>
      <c r="P264" s="139"/>
      <c r="Q264" s="137"/>
      <c r="R264" s="137"/>
      <c r="S264" s="137"/>
      <c r="T264" s="137"/>
      <c r="U264" s="137"/>
      <c r="V264" s="150"/>
      <c r="W264" s="20"/>
    </row>
    <row r="265" spans="1:23" ht="20" customHeight="1">
      <c r="A265" s="380"/>
      <c r="B265" s="156"/>
      <c r="C265" s="137"/>
      <c r="D265" s="137"/>
      <c r="E265" s="137"/>
      <c r="F265" s="137"/>
      <c r="G265" s="136"/>
      <c r="H265" s="137"/>
      <c r="I265" s="137"/>
      <c r="J265" s="138"/>
      <c r="K265" s="137"/>
      <c r="L265" s="137"/>
      <c r="M265" s="139"/>
      <c r="N265" s="137"/>
      <c r="O265" s="137"/>
      <c r="P265" s="139"/>
      <c r="Q265" s="137"/>
      <c r="R265" s="137"/>
      <c r="S265" s="137"/>
      <c r="T265" s="137"/>
      <c r="U265" s="137"/>
      <c r="V265" s="150"/>
      <c r="W265" s="20"/>
    </row>
    <row r="266" spans="1:23" ht="20" customHeight="1">
      <c r="A266" s="380"/>
      <c r="B266" s="156"/>
      <c r="C266" s="137"/>
      <c r="D266" s="137"/>
      <c r="E266" s="137"/>
      <c r="F266" s="137"/>
      <c r="G266" s="136"/>
      <c r="H266" s="137"/>
      <c r="I266" s="137"/>
      <c r="J266" s="138"/>
      <c r="K266" s="137"/>
      <c r="L266" s="137"/>
      <c r="M266" s="139"/>
      <c r="N266" s="137"/>
      <c r="O266" s="137"/>
      <c r="P266" s="139"/>
      <c r="Q266" s="137"/>
      <c r="R266" s="137"/>
      <c r="S266" s="137"/>
      <c r="T266" s="137"/>
      <c r="U266" s="137"/>
      <c r="V266" s="150"/>
      <c r="W266" s="20"/>
    </row>
    <row r="267" spans="1:23" ht="20" customHeight="1">
      <c r="A267" s="380"/>
      <c r="B267" s="156"/>
      <c r="C267" s="137"/>
      <c r="D267" s="137"/>
      <c r="E267" s="137"/>
      <c r="F267" s="137"/>
      <c r="G267" s="136"/>
      <c r="H267" s="137"/>
      <c r="I267" s="137"/>
      <c r="J267" s="138"/>
      <c r="K267" s="137"/>
      <c r="L267" s="137"/>
      <c r="M267" s="139"/>
      <c r="N267" s="137"/>
      <c r="O267" s="137"/>
      <c r="P267" s="139"/>
      <c r="Q267" s="137"/>
      <c r="R267" s="137"/>
      <c r="S267" s="137"/>
      <c r="T267" s="137"/>
      <c r="U267" s="137"/>
      <c r="V267" s="150"/>
      <c r="W267" s="20"/>
    </row>
    <row r="268" spans="1:23" s="11" customFormat="1" ht="20" customHeight="1">
      <c r="A268" s="380"/>
      <c r="B268" s="156"/>
      <c r="C268" s="137"/>
      <c r="D268" s="137"/>
      <c r="E268" s="137"/>
      <c r="F268" s="137"/>
      <c r="G268" s="136"/>
      <c r="H268" s="137"/>
      <c r="I268" s="137"/>
      <c r="J268" s="138"/>
      <c r="K268" s="137"/>
      <c r="L268" s="137"/>
      <c r="M268" s="139"/>
      <c r="N268" s="137"/>
      <c r="O268" s="137"/>
      <c r="P268" s="139"/>
      <c r="Q268" s="137"/>
      <c r="R268" s="137"/>
      <c r="S268" s="137"/>
      <c r="T268" s="137"/>
      <c r="U268" s="137"/>
      <c r="V268" s="150"/>
      <c r="W268" s="26"/>
    </row>
    <row r="269" spans="1:23" ht="20" customHeight="1">
      <c r="A269" s="380"/>
      <c r="B269" s="156"/>
      <c r="C269" s="137"/>
      <c r="D269" s="137"/>
      <c r="E269" s="137"/>
      <c r="F269" s="137"/>
      <c r="G269" s="136"/>
      <c r="H269" s="137"/>
      <c r="I269" s="137"/>
      <c r="J269" s="138"/>
      <c r="K269" s="137"/>
      <c r="L269" s="137"/>
      <c r="M269" s="139"/>
      <c r="N269" s="137"/>
      <c r="O269" s="137"/>
      <c r="P269" s="139"/>
      <c r="Q269" s="137"/>
      <c r="R269" s="137"/>
      <c r="S269" s="137"/>
      <c r="T269" s="137"/>
      <c r="U269" s="137"/>
      <c r="V269" s="150"/>
      <c r="W269" s="26"/>
    </row>
    <row r="270" spans="1:23" ht="20" customHeight="1">
      <c r="A270" s="380"/>
      <c r="B270" s="156"/>
      <c r="C270" s="137"/>
      <c r="D270" s="137"/>
      <c r="E270" s="137"/>
      <c r="F270" s="137"/>
      <c r="G270" s="136"/>
      <c r="H270" s="137"/>
      <c r="I270" s="137"/>
      <c r="J270" s="138"/>
      <c r="K270" s="137"/>
      <c r="L270" s="137"/>
      <c r="M270" s="139"/>
      <c r="N270" s="137"/>
      <c r="O270" s="137"/>
      <c r="P270" s="139"/>
      <c r="Q270" s="137"/>
      <c r="R270" s="137"/>
      <c r="S270" s="137"/>
      <c r="T270" s="137"/>
      <c r="U270" s="137"/>
      <c r="V270" s="150"/>
      <c r="W270" s="26"/>
    </row>
    <row r="271" spans="1:23" ht="20" customHeight="1">
      <c r="A271" s="380"/>
      <c r="B271" s="156"/>
      <c r="C271" s="137"/>
      <c r="D271" s="137"/>
      <c r="E271" s="137"/>
      <c r="F271" s="137"/>
      <c r="G271" s="136"/>
      <c r="H271" s="137"/>
      <c r="I271" s="137"/>
      <c r="J271" s="138"/>
      <c r="K271" s="137"/>
      <c r="L271" s="137"/>
      <c r="M271" s="139"/>
      <c r="N271" s="137"/>
      <c r="O271" s="137"/>
      <c r="P271" s="139"/>
      <c r="Q271" s="137"/>
      <c r="R271" s="137"/>
      <c r="S271" s="137"/>
      <c r="T271" s="137"/>
      <c r="U271" s="137"/>
      <c r="V271" s="150"/>
      <c r="W271" s="26"/>
    </row>
    <row r="272" spans="1:23" ht="20" customHeight="1">
      <c r="A272" s="380"/>
      <c r="B272" s="156"/>
      <c r="C272" s="137"/>
      <c r="D272" s="137"/>
      <c r="E272" s="137"/>
      <c r="F272" s="137"/>
      <c r="G272" s="136"/>
      <c r="H272" s="137"/>
      <c r="I272" s="137"/>
      <c r="J272" s="138"/>
      <c r="K272" s="137"/>
      <c r="L272" s="137"/>
      <c r="M272" s="139"/>
      <c r="N272" s="137"/>
      <c r="O272" s="137"/>
      <c r="P272" s="139"/>
      <c r="Q272" s="137"/>
      <c r="R272" s="137"/>
      <c r="S272" s="137"/>
      <c r="T272" s="137"/>
      <c r="U272" s="137"/>
      <c r="V272" s="150"/>
      <c r="W272" s="26"/>
    </row>
    <row r="273" spans="1:23" ht="20" customHeight="1">
      <c r="A273" s="380"/>
      <c r="B273" s="156"/>
      <c r="C273" s="137"/>
      <c r="D273" s="137"/>
      <c r="E273" s="137"/>
      <c r="F273" s="137"/>
      <c r="G273" s="136"/>
      <c r="H273" s="137"/>
      <c r="I273" s="137"/>
      <c r="J273" s="138"/>
      <c r="K273" s="137"/>
      <c r="L273" s="137"/>
      <c r="M273" s="139"/>
      <c r="N273" s="137"/>
      <c r="O273" s="137"/>
      <c r="P273" s="139"/>
      <c r="Q273" s="137"/>
      <c r="R273" s="137"/>
      <c r="S273" s="137"/>
      <c r="T273" s="137"/>
      <c r="U273" s="137"/>
      <c r="V273" s="150"/>
      <c r="W273" s="26"/>
    </row>
    <row r="274" spans="1:23" ht="20" customHeight="1">
      <c r="A274" s="380"/>
      <c r="B274" s="156"/>
      <c r="C274" s="137"/>
      <c r="D274" s="137"/>
      <c r="E274" s="137"/>
      <c r="F274" s="137"/>
      <c r="G274" s="136"/>
      <c r="H274" s="137"/>
      <c r="I274" s="137"/>
      <c r="J274" s="138"/>
      <c r="K274" s="137"/>
      <c r="L274" s="137"/>
      <c r="M274" s="139"/>
      <c r="N274" s="137"/>
      <c r="O274" s="137"/>
      <c r="P274" s="139"/>
      <c r="Q274" s="137"/>
      <c r="R274" s="137"/>
      <c r="S274" s="137"/>
      <c r="T274" s="137"/>
      <c r="U274" s="137"/>
      <c r="V274" s="150"/>
      <c r="W274" s="26"/>
    </row>
    <row r="275" spans="1:23" ht="20" customHeight="1">
      <c r="A275" s="380"/>
      <c r="B275" s="156"/>
      <c r="C275" s="137"/>
      <c r="D275" s="137"/>
      <c r="E275" s="137"/>
      <c r="F275" s="137"/>
      <c r="G275" s="136"/>
      <c r="H275" s="137"/>
      <c r="I275" s="137"/>
      <c r="J275" s="138"/>
      <c r="K275" s="137"/>
      <c r="L275" s="137"/>
      <c r="M275" s="139"/>
      <c r="N275" s="137"/>
      <c r="O275" s="137"/>
      <c r="P275" s="139"/>
      <c r="Q275" s="137"/>
      <c r="R275" s="137"/>
      <c r="S275" s="137"/>
      <c r="T275" s="137"/>
      <c r="U275" s="137"/>
      <c r="V275" s="150"/>
      <c r="W275" s="26"/>
    </row>
    <row r="276" spans="1:23" ht="20" customHeight="1">
      <c r="A276" s="380"/>
      <c r="B276" s="156"/>
      <c r="C276" s="137"/>
      <c r="D276" s="137"/>
      <c r="E276" s="137"/>
      <c r="F276" s="137"/>
      <c r="G276" s="136"/>
      <c r="H276" s="137"/>
      <c r="I276" s="137"/>
      <c r="J276" s="138"/>
      <c r="K276" s="137"/>
      <c r="L276" s="137"/>
      <c r="M276" s="139"/>
      <c r="N276" s="137"/>
      <c r="O276" s="137"/>
      <c r="P276" s="139"/>
      <c r="Q276" s="137"/>
      <c r="R276" s="137"/>
      <c r="S276" s="137"/>
      <c r="T276" s="137"/>
      <c r="U276" s="137"/>
      <c r="V276" s="150"/>
      <c r="W276" s="26"/>
    </row>
    <row r="277" spans="1:23" ht="20" customHeight="1">
      <c r="A277" s="380"/>
      <c r="B277" s="156"/>
      <c r="C277" s="137"/>
      <c r="D277" s="137"/>
      <c r="E277" s="137"/>
      <c r="F277" s="137"/>
      <c r="G277" s="136"/>
      <c r="H277" s="137"/>
      <c r="I277" s="137"/>
      <c r="J277" s="138"/>
      <c r="K277" s="137"/>
      <c r="L277" s="137"/>
      <c r="M277" s="139"/>
      <c r="N277" s="137"/>
      <c r="O277" s="137"/>
      <c r="P277" s="139"/>
      <c r="Q277" s="137"/>
      <c r="R277" s="137"/>
      <c r="S277" s="137"/>
      <c r="T277" s="137"/>
      <c r="U277" s="137"/>
      <c r="V277" s="150"/>
      <c r="W277" s="26"/>
    </row>
    <row r="278" spans="1:23" ht="20" customHeight="1">
      <c r="A278" s="380"/>
      <c r="B278" s="156"/>
      <c r="C278" s="137"/>
      <c r="D278" s="137"/>
      <c r="E278" s="137"/>
      <c r="F278" s="137"/>
      <c r="G278" s="136"/>
      <c r="H278" s="137"/>
      <c r="I278" s="137"/>
      <c r="J278" s="138"/>
      <c r="K278" s="137"/>
      <c r="L278" s="137"/>
      <c r="M278" s="139"/>
      <c r="N278" s="137"/>
      <c r="O278" s="137"/>
      <c r="P278" s="139"/>
      <c r="Q278" s="137"/>
      <c r="R278" s="137"/>
      <c r="S278" s="137"/>
      <c r="T278" s="137"/>
      <c r="U278" s="137"/>
      <c r="V278" s="150"/>
      <c r="W278" s="26"/>
    </row>
    <row r="279" spans="1:23" ht="20" customHeight="1">
      <c r="A279" s="380"/>
      <c r="B279" s="156"/>
      <c r="C279" s="137"/>
      <c r="D279" s="137"/>
      <c r="E279" s="137"/>
      <c r="F279" s="137"/>
      <c r="G279" s="136"/>
      <c r="H279" s="137"/>
      <c r="I279" s="137"/>
      <c r="J279" s="138"/>
      <c r="K279" s="137"/>
      <c r="L279" s="137"/>
      <c r="M279" s="139"/>
      <c r="N279" s="137"/>
      <c r="O279" s="137"/>
      <c r="P279" s="139"/>
      <c r="Q279" s="137"/>
      <c r="R279" s="137"/>
      <c r="S279" s="137"/>
      <c r="T279" s="137"/>
      <c r="U279" s="137"/>
      <c r="V279" s="150"/>
      <c r="W279" s="26"/>
    </row>
    <row r="280" spans="1:23" ht="20" customHeight="1" thickBot="1">
      <c r="A280" s="381"/>
      <c r="B280" s="157"/>
      <c r="C280" s="151"/>
      <c r="D280" s="151"/>
      <c r="E280" s="151"/>
      <c r="F280" s="151"/>
      <c r="G280" s="152"/>
      <c r="H280" s="151"/>
      <c r="I280" s="151"/>
      <c r="J280" s="153"/>
      <c r="K280" s="151"/>
      <c r="L280" s="151"/>
      <c r="M280" s="154"/>
      <c r="N280" s="151"/>
      <c r="O280" s="151"/>
      <c r="P280" s="154"/>
      <c r="Q280" s="151"/>
      <c r="R280" s="151"/>
      <c r="S280" s="151"/>
      <c r="T280" s="151"/>
      <c r="U280" s="151"/>
      <c r="V280" s="155"/>
      <c r="W280" s="26"/>
    </row>
    <row r="281" spans="1:23" ht="20" customHeight="1">
      <c r="A281" s="379" t="str">
        <f>'Read Me First'!C15</f>
        <v>Radley AC</v>
      </c>
      <c r="B281" s="144" t="str" cm="1">
        <f t="array" ref="B281">_xlfn.LET(_xlpm.x, _xlfn._xlws.SORT(_xlfn._xlws.FILTER(Data!$A$378:$U$665,(Data!$C$378:$C$665=$A281)*(Data!$D$378:$D$665=$E$196)*(Data!$E$378:$E$665="U10")),18),_xlpm.y,_xlfn._xlws.SORT(_xlfn._xlws.FILTER(Data!$A$378:$U$665,(Data!$C$378:$C$665=$A281)*(Data!$D$378:$D$665=$E$196)*(Data!$E$378:$E$665="U12")),19), IFERROR(_xlfn.VSTACK(_xlpm.x,_xlpm.y), IFERROR(_xlpm.y,IFERROR(_xlpm.x, ""))))</f>
        <v/>
      </c>
      <c r="C281" s="145"/>
      <c r="D281" s="145"/>
      <c r="E281" s="145"/>
      <c r="F281" s="145"/>
      <c r="G281" s="146"/>
      <c r="H281" s="145"/>
      <c r="I281" s="145"/>
      <c r="J281" s="147"/>
      <c r="K281" s="145"/>
      <c r="L281" s="145"/>
      <c r="M281" s="148"/>
      <c r="N281" s="145"/>
      <c r="O281" s="145"/>
      <c r="P281" s="148"/>
      <c r="Q281" s="145"/>
      <c r="R281" s="145"/>
      <c r="S281" s="145"/>
      <c r="T281" s="145"/>
      <c r="U281" s="145"/>
      <c r="V281" s="149"/>
      <c r="W281" s="26"/>
    </row>
    <row r="282" spans="1:23" ht="20" customHeight="1">
      <c r="A282" s="380"/>
      <c r="B282" s="156"/>
      <c r="C282" s="137"/>
      <c r="D282" s="137"/>
      <c r="E282" s="137"/>
      <c r="F282" s="137"/>
      <c r="G282" s="136"/>
      <c r="H282" s="137"/>
      <c r="I282" s="137"/>
      <c r="J282" s="138"/>
      <c r="K282" s="137"/>
      <c r="L282" s="137"/>
      <c r="M282" s="139"/>
      <c r="N282" s="137"/>
      <c r="O282" s="137"/>
      <c r="P282" s="139"/>
      <c r="Q282" s="137"/>
      <c r="R282" s="137"/>
      <c r="S282" s="137"/>
      <c r="T282" s="137"/>
      <c r="U282" s="137"/>
      <c r="V282" s="150"/>
      <c r="W282" s="26"/>
    </row>
    <row r="283" spans="1:23" ht="20" customHeight="1">
      <c r="A283" s="380"/>
      <c r="B283" s="156"/>
      <c r="C283" s="137"/>
      <c r="D283" s="137"/>
      <c r="E283" s="137"/>
      <c r="F283" s="137"/>
      <c r="G283" s="136"/>
      <c r="H283" s="137"/>
      <c r="I283" s="137"/>
      <c r="J283" s="138"/>
      <c r="K283" s="137"/>
      <c r="L283" s="137"/>
      <c r="M283" s="139"/>
      <c r="N283" s="137"/>
      <c r="O283" s="137"/>
      <c r="P283" s="139"/>
      <c r="Q283" s="137"/>
      <c r="R283" s="137"/>
      <c r="S283" s="137"/>
      <c r="T283" s="137"/>
      <c r="U283" s="137"/>
      <c r="V283" s="150"/>
      <c r="W283" s="26"/>
    </row>
    <row r="284" spans="1:23" ht="20" customHeight="1">
      <c r="A284" s="380"/>
      <c r="B284" s="156"/>
      <c r="C284" s="137"/>
      <c r="D284" s="137"/>
      <c r="E284" s="137"/>
      <c r="F284" s="137"/>
      <c r="G284" s="136"/>
      <c r="H284" s="137"/>
      <c r="I284" s="137"/>
      <c r="J284" s="138"/>
      <c r="K284" s="137"/>
      <c r="L284" s="137"/>
      <c r="M284" s="139"/>
      <c r="N284" s="137"/>
      <c r="O284" s="137"/>
      <c r="P284" s="139"/>
      <c r="Q284" s="137"/>
      <c r="R284" s="137"/>
      <c r="S284" s="137"/>
      <c r="T284" s="137"/>
      <c r="U284" s="137"/>
      <c r="V284" s="150"/>
      <c r="W284" s="20"/>
    </row>
    <row r="285" spans="1:23" ht="20" customHeight="1">
      <c r="A285" s="380"/>
      <c r="B285" s="156"/>
      <c r="C285" s="137"/>
      <c r="D285" s="137"/>
      <c r="E285" s="137"/>
      <c r="F285" s="137"/>
      <c r="G285" s="136"/>
      <c r="H285" s="137"/>
      <c r="I285" s="137"/>
      <c r="J285" s="138"/>
      <c r="K285" s="137"/>
      <c r="L285" s="137"/>
      <c r="M285" s="139"/>
      <c r="N285" s="137"/>
      <c r="O285" s="137"/>
      <c r="P285" s="139"/>
      <c r="Q285" s="137"/>
      <c r="R285" s="137"/>
      <c r="S285" s="137"/>
      <c r="T285" s="137"/>
      <c r="U285" s="137"/>
      <c r="V285" s="150"/>
      <c r="W285" s="26"/>
    </row>
    <row r="286" spans="1:23" ht="20" customHeight="1">
      <c r="A286" s="380"/>
      <c r="B286" s="156"/>
      <c r="C286" s="137"/>
      <c r="D286" s="137"/>
      <c r="E286" s="137"/>
      <c r="F286" s="137"/>
      <c r="G286" s="136"/>
      <c r="H286" s="137"/>
      <c r="I286" s="137"/>
      <c r="J286" s="138"/>
      <c r="K286" s="137"/>
      <c r="L286" s="137"/>
      <c r="M286" s="139"/>
      <c r="N286" s="137"/>
      <c r="O286" s="137"/>
      <c r="P286" s="139"/>
      <c r="Q286" s="137"/>
      <c r="R286" s="137"/>
      <c r="S286" s="137"/>
      <c r="T286" s="137"/>
      <c r="U286" s="137"/>
      <c r="V286" s="150"/>
      <c r="W286" s="26"/>
    </row>
    <row r="287" spans="1:23" ht="20" customHeight="1">
      <c r="A287" s="380"/>
      <c r="B287" s="156"/>
      <c r="C287" s="137"/>
      <c r="D287" s="137"/>
      <c r="E287" s="137"/>
      <c r="F287" s="137"/>
      <c r="G287" s="136"/>
      <c r="H287" s="137"/>
      <c r="I287" s="137"/>
      <c r="J287" s="138"/>
      <c r="K287" s="137"/>
      <c r="L287" s="137"/>
      <c r="M287" s="139"/>
      <c r="N287" s="137"/>
      <c r="O287" s="137"/>
      <c r="P287" s="139"/>
      <c r="Q287" s="137"/>
      <c r="R287" s="137"/>
      <c r="S287" s="137"/>
      <c r="T287" s="137"/>
      <c r="U287" s="137"/>
      <c r="V287" s="150"/>
      <c r="W287" s="26"/>
    </row>
    <row r="288" spans="1:23" ht="20" customHeight="1">
      <c r="A288" s="380"/>
      <c r="B288" s="156"/>
      <c r="C288" s="137"/>
      <c r="D288" s="137"/>
      <c r="E288" s="137"/>
      <c r="F288" s="137"/>
      <c r="G288" s="136"/>
      <c r="H288" s="137"/>
      <c r="I288" s="137"/>
      <c r="J288" s="138"/>
      <c r="K288" s="137"/>
      <c r="L288" s="137"/>
      <c r="M288" s="139"/>
      <c r="N288" s="137"/>
      <c r="O288" s="137"/>
      <c r="P288" s="139"/>
      <c r="Q288" s="137"/>
      <c r="R288" s="137"/>
      <c r="S288" s="137"/>
      <c r="T288" s="137"/>
      <c r="U288" s="137"/>
      <c r="V288" s="150"/>
      <c r="W288" s="26"/>
    </row>
    <row r="289" spans="1:23" ht="20" customHeight="1">
      <c r="A289" s="380"/>
      <c r="B289" s="156"/>
      <c r="C289" s="137"/>
      <c r="D289" s="137"/>
      <c r="E289" s="137"/>
      <c r="F289" s="137"/>
      <c r="G289" s="136"/>
      <c r="H289" s="137"/>
      <c r="I289" s="137"/>
      <c r="J289" s="138"/>
      <c r="K289" s="137"/>
      <c r="L289" s="137"/>
      <c r="M289" s="139"/>
      <c r="N289" s="137"/>
      <c r="O289" s="137"/>
      <c r="P289" s="139"/>
      <c r="Q289" s="137"/>
      <c r="R289" s="137"/>
      <c r="S289" s="137"/>
      <c r="T289" s="137"/>
      <c r="U289" s="137"/>
      <c r="V289" s="150"/>
      <c r="W289" s="26"/>
    </row>
    <row r="290" spans="1:23" ht="20" customHeight="1">
      <c r="A290" s="380"/>
      <c r="B290" s="156"/>
      <c r="C290" s="137"/>
      <c r="D290" s="137"/>
      <c r="E290" s="137"/>
      <c r="F290" s="137"/>
      <c r="G290" s="136"/>
      <c r="H290" s="137"/>
      <c r="I290" s="137"/>
      <c r="J290" s="138"/>
      <c r="K290" s="137"/>
      <c r="L290" s="137"/>
      <c r="M290" s="139"/>
      <c r="N290" s="137"/>
      <c r="O290" s="137"/>
      <c r="P290" s="139"/>
      <c r="Q290" s="137"/>
      <c r="R290" s="137"/>
      <c r="S290" s="137"/>
      <c r="T290" s="137"/>
      <c r="U290" s="137"/>
      <c r="V290" s="150"/>
      <c r="W290" s="26"/>
    </row>
    <row r="291" spans="1:23" ht="20" customHeight="1">
      <c r="A291" s="380"/>
      <c r="B291" s="156"/>
      <c r="C291" s="137"/>
      <c r="D291" s="137"/>
      <c r="E291" s="137"/>
      <c r="F291" s="137"/>
      <c r="G291" s="136"/>
      <c r="H291" s="137"/>
      <c r="I291" s="137"/>
      <c r="J291" s="138"/>
      <c r="K291" s="137"/>
      <c r="L291" s="137"/>
      <c r="M291" s="139"/>
      <c r="N291" s="137"/>
      <c r="O291" s="137"/>
      <c r="P291" s="139"/>
      <c r="Q291" s="137"/>
      <c r="R291" s="137"/>
      <c r="S291" s="137"/>
      <c r="T291" s="137"/>
      <c r="U291" s="137"/>
      <c r="V291" s="150"/>
      <c r="W291" s="26"/>
    </row>
    <row r="292" spans="1:23" ht="20" customHeight="1">
      <c r="A292" s="380"/>
      <c r="B292" s="156"/>
      <c r="C292" s="137"/>
      <c r="D292" s="137"/>
      <c r="E292" s="137"/>
      <c r="F292" s="137"/>
      <c r="G292" s="136"/>
      <c r="H292" s="137"/>
      <c r="I292" s="137"/>
      <c r="J292" s="138"/>
      <c r="K292" s="137"/>
      <c r="L292" s="137"/>
      <c r="M292" s="139"/>
      <c r="N292" s="137"/>
      <c r="O292" s="137"/>
      <c r="P292" s="139"/>
      <c r="Q292" s="137"/>
      <c r="R292" s="137"/>
      <c r="S292" s="137"/>
      <c r="T292" s="137"/>
      <c r="U292" s="137"/>
      <c r="V292" s="150"/>
      <c r="W292" s="26"/>
    </row>
    <row r="293" spans="1:23" ht="20" customHeight="1">
      <c r="A293" s="380"/>
      <c r="B293" s="156"/>
      <c r="C293" s="137"/>
      <c r="D293" s="137"/>
      <c r="E293" s="137"/>
      <c r="F293" s="137"/>
      <c r="G293" s="136"/>
      <c r="H293" s="137"/>
      <c r="I293" s="137"/>
      <c r="J293" s="138"/>
      <c r="K293" s="137"/>
      <c r="L293" s="137"/>
      <c r="M293" s="139"/>
      <c r="N293" s="137"/>
      <c r="O293" s="137"/>
      <c r="P293" s="139"/>
      <c r="Q293" s="137"/>
      <c r="R293" s="137"/>
      <c r="S293" s="137"/>
      <c r="T293" s="137"/>
      <c r="U293" s="137"/>
      <c r="V293" s="150"/>
      <c r="W293" s="26"/>
    </row>
    <row r="294" spans="1:23" ht="20" customHeight="1">
      <c r="A294" s="380"/>
      <c r="B294" s="156"/>
      <c r="C294" s="137"/>
      <c r="D294" s="137"/>
      <c r="E294" s="137"/>
      <c r="F294" s="137"/>
      <c r="G294" s="136"/>
      <c r="H294" s="137"/>
      <c r="I294" s="137"/>
      <c r="J294" s="138"/>
      <c r="K294" s="137"/>
      <c r="L294" s="137"/>
      <c r="M294" s="139"/>
      <c r="N294" s="137"/>
      <c r="O294" s="137"/>
      <c r="P294" s="139"/>
      <c r="Q294" s="137"/>
      <c r="R294" s="137"/>
      <c r="S294" s="137"/>
      <c r="T294" s="137"/>
      <c r="U294" s="137"/>
      <c r="V294" s="150"/>
      <c r="W294" s="26"/>
    </row>
    <row r="295" spans="1:23" ht="20" customHeight="1">
      <c r="A295" s="380"/>
      <c r="B295" s="156"/>
      <c r="C295" s="137"/>
      <c r="D295" s="137"/>
      <c r="E295" s="137"/>
      <c r="F295" s="137"/>
      <c r="G295" s="136"/>
      <c r="H295" s="137"/>
      <c r="I295" s="137"/>
      <c r="J295" s="138"/>
      <c r="K295" s="137"/>
      <c r="L295" s="137"/>
      <c r="M295" s="139"/>
      <c r="N295" s="137"/>
      <c r="O295" s="137"/>
      <c r="P295" s="139"/>
      <c r="Q295" s="137"/>
      <c r="R295" s="137"/>
      <c r="S295" s="137"/>
      <c r="T295" s="137"/>
      <c r="U295" s="137"/>
      <c r="V295" s="150"/>
      <c r="W295" s="26"/>
    </row>
    <row r="296" spans="1:23" ht="20" customHeight="1">
      <c r="A296" s="380"/>
      <c r="B296" s="156"/>
      <c r="C296" s="137"/>
      <c r="D296" s="137"/>
      <c r="E296" s="137"/>
      <c r="F296" s="137"/>
      <c r="G296" s="136"/>
      <c r="H296" s="137"/>
      <c r="I296" s="137"/>
      <c r="J296" s="138"/>
      <c r="K296" s="137"/>
      <c r="L296" s="137"/>
      <c r="M296" s="139"/>
      <c r="N296" s="137"/>
      <c r="O296" s="137"/>
      <c r="P296" s="139"/>
      <c r="Q296" s="137"/>
      <c r="R296" s="137"/>
      <c r="S296" s="137"/>
      <c r="T296" s="137"/>
      <c r="U296" s="137"/>
      <c r="V296" s="150"/>
      <c r="W296" s="26"/>
    </row>
    <row r="297" spans="1:23" ht="20" customHeight="1">
      <c r="A297" s="380"/>
      <c r="B297" s="156"/>
      <c r="C297" s="137"/>
      <c r="D297" s="137"/>
      <c r="E297" s="137"/>
      <c r="F297" s="137"/>
      <c r="G297" s="136"/>
      <c r="H297" s="137"/>
      <c r="I297" s="137"/>
      <c r="J297" s="138"/>
      <c r="K297" s="137"/>
      <c r="L297" s="137"/>
      <c r="M297" s="139"/>
      <c r="N297" s="137"/>
      <c r="O297" s="137"/>
      <c r="P297" s="139"/>
      <c r="Q297" s="137"/>
      <c r="R297" s="137"/>
      <c r="S297" s="137"/>
      <c r="T297" s="137"/>
      <c r="U297" s="137"/>
      <c r="V297" s="150"/>
      <c r="W297" s="26"/>
    </row>
    <row r="298" spans="1:23" ht="20" customHeight="1">
      <c r="A298" s="380"/>
      <c r="B298" s="156"/>
      <c r="C298" s="137"/>
      <c r="D298" s="137"/>
      <c r="E298" s="137"/>
      <c r="F298" s="137"/>
      <c r="G298" s="136"/>
      <c r="H298" s="137"/>
      <c r="I298" s="137"/>
      <c r="J298" s="138"/>
      <c r="K298" s="137"/>
      <c r="L298" s="137"/>
      <c r="M298" s="139"/>
      <c r="N298" s="137"/>
      <c r="O298" s="137"/>
      <c r="P298" s="139"/>
      <c r="Q298" s="137"/>
      <c r="R298" s="137"/>
      <c r="S298" s="137"/>
      <c r="T298" s="137"/>
      <c r="U298" s="137"/>
      <c r="V298" s="150"/>
      <c r="W298" s="26"/>
    </row>
    <row r="299" spans="1:23" ht="20" customHeight="1">
      <c r="A299" s="380"/>
      <c r="B299" s="156"/>
      <c r="C299" s="137"/>
      <c r="D299" s="137"/>
      <c r="E299" s="137"/>
      <c r="F299" s="137"/>
      <c r="G299" s="136"/>
      <c r="H299" s="137"/>
      <c r="I299" s="137"/>
      <c r="J299" s="138"/>
      <c r="K299" s="137"/>
      <c r="L299" s="137"/>
      <c r="M299" s="139"/>
      <c r="N299" s="137"/>
      <c r="O299" s="137"/>
      <c r="P299" s="139"/>
      <c r="Q299" s="137"/>
      <c r="R299" s="137"/>
      <c r="S299" s="137"/>
      <c r="T299" s="137"/>
      <c r="U299" s="137"/>
      <c r="V299" s="150"/>
      <c r="W299" s="26"/>
    </row>
    <row r="300" spans="1:23" ht="20" customHeight="1" thickBot="1">
      <c r="A300" s="381"/>
      <c r="B300" s="157"/>
      <c r="C300" s="151"/>
      <c r="D300" s="151"/>
      <c r="E300" s="151"/>
      <c r="F300" s="151"/>
      <c r="G300" s="152"/>
      <c r="H300" s="151"/>
      <c r="I300" s="151"/>
      <c r="J300" s="153"/>
      <c r="K300" s="151"/>
      <c r="L300" s="151"/>
      <c r="M300" s="154"/>
      <c r="N300" s="151"/>
      <c r="O300" s="151"/>
      <c r="P300" s="154"/>
      <c r="Q300" s="151"/>
      <c r="R300" s="151"/>
      <c r="S300" s="151"/>
      <c r="T300" s="151"/>
      <c r="U300" s="151"/>
      <c r="V300" s="155"/>
      <c r="W300" s="26"/>
    </row>
    <row r="301" spans="1:23" ht="20" customHeight="1">
      <c r="A301" s="379" t="str">
        <f>'Read Me First'!C16</f>
        <v>Team Kennet</v>
      </c>
      <c r="B301" s="144" t="str" cm="1">
        <f t="array" ref="B301">_xlfn.LET(_xlpm.x, _xlfn._xlws.SORT(_xlfn._xlws.FILTER(Data!$A$378:$U$665,(Data!$C$378:$C$665=$A301)*(Data!$D$378:$D$665=$E$196)*(Data!$E$378:$E$665="U10")),18),_xlpm.y,_xlfn._xlws.SORT(_xlfn._xlws.FILTER(Data!$A$378:$U$665,(Data!$C$378:$C$665=$A301)*(Data!$D$378:$D$665=$E$196)*(Data!$E$378:$E$665="U12")),19), IFERROR(_xlfn.VSTACK(_xlpm.x,_xlpm.y), IFERROR(_xlpm.y,IFERROR(_xlpm.x, ""))))</f>
        <v/>
      </c>
      <c r="C301" s="145"/>
      <c r="D301" s="145"/>
      <c r="E301" s="145"/>
      <c r="F301" s="145"/>
      <c r="G301" s="146"/>
      <c r="H301" s="145"/>
      <c r="I301" s="145"/>
      <c r="J301" s="147"/>
      <c r="K301" s="145"/>
      <c r="L301" s="145"/>
      <c r="M301" s="148"/>
      <c r="N301" s="145"/>
      <c r="O301" s="145"/>
      <c r="P301" s="148"/>
      <c r="Q301" s="145"/>
      <c r="R301" s="145"/>
      <c r="S301" s="145"/>
      <c r="T301" s="145"/>
      <c r="U301" s="145"/>
      <c r="V301" s="149"/>
      <c r="W301" s="26"/>
    </row>
    <row r="302" spans="1:23" ht="20" customHeight="1">
      <c r="A302" s="380"/>
      <c r="B302" s="156"/>
      <c r="C302" s="137"/>
      <c r="D302" s="137"/>
      <c r="E302" s="137"/>
      <c r="F302" s="137"/>
      <c r="G302" s="136"/>
      <c r="H302" s="137"/>
      <c r="I302" s="137"/>
      <c r="J302" s="138"/>
      <c r="K302" s="137"/>
      <c r="L302" s="137"/>
      <c r="M302" s="139"/>
      <c r="N302" s="137"/>
      <c r="O302" s="137"/>
      <c r="P302" s="139"/>
      <c r="Q302" s="137"/>
      <c r="R302" s="137"/>
      <c r="S302" s="137"/>
      <c r="T302" s="137"/>
      <c r="U302" s="137"/>
      <c r="V302" s="150"/>
      <c r="W302" s="26"/>
    </row>
    <row r="303" spans="1:23" ht="20" customHeight="1">
      <c r="A303" s="380"/>
      <c r="B303" s="156"/>
      <c r="C303" s="137"/>
      <c r="D303" s="137"/>
      <c r="E303" s="137"/>
      <c r="F303" s="137"/>
      <c r="G303" s="136"/>
      <c r="H303" s="137"/>
      <c r="I303" s="137"/>
      <c r="J303" s="138"/>
      <c r="K303" s="137"/>
      <c r="L303" s="137"/>
      <c r="M303" s="139"/>
      <c r="N303" s="137"/>
      <c r="O303" s="137"/>
      <c r="P303" s="139"/>
      <c r="Q303" s="137"/>
      <c r="R303" s="137"/>
      <c r="S303" s="137"/>
      <c r="T303" s="137"/>
      <c r="U303" s="137"/>
      <c r="V303" s="150"/>
      <c r="W303" s="26"/>
    </row>
    <row r="304" spans="1:23" ht="20" customHeight="1">
      <c r="A304" s="380"/>
      <c r="B304" s="156"/>
      <c r="C304" s="137"/>
      <c r="D304" s="137"/>
      <c r="E304" s="137"/>
      <c r="F304" s="137"/>
      <c r="G304" s="136"/>
      <c r="H304" s="137"/>
      <c r="I304" s="137"/>
      <c r="J304" s="138"/>
      <c r="K304" s="137"/>
      <c r="L304" s="137"/>
      <c r="M304" s="139"/>
      <c r="N304" s="137"/>
      <c r="O304" s="137"/>
      <c r="P304" s="139"/>
      <c r="Q304" s="137"/>
      <c r="R304" s="137"/>
      <c r="S304" s="137"/>
      <c r="T304" s="137"/>
      <c r="U304" s="137"/>
      <c r="V304" s="150"/>
      <c r="W304" s="26"/>
    </row>
    <row r="305" spans="1:23" ht="20" customHeight="1">
      <c r="A305" s="380"/>
      <c r="B305" s="156"/>
      <c r="C305" s="137"/>
      <c r="D305" s="137"/>
      <c r="E305" s="137"/>
      <c r="F305" s="137"/>
      <c r="G305" s="136"/>
      <c r="H305" s="137"/>
      <c r="I305" s="137"/>
      <c r="J305" s="138"/>
      <c r="K305" s="137"/>
      <c r="L305" s="137"/>
      <c r="M305" s="139"/>
      <c r="N305" s="137"/>
      <c r="O305" s="137"/>
      <c r="P305" s="139"/>
      <c r="Q305" s="137"/>
      <c r="R305" s="137"/>
      <c r="S305" s="137"/>
      <c r="T305" s="137"/>
      <c r="U305" s="137"/>
      <c r="V305" s="150"/>
      <c r="W305" s="20"/>
    </row>
    <row r="306" spans="1:23" ht="20" customHeight="1">
      <c r="A306" s="380"/>
      <c r="B306" s="156"/>
      <c r="C306" s="137"/>
      <c r="D306" s="137"/>
      <c r="E306" s="137"/>
      <c r="F306" s="137"/>
      <c r="G306" s="136"/>
      <c r="H306" s="137"/>
      <c r="I306" s="137"/>
      <c r="J306" s="138"/>
      <c r="K306" s="137"/>
      <c r="L306" s="137"/>
      <c r="M306" s="139"/>
      <c r="N306" s="137"/>
      <c r="O306" s="137"/>
      <c r="P306" s="139"/>
      <c r="Q306" s="137"/>
      <c r="R306" s="137"/>
      <c r="S306" s="137"/>
      <c r="T306" s="137"/>
      <c r="U306" s="137"/>
      <c r="V306" s="150"/>
      <c r="W306" s="26"/>
    </row>
    <row r="307" spans="1:23" ht="20" customHeight="1">
      <c r="A307" s="380"/>
      <c r="B307" s="156"/>
      <c r="C307" s="137"/>
      <c r="D307" s="137"/>
      <c r="E307" s="137"/>
      <c r="F307" s="137"/>
      <c r="G307" s="136"/>
      <c r="H307" s="137"/>
      <c r="I307" s="137"/>
      <c r="J307" s="138"/>
      <c r="K307" s="137"/>
      <c r="L307" s="137"/>
      <c r="M307" s="139"/>
      <c r="N307" s="137"/>
      <c r="O307" s="137"/>
      <c r="P307" s="139"/>
      <c r="Q307" s="137"/>
      <c r="R307" s="137"/>
      <c r="S307" s="137"/>
      <c r="T307" s="137"/>
      <c r="U307" s="137"/>
      <c r="V307" s="150"/>
      <c r="W307" s="26"/>
    </row>
    <row r="308" spans="1:23" ht="20" customHeight="1">
      <c r="A308" s="380"/>
      <c r="B308" s="156"/>
      <c r="C308" s="137"/>
      <c r="D308" s="137"/>
      <c r="E308" s="137"/>
      <c r="F308" s="137"/>
      <c r="G308" s="136"/>
      <c r="H308" s="137"/>
      <c r="I308" s="137"/>
      <c r="J308" s="138"/>
      <c r="K308" s="137"/>
      <c r="L308" s="137"/>
      <c r="M308" s="139"/>
      <c r="N308" s="137"/>
      <c r="O308" s="137"/>
      <c r="P308" s="139"/>
      <c r="Q308" s="137"/>
      <c r="R308" s="137"/>
      <c r="S308" s="137"/>
      <c r="T308" s="137"/>
      <c r="U308" s="137"/>
      <c r="V308" s="150"/>
      <c r="W308" s="26"/>
    </row>
    <row r="309" spans="1:23" ht="20" customHeight="1">
      <c r="A309" s="380"/>
      <c r="B309" s="156"/>
      <c r="C309" s="137"/>
      <c r="D309" s="137"/>
      <c r="E309" s="137"/>
      <c r="F309" s="137"/>
      <c r="G309" s="136"/>
      <c r="H309" s="137"/>
      <c r="I309" s="137"/>
      <c r="J309" s="138"/>
      <c r="K309" s="137"/>
      <c r="L309" s="137"/>
      <c r="M309" s="139"/>
      <c r="N309" s="137"/>
      <c r="O309" s="137"/>
      <c r="P309" s="139"/>
      <c r="Q309" s="137"/>
      <c r="R309" s="137"/>
      <c r="S309" s="137"/>
      <c r="T309" s="137"/>
      <c r="U309" s="137"/>
      <c r="V309" s="150"/>
      <c r="W309" s="26"/>
    </row>
    <row r="310" spans="1:23" ht="20" customHeight="1">
      <c r="A310" s="380"/>
      <c r="B310" s="156"/>
      <c r="C310" s="137"/>
      <c r="D310" s="137"/>
      <c r="E310" s="137"/>
      <c r="F310" s="137"/>
      <c r="G310" s="136"/>
      <c r="H310" s="137"/>
      <c r="I310" s="137"/>
      <c r="J310" s="138"/>
      <c r="K310" s="137"/>
      <c r="L310" s="137"/>
      <c r="M310" s="139"/>
      <c r="N310" s="137"/>
      <c r="O310" s="137"/>
      <c r="P310" s="139"/>
      <c r="Q310" s="137"/>
      <c r="R310" s="137"/>
      <c r="S310" s="137"/>
      <c r="T310" s="137"/>
      <c r="U310" s="137"/>
      <c r="V310" s="150"/>
      <c r="W310" s="26"/>
    </row>
    <row r="311" spans="1:23" ht="20" customHeight="1">
      <c r="A311" s="380"/>
      <c r="B311" s="156"/>
      <c r="C311" s="137"/>
      <c r="D311" s="137"/>
      <c r="E311" s="137"/>
      <c r="F311" s="137"/>
      <c r="G311" s="136"/>
      <c r="H311" s="137"/>
      <c r="I311" s="137"/>
      <c r="J311" s="138"/>
      <c r="K311" s="137"/>
      <c r="L311" s="137"/>
      <c r="M311" s="139"/>
      <c r="N311" s="137"/>
      <c r="O311" s="137"/>
      <c r="P311" s="139"/>
      <c r="Q311" s="137"/>
      <c r="R311" s="137"/>
      <c r="S311" s="137"/>
      <c r="T311" s="137"/>
      <c r="U311" s="137"/>
      <c r="V311" s="150"/>
      <c r="W311" s="26"/>
    </row>
    <row r="312" spans="1:23" ht="20" customHeight="1">
      <c r="A312" s="380"/>
      <c r="B312" s="156"/>
      <c r="C312" s="137"/>
      <c r="D312" s="137"/>
      <c r="E312" s="137"/>
      <c r="F312" s="137"/>
      <c r="G312" s="136"/>
      <c r="H312" s="137"/>
      <c r="I312" s="137"/>
      <c r="J312" s="138"/>
      <c r="K312" s="137"/>
      <c r="L312" s="137"/>
      <c r="M312" s="139"/>
      <c r="N312" s="137"/>
      <c r="O312" s="137"/>
      <c r="P312" s="139"/>
      <c r="Q312" s="137"/>
      <c r="R312" s="137"/>
      <c r="S312" s="137"/>
      <c r="T312" s="137"/>
      <c r="U312" s="137"/>
      <c r="V312" s="150"/>
      <c r="W312" s="26"/>
    </row>
    <row r="313" spans="1:23" ht="20" customHeight="1">
      <c r="A313" s="380"/>
      <c r="B313" s="156"/>
      <c r="C313" s="137"/>
      <c r="D313" s="137"/>
      <c r="E313" s="137"/>
      <c r="F313" s="137"/>
      <c r="G313" s="136"/>
      <c r="H313" s="137"/>
      <c r="I313" s="137"/>
      <c r="J313" s="138"/>
      <c r="K313" s="137"/>
      <c r="L313" s="137"/>
      <c r="M313" s="139"/>
      <c r="N313" s="137"/>
      <c r="O313" s="137"/>
      <c r="P313" s="139"/>
      <c r="Q313" s="137"/>
      <c r="R313" s="137"/>
      <c r="S313" s="137"/>
      <c r="T313" s="137"/>
      <c r="U313" s="137"/>
      <c r="V313" s="150"/>
      <c r="W313" s="26"/>
    </row>
    <row r="314" spans="1:23" ht="20" customHeight="1">
      <c r="A314" s="380"/>
      <c r="B314" s="156"/>
      <c r="C314" s="137"/>
      <c r="D314" s="137"/>
      <c r="E314" s="137"/>
      <c r="F314" s="137"/>
      <c r="G314" s="136"/>
      <c r="H314" s="137"/>
      <c r="I314" s="137"/>
      <c r="J314" s="138"/>
      <c r="K314" s="137"/>
      <c r="L314" s="137"/>
      <c r="M314" s="139"/>
      <c r="N314" s="137"/>
      <c r="O314" s="137"/>
      <c r="P314" s="139"/>
      <c r="Q314" s="137"/>
      <c r="R314" s="137"/>
      <c r="S314" s="137"/>
      <c r="T314" s="137"/>
      <c r="U314" s="137"/>
      <c r="V314" s="150"/>
      <c r="W314" s="26"/>
    </row>
    <row r="315" spans="1:23" ht="20" customHeight="1">
      <c r="A315" s="380"/>
      <c r="B315" s="156"/>
      <c r="C315" s="137"/>
      <c r="D315" s="137"/>
      <c r="E315" s="137"/>
      <c r="F315" s="137"/>
      <c r="G315" s="136"/>
      <c r="H315" s="137"/>
      <c r="I315" s="137"/>
      <c r="J315" s="138"/>
      <c r="K315" s="137"/>
      <c r="L315" s="137"/>
      <c r="M315" s="139"/>
      <c r="N315" s="137"/>
      <c r="O315" s="137"/>
      <c r="P315" s="139"/>
      <c r="Q315" s="137"/>
      <c r="R315" s="137"/>
      <c r="S315" s="137"/>
      <c r="T315" s="137"/>
      <c r="U315" s="137"/>
      <c r="V315" s="150"/>
      <c r="W315" s="26"/>
    </row>
    <row r="316" spans="1:23" ht="20" customHeight="1">
      <c r="A316" s="380"/>
      <c r="B316" s="156"/>
      <c r="C316" s="137"/>
      <c r="D316" s="137"/>
      <c r="E316" s="137"/>
      <c r="F316" s="137"/>
      <c r="G316" s="136"/>
      <c r="H316" s="137"/>
      <c r="I316" s="137"/>
      <c r="J316" s="138"/>
      <c r="K316" s="137"/>
      <c r="L316" s="137"/>
      <c r="M316" s="139"/>
      <c r="N316" s="137"/>
      <c r="O316" s="137"/>
      <c r="P316" s="139"/>
      <c r="Q316" s="137"/>
      <c r="R316" s="137"/>
      <c r="S316" s="137"/>
      <c r="T316" s="137"/>
      <c r="U316" s="137"/>
      <c r="V316" s="150"/>
      <c r="W316" s="26"/>
    </row>
    <row r="317" spans="1:23" ht="20" customHeight="1">
      <c r="A317" s="380"/>
      <c r="B317" s="156"/>
      <c r="C317" s="137"/>
      <c r="D317" s="137"/>
      <c r="E317" s="137"/>
      <c r="F317" s="137"/>
      <c r="G317" s="136"/>
      <c r="H317" s="137"/>
      <c r="I317" s="137"/>
      <c r="J317" s="138"/>
      <c r="K317" s="137"/>
      <c r="L317" s="137"/>
      <c r="M317" s="139"/>
      <c r="N317" s="137"/>
      <c r="O317" s="137"/>
      <c r="P317" s="139"/>
      <c r="Q317" s="137"/>
      <c r="R317" s="137"/>
      <c r="S317" s="137"/>
      <c r="T317" s="137"/>
      <c r="U317" s="137"/>
      <c r="V317" s="150"/>
      <c r="W317" s="26"/>
    </row>
    <row r="318" spans="1:23" ht="20" customHeight="1">
      <c r="A318" s="380"/>
      <c r="B318" s="156"/>
      <c r="C318" s="137"/>
      <c r="D318" s="137"/>
      <c r="E318" s="137"/>
      <c r="F318" s="137"/>
      <c r="G318" s="136"/>
      <c r="H318" s="137"/>
      <c r="I318" s="137"/>
      <c r="J318" s="138"/>
      <c r="K318" s="137"/>
      <c r="L318" s="137"/>
      <c r="M318" s="139"/>
      <c r="N318" s="137"/>
      <c r="O318" s="137"/>
      <c r="P318" s="139"/>
      <c r="Q318" s="137"/>
      <c r="R318" s="137"/>
      <c r="S318" s="137"/>
      <c r="T318" s="137"/>
      <c r="U318" s="137"/>
      <c r="V318" s="150"/>
      <c r="W318" s="26"/>
    </row>
    <row r="319" spans="1:23" ht="20" customHeight="1">
      <c r="A319" s="380"/>
      <c r="B319" s="156"/>
      <c r="C319" s="137"/>
      <c r="D319" s="137"/>
      <c r="E319" s="137"/>
      <c r="F319" s="137"/>
      <c r="G319" s="136"/>
      <c r="H319" s="137"/>
      <c r="I319" s="137"/>
      <c r="J319" s="138"/>
      <c r="K319" s="137"/>
      <c r="L319" s="137"/>
      <c r="M319" s="139"/>
      <c r="N319" s="137"/>
      <c r="O319" s="137"/>
      <c r="P319" s="139"/>
      <c r="Q319" s="137"/>
      <c r="R319" s="137"/>
      <c r="S319" s="137"/>
      <c r="T319" s="137"/>
      <c r="U319" s="137"/>
      <c r="V319" s="150"/>
      <c r="W319" s="26"/>
    </row>
    <row r="320" spans="1:23" ht="20" customHeight="1">
      <c r="A320" s="380"/>
      <c r="B320" s="156"/>
      <c r="C320" s="137"/>
      <c r="D320" s="137"/>
      <c r="E320" s="137"/>
      <c r="F320" s="137"/>
      <c r="G320" s="136"/>
      <c r="H320" s="137"/>
      <c r="I320" s="137"/>
      <c r="J320" s="138"/>
      <c r="K320" s="137"/>
      <c r="L320" s="137"/>
      <c r="M320" s="139"/>
      <c r="N320" s="137"/>
      <c r="O320" s="137"/>
      <c r="P320" s="139"/>
      <c r="Q320" s="137"/>
      <c r="R320" s="137"/>
      <c r="S320" s="137"/>
      <c r="T320" s="137"/>
      <c r="U320" s="137"/>
      <c r="V320" s="150"/>
      <c r="W320" s="26"/>
    </row>
    <row r="321" spans="1:23" ht="20" customHeight="1">
      <c r="A321" s="380"/>
      <c r="B321" s="156"/>
      <c r="C321" s="137"/>
      <c r="D321" s="137"/>
      <c r="E321" s="137"/>
      <c r="F321" s="137"/>
      <c r="G321" s="136"/>
      <c r="H321" s="137"/>
      <c r="I321" s="137"/>
      <c r="J321" s="138"/>
      <c r="K321" s="137"/>
      <c r="L321" s="137"/>
      <c r="M321" s="139"/>
      <c r="N321" s="137"/>
      <c r="O321" s="137"/>
      <c r="P321" s="139"/>
      <c r="Q321" s="137"/>
      <c r="R321" s="137"/>
      <c r="S321" s="137"/>
      <c r="T321" s="137"/>
      <c r="U321" s="137"/>
      <c r="V321" s="150"/>
      <c r="W321" s="26"/>
    </row>
    <row r="322" spans="1:23" ht="20" customHeight="1">
      <c r="A322" s="380"/>
      <c r="B322" s="156"/>
      <c r="C322" s="137"/>
      <c r="D322" s="137"/>
      <c r="E322" s="137"/>
      <c r="F322" s="137"/>
      <c r="G322" s="136"/>
      <c r="H322" s="137"/>
      <c r="I322" s="137"/>
      <c r="J322" s="138"/>
      <c r="K322" s="137"/>
      <c r="L322" s="137"/>
      <c r="M322" s="139"/>
      <c r="N322" s="137"/>
      <c r="O322" s="137"/>
      <c r="P322" s="139"/>
      <c r="Q322" s="137"/>
      <c r="R322" s="137"/>
      <c r="S322" s="137"/>
      <c r="T322" s="137"/>
      <c r="U322" s="137"/>
      <c r="V322" s="150"/>
      <c r="W322" s="26"/>
    </row>
    <row r="323" spans="1:23" ht="20" customHeight="1">
      <c r="A323" s="380"/>
      <c r="B323" s="156"/>
      <c r="C323" s="137"/>
      <c r="D323" s="137"/>
      <c r="E323" s="137"/>
      <c r="F323" s="137"/>
      <c r="G323" s="136"/>
      <c r="H323" s="137"/>
      <c r="I323" s="137"/>
      <c r="J323" s="138"/>
      <c r="K323" s="137"/>
      <c r="L323" s="137"/>
      <c r="M323" s="139"/>
      <c r="N323" s="137"/>
      <c r="O323" s="137"/>
      <c r="P323" s="139"/>
      <c r="Q323" s="137"/>
      <c r="R323" s="137"/>
      <c r="S323" s="137"/>
      <c r="T323" s="137"/>
      <c r="U323" s="137"/>
      <c r="V323" s="150"/>
      <c r="W323" s="26"/>
    </row>
    <row r="324" spans="1:23" ht="20" customHeight="1">
      <c r="A324" s="380"/>
      <c r="B324" s="156"/>
      <c r="C324" s="137"/>
      <c r="D324" s="137"/>
      <c r="E324" s="137"/>
      <c r="F324" s="137"/>
      <c r="G324" s="136"/>
      <c r="H324" s="137"/>
      <c r="I324" s="137"/>
      <c r="J324" s="138"/>
      <c r="K324" s="137"/>
      <c r="L324" s="137"/>
      <c r="M324" s="139"/>
      <c r="N324" s="137"/>
      <c r="O324" s="137"/>
      <c r="P324" s="139"/>
      <c r="Q324" s="137"/>
      <c r="R324" s="137"/>
      <c r="S324" s="137"/>
      <c r="T324" s="137"/>
      <c r="U324" s="137"/>
      <c r="V324" s="150"/>
      <c r="W324" s="26"/>
    </row>
    <row r="325" spans="1:23" ht="20" customHeight="1" thickBot="1">
      <c r="A325" s="381"/>
      <c r="B325" s="157"/>
      <c r="C325" s="151"/>
      <c r="D325" s="151"/>
      <c r="E325" s="151"/>
      <c r="F325" s="151"/>
      <c r="G325" s="152"/>
      <c r="H325" s="151"/>
      <c r="I325" s="151"/>
      <c r="J325" s="153"/>
      <c r="K325" s="151"/>
      <c r="L325" s="151"/>
      <c r="M325" s="154"/>
      <c r="N325" s="151"/>
      <c r="O325" s="151"/>
      <c r="P325" s="154"/>
      <c r="Q325" s="151"/>
      <c r="R325" s="151"/>
      <c r="S325" s="151"/>
      <c r="T325" s="151"/>
      <c r="U325" s="151"/>
      <c r="V325" s="155"/>
      <c r="W325" s="26"/>
    </row>
    <row r="326" spans="1:23" ht="20" customHeight="1">
      <c r="A326" s="379" t="str">
        <f>'Read Me First'!C17</f>
        <v>White Horse Harriers</v>
      </c>
      <c r="B326" s="144" t="str" cm="1">
        <f t="array" ref="B326">_xlfn.LET(_xlpm.x, _xlfn._xlws.SORT(_xlfn._xlws.FILTER(Data!$A$378:$U$665,(Data!$C$378:$C$665=$A326)*(Data!$D$378:$D$665=$E$196)*(Data!$E$378:$E$665="U10")),18),_xlpm.y,_xlfn._xlws.SORT(_xlfn._xlws.FILTER(Data!$A$378:$U$665,(Data!$C$378:$C$665=$A326)*(Data!$D$378:$D$665=$E$196)*(Data!$E$378:$E$665="U12")),19), IFERROR(_xlfn.VSTACK(_xlpm.x,_xlpm.y), IFERROR(_xlpm.y,IFERROR(_xlpm.x, ""))))</f>
        <v/>
      </c>
      <c r="C326" s="145"/>
      <c r="D326" s="145"/>
      <c r="E326" s="145"/>
      <c r="F326" s="145"/>
      <c r="G326" s="146"/>
      <c r="H326" s="145"/>
      <c r="I326" s="145"/>
      <c r="J326" s="147"/>
      <c r="K326" s="145"/>
      <c r="L326" s="145"/>
      <c r="M326" s="148"/>
      <c r="N326" s="145"/>
      <c r="O326" s="145"/>
      <c r="P326" s="148"/>
      <c r="Q326" s="145"/>
      <c r="R326" s="145"/>
      <c r="S326" s="145"/>
      <c r="T326" s="145"/>
      <c r="U326" s="145"/>
      <c r="V326" s="149"/>
      <c r="W326" s="20"/>
    </row>
    <row r="327" spans="1:23" ht="20" customHeight="1">
      <c r="A327" s="380"/>
      <c r="B327" s="156"/>
      <c r="C327" s="137"/>
      <c r="D327" s="137"/>
      <c r="E327" s="137"/>
      <c r="F327" s="137"/>
      <c r="G327" s="136"/>
      <c r="H327" s="137"/>
      <c r="I327" s="137"/>
      <c r="J327" s="138"/>
      <c r="K327" s="137"/>
      <c r="L327" s="137"/>
      <c r="M327" s="139"/>
      <c r="N327" s="137"/>
      <c r="O327" s="137"/>
      <c r="P327" s="139"/>
      <c r="Q327" s="137"/>
      <c r="R327" s="137"/>
      <c r="S327" s="137"/>
      <c r="T327" s="137"/>
      <c r="U327" s="137"/>
      <c r="V327" s="150"/>
      <c r="W327" s="26"/>
    </row>
    <row r="328" spans="1:23" ht="20" customHeight="1">
      <c r="A328" s="380"/>
      <c r="B328" s="156"/>
      <c r="C328" s="137"/>
      <c r="D328" s="137"/>
      <c r="E328" s="137"/>
      <c r="F328" s="137"/>
      <c r="G328" s="136"/>
      <c r="H328" s="137"/>
      <c r="I328" s="137"/>
      <c r="J328" s="138"/>
      <c r="K328" s="137"/>
      <c r="L328" s="137"/>
      <c r="M328" s="139"/>
      <c r="N328" s="137"/>
      <c r="O328" s="137"/>
      <c r="P328" s="139"/>
      <c r="Q328" s="137"/>
      <c r="R328" s="137"/>
      <c r="S328" s="137"/>
      <c r="T328" s="137"/>
      <c r="U328" s="137"/>
      <c r="V328" s="150"/>
      <c r="W328" s="26"/>
    </row>
    <row r="329" spans="1:23" ht="20" customHeight="1">
      <c r="A329" s="380"/>
      <c r="B329" s="156"/>
      <c r="C329" s="137"/>
      <c r="D329" s="137"/>
      <c r="E329" s="137"/>
      <c r="F329" s="137"/>
      <c r="G329" s="136"/>
      <c r="H329" s="137"/>
      <c r="I329" s="137"/>
      <c r="J329" s="138"/>
      <c r="K329" s="137"/>
      <c r="L329" s="137"/>
      <c r="M329" s="139"/>
      <c r="N329" s="137"/>
      <c r="O329" s="137"/>
      <c r="P329" s="139"/>
      <c r="Q329" s="137"/>
      <c r="R329" s="137"/>
      <c r="S329" s="137"/>
      <c r="T329" s="137"/>
      <c r="U329" s="137"/>
      <c r="V329" s="150"/>
      <c r="W329" s="26"/>
    </row>
    <row r="330" spans="1:23" ht="20" customHeight="1">
      <c r="A330" s="380"/>
      <c r="B330" s="156"/>
      <c r="C330" s="137"/>
      <c r="D330" s="137"/>
      <c r="E330" s="137"/>
      <c r="F330" s="137"/>
      <c r="G330" s="136"/>
      <c r="H330" s="137"/>
      <c r="I330" s="137"/>
      <c r="J330" s="138"/>
      <c r="K330" s="137"/>
      <c r="L330" s="137"/>
      <c r="M330" s="139"/>
      <c r="N330" s="137"/>
      <c r="O330" s="137"/>
      <c r="P330" s="139"/>
      <c r="Q330" s="137"/>
      <c r="R330" s="137"/>
      <c r="S330" s="137"/>
      <c r="T330" s="137"/>
      <c r="U330" s="137"/>
      <c r="V330" s="150"/>
      <c r="W330" s="26"/>
    </row>
    <row r="331" spans="1:23" ht="20" customHeight="1">
      <c r="A331" s="380"/>
      <c r="B331" s="156"/>
      <c r="C331" s="137"/>
      <c r="D331" s="137"/>
      <c r="E331" s="137"/>
      <c r="F331" s="137"/>
      <c r="G331" s="136"/>
      <c r="H331" s="137"/>
      <c r="I331" s="137"/>
      <c r="J331" s="138"/>
      <c r="K331" s="137"/>
      <c r="L331" s="137"/>
      <c r="M331" s="139"/>
      <c r="N331" s="137"/>
      <c r="O331" s="137"/>
      <c r="P331" s="139"/>
      <c r="Q331" s="137"/>
      <c r="R331" s="137"/>
      <c r="S331" s="137"/>
      <c r="T331" s="137"/>
      <c r="U331" s="137"/>
      <c r="V331" s="150"/>
      <c r="W331" s="26"/>
    </row>
    <row r="332" spans="1:23" ht="20" customHeight="1">
      <c r="A332" s="380"/>
      <c r="B332" s="156"/>
      <c r="C332" s="137"/>
      <c r="D332" s="137"/>
      <c r="E332" s="137"/>
      <c r="F332" s="137"/>
      <c r="G332" s="136"/>
      <c r="H332" s="137"/>
      <c r="I332" s="137"/>
      <c r="J332" s="138"/>
      <c r="K332" s="137"/>
      <c r="L332" s="137"/>
      <c r="M332" s="139"/>
      <c r="N332" s="137"/>
      <c r="O332" s="137"/>
      <c r="P332" s="139"/>
      <c r="Q332" s="137"/>
      <c r="R332" s="137"/>
      <c r="S332" s="137"/>
      <c r="T332" s="137"/>
      <c r="U332" s="137"/>
      <c r="V332" s="150"/>
      <c r="W332" s="26"/>
    </row>
    <row r="333" spans="1:23" ht="20" customHeight="1">
      <c r="A333" s="380"/>
      <c r="B333" s="156"/>
      <c r="C333" s="137"/>
      <c r="D333" s="137"/>
      <c r="E333" s="137"/>
      <c r="F333" s="137"/>
      <c r="G333" s="136"/>
      <c r="H333" s="137"/>
      <c r="I333" s="137"/>
      <c r="J333" s="138"/>
      <c r="K333" s="137"/>
      <c r="L333" s="137"/>
      <c r="M333" s="139"/>
      <c r="N333" s="137"/>
      <c r="O333" s="137"/>
      <c r="P333" s="139"/>
      <c r="Q333" s="137"/>
      <c r="R333" s="137"/>
      <c r="S333" s="137"/>
      <c r="T333" s="137"/>
      <c r="U333" s="137"/>
      <c r="V333" s="150"/>
      <c r="W333" s="26"/>
    </row>
    <row r="334" spans="1:23" ht="20" customHeight="1">
      <c r="A334" s="380"/>
      <c r="B334" s="156"/>
      <c r="C334" s="137"/>
      <c r="D334" s="137"/>
      <c r="E334" s="137"/>
      <c r="F334" s="137"/>
      <c r="G334" s="136"/>
      <c r="H334" s="137"/>
      <c r="I334" s="137"/>
      <c r="J334" s="138"/>
      <c r="K334" s="137"/>
      <c r="L334" s="137"/>
      <c r="M334" s="139"/>
      <c r="N334" s="137"/>
      <c r="O334" s="137"/>
      <c r="P334" s="139"/>
      <c r="Q334" s="137"/>
      <c r="R334" s="137"/>
      <c r="S334" s="137"/>
      <c r="T334" s="137"/>
      <c r="U334" s="137"/>
      <c r="V334" s="150"/>
      <c r="W334" s="26"/>
    </row>
    <row r="335" spans="1:23" ht="20" customHeight="1">
      <c r="A335" s="380"/>
      <c r="B335" s="156"/>
      <c r="C335" s="137"/>
      <c r="D335" s="137"/>
      <c r="E335" s="137"/>
      <c r="F335" s="137"/>
      <c r="G335" s="136"/>
      <c r="H335" s="137"/>
      <c r="I335" s="137"/>
      <c r="J335" s="138"/>
      <c r="K335" s="137"/>
      <c r="L335" s="137"/>
      <c r="M335" s="139"/>
      <c r="N335" s="137"/>
      <c r="O335" s="137"/>
      <c r="P335" s="139"/>
      <c r="Q335" s="137"/>
      <c r="R335" s="137"/>
      <c r="S335" s="137"/>
      <c r="T335" s="137"/>
      <c r="U335" s="137"/>
      <c r="V335" s="150"/>
      <c r="W335" s="26"/>
    </row>
    <row r="336" spans="1:23" ht="20" customHeight="1">
      <c r="A336" s="380"/>
      <c r="B336" s="156"/>
      <c r="C336" s="137"/>
      <c r="D336" s="137"/>
      <c r="E336" s="137"/>
      <c r="F336" s="137"/>
      <c r="G336" s="136"/>
      <c r="H336" s="137"/>
      <c r="I336" s="137"/>
      <c r="J336" s="138"/>
      <c r="K336" s="137"/>
      <c r="L336" s="137"/>
      <c r="M336" s="139"/>
      <c r="N336" s="137"/>
      <c r="O336" s="137"/>
      <c r="P336" s="139"/>
      <c r="Q336" s="137"/>
      <c r="R336" s="137"/>
      <c r="S336" s="137"/>
      <c r="T336" s="137"/>
      <c r="U336" s="137"/>
      <c r="V336" s="150"/>
      <c r="W336" s="26"/>
    </row>
    <row r="337" spans="1:23" ht="20" customHeight="1">
      <c r="A337" s="380"/>
      <c r="B337" s="156"/>
      <c r="C337" s="137"/>
      <c r="D337" s="137"/>
      <c r="E337" s="137"/>
      <c r="F337" s="137"/>
      <c r="G337" s="136"/>
      <c r="H337" s="137"/>
      <c r="I337" s="137"/>
      <c r="J337" s="138"/>
      <c r="K337" s="137"/>
      <c r="L337" s="137"/>
      <c r="M337" s="139"/>
      <c r="N337" s="137"/>
      <c r="O337" s="137"/>
      <c r="P337" s="139"/>
      <c r="Q337" s="137"/>
      <c r="R337" s="137"/>
      <c r="S337" s="137"/>
      <c r="T337" s="137"/>
      <c r="U337" s="137"/>
      <c r="V337" s="150"/>
      <c r="W337" s="26"/>
    </row>
    <row r="338" spans="1:23" ht="20" customHeight="1">
      <c r="A338" s="380"/>
      <c r="B338" s="156"/>
      <c r="C338" s="137"/>
      <c r="D338" s="137"/>
      <c r="E338" s="137"/>
      <c r="F338" s="137"/>
      <c r="G338" s="136"/>
      <c r="H338" s="137"/>
      <c r="I338" s="137"/>
      <c r="J338" s="138"/>
      <c r="K338" s="137"/>
      <c r="L338" s="137"/>
      <c r="M338" s="139"/>
      <c r="N338" s="137"/>
      <c r="O338" s="137"/>
      <c r="P338" s="139"/>
      <c r="Q338" s="137"/>
      <c r="R338" s="137"/>
      <c r="S338" s="137"/>
      <c r="T338" s="137"/>
      <c r="U338" s="137"/>
      <c r="V338" s="150"/>
      <c r="W338" s="26"/>
    </row>
    <row r="339" spans="1:23" ht="20" customHeight="1">
      <c r="A339" s="380"/>
      <c r="B339" s="156"/>
      <c r="C339" s="137"/>
      <c r="D339" s="137"/>
      <c r="E339" s="137"/>
      <c r="F339" s="137"/>
      <c r="G339" s="136"/>
      <c r="H339" s="137"/>
      <c r="I339" s="137"/>
      <c r="J339" s="138"/>
      <c r="K339" s="137"/>
      <c r="L339" s="137"/>
      <c r="M339" s="139"/>
      <c r="N339" s="137"/>
      <c r="O339" s="137"/>
      <c r="P339" s="139"/>
      <c r="Q339" s="137"/>
      <c r="R339" s="137"/>
      <c r="S339" s="137"/>
      <c r="T339" s="137"/>
      <c r="U339" s="137"/>
      <c r="V339" s="150"/>
      <c r="W339" s="26"/>
    </row>
    <row r="340" spans="1:23" ht="20" customHeight="1">
      <c r="A340" s="380"/>
      <c r="B340" s="156"/>
      <c r="C340" s="137"/>
      <c r="D340" s="137"/>
      <c r="E340" s="137"/>
      <c r="F340" s="137"/>
      <c r="G340" s="136"/>
      <c r="H340" s="137"/>
      <c r="I340" s="137"/>
      <c r="J340" s="138"/>
      <c r="K340" s="137"/>
      <c r="L340" s="137"/>
      <c r="M340" s="139"/>
      <c r="N340" s="137"/>
      <c r="O340" s="137"/>
      <c r="P340" s="139"/>
      <c r="Q340" s="137"/>
      <c r="R340" s="137"/>
      <c r="S340" s="137"/>
      <c r="T340" s="137"/>
      <c r="U340" s="137"/>
      <c r="V340" s="150"/>
      <c r="W340" s="26"/>
    </row>
    <row r="341" spans="1:23" ht="20" customHeight="1">
      <c r="A341" s="380"/>
      <c r="B341" s="156"/>
      <c r="C341" s="137"/>
      <c r="D341" s="137"/>
      <c r="E341" s="137"/>
      <c r="F341" s="137"/>
      <c r="G341" s="136"/>
      <c r="H341" s="137"/>
      <c r="I341" s="137"/>
      <c r="J341" s="138"/>
      <c r="K341" s="137"/>
      <c r="L341" s="137"/>
      <c r="M341" s="139"/>
      <c r="N341" s="137"/>
      <c r="O341" s="137"/>
      <c r="P341" s="139"/>
      <c r="Q341" s="137"/>
      <c r="R341" s="137"/>
      <c r="S341" s="137"/>
      <c r="T341" s="137"/>
      <c r="U341" s="137"/>
      <c r="V341" s="150"/>
      <c r="W341" s="26"/>
    </row>
    <row r="342" spans="1:23" ht="20" customHeight="1">
      <c r="A342" s="380"/>
      <c r="B342" s="156"/>
      <c r="C342" s="137"/>
      <c r="D342" s="137"/>
      <c r="E342" s="137"/>
      <c r="F342" s="137"/>
      <c r="G342" s="136"/>
      <c r="H342" s="137"/>
      <c r="I342" s="137"/>
      <c r="J342" s="138"/>
      <c r="K342" s="137"/>
      <c r="L342" s="137"/>
      <c r="M342" s="139"/>
      <c r="N342" s="137"/>
      <c r="O342" s="137"/>
      <c r="P342" s="139"/>
      <c r="Q342" s="137"/>
      <c r="R342" s="137"/>
      <c r="S342" s="137"/>
      <c r="T342" s="137"/>
      <c r="U342" s="137"/>
      <c r="V342" s="150"/>
      <c r="W342" s="26"/>
    </row>
    <row r="343" spans="1:23" ht="20" customHeight="1">
      <c r="A343" s="380"/>
      <c r="B343" s="156"/>
      <c r="C343" s="137"/>
      <c r="D343" s="137"/>
      <c r="E343" s="137"/>
      <c r="F343" s="137"/>
      <c r="G343" s="136"/>
      <c r="H343" s="137"/>
      <c r="I343" s="137"/>
      <c r="J343" s="138"/>
      <c r="K343" s="137"/>
      <c r="L343" s="137"/>
      <c r="M343" s="139"/>
      <c r="N343" s="137"/>
      <c r="O343" s="137"/>
      <c r="P343" s="139"/>
      <c r="Q343" s="137"/>
      <c r="R343" s="137"/>
      <c r="S343" s="137"/>
      <c r="T343" s="137"/>
      <c r="U343" s="137"/>
      <c r="V343" s="150"/>
      <c r="W343" s="26"/>
    </row>
    <row r="344" spans="1:23" ht="20" customHeight="1">
      <c r="A344" s="380"/>
      <c r="B344" s="156"/>
      <c r="C344" s="137"/>
      <c r="D344" s="137"/>
      <c r="E344" s="137"/>
      <c r="F344" s="137"/>
      <c r="G344" s="136"/>
      <c r="H344" s="137"/>
      <c r="I344" s="137"/>
      <c r="J344" s="138"/>
      <c r="K344" s="137"/>
      <c r="L344" s="137"/>
      <c r="M344" s="139"/>
      <c r="N344" s="137"/>
      <c r="O344" s="137"/>
      <c r="P344" s="139"/>
      <c r="Q344" s="137"/>
      <c r="R344" s="137"/>
      <c r="S344" s="137"/>
      <c r="T344" s="137"/>
      <c r="U344" s="137"/>
      <c r="V344" s="150"/>
      <c r="W344" s="26"/>
    </row>
    <row r="345" spans="1:23" ht="20" customHeight="1" thickBot="1">
      <c r="A345" s="381"/>
      <c r="B345" s="157"/>
      <c r="C345" s="151"/>
      <c r="D345" s="151"/>
      <c r="E345" s="151"/>
      <c r="F345" s="151"/>
      <c r="G345" s="152"/>
      <c r="H345" s="151"/>
      <c r="I345" s="151"/>
      <c r="J345" s="153"/>
      <c r="K345" s="151"/>
      <c r="L345" s="151"/>
      <c r="M345" s="154"/>
      <c r="N345" s="151"/>
      <c r="O345" s="151"/>
      <c r="P345" s="154"/>
      <c r="Q345" s="151"/>
      <c r="R345" s="151"/>
      <c r="S345" s="151"/>
      <c r="T345" s="151"/>
      <c r="U345" s="151"/>
      <c r="V345" s="155"/>
      <c r="W345" s="26"/>
    </row>
    <row r="346" spans="1:23" ht="20" customHeight="1">
      <c r="A346" s="379" t="str">
        <f>'Read Me First'!C18</f>
        <v>Witney Road Runners</v>
      </c>
      <c r="B346" s="144" t="str" cm="1">
        <f t="array" ref="B346">_xlfn.LET(_xlpm.x, _xlfn._xlws.SORT(_xlfn._xlws.FILTER(Data!$A$378:$U$665,(Data!$C$378:$C$665=$A346)*(Data!$D$378:$D$665=$E$196)*(Data!$E$378:$E$665="U10")),18),_xlpm.y,_xlfn._xlws.SORT(_xlfn._xlws.FILTER(Data!$A$378:$U$665,(Data!$C$378:$C$665=$A346)*(Data!$D$378:$D$665=$E$196)*(Data!$E$378:$E$665="U12")),19), IFERROR(_xlfn.VSTACK(_xlpm.x,_xlpm.y), IFERROR(_xlpm.y,IFERROR(_xlpm.x, ""))))</f>
        <v/>
      </c>
      <c r="C346" s="145"/>
      <c r="D346" s="145"/>
      <c r="E346" s="145"/>
      <c r="F346" s="145"/>
      <c r="G346" s="146"/>
      <c r="H346" s="145"/>
      <c r="I346" s="145"/>
      <c r="J346" s="147"/>
      <c r="K346" s="145"/>
      <c r="L346" s="145"/>
      <c r="M346" s="148"/>
      <c r="N346" s="145"/>
      <c r="O346" s="145"/>
      <c r="P346" s="148"/>
      <c r="Q346" s="145"/>
      <c r="R346" s="145"/>
      <c r="S346" s="145"/>
      <c r="T346" s="145"/>
      <c r="U346" s="145"/>
      <c r="V346" s="149"/>
      <c r="W346" s="26"/>
    </row>
    <row r="347" spans="1:23" ht="20" customHeight="1">
      <c r="A347" s="380"/>
      <c r="B347" s="156"/>
      <c r="C347" s="137"/>
      <c r="D347" s="137"/>
      <c r="E347" s="137"/>
      <c r="F347" s="137"/>
      <c r="G347" s="136"/>
      <c r="H347" s="137"/>
      <c r="I347" s="137"/>
      <c r="J347" s="138"/>
      <c r="K347" s="137"/>
      <c r="L347" s="137"/>
      <c r="M347" s="139"/>
      <c r="N347" s="137"/>
      <c r="O347" s="137"/>
      <c r="P347" s="139"/>
      <c r="Q347" s="137"/>
      <c r="R347" s="137"/>
      <c r="S347" s="137"/>
      <c r="T347" s="137"/>
      <c r="U347" s="137"/>
      <c r="V347" s="150"/>
      <c r="W347" s="20"/>
    </row>
    <row r="348" spans="1:23" ht="20" customHeight="1">
      <c r="A348" s="380"/>
      <c r="B348" s="156"/>
      <c r="C348" s="137"/>
      <c r="D348" s="137"/>
      <c r="E348" s="137"/>
      <c r="F348" s="137"/>
      <c r="G348" s="136"/>
      <c r="H348" s="137"/>
      <c r="I348" s="137"/>
      <c r="J348" s="138"/>
      <c r="K348" s="137"/>
      <c r="L348" s="137"/>
      <c r="M348" s="139"/>
      <c r="N348" s="137"/>
      <c r="O348" s="137"/>
      <c r="P348" s="139"/>
      <c r="Q348" s="137"/>
      <c r="R348" s="137"/>
      <c r="S348" s="137"/>
      <c r="T348" s="137"/>
      <c r="U348" s="137"/>
      <c r="V348" s="150"/>
      <c r="W348" s="26"/>
    </row>
    <row r="349" spans="1:23" ht="20" customHeight="1">
      <c r="A349" s="380"/>
      <c r="B349" s="156"/>
      <c r="C349" s="137"/>
      <c r="D349" s="137"/>
      <c r="E349" s="137"/>
      <c r="F349" s="137"/>
      <c r="G349" s="136"/>
      <c r="H349" s="137"/>
      <c r="I349" s="137"/>
      <c r="J349" s="138"/>
      <c r="K349" s="137"/>
      <c r="L349" s="137"/>
      <c r="M349" s="139"/>
      <c r="N349" s="137"/>
      <c r="O349" s="137"/>
      <c r="P349" s="139"/>
      <c r="Q349" s="137"/>
      <c r="R349" s="137"/>
      <c r="S349" s="137"/>
      <c r="T349" s="137"/>
      <c r="U349" s="137"/>
      <c r="V349" s="150"/>
      <c r="W349" s="26"/>
    </row>
    <row r="350" spans="1:23" ht="20" customHeight="1">
      <c r="A350" s="380"/>
      <c r="B350" s="156"/>
      <c r="C350" s="137"/>
      <c r="D350" s="137"/>
      <c r="E350" s="137"/>
      <c r="F350" s="137"/>
      <c r="G350" s="136"/>
      <c r="H350" s="137"/>
      <c r="I350" s="137"/>
      <c r="J350" s="138"/>
      <c r="K350" s="137"/>
      <c r="L350" s="137"/>
      <c r="M350" s="139"/>
      <c r="N350" s="137"/>
      <c r="O350" s="137"/>
      <c r="P350" s="139"/>
      <c r="Q350" s="137"/>
      <c r="R350" s="137"/>
      <c r="S350" s="137"/>
      <c r="T350" s="137"/>
      <c r="U350" s="137"/>
      <c r="V350" s="150"/>
      <c r="W350" s="26"/>
    </row>
    <row r="351" spans="1:23" ht="20" customHeight="1">
      <c r="A351" s="380"/>
      <c r="B351" s="156"/>
      <c r="C351" s="137"/>
      <c r="D351" s="137"/>
      <c r="E351" s="137"/>
      <c r="F351" s="137"/>
      <c r="G351" s="136"/>
      <c r="H351" s="137"/>
      <c r="I351" s="137"/>
      <c r="J351" s="138"/>
      <c r="K351" s="137"/>
      <c r="L351" s="137"/>
      <c r="M351" s="139"/>
      <c r="N351" s="137"/>
      <c r="O351" s="137"/>
      <c r="P351" s="139"/>
      <c r="Q351" s="137"/>
      <c r="R351" s="137"/>
      <c r="S351" s="137"/>
      <c r="T351" s="137"/>
      <c r="U351" s="137"/>
      <c r="V351" s="150"/>
      <c r="W351" s="26"/>
    </row>
    <row r="352" spans="1:23" ht="20" customHeight="1">
      <c r="A352" s="380"/>
      <c r="B352" s="156"/>
      <c r="C352" s="137"/>
      <c r="D352" s="137"/>
      <c r="E352" s="137"/>
      <c r="F352" s="137"/>
      <c r="G352" s="136"/>
      <c r="H352" s="137"/>
      <c r="I352" s="137"/>
      <c r="J352" s="138"/>
      <c r="K352" s="137"/>
      <c r="L352" s="137"/>
      <c r="M352" s="139"/>
      <c r="N352" s="137"/>
      <c r="O352" s="137"/>
      <c r="P352" s="139"/>
      <c r="Q352" s="137"/>
      <c r="R352" s="137"/>
      <c r="S352" s="137"/>
      <c r="T352" s="137"/>
      <c r="U352" s="137"/>
      <c r="V352" s="150"/>
      <c r="W352" s="26"/>
    </row>
    <row r="353" spans="1:23" ht="20" customHeight="1">
      <c r="A353" s="380"/>
      <c r="B353" s="156"/>
      <c r="C353" s="137"/>
      <c r="D353" s="137"/>
      <c r="E353" s="137"/>
      <c r="F353" s="137"/>
      <c r="G353" s="136"/>
      <c r="H353" s="137"/>
      <c r="I353" s="137"/>
      <c r="J353" s="138"/>
      <c r="K353" s="137"/>
      <c r="L353" s="137"/>
      <c r="M353" s="139"/>
      <c r="N353" s="137"/>
      <c r="O353" s="137"/>
      <c r="P353" s="139"/>
      <c r="Q353" s="137"/>
      <c r="R353" s="137"/>
      <c r="S353" s="137"/>
      <c r="T353" s="137"/>
      <c r="U353" s="137"/>
      <c r="V353" s="150"/>
      <c r="W353" s="26"/>
    </row>
    <row r="354" spans="1:23" ht="20" customHeight="1">
      <c r="A354" s="380"/>
      <c r="B354" s="156"/>
      <c r="C354" s="137"/>
      <c r="D354" s="137"/>
      <c r="E354" s="137"/>
      <c r="F354" s="137"/>
      <c r="G354" s="136"/>
      <c r="H354" s="137"/>
      <c r="I354" s="137"/>
      <c r="J354" s="138"/>
      <c r="K354" s="137"/>
      <c r="L354" s="137"/>
      <c r="M354" s="139"/>
      <c r="N354" s="137"/>
      <c r="O354" s="137"/>
      <c r="P354" s="139"/>
      <c r="Q354" s="137"/>
      <c r="R354" s="137"/>
      <c r="S354" s="137"/>
      <c r="T354" s="137"/>
      <c r="U354" s="137"/>
      <c r="V354" s="150"/>
      <c r="W354" s="26"/>
    </row>
    <row r="355" spans="1:23" ht="20" customHeight="1">
      <c r="A355" s="380"/>
      <c r="B355" s="156"/>
      <c r="C355" s="137"/>
      <c r="D355" s="137"/>
      <c r="E355" s="137"/>
      <c r="F355" s="137"/>
      <c r="G355" s="136"/>
      <c r="H355" s="137"/>
      <c r="I355" s="137"/>
      <c r="J355" s="138"/>
      <c r="K355" s="137"/>
      <c r="L355" s="137"/>
      <c r="M355" s="139"/>
      <c r="N355" s="137"/>
      <c r="O355" s="137"/>
      <c r="P355" s="139"/>
      <c r="Q355" s="137"/>
      <c r="R355" s="137"/>
      <c r="S355" s="137"/>
      <c r="T355" s="137"/>
      <c r="U355" s="137"/>
      <c r="V355" s="150"/>
      <c r="W355" s="26"/>
    </row>
    <row r="356" spans="1:23" ht="20" customHeight="1">
      <c r="A356" s="380"/>
      <c r="B356" s="156"/>
      <c r="C356" s="137"/>
      <c r="D356" s="137"/>
      <c r="E356" s="137"/>
      <c r="F356" s="137"/>
      <c r="G356" s="136"/>
      <c r="H356" s="137"/>
      <c r="I356" s="137"/>
      <c r="J356" s="138"/>
      <c r="K356" s="137"/>
      <c r="L356" s="137"/>
      <c r="M356" s="139"/>
      <c r="N356" s="137"/>
      <c r="O356" s="137"/>
      <c r="P356" s="139"/>
      <c r="Q356" s="137"/>
      <c r="R356" s="137"/>
      <c r="S356" s="137"/>
      <c r="T356" s="137"/>
      <c r="U356" s="137"/>
      <c r="V356" s="150"/>
      <c r="W356" s="26"/>
    </row>
    <row r="357" spans="1:23" ht="20" customHeight="1">
      <c r="A357" s="380"/>
      <c r="B357" s="156"/>
      <c r="C357" s="137"/>
      <c r="D357" s="137"/>
      <c r="E357" s="137"/>
      <c r="F357" s="137"/>
      <c r="G357" s="136"/>
      <c r="H357" s="137"/>
      <c r="I357" s="137"/>
      <c r="J357" s="138"/>
      <c r="K357" s="137"/>
      <c r="L357" s="137"/>
      <c r="M357" s="139"/>
      <c r="N357" s="137"/>
      <c r="O357" s="137"/>
      <c r="P357" s="139"/>
      <c r="Q357" s="137"/>
      <c r="R357" s="137"/>
      <c r="S357" s="137"/>
      <c r="T357" s="137"/>
      <c r="U357" s="137"/>
      <c r="V357" s="150"/>
      <c r="W357" s="26"/>
    </row>
    <row r="358" spans="1:23" ht="20" customHeight="1">
      <c r="A358" s="380"/>
      <c r="B358" s="156"/>
      <c r="C358" s="137"/>
      <c r="D358" s="137"/>
      <c r="E358" s="137"/>
      <c r="F358" s="137"/>
      <c r="G358" s="136"/>
      <c r="H358" s="137"/>
      <c r="I358" s="137"/>
      <c r="J358" s="138"/>
      <c r="K358" s="137"/>
      <c r="L358" s="137"/>
      <c r="M358" s="139"/>
      <c r="N358" s="137"/>
      <c r="O358" s="137"/>
      <c r="P358" s="139"/>
      <c r="Q358" s="137"/>
      <c r="R358" s="137"/>
      <c r="S358" s="137"/>
      <c r="T358" s="137"/>
      <c r="U358" s="137"/>
      <c r="V358" s="150"/>
      <c r="W358" s="26"/>
    </row>
    <row r="359" spans="1:23" ht="20" customHeight="1">
      <c r="A359" s="380"/>
      <c r="B359" s="156"/>
      <c r="C359" s="137"/>
      <c r="D359" s="137"/>
      <c r="E359" s="137"/>
      <c r="F359" s="137"/>
      <c r="G359" s="136"/>
      <c r="H359" s="137"/>
      <c r="I359" s="137"/>
      <c r="J359" s="138"/>
      <c r="K359" s="137"/>
      <c r="L359" s="137"/>
      <c r="M359" s="139"/>
      <c r="N359" s="137"/>
      <c r="O359" s="137"/>
      <c r="P359" s="139"/>
      <c r="Q359" s="137"/>
      <c r="R359" s="137"/>
      <c r="S359" s="137"/>
      <c r="T359" s="137"/>
      <c r="U359" s="137"/>
      <c r="V359" s="150"/>
      <c r="W359" s="26"/>
    </row>
    <row r="360" spans="1:23" ht="20" customHeight="1">
      <c r="A360" s="380"/>
      <c r="B360" s="156"/>
      <c r="C360" s="137"/>
      <c r="D360" s="137"/>
      <c r="E360" s="137"/>
      <c r="F360" s="137"/>
      <c r="G360" s="136"/>
      <c r="H360" s="137"/>
      <c r="I360" s="137"/>
      <c r="J360" s="138"/>
      <c r="K360" s="137"/>
      <c r="L360" s="137"/>
      <c r="M360" s="139"/>
      <c r="N360" s="137"/>
      <c r="O360" s="137"/>
      <c r="P360" s="139"/>
      <c r="Q360" s="137"/>
      <c r="R360" s="137"/>
      <c r="S360" s="137"/>
      <c r="T360" s="137"/>
      <c r="U360" s="137"/>
      <c r="V360" s="150"/>
      <c r="W360" s="26"/>
    </row>
    <row r="361" spans="1:23" ht="20" customHeight="1">
      <c r="A361" s="380"/>
      <c r="B361" s="156"/>
      <c r="C361" s="137"/>
      <c r="D361" s="137"/>
      <c r="E361" s="137"/>
      <c r="F361" s="137"/>
      <c r="G361" s="136"/>
      <c r="H361" s="137"/>
      <c r="I361" s="137"/>
      <c r="J361" s="138"/>
      <c r="K361" s="137"/>
      <c r="L361" s="137"/>
      <c r="M361" s="139"/>
      <c r="N361" s="137"/>
      <c r="O361" s="137"/>
      <c r="P361" s="139"/>
      <c r="Q361" s="137"/>
      <c r="R361" s="137"/>
      <c r="S361" s="137"/>
      <c r="T361" s="137"/>
      <c r="U361" s="137"/>
      <c r="V361" s="150"/>
      <c r="W361" s="26"/>
    </row>
    <row r="362" spans="1:23" ht="20" customHeight="1">
      <c r="A362" s="380"/>
      <c r="B362" s="156"/>
      <c r="C362" s="137"/>
      <c r="D362" s="137"/>
      <c r="E362" s="137"/>
      <c r="F362" s="137"/>
      <c r="G362" s="136"/>
      <c r="H362" s="137"/>
      <c r="I362" s="137"/>
      <c r="J362" s="138"/>
      <c r="K362" s="137"/>
      <c r="L362" s="137"/>
      <c r="M362" s="139"/>
      <c r="N362" s="137"/>
      <c r="O362" s="137"/>
      <c r="P362" s="139"/>
      <c r="Q362" s="137"/>
      <c r="R362" s="137"/>
      <c r="S362" s="137"/>
      <c r="T362" s="137"/>
      <c r="U362" s="137"/>
      <c r="V362" s="150"/>
      <c r="W362" s="26"/>
    </row>
    <row r="363" spans="1:23" ht="20" customHeight="1">
      <c r="A363" s="380"/>
      <c r="B363" s="156"/>
      <c r="C363" s="137"/>
      <c r="D363" s="137"/>
      <c r="E363" s="137"/>
      <c r="F363" s="137"/>
      <c r="G363" s="136"/>
      <c r="H363" s="137"/>
      <c r="I363" s="137"/>
      <c r="J363" s="138"/>
      <c r="K363" s="137"/>
      <c r="L363" s="137"/>
      <c r="M363" s="139"/>
      <c r="N363" s="137"/>
      <c r="O363" s="137"/>
      <c r="P363" s="139"/>
      <c r="Q363" s="137"/>
      <c r="R363" s="137"/>
      <c r="S363" s="137"/>
      <c r="T363" s="137"/>
      <c r="U363" s="137"/>
      <c r="V363" s="150"/>
      <c r="W363" s="26"/>
    </row>
    <row r="364" spans="1:23" ht="20" customHeight="1">
      <c r="A364" s="380"/>
      <c r="B364" s="156"/>
      <c r="C364" s="137"/>
      <c r="D364" s="137"/>
      <c r="E364" s="137"/>
      <c r="F364" s="137"/>
      <c r="G364" s="136"/>
      <c r="H364" s="137"/>
      <c r="I364" s="137"/>
      <c r="J364" s="138"/>
      <c r="K364" s="137"/>
      <c r="L364" s="137"/>
      <c r="M364" s="139"/>
      <c r="N364" s="137"/>
      <c r="O364" s="137"/>
      <c r="P364" s="139"/>
      <c r="Q364" s="137"/>
      <c r="R364" s="137"/>
      <c r="S364" s="137"/>
      <c r="T364" s="137"/>
      <c r="U364" s="137"/>
      <c r="V364" s="150"/>
      <c r="W364" s="26"/>
    </row>
    <row r="365" spans="1:23" ht="20" customHeight="1" thickBot="1">
      <c r="A365" s="381"/>
      <c r="B365" s="157"/>
      <c r="C365" s="151"/>
      <c r="D365" s="151"/>
      <c r="E365" s="151"/>
      <c r="F365" s="151"/>
      <c r="G365" s="152"/>
      <c r="H365" s="151"/>
      <c r="I365" s="151"/>
      <c r="J365" s="153"/>
      <c r="K365" s="151"/>
      <c r="L365" s="151"/>
      <c r="M365" s="154"/>
      <c r="N365" s="151"/>
      <c r="O365" s="151"/>
      <c r="P365" s="154"/>
      <c r="Q365" s="151"/>
      <c r="R365" s="151"/>
      <c r="S365" s="151"/>
      <c r="T365" s="151"/>
      <c r="U365" s="151"/>
      <c r="V365" s="155"/>
      <c r="W365" s="26"/>
    </row>
    <row r="366" spans="1:23" ht="20" customHeight="1">
      <c r="A366" s="379" t="str">
        <f>'Read Me First'!C19</f>
        <v>Great Milton AC</v>
      </c>
      <c r="B366" s="144" t="str" cm="1">
        <f t="array" ref="B366">_xlfn.LET(_xlpm.x, _xlfn._xlws.SORT(_xlfn._xlws.FILTER(Data!$A$378:$U$665,(Data!$C$378:$C$665=$A366)*(Data!$D$378:$D$665=$E$196)*(Data!$E$378:$E$665="U10")),18),_xlpm.y,_xlfn._xlws.SORT(_xlfn._xlws.FILTER(Data!$A$378:$U$665,(Data!$C$378:$C$665=$A366)*(Data!$D$378:$D$665=$E$196)*(Data!$E$378:$E$665="U12")),19), IFERROR(_xlfn.VSTACK(_xlpm.x,_xlpm.y), IFERROR(_xlpm.y,IFERROR(_xlpm.x, ""))))</f>
        <v/>
      </c>
      <c r="C366" s="145"/>
      <c r="D366" s="145"/>
      <c r="E366" s="145"/>
      <c r="F366" s="145"/>
      <c r="G366" s="146"/>
      <c r="H366" s="145"/>
      <c r="I366" s="145"/>
      <c r="J366" s="147"/>
      <c r="K366" s="145"/>
      <c r="L366" s="145"/>
      <c r="M366" s="148"/>
      <c r="N366" s="145"/>
      <c r="O366" s="145"/>
      <c r="P366" s="148"/>
      <c r="Q366" s="145"/>
      <c r="R366" s="145"/>
      <c r="S366" s="145"/>
      <c r="T366" s="145"/>
      <c r="U366" s="145"/>
      <c r="V366" s="149"/>
      <c r="W366" s="26"/>
    </row>
    <row r="367" spans="1:23" ht="20" customHeight="1">
      <c r="A367" s="380"/>
      <c r="B367" s="156"/>
      <c r="C367" s="137"/>
      <c r="D367" s="137"/>
      <c r="E367" s="137"/>
      <c r="F367" s="137"/>
      <c r="G367" s="136"/>
      <c r="H367" s="137"/>
      <c r="I367" s="137"/>
      <c r="J367" s="138"/>
      <c r="K367" s="137"/>
      <c r="L367" s="137"/>
      <c r="M367" s="139"/>
      <c r="N367" s="137"/>
      <c r="O367" s="137"/>
      <c r="P367" s="139"/>
      <c r="Q367" s="137"/>
      <c r="R367" s="137"/>
      <c r="S367" s="137"/>
      <c r="T367" s="137"/>
      <c r="U367" s="137"/>
      <c r="V367" s="150"/>
      <c r="W367" s="26"/>
    </row>
    <row r="368" spans="1:23" ht="20" customHeight="1">
      <c r="A368" s="380"/>
      <c r="B368" s="156"/>
      <c r="C368" s="137"/>
      <c r="D368" s="137"/>
      <c r="E368" s="137"/>
      <c r="F368" s="137"/>
      <c r="G368" s="136"/>
      <c r="H368" s="137"/>
      <c r="I368" s="137"/>
      <c r="J368" s="138"/>
      <c r="K368" s="137"/>
      <c r="L368" s="137"/>
      <c r="M368" s="139"/>
      <c r="N368" s="137"/>
      <c r="O368" s="137"/>
      <c r="P368" s="139"/>
      <c r="Q368" s="137"/>
      <c r="R368" s="137"/>
      <c r="S368" s="137"/>
      <c r="T368" s="137"/>
      <c r="U368" s="137"/>
      <c r="V368" s="150"/>
      <c r="W368" s="20"/>
    </row>
    <row r="369" spans="1:23" ht="20" customHeight="1">
      <c r="A369" s="380"/>
      <c r="B369" s="156"/>
      <c r="C369" s="137"/>
      <c r="D369" s="137"/>
      <c r="E369" s="137"/>
      <c r="F369" s="137"/>
      <c r="G369" s="136"/>
      <c r="H369" s="137"/>
      <c r="I369" s="137"/>
      <c r="J369" s="138"/>
      <c r="K369" s="137"/>
      <c r="L369" s="137"/>
      <c r="M369" s="139"/>
      <c r="N369" s="137"/>
      <c r="O369" s="137"/>
      <c r="P369" s="139"/>
      <c r="Q369" s="137"/>
      <c r="R369" s="137"/>
      <c r="S369" s="137"/>
      <c r="T369" s="137"/>
      <c r="U369" s="137"/>
      <c r="V369" s="150"/>
      <c r="W369" s="26"/>
    </row>
    <row r="370" spans="1:23" ht="20" customHeight="1">
      <c r="A370" s="380"/>
      <c r="B370" s="156"/>
      <c r="C370" s="137"/>
      <c r="D370" s="137"/>
      <c r="E370" s="137"/>
      <c r="F370" s="137"/>
      <c r="G370" s="136"/>
      <c r="H370" s="137"/>
      <c r="I370" s="137"/>
      <c r="J370" s="138"/>
      <c r="K370" s="137"/>
      <c r="L370" s="137"/>
      <c r="M370" s="139"/>
      <c r="N370" s="137"/>
      <c r="O370" s="137"/>
      <c r="P370" s="139"/>
      <c r="Q370" s="137"/>
      <c r="R370" s="137"/>
      <c r="S370" s="137"/>
      <c r="T370" s="137"/>
      <c r="U370" s="137"/>
      <c r="V370" s="150"/>
      <c r="W370" s="26"/>
    </row>
    <row r="371" spans="1:23" ht="20" customHeight="1">
      <c r="A371" s="380"/>
      <c r="B371" s="156"/>
      <c r="C371" s="137"/>
      <c r="D371" s="137"/>
      <c r="E371" s="137"/>
      <c r="F371" s="137"/>
      <c r="G371" s="136"/>
      <c r="H371" s="137"/>
      <c r="I371" s="137"/>
      <c r="J371" s="138"/>
      <c r="K371" s="137"/>
      <c r="L371" s="137"/>
      <c r="M371" s="139"/>
      <c r="N371" s="137"/>
      <c r="O371" s="137"/>
      <c r="P371" s="139"/>
      <c r="Q371" s="137"/>
      <c r="R371" s="137"/>
      <c r="S371" s="137"/>
      <c r="T371" s="137"/>
      <c r="U371" s="137"/>
      <c r="V371" s="150"/>
      <c r="W371" s="26"/>
    </row>
    <row r="372" spans="1:23" ht="20" customHeight="1">
      <c r="A372" s="380"/>
      <c r="B372" s="156"/>
      <c r="C372" s="137"/>
      <c r="D372" s="137"/>
      <c r="E372" s="137"/>
      <c r="F372" s="137"/>
      <c r="G372" s="136"/>
      <c r="H372" s="137"/>
      <c r="I372" s="137"/>
      <c r="J372" s="138"/>
      <c r="K372" s="137"/>
      <c r="L372" s="137"/>
      <c r="M372" s="139"/>
      <c r="N372" s="137"/>
      <c r="O372" s="137"/>
      <c r="P372" s="139"/>
      <c r="Q372" s="137"/>
      <c r="R372" s="137"/>
      <c r="S372" s="137"/>
      <c r="T372" s="137"/>
      <c r="U372" s="137"/>
      <c r="V372" s="150"/>
      <c r="W372" s="26"/>
    </row>
    <row r="373" spans="1:23" ht="20" customHeight="1">
      <c r="A373" s="380"/>
      <c r="B373" s="156"/>
      <c r="C373" s="137"/>
      <c r="D373" s="137"/>
      <c r="E373" s="137"/>
      <c r="F373" s="137"/>
      <c r="G373" s="136"/>
      <c r="H373" s="137"/>
      <c r="I373" s="137"/>
      <c r="J373" s="138"/>
      <c r="K373" s="137"/>
      <c r="L373" s="137"/>
      <c r="M373" s="139"/>
      <c r="N373" s="137"/>
      <c r="O373" s="137"/>
      <c r="P373" s="139"/>
      <c r="Q373" s="137"/>
      <c r="R373" s="137"/>
      <c r="S373" s="137"/>
      <c r="T373" s="137"/>
      <c r="U373" s="137"/>
      <c r="V373" s="150"/>
      <c r="W373" s="26"/>
    </row>
    <row r="374" spans="1:23" ht="20" customHeight="1">
      <c r="A374" s="380"/>
      <c r="B374" s="156"/>
      <c r="C374" s="137"/>
      <c r="D374" s="137"/>
      <c r="E374" s="137"/>
      <c r="F374" s="137"/>
      <c r="G374" s="136"/>
      <c r="H374" s="137"/>
      <c r="I374" s="137"/>
      <c r="J374" s="138"/>
      <c r="K374" s="137"/>
      <c r="L374" s="137"/>
      <c r="M374" s="139"/>
      <c r="N374" s="137"/>
      <c r="O374" s="137"/>
      <c r="P374" s="139"/>
      <c r="Q374" s="137"/>
      <c r="R374" s="137"/>
      <c r="S374" s="137"/>
      <c r="T374" s="137"/>
      <c r="U374" s="137"/>
      <c r="V374" s="150"/>
      <c r="W374" s="26"/>
    </row>
    <row r="375" spans="1:23" ht="20" customHeight="1">
      <c r="A375" s="380"/>
      <c r="B375" s="156"/>
      <c r="C375" s="137"/>
      <c r="D375" s="137"/>
      <c r="E375" s="137"/>
      <c r="F375" s="137"/>
      <c r="G375" s="136"/>
      <c r="H375" s="137"/>
      <c r="I375" s="137"/>
      <c r="J375" s="138"/>
      <c r="K375" s="137"/>
      <c r="L375" s="137"/>
      <c r="M375" s="139"/>
      <c r="N375" s="137"/>
      <c r="O375" s="137"/>
      <c r="P375" s="139"/>
      <c r="Q375" s="137"/>
      <c r="R375" s="137"/>
      <c r="S375" s="137"/>
      <c r="T375" s="137"/>
      <c r="U375" s="137"/>
      <c r="V375" s="150"/>
      <c r="W375" s="26"/>
    </row>
    <row r="376" spans="1:23" ht="20" customHeight="1">
      <c r="A376" s="380"/>
      <c r="B376" s="156"/>
      <c r="C376" s="137"/>
      <c r="D376" s="137"/>
      <c r="E376" s="137"/>
      <c r="F376" s="137"/>
      <c r="G376" s="136"/>
      <c r="H376" s="137"/>
      <c r="I376" s="137"/>
      <c r="J376" s="138"/>
      <c r="K376" s="137"/>
      <c r="L376" s="137"/>
      <c r="M376" s="139"/>
      <c r="N376" s="137"/>
      <c r="O376" s="137"/>
      <c r="P376" s="139"/>
      <c r="Q376" s="137"/>
      <c r="R376" s="137"/>
      <c r="S376" s="137"/>
      <c r="T376" s="137"/>
      <c r="U376" s="137"/>
      <c r="V376" s="150"/>
      <c r="W376" s="26"/>
    </row>
    <row r="377" spans="1:23" ht="20" customHeight="1">
      <c r="A377" s="380"/>
      <c r="B377" s="156"/>
      <c r="C377" s="137"/>
      <c r="D377" s="137"/>
      <c r="E377" s="137"/>
      <c r="F377" s="137"/>
      <c r="G377" s="136"/>
      <c r="H377" s="137"/>
      <c r="I377" s="137"/>
      <c r="J377" s="138"/>
      <c r="K377" s="137"/>
      <c r="L377" s="137"/>
      <c r="M377" s="139"/>
      <c r="N377" s="137"/>
      <c r="O377" s="137"/>
      <c r="P377" s="139"/>
      <c r="Q377" s="137"/>
      <c r="R377" s="137"/>
      <c r="S377" s="137"/>
      <c r="T377" s="137"/>
      <c r="U377" s="137"/>
      <c r="V377" s="150"/>
      <c r="W377" s="26"/>
    </row>
    <row r="378" spans="1:23" ht="20" customHeight="1">
      <c r="A378" s="380"/>
      <c r="B378" s="156"/>
      <c r="C378" s="137"/>
      <c r="D378" s="137"/>
      <c r="E378" s="137"/>
      <c r="F378" s="137"/>
      <c r="G378" s="136"/>
      <c r="H378" s="137"/>
      <c r="I378" s="137"/>
      <c r="J378" s="138"/>
      <c r="K378" s="137"/>
      <c r="L378" s="137"/>
      <c r="M378" s="139"/>
      <c r="N378" s="137"/>
      <c r="O378" s="137"/>
      <c r="P378" s="139"/>
      <c r="Q378" s="137"/>
      <c r="R378" s="137"/>
      <c r="S378" s="137"/>
      <c r="T378" s="137"/>
      <c r="U378" s="137"/>
      <c r="V378" s="150"/>
      <c r="W378" s="26"/>
    </row>
    <row r="379" spans="1:23" ht="20" customHeight="1">
      <c r="A379" s="380"/>
      <c r="B379" s="156"/>
      <c r="C379" s="137"/>
      <c r="D379" s="137"/>
      <c r="E379" s="137"/>
      <c r="F379" s="137"/>
      <c r="G379" s="136"/>
      <c r="H379" s="137"/>
      <c r="I379" s="137"/>
      <c r="J379" s="138"/>
      <c r="K379" s="137"/>
      <c r="L379" s="137"/>
      <c r="M379" s="139"/>
      <c r="N379" s="137"/>
      <c r="O379" s="137"/>
      <c r="P379" s="139"/>
      <c r="Q379" s="137"/>
      <c r="R379" s="137"/>
      <c r="S379" s="137"/>
      <c r="T379" s="137"/>
      <c r="U379" s="137"/>
      <c r="V379" s="150"/>
      <c r="W379" s="26"/>
    </row>
    <row r="380" spans="1:23" ht="20" customHeight="1">
      <c r="A380" s="380"/>
      <c r="B380" s="156"/>
      <c r="C380" s="137"/>
      <c r="D380" s="137"/>
      <c r="E380" s="137"/>
      <c r="F380" s="137"/>
      <c r="G380" s="136"/>
      <c r="H380" s="137"/>
      <c r="I380" s="137"/>
      <c r="J380" s="138"/>
      <c r="K380" s="137"/>
      <c r="L380" s="137"/>
      <c r="M380" s="139"/>
      <c r="N380" s="137"/>
      <c r="O380" s="137"/>
      <c r="P380" s="139"/>
      <c r="Q380" s="137"/>
      <c r="R380" s="137"/>
      <c r="S380" s="137"/>
      <c r="T380" s="137"/>
      <c r="U380" s="137"/>
      <c r="V380" s="150"/>
      <c r="W380" s="26"/>
    </row>
    <row r="381" spans="1:23" ht="20" customHeight="1">
      <c r="A381" s="380"/>
      <c r="B381" s="156"/>
      <c r="C381" s="137"/>
      <c r="D381" s="137"/>
      <c r="E381" s="137"/>
      <c r="F381" s="137"/>
      <c r="G381" s="136"/>
      <c r="H381" s="137"/>
      <c r="I381" s="137"/>
      <c r="J381" s="138"/>
      <c r="K381" s="137"/>
      <c r="L381" s="137"/>
      <c r="M381" s="139"/>
      <c r="N381" s="137"/>
      <c r="O381" s="137"/>
      <c r="P381" s="139"/>
      <c r="Q381" s="137"/>
      <c r="R381" s="137"/>
      <c r="S381" s="137"/>
      <c r="T381" s="137"/>
      <c r="U381" s="137"/>
      <c r="V381" s="150"/>
      <c r="W381" s="26"/>
    </row>
    <row r="382" spans="1:23" ht="20" customHeight="1">
      <c r="A382" s="380"/>
      <c r="B382" s="156"/>
      <c r="C382" s="137"/>
      <c r="D382" s="137"/>
      <c r="E382" s="137"/>
      <c r="F382" s="137"/>
      <c r="G382" s="136"/>
      <c r="H382" s="137"/>
      <c r="I382" s="137"/>
      <c r="J382" s="138"/>
      <c r="K382" s="137"/>
      <c r="L382" s="137"/>
      <c r="M382" s="139"/>
      <c r="N382" s="137"/>
      <c r="O382" s="137"/>
      <c r="P382" s="139"/>
      <c r="Q382" s="137"/>
      <c r="R382" s="137"/>
      <c r="S382" s="137"/>
      <c r="T382" s="137"/>
      <c r="U382" s="137"/>
      <c r="V382" s="150"/>
      <c r="W382" s="26"/>
    </row>
    <row r="383" spans="1:23" ht="20" customHeight="1">
      <c r="A383" s="380"/>
      <c r="B383" s="156"/>
      <c r="C383" s="137"/>
      <c r="D383" s="137"/>
      <c r="E383" s="137"/>
      <c r="F383" s="137"/>
      <c r="G383" s="136"/>
      <c r="H383" s="137"/>
      <c r="I383" s="137"/>
      <c r="J383" s="138"/>
      <c r="K383" s="137"/>
      <c r="L383" s="137"/>
      <c r="M383" s="139"/>
      <c r="N383" s="137"/>
      <c r="O383" s="137"/>
      <c r="P383" s="139"/>
      <c r="Q383" s="137"/>
      <c r="R383" s="137"/>
      <c r="S383" s="137"/>
      <c r="T383" s="137"/>
      <c r="U383" s="137"/>
      <c r="V383" s="150"/>
      <c r="W383" s="26"/>
    </row>
    <row r="384" spans="1:23" ht="20" customHeight="1">
      <c r="A384" s="380"/>
      <c r="B384" s="156"/>
      <c r="C384" s="137"/>
      <c r="D384" s="137"/>
      <c r="E384" s="137"/>
      <c r="F384" s="137"/>
      <c r="G384" s="136"/>
      <c r="H384" s="137"/>
      <c r="I384" s="137"/>
      <c r="J384" s="138"/>
      <c r="K384" s="137"/>
      <c r="L384" s="137"/>
      <c r="M384" s="139"/>
      <c r="N384" s="137"/>
      <c r="O384" s="137"/>
      <c r="P384" s="139"/>
      <c r="Q384" s="137"/>
      <c r="R384" s="137"/>
      <c r="S384" s="137"/>
      <c r="T384" s="137"/>
      <c r="U384" s="137"/>
      <c r="V384" s="150"/>
      <c r="W384" s="26"/>
    </row>
    <row r="385" spans="1:23" ht="20" customHeight="1" thickBot="1">
      <c r="A385" s="381"/>
      <c r="B385" s="157"/>
      <c r="C385" s="151"/>
      <c r="D385" s="151"/>
      <c r="E385" s="151"/>
      <c r="F385" s="151"/>
      <c r="G385" s="152"/>
      <c r="H385" s="151"/>
      <c r="I385" s="151"/>
      <c r="J385" s="153"/>
      <c r="K385" s="151"/>
      <c r="L385" s="151"/>
      <c r="M385" s="154"/>
      <c r="N385" s="151"/>
      <c r="O385" s="151"/>
      <c r="P385" s="154"/>
      <c r="Q385" s="151"/>
      <c r="R385" s="151"/>
      <c r="S385" s="151"/>
      <c r="T385" s="151"/>
      <c r="U385" s="151"/>
      <c r="V385" s="155"/>
      <c r="W385" s="26"/>
    </row>
    <row r="386" spans="1:23" ht="18">
      <c r="W386" s="26"/>
    </row>
    <row r="387" spans="1:23" ht="18">
      <c r="W387" s="26"/>
    </row>
    <row r="388" spans="1:23" ht="18">
      <c r="W388" s="26"/>
    </row>
    <row r="389" spans="1:23" ht="17" customHeight="1">
      <c r="B389" s="187"/>
      <c r="C389" s="187"/>
      <c r="D389" s="187"/>
      <c r="E389" s="187"/>
      <c r="F389" s="187"/>
      <c r="G389" s="187"/>
      <c r="H389" s="187"/>
      <c r="I389" s="187"/>
      <c r="J389" s="187"/>
      <c r="K389" s="187"/>
      <c r="L389" s="187"/>
      <c r="M389" s="187"/>
      <c r="N389" s="187"/>
      <c r="O389" s="187"/>
      <c r="P389" s="187"/>
      <c r="Q389" s="187"/>
      <c r="R389" s="187"/>
      <c r="S389" s="187"/>
      <c r="T389" s="187"/>
      <c r="U389" s="187"/>
      <c r="V389" s="26"/>
      <c r="W389"/>
    </row>
    <row r="390" spans="1:23" ht="18">
      <c r="W390" s="26"/>
    </row>
    <row r="391" spans="1:23" ht="18">
      <c r="W391" s="26"/>
    </row>
    <row r="392" spans="1:23" ht="18">
      <c r="W392" s="26"/>
    </row>
    <row r="393" spans="1:23" ht="18">
      <c r="W393" s="26"/>
    </row>
    <row r="394" spans="1:23" ht="18">
      <c r="W394" s="26"/>
    </row>
    <row r="395" spans="1:23" ht="45">
      <c r="B395" s="403" t="s">
        <v>101</v>
      </c>
      <c r="C395" s="404"/>
      <c r="D395" s="404"/>
      <c r="E395" s="404"/>
      <c r="F395" s="404"/>
      <c r="G395" s="404"/>
      <c r="H395" s="404"/>
      <c r="I395" s="404"/>
      <c r="J395" s="404"/>
      <c r="K395" s="404"/>
      <c r="L395" s="404"/>
      <c r="M395" s="404"/>
      <c r="N395" s="404"/>
      <c r="O395" s="404"/>
      <c r="P395" s="404"/>
      <c r="Q395" s="404"/>
      <c r="R395" s="404"/>
      <c r="S395" s="404"/>
      <c r="T395" s="404"/>
      <c r="U395" s="405"/>
      <c r="V395" s="26"/>
      <c r="W395"/>
    </row>
    <row r="396" spans="1:23" ht="20" customHeight="1">
      <c r="B396" s="167"/>
      <c r="C396" s="167"/>
      <c r="D396" s="167"/>
      <c r="E396" s="167"/>
      <c r="F396" s="167"/>
      <c r="G396" s="167"/>
      <c r="H396" s="167"/>
      <c r="I396" s="172"/>
      <c r="J396" s="172"/>
      <c r="K396" s="167"/>
      <c r="L396" s="167"/>
      <c r="M396" s="167"/>
      <c r="N396" s="167"/>
      <c r="O396" s="167"/>
      <c r="P396" s="167"/>
      <c r="Q396" s="167"/>
      <c r="R396" s="167"/>
      <c r="S396" s="167"/>
      <c r="T396" s="167"/>
      <c r="U396" s="167"/>
      <c r="V396" s="26"/>
      <c r="W396"/>
    </row>
    <row r="397" spans="1:23" ht="31" customHeight="1">
      <c r="A397" s="41"/>
      <c r="B397" s="400" t="s">
        <v>167</v>
      </c>
      <c r="C397" s="370"/>
      <c r="D397" s="165" t="s">
        <v>1</v>
      </c>
      <c r="E397" s="374" t="s">
        <v>99</v>
      </c>
      <c r="F397" s="375"/>
      <c r="G397" s="171" t="s">
        <v>100</v>
      </c>
      <c r="H397" s="170"/>
      <c r="K397" s="366" t="s">
        <v>169</v>
      </c>
      <c r="L397" s="366"/>
      <c r="M397" s="366"/>
      <c r="N397" s="366"/>
      <c r="O397" s="366"/>
      <c r="P397" s="366" t="s">
        <v>1</v>
      </c>
      <c r="Q397" s="366"/>
      <c r="R397" s="401" t="s">
        <v>99</v>
      </c>
      <c r="S397" s="375"/>
      <c r="T397" s="374" t="s">
        <v>100</v>
      </c>
      <c r="U397" s="375"/>
      <c r="W397"/>
    </row>
    <row r="398" spans="1:23" ht="31" customHeight="1">
      <c r="A398" s="41"/>
      <c r="B398" s="372" t="str">
        <f>IF(Data!M677=0,"",Data!M677)</f>
        <v/>
      </c>
      <c r="C398" s="373"/>
      <c r="D398" s="164" t="str">
        <f>IF(Data!N677=0,"",Data!N677)</f>
        <v/>
      </c>
      <c r="E398" s="372" t="str">
        <f>IF(Data!O677=0,"",Data!O677)</f>
        <v/>
      </c>
      <c r="F398" s="373"/>
      <c r="G398" s="372" t="str">
        <f>IF(Data!P677=0,"",Data!P677)</f>
        <v/>
      </c>
      <c r="H398" s="373"/>
      <c r="K398" s="372" t="str">
        <f>IF(Data!A677=0,"",Data!A677)</f>
        <v/>
      </c>
      <c r="L398" s="402"/>
      <c r="M398" s="402"/>
      <c r="N398" s="402"/>
      <c r="O398" s="373"/>
      <c r="P398" s="372" t="str">
        <f>IF(Data!B677=0,"",Data!B677)</f>
        <v/>
      </c>
      <c r="Q398" s="373"/>
      <c r="R398" s="372" t="str">
        <f>IF(Data!C677=0,"",Data!C677)</f>
        <v/>
      </c>
      <c r="S398" s="373"/>
      <c r="T398" s="372" t="str">
        <f>IF(Data!D677=0,"",Data!D677)</f>
        <v/>
      </c>
      <c r="U398" s="373"/>
      <c r="W398"/>
    </row>
    <row r="399" spans="1:23" ht="31" customHeight="1">
      <c r="A399" s="41"/>
      <c r="B399" s="372" t="str">
        <f>IF(Data!M678=0,"",Data!M678)</f>
        <v/>
      </c>
      <c r="C399" s="373"/>
      <c r="D399" s="164" t="str">
        <f>IF(Data!N678=0,"",Data!N678)</f>
        <v/>
      </c>
      <c r="E399" s="372" t="str">
        <f>IF(Data!O678=0,"",Data!O678)</f>
        <v/>
      </c>
      <c r="F399" s="373"/>
      <c r="G399" s="372" t="str">
        <f>IF(Data!P678=0,"",Data!P678)</f>
        <v/>
      </c>
      <c r="H399" s="373"/>
      <c r="K399" s="372" t="str">
        <f>IF(Data!A678=0,"",Data!A678)</f>
        <v/>
      </c>
      <c r="L399" s="402"/>
      <c r="M399" s="402"/>
      <c r="N399" s="402"/>
      <c r="O399" s="373"/>
      <c r="P399" s="372" t="str">
        <f>IF(Data!B678=0,"",Data!B678)</f>
        <v/>
      </c>
      <c r="Q399" s="373"/>
      <c r="R399" s="372" t="str">
        <f>IF(Data!C678=0,"",Data!C678)</f>
        <v/>
      </c>
      <c r="S399" s="373"/>
      <c r="T399" s="372" t="str">
        <f>IF(Data!D678=0,"",Data!D678)</f>
        <v/>
      </c>
      <c r="U399" s="373"/>
      <c r="W399"/>
    </row>
    <row r="400" spans="1:23" ht="31" customHeight="1">
      <c r="A400" s="41"/>
      <c r="B400" s="372" t="str">
        <f>IF(Data!M679=0,"",Data!M679)</f>
        <v/>
      </c>
      <c r="C400" s="373"/>
      <c r="D400" s="164" t="str">
        <f>IF(Data!N679=0,"",Data!N679)</f>
        <v/>
      </c>
      <c r="E400" s="372" t="str">
        <f>IF(Data!O679=0,"",Data!O679)</f>
        <v/>
      </c>
      <c r="F400" s="373"/>
      <c r="G400" s="372" t="str">
        <f>IF(Data!P679=0,"",Data!P679)</f>
        <v/>
      </c>
      <c r="H400" s="373"/>
      <c r="K400" s="372" t="str">
        <f>IF(Data!A679=0,"",Data!A679)</f>
        <v/>
      </c>
      <c r="L400" s="402"/>
      <c r="M400" s="402"/>
      <c r="N400" s="402"/>
      <c r="O400" s="373"/>
      <c r="P400" s="372" t="str">
        <f>IF(Data!B679=0,"",Data!B679)</f>
        <v/>
      </c>
      <c r="Q400" s="373"/>
      <c r="R400" s="372" t="str">
        <f>IF(Data!C679=0,"",Data!C679)</f>
        <v/>
      </c>
      <c r="S400" s="373"/>
      <c r="T400" s="372" t="str">
        <f>IF(Data!D679=0,"",Data!D679)</f>
        <v/>
      </c>
      <c r="U400" s="373"/>
      <c r="W400"/>
    </row>
    <row r="401" spans="1:23" ht="31" customHeight="1">
      <c r="A401" s="41"/>
      <c r="B401" s="372" t="str">
        <f>IF(Data!M680=0,"",Data!M680)</f>
        <v/>
      </c>
      <c r="C401" s="373"/>
      <c r="D401" s="164" t="str">
        <f>IF(Data!N680=0,"",Data!N680)</f>
        <v/>
      </c>
      <c r="E401" s="372" t="str">
        <f>IF(Data!O680=0,"",Data!O680)</f>
        <v/>
      </c>
      <c r="F401" s="373"/>
      <c r="G401" s="372" t="str">
        <f>IF(Data!P680=0,"",Data!P680)</f>
        <v/>
      </c>
      <c r="H401" s="373"/>
      <c r="K401" s="372" t="str">
        <f>IF(Data!A680=0,"",Data!A680)</f>
        <v/>
      </c>
      <c r="L401" s="402"/>
      <c r="M401" s="402"/>
      <c r="N401" s="402"/>
      <c r="O401" s="373"/>
      <c r="P401" s="372" t="str">
        <f>IF(Data!B680=0,"",Data!B680)</f>
        <v/>
      </c>
      <c r="Q401" s="373"/>
      <c r="R401" s="372" t="str">
        <f>IF(Data!C680=0,"",Data!C680)</f>
        <v/>
      </c>
      <c r="S401" s="373"/>
      <c r="T401" s="372" t="str">
        <f>IF(Data!D680=0,"",Data!D680)</f>
        <v/>
      </c>
      <c r="U401" s="373"/>
      <c r="V401"/>
      <c r="W401"/>
    </row>
    <row r="402" spans="1:23" ht="31" customHeight="1">
      <c r="A402" s="41"/>
      <c r="B402" s="372" t="str">
        <f>IF(Data!M681=0,"",Data!M681)</f>
        <v/>
      </c>
      <c r="C402" s="373"/>
      <c r="D402" s="164" t="str">
        <f>IF(Data!N681=0,"",Data!N681)</f>
        <v/>
      </c>
      <c r="E402" s="372" t="str">
        <f>IF(Data!O681=0,"",Data!O681)</f>
        <v/>
      </c>
      <c r="F402" s="373"/>
      <c r="G402" s="372" t="str">
        <f>IF(Data!P681=0,"",Data!P681)</f>
        <v/>
      </c>
      <c r="H402" s="373"/>
      <c r="K402" s="372" t="str">
        <f>IF(Data!A681=0,"",Data!A681)</f>
        <v/>
      </c>
      <c r="L402" s="402"/>
      <c r="M402" s="402"/>
      <c r="N402" s="402"/>
      <c r="O402" s="373"/>
      <c r="P402" s="372" t="str">
        <f>IF(Data!B681=0,"",Data!B681)</f>
        <v/>
      </c>
      <c r="Q402" s="373"/>
      <c r="R402" s="372" t="str">
        <f>IF(Data!C681=0,"",Data!C681)</f>
        <v/>
      </c>
      <c r="S402" s="373"/>
      <c r="T402" s="372" t="str">
        <f>IF(Data!D681=0,"",Data!D681)</f>
        <v/>
      </c>
      <c r="U402" s="373"/>
      <c r="V402"/>
      <c r="W402"/>
    </row>
    <row r="403" spans="1:23" ht="31" customHeight="1">
      <c r="A403" s="41"/>
      <c r="B403" s="372" t="str">
        <f>IF(Data!M682=0,"",Data!M682)</f>
        <v/>
      </c>
      <c r="C403" s="373"/>
      <c r="D403" s="164" t="str">
        <f>IF(Data!N682=0,"",Data!N682)</f>
        <v/>
      </c>
      <c r="E403" s="372" t="str">
        <f>IF(Data!O682=0,"",Data!O682)</f>
        <v/>
      </c>
      <c r="F403" s="373"/>
      <c r="G403" s="372" t="str">
        <f>IF(Data!P682=0,"",Data!P682)</f>
        <v/>
      </c>
      <c r="H403" s="373"/>
      <c r="K403" s="372" t="str">
        <f>IF(Data!A682=0,"",Data!A682)</f>
        <v/>
      </c>
      <c r="L403" s="402"/>
      <c r="M403" s="402"/>
      <c r="N403" s="402"/>
      <c r="O403" s="373"/>
      <c r="P403" s="372" t="str">
        <f>IF(Data!B682=0,"",Data!B682)</f>
        <v/>
      </c>
      <c r="Q403" s="373"/>
      <c r="R403" s="372" t="str">
        <f>IF(Data!C682=0,"",Data!C682)</f>
        <v/>
      </c>
      <c r="S403" s="373"/>
      <c r="T403" s="372" t="str">
        <f>IF(Data!D682=0,"",Data!D682)</f>
        <v/>
      </c>
      <c r="U403" s="373"/>
      <c r="V403"/>
      <c r="W403"/>
    </row>
    <row r="404" spans="1:23" ht="31" customHeight="1">
      <c r="A404" s="41"/>
      <c r="B404" s="372" t="str">
        <f>IF(Data!M683=0,"",Data!M683)</f>
        <v/>
      </c>
      <c r="C404" s="373"/>
      <c r="D404" s="164" t="str">
        <f>IF(Data!N683=0,"",Data!N683)</f>
        <v/>
      </c>
      <c r="E404" s="372" t="str">
        <f>IF(Data!O683=0,"",Data!O683)</f>
        <v/>
      </c>
      <c r="F404" s="373"/>
      <c r="G404" s="372" t="str">
        <f>IF(Data!P683=0,"",Data!P683)</f>
        <v/>
      </c>
      <c r="H404" s="373"/>
      <c r="K404" s="372" t="str">
        <f>IF(Data!A683=0,"",Data!A683)</f>
        <v/>
      </c>
      <c r="L404" s="402"/>
      <c r="M404" s="402"/>
      <c r="N404" s="402"/>
      <c r="O404" s="373"/>
      <c r="P404" s="372" t="str">
        <f>IF(Data!B683=0,"",Data!B683)</f>
        <v/>
      </c>
      <c r="Q404" s="373"/>
      <c r="R404" s="372" t="str">
        <f>IF(Data!C683=0,"",Data!C683)</f>
        <v/>
      </c>
      <c r="S404" s="373"/>
      <c r="T404" s="372" t="str">
        <f>IF(Data!D683=0,"",Data!D683)</f>
        <v/>
      </c>
      <c r="U404" s="373"/>
      <c r="V404"/>
      <c r="W404"/>
    </row>
    <row r="405" spans="1:23" ht="31" customHeight="1">
      <c r="A405" s="41"/>
      <c r="B405" s="372" t="str">
        <f>IF(Data!M684=0,"",Data!M684)</f>
        <v/>
      </c>
      <c r="C405" s="373"/>
      <c r="D405" s="164" t="str">
        <f>IF(Data!N684=0,"",Data!N684)</f>
        <v/>
      </c>
      <c r="E405" s="372" t="str">
        <f>IF(Data!O684=0,"",Data!O684)</f>
        <v/>
      </c>
      <c r="F405" s="373"/>
      <c r="G405" s="372" t="str">
        <f>IF(Data!P684=0,"",Data!P684)</f>
        <v/>
      </c>
      <c r="H405" s="373"/>
      <c r="K405" s="372" t="str">
        <f>IF(Data!A684=0,"",Data!A684)</f>
        <v/>
      </c>
      <c r="L405" s="402"/>
      <c r="M405" s="402"/>
      <c r="N405" s="402"/>
      <c r="O405" s="373"/>
      <c r="P405" s="372" t="str">
        <f>IF(Data!B684=0,"",Data!B684)</f>
        <v/>
      </c>
      <c r="Q405" s="373"/>
      <c r="R405" s="372" t="str">
        <f>IF(Data!C684=0,"",Data!C684)</f>
        <v/>
      </c>
      <c r="S405" s="373"/>
      <c r="T405" s="372" t="str">
        <f>IF(Data!D684=0,"",Data!D684)</f>
        <v/>
      </c>
      <c r="U405" s="373"/>
      <c r="V405"/>
      <c r="W405"/>
    </row>
    <row r="406" spans="1:23" ht="20" customHeight="1">
      <c r="E406" s="5"/>
      <c r="F406" s="5"/>
      <c r="G406" s="6"/>
      <c r="H406" s="6"/>
      <c r="K406" s="6"/>
      <c r="L406" s="15"/>
      <c r="M406"/>
      <c r="O406" s="6"/>
      <c r="P406" s="4"/>
      <c r="Q406" s="4"/>
      <c r="V406"/>
      <c r="W406"/>
    </row>
    <row r="407" spans="1:23" ht="31" customHeight="1">
      <c r="A407" s="41"/>
      <c r="B407" s="400" t="s">
        <v>168</v>
      </c>
      <c r="C407" s="370"/>
      <c r="D407" s="165" t="s">
        <v>1</v>
      </c>
      <c r="E407" s="374" t="s">
        <v>99</v>
      </c>
      <c r="F407" s="375"/>
      <c r="G407" s="171" t="s">
        <v>100</v>
      </c>
      <c r="H407" s="166"/>
      <c r="K407" s="366" t="s">
        <v>170</v>
      </c>
      <c r="L407" s="366"/>
      <c r="M407" s="366"/>
      <c r="N407" s="366"/>
      <c r="O407" s="366"/>
      <c r="P407" s="366" t="s">
        <v>1</v>
      </c>
      <c r="Q407" s="366"/>
      <c r="R407" s="401" t="s">
        <v>99</v>
      </c>
      <c r="S407" s="375"/>
      <c r="T407" s="374" t="s">
        <v>100</v>
      </c>
      <c r="U407" s="375"/>
      <c r="W407"/>
    </row>
    <row r="408" spans="1:23" ht="31" customHeight="1">
      <c r="A408" s="41"/>
      <c r="B408" s="372" t="str">
        <f>IF(Data!S677=0,"",Data!S677)</f>
        <v/>
      </c>
      <c r="C408" s="373"/>
      <c r="D408" s="164" t="str">
        <f>IF(Data!T677=0,"",Data!T677)</f>
        <v/>
      </c>
      <c r="E408" s="372" t="str">
        <f>IF(Data!U677=0,"",Data!U677)</f>
        <v/>
      </c>
      <c r="F408" s="373"/>
      <c r="G408" s="372" t="str">
        <f>IF(Data!V677=0,"",Data!V677)</f>
        <v/>
      </c>
      <c r="H408" s="373"/>
      <c r="K408" s="372" t="str">
        <f>IF(Data!H677=0,"",Data!H677)</f>
        <v/>
      </c>
      <c r="L408" s="402"/>
      <c r="M408" s="402"/>
      <c r="N408" s="402"/>
      <c r="O408" s="373"/>
      <c r="P408" s="372" t="str">
        <f>IF(Data!I677=0,"",Data!I677)</f>
        <v/>
      </c>
      <c r="Q408" s="373"/>
      <c r="R408" s="372" t="str">
        <f>IF(Data!J677=0,"",Data!J677)</f>
        <v/>
      </c>
      <c r="S408" s="373"/>
      <c r="T408" s="372" t="str">
        <f>IF(Data!K677=0,"",Data!K677)</f>
        <v/>
      </c>
      <c r="U408" s="373"/>
      <c r="V408" s="163"/>
      <c r="W408"/>
    </row>
    <row r="409" spans="1:23" ht="31" customHeight="1">
      <c r="A409" s="41"/>
      <c r="B409" s="372" t="str">
        <f>IF(Data!S678=0,"",Data!S678)</f>
        <v/>
      </c>
      <c r="C409" s="373"/>
      <c r="D409" s="164" t="str">
        <f>IF(Data!T678=0,"",Data!T678)</f>
        <v/>
      </c>
      <c r="E409" s="372" t="str">
        <f>IF(Data!U678=0,"",Data!U678)</f>
        <v/>
      </c>
      <c r="F409" s="373"/>
      <c r="G409" s="372" t="str">
        <f>IF(Data!V678=0,"",Data!V678)</f>
        <v/>
      </c>
      <c r="H409" s="373"/>
      <c r="K409" s="372" t="str">
        <f>IF(Data!H678=0,"",Data!H678)</f>
        <v/>
      </c>
      <c r="L409" s="402"/>
      <c r="M409" s="402"/>
      <c r="N409" s="402"/>
      <c r="O409" s="373"/>
      <c r="P409" s="372" t="str">
        <f>IF(Data!I678=0,"",Data!I678)</f>
        <v/>
      </c>
      <c r="Q409" s="373"/>
      <c r="R409" s="372" t="str">
        <f>IF(Data!J678=0,"",Data!J678)</f>
        <v/>
      </c>
      <c r="S409" s="373"/>
      <c r="T409" s="372" t="str">
        <f>IF(Data!K678=0,"",Data!K678)</f>
        <v/>
      </c>
      <c r="U409" s="373"/>
      <c r="W409"/>
    </row>
    <row r="410" spans="1:23" ht="31" customHeight="1">
      <c r="A410" s="41"/>
      <c r="B410" s="372" t="str">
        <f>IF(Data!S679=0,"",Data!S679)</f>
        <v/>
      </c>
      <c r="C410" s="373"/>
      <c r="D410" s="164" t="str">
        <f>IF(Data!T679=0,"",Data!T679)</f>
        <v/>
      </c>
      <c r="E410" s="372" t="str">
        <f>IF(Data!U679=0,"",Data!U679)</f>
        <v/>
      </c>
      <c r="F410" s="373"/>
      <c r="G410" s="372" t="str">
        <f>IF(Data!V679=0,"",Data!V679)</f>
        <v/>
      </c>
      <c r="H410" s="373"/>
      <c r="K410" s="372" t="str">
        <f>IF(Data!H679=0,"",Data!H679)</f>
        <v/>
      </c>
      <c r="L410" s="402"/>
      <c r="M410" s="402"/>
      <c r="N410" s="402"/>
      <c r="O410" s="373"/>
      <c r="P410" s="372" t="str">
        <f>IF(Data!I679=0,"",Data!I679)</f>
        <v/>
      </c>
      <c r="Q410" s="373"/>
      <c r="R410" s="372" t="str">
        <f>IF(Data!J679=0,"",Data!J679)</f>
        <v/>
      </c>
      <c r="S410" s="373"/>
      <c r="T410" s="372" t="str">
        <f>IF(Data!K679=0,"",Data!K679)</f>
        <v/>
      </c>
      <c r="U410" s="373"/>
      <c r="W410"/>
    </row>
    <row r="411" spans="1:23" ht="31" customHeight="1">
      <c r="A411" s="41"/>
      <c r="B411" s="372" t="str">
        <f>IF(Data!S680=0,"",Data!S680)</f>
        <v/>
      </c>
      <c r="C411" s="373"/>
      <c r="D411" s="164" t="str">
        <f>IF(Data!T680=0,"",Data!T680)</f>
        <v/>
      </c>
      <c r="E411" s="372" t="str">
        <f>IF(Data!U680=0,"",Data!U680)</f>
        <v/>
      </c>
      <c r="F411" s="373"/>
      <c r="G411" s="372" t="str">
        <f>IF(Data!V680=0,"",Data!V680)</f>
        <v/>
      </c>
      <c r="H411" s="373"/>
      <c r="K411" s="372" t="str">
        <f>IF(Data!H680=0,"",Data!H680)</f>
        <v/>
      </c>
      <c r="L411" s="402"/>
      <c r="M411" s="402"/>
      <c r="N411" s="402"/>
      <c r="O411" s="373"/>
      <c r="P411" s="372" t="str">
        <f>IF(Data!I680=0,"",Data!I680)</f>
        <v/>
      </c>
      <c r="Q411" s="373"/>
      <c r="R411" s="372" t="str">
        <f>IF(Data!J680=0,"",Data!J680)</f>
        <v/>
      </c>
      <c r="S411" s="373"/>
      <c r="T411" s="372" t="str">
        <f>IF(Data!K680=0,"",Data!K680)</f>
        <v/>
      </c>
      <c r="U411" s="373"/>
      <c r="V411"/>
      <c r="W411"/>
    </row>
    <row r="412" spans="1:23" ht="31" customHeight="1">
      <c r="A412" s="41"/>
      <c r="B412" s="372" t="str">
        <f>IF(Data!S681=0,"",Data!S681)</f>
        <v/>
      </c>
      <c r="C412" s="373"/>
      <c r="D412" s="164" t="str">
        <f>IF(Data!T681=0,"",Data!T681)</f>
        <v/>
      </c>
      <c r="E412" s="372" t="str">
        <f>IF(Data!U681=0,"",Data!U681)</f>
        <v/>
      </c>
      <c r="F412" s="373"/>
      <c r="G412" s="372" t="str">
        <f>IF(Data!V681=0,"",Data!V681)</f>
        <v/>
      </c>
      <c r="H412" s="373"/>
      <c r="K412" s="372" t="str">
        <f>IF(Data!H681=0,"",Data!H681)</f>
        <v/>
      </c>
      <c r="L412" s="402"/>
      <c r="M412" s="402"/>
      <c r="N412" s="402"/>
      <c r="O412" s="373"/>
      <c r="P412" s="372" t="str">
        <f>IF(Data!I681=0,"",Data!I681)</f>
        <v/>
      </c>
      <c r="Q412" s="373"/>
      <c r="R412" s="372" t="str">
        <f>IF(Data!J681=0,"",Data!J681)</f>
        <v/>
      </c>
      <c r="S412" s="373"/>
      <c r="T412" s="372" t="str">
        <f>IF(Data!K681=0,"",Data!K681)</f>
        <v/>
      </c>
      <c r="U412" s="373"/>
      <c r="V412"/>
      <c r="W412"/>
    </row>
    <row r="413" spans="1:23" ht="31" customHeight="1">
      <c r="A413" s="41"/>
      <c r="B413" s="372" t="str">
        <f>IF(Data!S682=0,"",Data!S682)</f>
        <v/>
      </c>
      <c r="C413" s="373"/>
      <c r="D413" s="164" t="str">
        <f>IF(Data!T682=0,"",Data!T682)</f>
        <v/>
      </c>
      <c r="E413" s="372" t="str">
        <f>IF(Data!U682=0,"",Data!U682)</f>
        <v/>
      </c>
      <c r="F413" s="373"/>
      <c r="G413" s="372" t="str">
        <f>IF(Data!V682=0,"",Data!V682)</f>
        <v/>
      </c>
      <c r="H413" s="373"/>
      <c r="K413" s="372" t="str">
        <f>IF(Data!H682=0,"",Data!H682)</f>
        <v/>
      </c>
      <c r="L413" s="402"/>
      <c r="M413" s="402"/>
      <c r="N413" s="402"/>
      <c r="O413" s="373"/>
      <c r="P413" s="372" t="str">
        <f>IF(Data!I682=0,"",Data!I682)</f>
        <v/>
      </c>
      <c r="Q413" s="373"/>
      <c r="R413" s="372" t="str">
        <f>IF(Data!J682=0,"",Data!J682)</f>
        <v/>
      </c>
      <c r="S413" s="373"/>
      <c r="T413" s="372" t="str">
        <f>IF(Data!K682=0,"",Data!K682)</f>
        <v/>
      </c>
      <c r="U413" s="373"/>
      <c r="V413"/>
      <c r="W413"/>
    </row>
    <row r="414" spans="1:23" ht="31" customHeight="1">
      <c r="A414" s="41"/>
      <c r="B414" s="372" t="str">
        <f>IF(Data!S683=0,"",Data!S683)</f>
        <v/>
      </c>
      <c r="C414" s="373"/>
      <c r="D414" s="164" t="str">
        <f>IF(Data!T683=0,"",Data!T683)</f>
        <v/>
      </c>
      <c r="E414" s="372" t="str">
        <f>IF(Data!U683=0,"",Data!U683)</f>
        <v/>
      </c>
      <c r="F414" s="373"/>
      <c r="G414" s="372" t="str">
        <f>IF(Data!V683=0,"",Data!V683)</f>
        <v/>
      </c>
      <c r="H414" s="373"/>
      <c r="K414" s="372" t="str">
        <f>IF(Data!H683=0,"",Data!H683)</f>
        <v/>
      </c>
      <c r="L414" s="402"/>
      <c r="M414" s="402"/>
      <c r="N414" s="402"/>
      <c r="O414" s="373"/>
      <c r="P414" s="372" t="str">
        <f>IF(Data!I683=0,"",Data!I683)</f>
        <v/>
      </c>
      <c r="Q414" s="373"/>
      <c r="R414" s="372" t="str">
        <f>IF(Data!J683=0,"",Data!J683)</f>
        <v/>
      </c>
      <c r="S414" s="373"/>
      <c r="T414" s="372" t="str">
        <f>IF(Data!K683=0,"",Data!K683)</f>
        <v/>
      </c>
      <c r="U414" s="373"/>
      <c r="V414"/>
      <c r="W414"/>
    </row>
    <row r="415" spans="1:23" ht="31" customHeight="1">
      <c r="A415" s="41"/>
      <c r="B415" s="372" t="str">
        <f>IF(Data!S684=0,"",Data!S684)</f>
        <v/>
      </c>
      <c r="C415" s="373"/>
      <c r="D415" s="164" t="str">
        <f>IF(Data!T684=0,"",Data!T684)</f>
        <v/>
      </c>
      <c r="E415" s="372" t="str">
        <f>IF(Data!U684=0,"",Data!U684)</f>
        <v/>
      </c>
      <c r="F415" s="373"/>
      <c r="G415" s="372" t="str">
        <f>IF(Data!V684=0,"",Data!V684)</f>
        <v/>
      </c>
      <c r="H415" s="373"/>
      <c r="K415" s="372" t="str">
        <f>IF(Data!H684=0,"",Data!H684)</f>
        <v/>
      </c>
      <c r="L415" s="402"/>
      <c r="M415" s="402"/>
      <c r="N415" s="402"/>
      <c r="O415" s="373"/>
      <c r="P415" s="372" t="str">
        <f>IF(Data!I684=0,"",Data!I684)</f>
        <v/>
      </c>
      <c r="Q415" s="373"/>
      <c r="R415" s="372" t="str">
        <f>IF(Data!J684=0,"",Data!J684)</f>
        <v/>
      </c>
      <c r="S415" s="373"/>
      <c r="T415" s="372" t="str">
        <f>IF(Data!K684=0,"",Data!K684)</f>
        <v/>
      </c>
      <c r="U415" s="373"/>
      <c r="V415"/>
      <c r="W415"/>
    </row>
    <row r="416" spans="1:23" ht="18" customHeight="1">
      <c r="F416" s="5"/>
      <c r="G416" s="4"/>
      <c r="I416" s="6"/>
      <c r="J416" s="15"/>
      <c r="K416" s="15"/>
      <c r="M416" s="6"/>
      <c r="N416" s="6"/>
      <c r="P416"/>
      <c r="Q416" s="4"/>
      <c r="V416"/>
      <c r="W416"/>
    </row>
    <row r="417" spans="1:23" ht="18" customHeight="1">
      <c r="F417" s="5"/>
      <c r="G417" s="4"/>
      <c r="I417" s="6"/>
      <c r="J417"/>
      <c r="L417" s="15"/>
      <c r="M417"/>
      <c r="O417" s="6"/>
      <c r="P417"/>
      <c r="Q417" s="4"/>
      <c r="V417"/>
      <c r="W417"/>
    </row>
    <row r="418" spans="1:23" ht="18" customHeight="1">
      <c r="F418" s="5"/>
      <c r="G418" s="4"/>
      <c r="I418" s="6"/>
      <c r="J418"/>
      <c r="L418" s="15"/>
      <c r="M418"/>
      <c r="O418" s="6"/>
      <c r="P418"/>
      <c r="Q418" s="4"/>
      <c r="V418"/>
      <c r="W418"/>
    </row>
    <row r="419" spans="1:23" ht="45">
      <c r="D419" s="376" t="s">
        <v>103</v>
      </c>
      <c r="E419" s="377"/>
      <c r="F419" s="377"/>
      <c r="G419" s="377"/>
      <c r="H419" s="377"/>
      <c r="I419" s="377"/>
      <c r="J419" s="377"/>
      <c r="K419" s="377"/>
      <c r="L419" s="377"/>
      <c r="M419" s="377"/>
      <c r="N419" s="377"/>
      <c r="O419" s="377"/>
      <c r="P419" s="378"/>
      <c r="Q419" s="4"/>
      <c r="U419"/>
      <c r="V419"/>
      <c r="W419"/>
    </row>
    <row r="420" spans="1:23" ht="31" customHeight="1">
      <c r="A420" s="94"/>
      <c r="B420" s="95"/>
      <c r="C420" s="95"/>
      <c r="D420" s="371" t="s">
        <v>70</v>
      </c>
      <c r="E420" s="371"/>
      <c r="F420" s="371"/>
      <c r="G420" s="371"/>
      <c r="H420" s="367" t="s">
        <v>1</v>
      </c>
      <c r="I420" s="367"/>
      <c r="J420" s="368"/>
      <c r="K420" s="369" t="s">
        <v>100</v>
      </c>
      <c r="L420" s="369"/>
      <c r="M420" s="370"/>
      <c r="N420" s="369" t="s">
        <v>99</v>
      </c>
      <c r="O420" s="369"/>
      <c r="P420" s="370"/>
      <c r="Q420" s="95"/>
      <c r="R420" s="95"/>
      <c r="S420" s="95"/>
      <c r="T420" s="95"/>
      <c r="V420"/>
      <c r="W420"/>
    </row>
    <row r="421" spans="1:23" ht="31" customHeight="1">
      <c r="D421" s="365" t="str">
        <f>IFERROR(IF(Data!H688=0,"",Data!H688),"")</f>
        <v/>
      </c>
      <c r="E421" s="365"/>
      <c r="F421" s="365"/>
      <c r="G421" s="365"/>
      <c r="H421" s="365" t="str">
        <f>IF(Data!I688=0,"",Data!I688)</f>
        <v/>
      </c>
      <c r="I421" s="365"/>
      <c r="J421" s="365"/>
      <c r="K421" s="366" t="str">
        <f>IF(Data!J688=0,"",Data!J688)</f>
        <v/>
      </c>
      <c r="L421" s="366"/>
      <c r="M421" s="366"/>
      <c r="N421" s="366" t="str">
        <f>IF(Data!K688=0,"",Data!K688)</f>
        <v/>
      </c>
      <c r="O421" s="366"/>
      <c r="P421" s="366"/>
      <c r="Q421" s="4"/>
      <c r="V421"/>
      <c r="W421"/>
    </row>
    <row r="422" spans="1:23" ht="31" customHeight="1">
      <c r="D422" s="365" t="str">
        <f>IFERROR(IF(Data!H689=0,"",Data!H689),"")</f>
        <v/>
      </c>
      <c r="E422" s="365"/>
      <c r="F422" s="365"/>
      <c r="G422" s="365"/>
      <c r="H422" s="365" t="str">
        <f>IF(Data!I689=0,"",Data!I689)</f>
        <v/>
      </c>
      <c r="I422" s="365"/>
      <c r="J422" s="365"/>
      <c r="K422" s="366" t="str">
        <f>IF(Data!J689=0,"",Data!J689)</f>
        <v/>
      </c>
      <c r="L422" s="366"/>
      <c r="M422" s="366"/>
      <c r="N422" s="366" t="str">
        <f>IF(Data!K689=0,"",Data!K689)</f>
        <v/>
      </c>
      <c r="O422" s="366"/>
      <c r="P422" s="366"/>
      <c r="Q422" s="4"/>
      <c r="V422"/>
      <c r="W422"/>
    </row>
    <row r="423" spans="1:23" ht="31" customHeight="1">
      <c r="D423" s="365" t="str">
        <f>IFERROR(IF(Data!H690=0,"",Data!H690),"")</f>
        <v/>
      </c>
      <c r="E423" s="365"/>
      <c r="F423" s="365"/>
      <c r="G423" s="365"/>
      <c r="H423" s="365" t="str">
        <f>IF(Data!I690=0,"",Data!I690)</f>
        <v/>
      </c>
      <c r="I423" s="365"/>
      <c r="J423" s="365"/>
      <c r="K423" s="366" t="str">
        <f>IF(Data!J690=0,"",Data!J690)</f>
        <v/>
      </c>
      <c r="L423" s="366"/>
      <c r="M423" s="366"/>
      <c r="N423" s="366" t="str">
        <f>IF(Data!K690=0,"",Data!K690)</f>
        <v/>
      </c>
      <c r="O423" s="366"/>
      <c r="P423" s="366"/>
      <c r="Q423" s="4"/>
      <c r="U423"/>
      <c r="V423"/>
      <c r="W423"/>
    </row>
    <row r="424" spans="1:23" s="16" customFormat="1" ht="31" customHeight="1">
      <c r="A424" s="9"/>
      <c r="B424" s="4"/>
      <c r="C424" s="4"/>
      <c r="D424" s="365" t="str">
        <f>IFERROR(IF(Data!H691=0,"",Data!H691),"")</f>
        <v/>
      </c>
      <c r="E424" s="365"/>
      <c r="F424" s="365"/>
      <c r="G424" s="365"/>
      <c r="H424" s="365" t="str">
        <f>IF(Data!I691=0,"",Data!I691)</f>
        <v/>
      </c>
      <c r="I424" s="365"/>
      <c r="J424" s="365"/>
      <c r="K424" s="366" t="str">
        <f>IF(Data!J691=0,"",Data!J691)</f>
        <v/>
      </c>
      <c r="L424" s="366"/>
      <c r="M424" s="366"/>
      <c r="N424" s="366" t="str">
        <f>IF(Data!K691=0,"",Data!K691)</f>
        <v/>
      </c>
      <c r="O424" s="366"/>
      <c r="P424" s="366"/>
      <c r="Q424" s="4"/>
      <c r="R424" s="4"/>
      <c r="S424" s="4"/>
      <c r="T424" s="4"/>
    </row>
    <row r="425" spans="1:23" ht="31" customHeight="1">
      <c r="D425" s="365" t="str">
        <f>IFERROR(IF(Data!H692=0,"",Data!H692),"")</f>
        <v/>
      </c>
      <c r="E425" s="365"/>
      <c r="F425" s="365"/>
      <c r="G425" s="365"/>
      <c r="H425" s="365" t="str">
        <f>IF(Data!I692=0,"",Data!I692)</f>
        <v/>
      </c>
      <c r="I425" s="365"/>
      <c r="J425" s="365"/>
      <c r="K425" s="366" t="str">
        <f>IF(Data!J692=0,"",Data!J692)</f>
        <v/>
      </c>
      <c r="L425" s="366"/>
      <c r="M425" s="366"/>
      <c r="N425" s="366" t="str">
        <f>IF(Data!K692=0,"",Data!K692)</f>
        <v/>
      </c>
      <c r="O425" s="366"/>
      <c r="P425" s="366"/>
      <c r="Q425" s="4"/>
      <c r="U425"/>
      <c r="V425"/>
      <c r="W425"/>
    </row>
    <row r="426" spans="1:23" ht="31" customHeight="1">
      <c r="D426" s="365" t="str">
        <f>IFERROR(IF(Data!H693=0,"",Data!H693),"")</f>
        <v/>
      </c>
      <c r="E426" s="365"/>
      <c r="F426" s="365"/>
      <c r="G426" s="365"/>
      <c r="H426" s="365" t="str">
        <f>IF(Data!I693=0,"",Data!I693)</f>
        <v/>
      </c>
      <c r="I426" s="365"/>
      <c r="J426" s="365"/>
      <c r="K426" s="366" t="str">
        <f>IF(Data!J693=0,"",Data!J693)</f>
        <v/>
      </c>
      <c r="L426" s="366"/>
      <c r="M426" s="366"/>
      <c r="N426" s="366" t="str">
        <f>IF(Data!K693=0,"",Data!K693)</f>
        <v/>
      </c>
      <c r="O426" s="366"/>
      <c r="P426" s="366"/>
      <c r="Q426" s="4"/>
      <c r="U426"/>
      <c r="V426"/>
      <c r="W426"/>
    </row>
    <row r="427" spans="1:23" ht="31" customHeight="1">
      <c r="D427" s="365" t="str">
        <f>IFERROR(IF(Data!H694=0,"",Data!H694),"")</f>
        <v/>
      </c>
      <c r="E427" s="365"/>
      <c r="F427" s="365"/>
      <c r="G427" s="365"/>
      <c r="H427" s="365" t="str">
        <f>IF(Data!I694=0,"",Data!I694)</f>
        <v/>
      </c>
      <c r="I427" s="365"/>
      <c r="J427" s="365"/>
      <c r="K427" s="366" t="str">
        <f>IF(Data!J694=0,"",Data!J694)</f>
        <v/>
      </c>
      <c r="L427" s="366"/>
      <c r="M427" s="366"/>
      <c r="N427" s="366" t="str">
        <f>IF(Data!K694=0,"",Data!K694)</f>
        <v/>
      </c>
      <c r="O427" s="366"/>
      <c r="P427" s="366"/>
      <c r="Q427" s="4"/>
      <c r="U427"/>
      <c r="V427"/>
      <c r="W427"/>
    </row>
    <row r="428" spans="1:23" ht="31" customHeight="1">
      <c r="D428" s="365" t="str">
        <f>IFERROR(IF(Data!H695=0,"",Data!H695),"")</f>
        <v/>
      </c>
      <c r="E428" s="365"/>
      <c r="F428" s="365"/>
      <c r="G428" s="365"/>
      <c r="H428" s="365" t="str">
        <f>IF(Data!I695=0,"",Data!I695)</f>
        <v/>
      </c>
      <c r="I428" s="365"/>
      <c r="J428" s="365"/>
      <c r="K428" s="366" t="str">
        <f>IF(Data!J695=0,"",Data!J695)</f>
        <v/>
      </c>
      <c r="L428" s="366"/>
      <c r="M428" s="366"/>
      <c r="N428" s="366" t="str">
        <f>IF(Data!K695=0,"",Data!K695)</f>
        <v/>
      </c>
      <c r="O428" s="366"/>
      <c r="P428" s="366"/>
      <c r="Q428" s="4"/>
      <c r="U428"/>
      <c r="V428"/>
      <c r="W428"/>
    </row>
    <row r="430" spans="1:23" ht="45" customHeight="1">
      <c r="D430" s="376" t="s">
        <v>103</v>
      </c>
      <c r="E430" s="377"/>
      <c r="F430" s="377"/>
      <c r="G430" s="377"/>
      <c r="H430" s="377"/>
      <c r="I430" s="377"/>
      <c r="J430" s="377"/>
      <c r="K430" s="377"/>
      <c r="L430" s="377"/>
      <c r="M430" s="378"/>
      <c r="N430" s="4"/>
      <c r="O430" s="4"/>
      <c r="P430" s="4"/>
      <c r="Q430" s="4"/>
      <c r="R430"/>
      <c r="S430"/>
      <c r="T430"/>
      <c r="U430"/>
      <c r="V430"/>
      <c r="W430"/>
    </row>
    <row r="431" spans="1:23" ht="31" customHeight="1">
      <c r="A431" s="94"/>
      <c r="B431" s="95"/>
      <c r="C431" s="95"/>
      <c r="D431" s="371" t="s">
        <v>70</v>
      </c>
      <c r="E431" s="371"/>
      <c r="F431" s="371"/>
      <c r="G431" s="371"/>
      <c r="H431" s="367" t="s">
        <v>1</v>
      </c>
      <c r="I431" s="367"/>
      <c r="J431" s="368"/>
      <c r="K431" s="369" t="s">
        <v>99</v>
      </c>
      <c r="L431" s="369"/>
      <c r="M431" s="370"/>
      <c r="N431" s="95"/>
      <c r="O431" s="95"/>
      <c r="P431" s="95"/>
      <c r="Q431" s="95"/>
      <c r="S431"/>
      <c r="T431"/>
      <c r="U431"/>
      <c r="V431"/>
      <c r="W431"/>
    </row>
    <row r="432" spans="1:23" ht="31" customHeight="1">
      <c r="D432" s="365" t="str">
        <f>IFERROR(IF(Data!S688=0,"",Data!S688),"")</f>
        <v/>
      </c>
      <c r="E432" s="365"/>
      <c r="F432" s="365"/>
      <c r="G432" s="365"/>
      <c r="H432" s="365" t="str">
        <f>IF(Data!T688=0,"",Data!T688)</f>
        <v/>
      </c>
      <c r="I432" s="365"/>
      <c r="J432" s="365"/>
      <c r="K432" s="365" t="str">
        <f>IF(Data!U688=0,"",Data!U688)</f>
        <v/>
      </c>
      <c r="L432" s="365"/>
      <c r="M432" s="365"/>
      <c r="N432" s="4"/>
      <c r="O432" s="4"/>
      <c r="P432" s="4"/>
      <c r="Q432" s="4"/>
      <c r="S432"/>
      <c r="T432"/>
      <c r="U432"/>
      <c r="V432"/>
      <c r="W432"/>
    </row>
    <row r="433" spans="1:23" ht="31" customHeight="1">
      <c r="D433" s="365" t="str">
        <f>IFERROR(IF(Data!S689=0,"",Data!S689),"")</f>
        <v/>
      </c>
      <c r="E433" s="365"/>
      <c r="F433" s="365"/>
      <c r="G433" s="365"/>
      <c r="H433" s="365" t="str">
        <f>IF(Data!T689=0,"",Data!T689)</f>
        <v/>
      </c>
      <c r="I433" s="365"/>
      <c r="J433" s="365"/>
      <c r="K433" s="365" t="str">
        <f>IF(Data!U689=0,"",Data!U689)</f>
        <v/>
      </c>
      <c r="L433" s="365"/>
      <c r="M433" s="365"/>
      <c r="N433" s="4"/>
      <c r="O433" s="4"/>
      <c r="P433" s="4"/>
      <c r="Q433" s="4"/>
      <c r="S433"/>
      <c r="T433"/>
      <c r="U433"/>
      <c r="V433"/>
      <c r="W433"/>
    </row>
    <row r="434" spans="1:23" ht="31" customHeight="1">
      <c r="D434" s="365" t="str">
        <f>IFERROR(IF(Data!S690=0,"",Data!S690),"")</f>
        <v/>
      </c>
      <c r="E434" s="365"/>
      <c r="F434" s="365"/>
      <c r="G434" s="365"/>
      <c r="H434" s="365" t="str">
        <f>IF(Data!T690=0,"",Data!T690)</f>
        <v/>
      </c>
      <c r="I434" s="365"/>
      <c r="J434" s="365"/>
      <c r="K434" s="365" t="str">
        <f>IF(Data!U690=0,"",Data!U690)</f>
        <v/>
      </c>
      <c r="L434" s="365"/>
      <c r="M434" s="365"/>
      <c r="N434" s="4"/>
      <c r="O434" s="4"/>
      <c r="P434" s="4"/>
      <c r="Q434" s="4"/>
      <c r="R434"/>
      <c r="S434"/>
      <c r="T434"/>
      <c r="U434"/>
      <c r="V434"/>
      <c r="W434"/>
    </row>
    <row r="435" spans="1:23" s="16" customFormat="1" ht="31" customHeight="1">
      <c r="A435" s="9"/>
      <c r="B435" s="4"/>
      <c r="C435" s="4"/>
      <c r="D435" s="365" t="str">
        <f>IFERROR(IF(Data!S691=0,"",Data!S691),"")</f>
        <v/>
      </c>
      <c r="E435" s="365"/>
      <c r="F435" s="365"/>
      <c r="G435" s="365"/>
      <c r="H435" s="365" t="str">
        <f>IF(Data!T691=0,"",Data!T691)</f>
        <v/>
      </c>
      <c r="I435" s="365"/>
      <c r="J435" s="365"/>
      <c r="K435" s="365" t="str">
        <f>IF(Data!U691=0,"",Data!U691)</f>
        <v/>
      </c>
      <c r="L435" s="365"/>
      <c r="M435" s="365"/>
      <c r="N435" s="4"/>
      <c r="O435" s="4"/>
      <c r="P435" s="4"/>
      <c r="Q435" s="4"/>
    </row>
    <row r="436" spans="1:23" ht="31" customHeight="1">
      <c r="D436" s="365" t="str">
        <f>IFERROR(IF(Data!S692=0,"",Data!S692),"")</f>
        <v/>
      </c>
      <c r="E436" s="365"/>
      <c r="F436" s="365"/>
      <c r="G436" s="365"/>
      <c r="H436" s="365" t="str">
        <f>IF(Data!T692=0,"",Data!T692)</f>
        <v/>
      </c>
      <c r="I436" s="365"/>
      <c r="J436" s="365"/>
      <c r="K436" s="365" t="str">
        <f>IF(Data!U692=0,"",Data!U692)</f>
        <v/>
      </c>
      <c r="L436" s="365"/>
      <c r="M436" s="365"/>
      <c r="N436" s="4"/>
      <c r="O436" s="4"/>
      <c r="P436" s="4"/>
      <c r="Q436" s="4"/>
      <c r="R436"/>
      <c r="S436"/>
      <c r="T436"/>
      <c r="U436"/>
      <c r="V436"/>
      <c r="W436"/>
    </row>
    <row r="437" spans="1:23" ht="31" customHeight="1">
      <c r="D437" s="365" t="str">
        <f>IFERROR(IF(Data!S693=0,"",Data!S693),"")</f>
        <v/>
      </c>
      <c r="E437" s="365"/>
      <c r="F437" s="365"/>
      <c r="G437" s="365"/>
      <c r="H437" s="365" t="str">
        <f>IF(Data!T693=0,"",Data!T693)</f>
        <v/>
      </c>
      <c r="I437" s="365"/>
      <c r="J437" s="365"/>
      <c r="K437" s="365" t="str">
        <f>IF(Data!U693=0,"",Data!U693)</f>
        <v/>
      </c>
      <c r="L437" s="365"/>
      <c r="M437" s="365"/>
      <c r="N437" s="4"/>
      <c r="O437" s="4"/>
      <c r="P437" s="4"/>
      <c r="Q437" s="4"/>
      <c r="R437"/>
      <c r="S437"/>
      <c r="T437"/>
      <c r="U437"/>
      <c r="V437"/>
      <c r="W437"/>
    </row>
    <row r="438" spans="1:23" ht="31" customHeight="1">
      <c r="D438" s="365" t="str">
        <f>IFERROR(IF(Data!S694=0,"",Data!S694),"")</f>
        <v/>
      </c>
      <c r="E438" s="365"/>
      <c r="F438" s="365"/>
      <c r="G438" s="365"/>
      <c r="H438" s="365" t="str">
        <f>IF(Data!T694=0,"",Data!T694)</f>
        <v/>
      </c>
      <c r="I438" s="365"/>
      <c r="J438" s="365"/>
      <c r="K438" s="365" t="str">
        <f>IF(Data!U694=0,"",Data!U694)</f>
        <v/>
      </c>
      <c r="L438" s="365"/>
      <c r="M438" s="365"/>
      <c r="N438" s="4"/>
      <c r="O438" s="4"/>
      <c r="P438" s="4"/>
      <c r="Q438" s="4"/>
      <c r="R438"/>
      <c r="S438"/>
      <c r="T438"/>
      <c r="U438"/>
      <c r="V438"/>
      <c r="W438"/>
    </row>
    <row r="439" spans="1:23" ht="31" customHeight="1">
      <c r="D439" s="365" t="str">
        <f>IFERROR(IF(Data!S695=0,"",Data!S695),"")</f>
        <v/>
      </c>
      <c r="E439" s="365"/>
      <c r="F439" s="365"/>
      <c r="G439" s="365"/>
      <c r="H439" s="365" t="str">
        <f>IF(Data!T695=0,"",Data!T695)</f>
        <v/>
      </c>
      <c r="I439" s="365"/>
      <c r="J439" s="365"/>
      <c r="K439" s="365" t="str">
        <f>IF(Data!U695=0,"",Data!U695)</f>
        <v/>
      </c>
      <c r="L439" s="365"/>
      <c r="M439" s="365"/>
      <c r="N439" s="4"/>
      <c r="O439" s="4"/>
      <c r="P439" s="4"/>
      <c r="Q439" s="4"/>
      <c r="R439"/>
      <c r="S439"/>
      <c r="T439"/>
      <c r="U439"/>
      <c r="V439"/>
      <c r="W439"/>
    </row>
    <row r="441" spans="1:23" s="304" customFormat="1" ht="20" customHeight="1">
      <c r="A441" s="229"/>
      <c r="B441" s="282" t="s">
        <v>145</v>
      </c>
      <c r="C441" s="283" t="s">
        <v>15</v>
      </c>
      <c r="D441" s="298"/>
      <c r="E441" s="298"/>
      <c r="F441" s="298"/>
      <c r="G441" s="299"/>
      <c r="H441" s="298"/>
      <c r="I441" s="298"/>
      <c r="J441" s="300"/>
      <c r="K441" s="301"/>
      <c r="L441" s="301"/>
      <c r="M441" s="302"/>
      <c r="N441" s="301"/>
      <c r="O441" s="301"/>
      <c r="P441" s="300"/>
      <c r="Q441" s="301"/>
      <c r="R441" s="298"/>
      <c r="S441" s="298"/>
      <c r="T441" s="298"/>
      <c r="U441" s="298"/>
      <c r="V441" s="303"/>
      <c r="W441" s="229"/>
    </row>
    <row r="442" spans="1:23" s="304" customFormat="1" ht="20" customHeight="1">
      <c r="A442" s="229"/>
      <c r="B442" s="308" t="str" cm="1">
        <f t="array" ref="B442">IFERROR(_xlfn._xlws.SORT(_xlfn._xlws.FILTER($B$6:$V$385,($V$6:$V$385&lt;&gt;0)*($V$6:$V$385&lt;=5)*($E$6:$E$385=C441)*($F$6:$F$385=B441)),17,-1),"...")</f>
        <v>...</v>
      </c>
      <c r="C442" s="229"/>
      <c r="D442" s="229"/>
      <c r="E442" s="229"/>
      <c r="F442" s="229"/>
      <c r="G442" s="305"/>
      <c r="H442" s="229"/>
      <c r="I442" s="229"/>
      <c r="J442" s="306"/>
      <c r="M442" s="307"/>
      <c r="P442" s="306"/>
      <c r="R442" s="229"/>
      <c r="S442" s="229"/>
      <c r="T442" s="229"/>
      <c r="U442" s="229"/>
      <c r="V442" s="309"/>
      <c r="W442" s="229"/>
    </row>
    <row r="443" spans="1:23" s="304" customFormat="1" ht="20" customHeight="1">
      <c r="A443" s="229"/>
      <c r="B443" s="308"/>
      <c r="C443" s="229"/>
      <c r="D443" s="229"/>
      <c r="E443" s="229"/>
      <c r="F443" s="229"/>
      <c r="G443" s="305"/>
      <c r="H443" s="229"/>
      <c r="I443" s="229"/>
      <c r="J443" s="306"/>
      <c r="M443" s="307"/>
      <c r="P443" s="306"/>
      <c r="R443" s="229"/>
      <c r="S443" s="229"/>
      <c r="T443" s="229"/>
      <c r="U443" s="229"/>
      <c r="V443" s="309"/>
      <c r="W443" s="229"/>
    </row>
    <row r="444" spans="1:23" s="304" customFormat="1" ht="20" customHeight="1">
      <c r="A444" s="229"/>
      <c r="B444" s="308"/>
      <c r="C444" s="229"/>
      <c r="D444" s="229"/>
      <c r="E444" s="229"/>
      <c r="F444" s="229"/>
      <c r="G444" s="305"/>
      <c r="H444" s="229"/>
      <c r="I444" s="229"/>
      <c r="J444" s="306"/>
      <c r="M444" s="307"/>
      <c r="P444" s="306"/>
      <c r="R444" s="229"/>
      <c r="S444" s="229"/>
      <c r="T444" s="229"/>
      <c r="U444" s="229"/>
      <c r="V444" s="309"/>
      <c r="W444" s="229"/>
    </row>
    <row r="445" spans="1:23" s="304" customFormat="1" ht="20" customHeight="1">
      <c r="A445" s="229"/>
      <c r="B445" s="308"/>
      <c r="C445" s="229"/>
      <c r="D445" s="229"/>
      <c r="E445" s="229"/>
      <c r="F445" s="229"/>
      <c r="G445" s="305"/>
      <c r="H445" s="229"/>
      <c r="I445" s="229"/>
      <c r="J445" s="306"/>
      <c r="M445" s="307"/>
      <c r="P445" s="306"/>
      <c r="R445" s="229"/>
      <c r="S445" s="229"/>
      <c r="T445" s="229"/>
      <c r="U445" s="229"/>
      <c r="V445" s="309"/>
      <c r="W445" s="229"/>
    </row>
    <row r="446" spans="1:23" s="304" customFormat="1" ht="20" customHeight="1">
      <c r="A446" s="229"/>
      <c r="B446" s="310"/>
      <c r="C446" s="311"/>
      <c r="D446" s="311"/>
      <c r="E446" s="311"/>
      <c r="F446" s="311"/>
      <c r="G446" s="312"/>
      <c r="H446" s="311"/>
      <c r="I446" s="311"/>
      <c r="J446" s="313"/>
      <c r="K446" s="314"/>
      <c r="L446" s="314"/>
      <c r="M446" s="315"/>
      <c r="N446" s="314"/>
      <c r="O446" s="314"/>
      <c r="P446" s="313"/>
      <c r="Q446" s="314"/>
      <c r="R446" s="311"/>
      <c r="S446" s="311"/>
      <c r="T446" s="311"/>
      <c r="U446" s="311"/>
      <c r="V446" s="316"/>
      <c r="W446" s="229"/>
    </row>
    <row r="447" spans="1:23" s="304" customFormat="1" ht="20" customHeight="1">
      <c r="A447" s="229"/>
      <c r="B447" s="229"/>
      <c r="C447" s="229"/>
      <c r="D447" s="229"/>
      <c r="E447" s="229"/>
      <c r="F447" s="229"/>
      <c r="G447" s="305"/>
      <c r="H447" s="229"/>
      <c r="I447" s="229"/>
      <c r="J447" s="306"/>
      <c r="M447" s="307"/>
      <c r="P447" s="306"/>
      <c r="R447" s="229"/>
      <c r="S447" s="229"/>
      <c r="T447" s="229"/>
      <c r="U447" s="229"/>
      <c r="V447" s="229"/>
      <c r="W447" s="229"/>
    </row>
    <row r="448" spans="1:23" s="304" customFormat="1" ht="20" customHeight="1">
      <c r="A448" s="229"/>
      <c r="B448" s="282" t="s">
        <v>145</v>
      </c>
      <c r="C448" s="283" t="s">
        <v>14</v>
      </c>
      <c r="D448" s="298"/>
      <c r="E448" s="298"/>
      <c r="F448" s="298"/>
      <c r="G448" s="299"/>
      <c r="H448" s="298"/>
      <c r="I448" s="298"/>
      <c r="J448" s="300"/>
      <c r="K448" s="301"/>
      <c r="L448" s="301"/>
      <c r="M448" s="302"/>
      <c r="N448" s="301"/>
      <c r="O448" s="301"/>
      <c r="P448" s="300"/>
      <c r="Q448" s="301"/>
      <c r="R448" s="298"/>
      <c r="S448" s="298"/>
      <c r="T448" s="298"/>
      <c r="U448" s="298"/>
      <c r="V448" s="303"/>
      <c r="W448" s="229"/>
    </row>
    <row r="449" spans="1:23" s="304" customFormat="1" ht="20" customHeight="1">
      <c r="A449" s="229"/>
      <c r="B449" s="308" t="str" cm="1">
        <f t="array" ref="B449">IFERROR(_xlfn._xlws.SORT(_xlfn._xlws.FILTER($B$6:$V$385,($V$6:$V$385&lt;&gt;0)*($V$6:$V$385&lt;=5)*($E$6:$E$385=C448)*($F$6:$F$385=B448)),17,-1),"...")</f>
        <v>...</v>
      </c>
      <c r="C449" s="229"/>
      <c r="D449" s="229"/>
      <c r="E449" s="229"/>
      <c r="F449" s="229"/>
      <c r="G449" s="305"/>
      <c r="H449" s="229"/>
      <c r="I449" s="229"/>
      <c r="J449" s="306"/>
      <c r="M449" s="307"/>
      <c r="P449" s="306"/>
      <c r="R449" s="229"/>
      <c r="S449" s="229"/>
      <c r="T449" s="229"/>
      <c r="U449" s="229"/>
      <c r="V449" s="309"/>
      <c r="W449" s="229"/>
    </row>
    <row r="450" spans="1:23" s="304" customFormat="1" ht="20" customHeight="1">
      <c r="A450" s="229"/>
      <c r="B450" s="308"/>
      <c r="C450" s="229"/>
      <c r="D450" s="229"/>
      <c r="E450" s="229"/>
      <c r="F450" s="229"/>
      <c r="G450" s="305"/>
      <c r="H450" s="229"/>
      <c r="I450" s="229"/>
      <c r="J450" s="306"/>
      <c r="M450" s="307"/>
      <c r="P450" s="306"/>
      <c r="R450" s="229"/>
      <c r="S450" s="229"/>
      <c r="T450" s="229"/>
      <c r="U450" s="229"/>
      <c r="V450" s="309"/>
      <c r="W450" s="229"/>
    </row>
    <row r="451" spans="1:23" s="304" customFormat="1" ht="20" customHeight="1">
      <c r="A451" s="229"/>
      <c r="B451" s="308"/>
      <c r="C451" s="229"/>
      <c r="D451" s="229"/>
      <c r="E451" s="229"/>
      <c r="F451" s="229"/>
      <c r="G451" s="305"/>
      <c r="H451" s="229"/>
      <c r="I451" s="229"/>
      <c r="J451" s="306"/>
      <c r="M451" s="307"/>
      <c r="P451" s="306"/>
      <c r="R451" s="229"/>
      <c r="S451" s="229"/>
      <c r="T451" s="229"/>
      <c r="U451" s="229"/>
      <c r="V451" s="309"/>
      <c r="W451" s="229"/>
    </row>
    <row r="452" spans="1:23" s="304" customFormat="1" ht="20" customHeight="1">
      <c r="A452" s="229"/>
      <c r="B452" s="308"/>
      <c r="C452" s="229"/>
      <c r="D452" s="229"/>
      <c r="E452" s="229"/>
      <c r="F452" s="229"/>
      <c r="G452" s="305"/>
      <c r="H452" s="229"/>
      <c r="I452" s="229"/>
      <c r="J452" s="306"/>
      <c r="M452" s="307"/>
      <c r="P452" s="306"/>
      <c r="R452" s="229"/>
      <c r="S452" s="229"/>
      <c r="T452" s="229"/>
      <c r="U452" s="229"/>
      <c r="V452" s="309"/>
      <c r="W452" s="229"/>
    </row>
    <row r="453" spans="1:23" s="304" customFormat="1" ht="20" customHeight="1">
      <c r="A453" s="229"/>
      <c r="B453" s="310"/>
      <c r="C453" s="311"/>
      <c r="D453" s="311"/>
      <c r="E453" s="311"/>
      <c r="F453" s="311"/>
      <c r="G453" s="312"/>
      <c r="H453" s="311"/>
      <c r="I453" s="311"/>
      <c r="J453" s="313"/>
      <c r="K453" s="314"/>
      <c r="L453" s="314"/>
      <c r="M453" s="315"/>
      <c r="N453" s="314"/>
      <c r="O453" s="314"/>
      <c r="P453" s="313"/>
      <c r="Q453" s="314"/>
      <c r="R453" s="311"/>
      <c r="S453" s="311"/>
      <c r="T453" s="311"/>
      <c r="U453" s="311"/>
      <c r="V453" s="316"/>
      <c r="W453" s="229"/>
    </row>
    <row r="454" spans="1:23" s="304" customFormat="1" ht="20" customHeight="1">
      <c r="A454" s="229"/>
      <c r="B454" s="229"/>
      <c r="C454" s="229"/>
      <c r="D454" s="229"/>
      <c r="E454" s="229"/>
      <c r="F454" s="229"/>
      <c r="G454" s="305"/>
      <c r="H454" s="229"/>
      <c r="I454" s="229"/>
      <c r="J454" s="306"/>
      <c r="M454" s="307"/>
      <c r="P454" s="306"/>
      <c r="R454" s="229"/>
      <c r="S454" s="229"/>
      <c r="T454" s="229"/>
      <c r="U454" s="229"/>
      <c r="V454" s="229"/>
      <c r="W454" s="229"/>
    </row>
    <row r="455" spans="1:23" s="304" customFormat="1" ht="20" customHeight="1">
      <c r="A455" s="229"/>
      <c r="B455" s="282" t="s">
        <v>150</v>
      </c>
      <c r="C455" s="283" t="s">
        <v>15</v>
      </c>
      <c r="D455" s="298"/>
      <c r="E455" s="298"/>
      <c r="F455" s="298"/>
      <c r="G455" s="299"/>
      <c r="H455" s="298"/>
      <c r="I455" s="298"/>
      <c r="J455" s="300"/>
      <c r="K455" s="301"/>
      <c r="L455" s="301"/>
      <c r="M455" s="302"/>
      <c r="N455" s="301"/>
      <c r="O455" s="301"/>
      <c r="P455" s="300"/>
      <c r="Q455" s="301"/>
      <c r="R455" s="298"/>
      <c r="S455" s="298"/>
      <c r="T455" s="298"/>
      <c r="U455" s="298"/>
      <c r="V455" s="303"/>
      <c r="W455" s="229"/>
    </row>
    <row r="456" spans="1:23" s="304" customFormat="1" ht="20" customHeight="1">
      <c r="A456" s="229"/>
      <c r="B456" s="308" t="str" cm="1">
        <f t="array" ref="B456">IFERROR(_xlfn._xlws.SORT(_xlfn._xlws.FILTER($B$6:$U$385,($U$6:$U$385&lt;&gt;0)*($U$6:$U$385&lt;=5)*($E$6:$E$385=C455)*($F$6:$F$385=B455)),17,-1),"...")</f>
        <v>...</v>
      </c>
      <c r="C456" s="229"/>
      <c r="D456" s="229"/>
      <c r="E456" s="229"/>
      <c r="F456" s="229"/>
      <c r="G456" s="305"/>
      <c r="H456" s="229"/>
      <c r="I456" s="229"/>
      <c r="J456" s="306"/>
      <c r="M456" s="307"/>
      <c r="P456" s="306"/>
      <c r="R456" s="229"/>
      <c r="S456" s="229"/>
      <c r="T456" s="229"/>
      <c r="U456" s="229"/>
      <c r="V456" s="309"/>
      <c r="W456" s="229"/>
    </row>
    <row r="457" spans="1:23" s="304" customFormat="1" ht="20" customHeight="1">
      <c r="A457" s="229"/>
      <c r="B457" s="308"/>
      <c r="C457" s="229"/>
      <c r="D457" s="229"/>
      <c r="E457" s="229"/>
      <c r="F457" s="229"/>
      <c r="G457" s="305"/>
      <c r="H457" s="229"/>
      <c r="I457" s="229"/>
      <c r="J457" s="306"/>
      <c r="M457" s="307"/>
      <c r="P457" s="306"/>
      <c r="R457" s="229"/>
      <c r="S457" s="229"/>
      <c r="T457" s="229"/>
      <c r="U457" s="229"/>
      <c r="V457" s="309"/>
      <c r="W457" s="229"/>
    </row>
    <row r="458" spans="1:23" s="304" customFormat="1" ht="20" customHeight="1">
      <c r="A458" s="229"/>
      <c r="B458" s="308"/>
      <c r="C458" s="229"/>
      <c r="D458" s="229"/>
      <c r="E458" s="229"/>
      <c r="F458" s="229"/>
      <c r="G458" s="305"/>
      <c r="H458" s="229"/>
      <c r="I458" s="229"/>
      <c r="J458" s="306"/>
      <c r="M458" s="307"/>
      <c r="P458" s="306"/>
      <c r="R458" s="229"/>
      <c r="S458" s="229"/>
      <c r="T458" s="229"/>
      <c r="U458" s="229"/>
      <c r="V458" s="309"/>
      <c r="W458" s="229"/>
    </row>
    <row r="459" spans="1:23" s="304" customFormat="1" ht="20" customHeight="1">
      <c r="A459" s="229"/>
      <c r="B459" s="308"/>
      <c r="C459" s="229"/>
      <c r="D459" s="229"/>
      <c r="E459" s="229"/>
      <c r="F459" s="229"/>
      <c r="G459" s="305"/>
      <c r="H459" s="229"/>
      <c r="I459" s="229"/>
      <c r="J459" s="306"/>
      <c r="M459" s="307"/>
      <c r="P459" s="306"/>
      <c r="R459" s="229"/>
      <c r="S459" s="229"/>
      <c r="T459" s="229"/>
      <c r="U459" s="229"/>
      <c r="V459" s="309"/>
      <c r="W459" s="229"/>
    </row>
    <row r="460" spans="1:23" s="304" customFormat="1" ht="20" customHeight="1">
      <c r="A460" s="229"/>
      <c r="B460" s="310"/>
      <c r="C460" s="311"/>
      <c r="D460" s="311"/>
      <c r="E460" s="311"/>
      <c r="F460" s="311"/>
      <c r="G460" s="312"/>
      <c r="H460" s="311"/>
      <c r="I460" s="311"/>
      <c r="J460" s="313"/>
      <c r="K460" s="314"/>
      <c r="L460" s="314"/>
      <c r="M460" s="315"/>
      <c r="N460" s="314"/>
      <c r="O460" s="314"/>
      <c r="P460" s="313"/>
      <c r="Q460" s="314"/>
      <c r="R460" s="311"/>
      <c r="S460" s="311"/>
      <c r="T460" s="311"/>
      <c r="U460" s="311"/>
      <c r="V460" s="316"/>
      <c r="W460" s="229"/>
    </row>
    <row r="461" spans="1:23" s="304" customFormat="1" ht="20" customHeight="1">
      <c r="A461" s="229"/>
      <c r="B461" s="229"/>
      <c r="C461" s="229"/>
      <c r="D461" s="229"/>
      <c r="E461" s="229"/>
      <c r="F461" s="229"/>
      <c r="G461" s="305"/>
      <c r="H461" s="229"/>
      <c r="I461" s="229"/>
      <c r="J461" s="306"/>
      <c r="M461" s="307"/>
      <c r="P461" s="306"/>
      <c r="R461" s="229"/>
      <c r="S461" s="229"/>
      <c r="T461" s="229"/>
      <c r="U461" s="229"/>
      <c r="V461" s="229"/>
      <c r="W461" s="229"/>
    </row>
    <row r="462" spans="1:23" s="304" customFormat="1" ht="20" customHeight="1">
      <c r="A462" s="229"/>
      <c r="B462" s="282" t="s">
        <v>150</v>
      </c>
      <c r="C462" s="283" t="s">
        <v>14</v>
      </c>
      <c r="D462" s="298"/>
      <c r="E462" s="298"/>
      <c r="F462" s="298"/>
      <c r="G462" s="299"/>
      <c r="H462" s="298"/>
      <c r="I462" s="298"/>
      <c r="J462" s="300"/>
      <c r="K462" s="301"/>
      <c r="L462" s="301"/>
      <c r="M462" s="302"/>
      <c r="N462" s="301"/>
      <c r="O462" s="301"/>
      <c r="P462" s="300"/>
      <c r="Q462" s="301"/>
      <c r="R462" s="298"/>
      <c r="S462" s="298"/>
      <c r="T462" s="298"/>
      <c r="U462" s="298"/>
      <c r="V462" s="303"/>
      <c r="W462" s="229"/>
    </row>
    <row r="463" spans="1:23" s="304" customFormat="1" ht="20" customHeight="1">
      <c r="A463" s="229"/>
      <c r="B463" s="308" t="str" cm="1">
        <f t="array" ref="B463">IFERROR(_xlfn._xlws.SORT(_xlfn._xlws.FILTER($B$6:$U$385,($U$6:$U$385&lt;&gt;0)*($U$6:$U$385&lt;=5)*($E$6:$E$385=C462)*($F$6:$F$385=B462)),17,-1),"...")</f>
        <v>...</v>
      </c>
      <c r="C463" s="229"/>
      <c r="D463" s="229"/>
      <c r="E463" s="229"/>
      <c r="F463" s="229"/>
      <c r="G463" s="305"/>
      <c r="H463" s="229"/>
      <c r="I463" s="229"/>
      <c r="J463" s="306"/>
      <c r="M463" s="307"/>
      <c r="P463" s="306"/>
      <c r="R463" s="229"/>
      <c r="S463" s="229"/>
      <c r="T463" s="229"/>
      <c r="U463" s="229"/>
      <c r="V463" s="309"/>
      <c r="W463" s="229"/>
    </row>
    <row r="464" spans="1:23" s="304" customFormat="1" ht="20" customHeight="1">
      <c r="A464" s="229"/>
      <c r="B464" s="308"/>
      <c r="C464" s="229"/>
      <c r="D464" s="229"/>
      <c r="E464" s="229"/>
      <c r="F464" s="229"/>
      <c r="G464" s="305"/>
      <c r="H464" s="229"/>
      <c r="I464" s="229"/>
      <c r="J464" s="306"/>
      <c r="M464" s="307"/>
      <c r="P464" s="306"/>
      <c r="R464" s="229"/>
      <c r="S464" s="229"/>
      <c r="T464" s="229"/>
      <c r="U464" s="229"/>
      <c r="V464" s="309"/>
      <c r="W464" s="229"/>
    </row>
    <row r="465" spans="1:23" s="304" customFormat="1" ht="20" customHeight="1">
      <c r="A465" s="229"/>
      <c r="B465" s="308"/>
      <c r="C465" s="229"/>
      <c r="D465" s="229"/>
      <c r="E465" s="229"/>
      <c r="F465" s="229"/>
      <c r="G465" s="305"/>
      <c r="H465" s="229"/>
      <c r="I465" s="229"/>
      <c r="J465" s="306"/>
      <c r="M465" s="307"/>
      <c r="P465" s="306"/>
      <c r="R465" s="229"/>
      <c r="S465" s="229"/>
      <c r="T465" s="229"/>
      <c r="U465" s="229"/>
      <c r="V465" s="309"/>
      <c r="W465" s="229"/>
    </row>
    <row r="466" spans="1:23" s="304" customFormat="1" ht="20" customHeight="1">
      <c r="A466" s="229"/>
      <c r="B466" s="308"/>
      <c r="C466" s="229"/>
      <c r="D466" s="229"/>
      <c r="E466" s="229"/>
      <c r="F466" s="229"/>
      <c r="G466" s="305"/>
      <c r="H466" s="229"/>
      <c r="I466" s="229"/>
      <c r="J466" s="306"/>
      <c r="M466" s="307"/>
      <c r="P466" s="306"/>
      <c r="R466" s="229"/>
      <c r="S466" s="229"/>
      <c r="T466" s="229"/>
      <c r="U466" s="229"/>
      <c r="V466" s="309"/>
      <c r="W466" s="229"/>
    </row>
    <row r="467" spans="1:23" s="304" customFormat="1" ht="20" customHeight="1">
      <c r="A467" s="229"/>
      <c r="B467" s="310"/>
      <c r="C467" s="311"/>
      <c r="D467" s="311"/>
      <c r="E467" s="311"/>
      <c r="F467" s="311"/>
      <c r="G467" s="312"/>
      <c r="H467" s="311"/>
      <c r="I467" s="311"/>
      <c r="J467" s="313"/>
      <c r="K467" s="314"/>
      <c r="L467" s="314"/>
      <c r="M467" s="315"/>
      <c r="N467" s="314"/>
      <c r="O467" s="314"/>
      <c r="P467" s="313"/>
      <c r="Q467" s="314"/>
      <c r="R467" s="311"/>
      <c r="S467" s="311"/>
      <c r="T467" s="311"/>
      <c r="U467" s="311"/>
      <c r="V467" s="316"/>
      <c r="W467" s="229"/>
    </row>
  </sheetData>
  <sheetProtection sheet="1" objects="1" scenarios="1"/>
  <mergeCells count="241">
    <mergeCell ref="D438:G438"/>
    <mergeCell ref="H438:J438"/>
    <mergeCell ref="K438:M438"/>
    <mergeCell ref="D439:G439"/>
    <mergeCell ref="H439:J439"/>
    <mergeCell ref="K439:M439"/>
    <mergeCell ref="D436:G436"/>
    <mergeCell ref="H436:J436"/>
    <mergeCell ref="K436:M436"/>
    <mergeCell ref="D437:G437"/>
    <mergeCell ref="H437:J437"/>
    <mergeCell ref="K437:M437"/>
    <mergeCell ref="D434:G434"/>
    <mergeCell ref="H434:J434"/>
    <mergeCell ref="K434:M434"/>
    <mergeCell ref="D435:G435"/>
    <mergeCell ref="H435:J435"/>
    <mergeCell ref="K435:M435"/>
    <mergeCell ref="D432:G432"/>
    <mergeCell ref="H432:J432"/>
    <mergeCell ref="K432:M432"/>
    <mergeCell ref="D433:G433"/>
    <mergeCell ref="H433:J433"/>
    <mergeCell ref="K433:M433"/>
    <mergeCell ref="D428:G428"/>
    <mergeCell ref="H428:J428"/>
    <mergeCell ref="K428:M428"/>
    <mergeCell ref="N428:P428"/>
    <mergeCell ref="D430:M430"/>
    <mergeCell ref="D431:G431"/>
    <mergeCell ref="H431:J431"/>
    <mergeCell ref="K431:M431"/>
    <mergeCell ref="D426:G426"/>
    <mergeCell ref="H426:J426"/>
    <mergeCell ref="K426:M426"/>
    <mergeCell ref="N426:P426"/>
    <mergeCell ref="D427:G427"/>
    <mergeCell ref="H427:J427"/>
    <mergeCell ref="K427:M427"/>
    <mergeCell ref="N427:P427"/>
    <mergeCell ref="D424:G424"/>
    <mergeCell ref="H424:J424"/>
    <mergeCell ref="K424:M424"/>
    <mergeCell ref="N424:P424"/>
    <mergeCell ref="D425:G425"/>
    <mergeCell ref="H425:J425"/>
    <mergeCell ref="K425:M425"/>
    <mergeCell ref="N425:P425"/>
    <mergeCell ref="D422:G422"/>
    <mergeCell ref="H422:J422"/>
    <mergeCell ref="K422:M422"/>
    <mergeCell ref="N422:P422"/>
    <mergeCell ref="D423:G423"/>
    <mergeCell ref="H423:J423"/>
    <mergeCell ref="K423:M423"/>
    <mergeCell ref="N423:P423"/>
    <mergeCell ref="D419:P419"/>
    <mergeCell ref="D420:G420"/>
    <mergeCell ref="H420:J420"/>
    <mergeCell ref="K420:M420"/>
    <mergeCell ref="N420:P420"/>
    <mergeCell ref="D421:G421"/>
    <mergeCell ref="H421:J421"/>
    <mergeCell ref="K421:M421"/>
    <mergeCell ref="N421:P421"/>
    <mergeCell ref="T414:U414"/>
    <mergeCell ref="B415:C415"/>
    <mergeCell ref="E415:F415"/>
    <mergeCell ref="G415:H415"/>
    <mergeCell ref="K415:O415"/>
    <mergeCell ref="P415:Q415"/>
    <mergeCell ref="R415:S415"/>
    <mergeCell ref="T415:U415"/>
    <mergeCell ref="B414:C414"/>
    <mergeCell ref="E414:F414"/>
    <mergeCell ref="G414:H414"/>
    <mergeCell ref="K414:O414"/>
    <mergeCell ref="P414:Q414"/>
    <mergeCell ref="R414:S414"/>
    <mergeCell ref="T412:U412"/>
    <mergeCell ref="B413:C413"/>
    <mergeCell ref="E413:F413"/>
    <mergeCell ref="G413:H413"/>
    <mergeCell ref="K413:O413"/>
    <mergeCell ref="P413:Q413"/>
    <mergeCell ref="R413:S413"/>
    <mergeCell ref="T413:U413"/>
    <mergeCell ref="B412:C412"/>
    <mergeCell ref="E412:F412"/>
    <mergeCell ref="G412:H412"/>
    <mergeCell ref="K412:O412"/>
    <mergeCell ref="P412:Q412"/>
    <mergeCell ref="R412:S412"/>
    <mergeCell ref="T410:U410"/>
    <mergeCell ref="B411:C411"/>
    <mergeCell ref="E411:F411"/>
    <mergeCell ref="G411:H411"/>
    <mergeCell ref="K411:O411"/>
    <mergeCell ref="P411:Q411"/>
    <mergeCell ref="R411:S411"/>
    <mergeCell ref="T411:U411"/>
    <mergeCell ref="B410:C410"/>
    <mergeCell ref="E410:F410"/>
    <mergeCell ref="G410:H410"/>
    <mergeCell ref="K410:O410"/>
    <mergeCell ref="P410:Q410"/>
    <mergeCell ref="R410:S410"/>
    <mergeCell ref="T408:U408"/>
    <mergeCell ref="B409:C409"/>
    <mergeCell ref="E409:F409"/>
    <mergeCell ref="G409:H409"/>
    <mergeCell ref="K409:O409"/>
    <mergeCell ref="P409:Q409"/>
    <mergeCell ref="R409:S409"/>
    <mergeCell ref="T409:U409"/>
    <mergeCell ref="B408:C408"/>
    <mergeCell ref="E408:F408"/>
    <mergeCell ref="G408:H408"/>
    <mergeCell ref="K408:O408"/>
    <mergeCell ref="P408:Q408"/>
    <mergeCell ref="R408:S408"/>
    <mergeCell ref="B407:C407"/>
    <mergeCell ref="E407:F407"/>
    <mergeCell ref="K407:O407"/>
    <mergeCell ref="P407:Q407"/>
    <mergeCell ref="R407:S407"/>
    <mergeCell ref="T407:U407"/>
    <mergeCell ref="T404:U404"/>
    <mergeCell ref="B405:C405"/>
    <mergeCell ref="E405:F405"/>
    <mergeCell ref="G405:H405"/>
    <mergeCell ref="K405:O405"/>
    <mergeCell ref="P405:Q405"/>
    <mergeCell ref="R405:S405"/>
    <mergeCell ref="T405:U405"/>
    <mergeCell ref="B404:C404"/>
    <mergeCell ref="E404:F404"/>
    <mergeCell ref="G404:H404"/>
    <mergeCell ref="K404:O404"/>
    <mergeCell ref="P404:Q404"/>
    <mergeCell ref="R404:S404"/>
    <mergeCell ref="T402:U402"/>
    <mergeCell ref="B403:C403"/>
    <mergeCell ref="E403:F403"/>
    <mergeCell ref="G403:H403"/>
    <mergeCell ref="K403:O403"/>
    <mergeCell ref="P403:Q403"/>
    <mergeCell ref="R403:S403"/>
    <mergeCell ref="T403:U403"/>
    <mergeCell ref="B402:C402"/>
    <mergeCell ref="E402:F402"/>
    <mergeCell ref="G402:H402"/>
    <mergeCell ref="K402:O402"/>
    <mergeCell ref="P402:Q402"/>
    <mergeCell ref="R402:S402"/>
    <mergeCell ref="T400:U400"/>
    <mergeCell ref="B401:C401"/>
    <mergeCell ref="E401:F401"/>
    <mergeCell ref="G401:H401"/>
    <mergeCell ref="K401:O401"/>
    <mergeCell ref="P401:Q401"/>
    <mergeCell ref="R401:S401"/>
    <mergeCell ref="T401:U401"/>
    <mergeCell ref="B400:C400"/>
    <mergeCell ref="E400:F400"/>
    <mergeCell ref="G400:H400"/>
    <mergeCell ref="K400:O400"/>
    <mergeCell ref="P400:Q400"/>
    <mergeCell ref="R400:S400"/>
    <mergeCell ref="T398:U398"/>
    <mergeCell ref="B399:C399"/>
    <mergeCell ref="E399:F399"/>
    <mergeCell ref="G399:H399"/>
    <mergeCell ref="K399:O399"/>
    <mergeCell ref="P399:Q399"/>
    <mergeCell ref="R399:S399"/>
    <mergeCell ref="T399:U399"/>
    <mergeCell ref="B398:C398"/>
    <mergeCell ref="E398:F398"/>
    <mergeCell ref="G398:H398"/>
    <mergeCell ref="K398:O398"/>
    <mergeCell ref="P398:Q398"/>
    <mergeCell ref="R398:S398"/>
    <mergeCell ref="A326:A345"/>
    <mergeCell ref="A346:A365"/>
    <mergeCell ref="A366:A385"/>
    <mergeCell ref="B395:U395"/>
    <mergeCell ref="B397:C397"/>
    <mergeCell ref="E397:F397"/>
    <mergeCell ref="K397:O397"/>
    <mergeCell ref="P397:Q397"/>
    <mergeCell ref="R397:S397"/>
    <mergeCell ref="T397:U397"/>
    <mergeCell ref="A198:A217"/>
    <mergeCell ref="A218:A237"/>
    <mergeCell ref="A238:A257"/>
    <mergeCell ref="A258:A280"/>
    <mergeCell ref="A281:A300"/>
    <mergeCell ref="A301:A325"/>
    <mergeCell ref="G196:I196"/>
    <mergeCell ref="J196:L196"/>
    <mergeCell ref="M196:O196"/>
    <mergeCell ref="P196:Q196"/>
    <mergeCell ref="S196:T196"/>
    <mergeCell ref="U196:V196"/>
    <mergeCell ref="A196:A197"/>
    <mergeCell ref="B196:B197"/>
    <mergeCell ref="C196:C197"/>
    <mergeCell ref="D196:D197"/>
    <mergeCell ref="E196:E197"/>
    <mergeCell ref="F196:F197"/>
    <mergeCell ref="A66:A85"/>
    <mergeCell ref="A86:A105"/>
    <mergeCell ref="A106:A130"/>
    <mergeCell ref="A131:A150"/>
    <mergeCell ref="A151:A170"/>
    <mergeCell ref="A171:A190"/>
    <mergeCell ref="P4:Q4"/>
    <mergeCell ref="S4:T4"/>
    <mergeCell ref="U4:V4"/>
    <mergeCell ref="A6:A25"/>
    <mergeCell ref="A26:A45"/>
    <mergeCell ref="A46:A65"/>
    <mergeCell ref="A4:A5"/>
    <mergeCell ref="B4:B5"/>
    <mergeCell ref="C4:C5"/>
    <mergeCell ref="D4:D5"/>
    <mergeCell ref="E4:E5"/>
    <mergeCell ref="F4:F5"/>
    <mergeCell ref="G4:I4"/>
    <mergeCell ref="J4:L4"/>
    <mergeCell ref="M4:O4"/>
    <mergeCell ref="A1:F1"/>
    <mergeCell ref="G1:J1"/>
    <mergeCell ref="K1:Q1"/>
    <mergeCell ref="R1:V1"/>
    <mergeCell ref="A2:F2"/>
    <mergeCell ref="G2:J2"/>
    <mergeCell ref="K2:Q2"/>
    <mergeCell ref="R2:V2"/>
    <mergeCell ref="A3:V3"/>
  </mergeCells>
  <conditionalFormatting sqref="B6:V385">
    <cfRule type="expression" dxfId="0" priority="1" stopIfTrue="1">
      <formula>AND($C6&lt;&gt;"", $R6=0)</formula>
    </cfRule>
  </conditionalFormatting>
  <printOptions horizontalCentered="1"/>
  <pageMargins left="0" right="0" top="0.19685039370078741" bottom="0" header="0.51181102362204722" footer="0.51181102362204722"/>
  <pageSetup paperSize="9" scale="41" fitToHeight="0" orientation="landscape" r:id="rId1"/>
  <headerFooter alignWithMargins="0"/>
  <rowBreaks count="6" manualBreakCount="6">
    <brk id="65" max="16383" man="1"/>
    <brk id="130" max="16383" man="1"/>
    <brk id="195" max="16383" man="1"/>
    <brk id="257" max="16383" man="1"/>
    <brk id="325" max="16383" man="1"/>
    <brk id="38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00FF00"/>
  </sheetPr>
  <dimension ref="A1:K336"/>
  <sheetViews>
    <sheetView zoomScaleNormal="100" workbookViewId="0">
      <pane ySplit="5" topLeftCell="A6" activePane="bottomLeft" state="frozen"/>
      <selection pane="bottomLeft" activeCell="C15" sqref="C15"/>
    </sheetView>
  </sheetViews>
  <sheetFormatPr baseColWidth="10" defaultColWidth="8.83203125" defaultRowHeight="25"/>
  <cols>
    <col min="1" max="1" width="13.5" style="1" customWidth="1"/>
    <col min="2" max="2" width="8.33203125" style="16" customWidth="1"/>
    <col min="3" max="3" width="41.6640625" style="277" customWidth="1"/>
    <col min="4" max="4" width="16.6640625" style="278" customWidth="1"/>
    <col min="5" max="5" width="16.6640625" style="279" customWidth="1"/>
    <col min="6" max="6" width="25" style="277" customWidth="1"/>
    <col min="7" max="7" width="6.6640625" style="277" customWidth="1"/>
    <col min="8" max="11" width="8.33203125" customWidth="1"/>
  </cols>
  <sheetData>
    <row r="1" spans="1:11" s="7" customFormat="1" ht="22" customHeight="1">
      <c r="A1" s="434" t="str">
        <f>'Read Me First'!A1</f>
        <v>Oxfordshire Track and Field League 2026</v>
      </c>
      <c r="B1" s="435"/>
      <c r="C1" s="435"/>
      <c r="D1" s="435"/>
      <c r="E1" s="435"/>
      <c r="F1" s="435"/>
    </row>
    <row r="2" spans="1:11" s="7" customFormat="1" ht="22" customHeight="1">
      <c r="A2" s="436" t="str">
        <f>CONCATENATE('Read Me First'!A2, " Declarations")</f>
        <v>QuadKids Declarations</v>
      </c>
      <c r="B2" s="437"/>
      <c r="C2" s="437"/>
      <c r="D2" s="437"/>
      <c r="E2" s="437"/>
      <c r="F2" s="437"/>
    </row>
    <row r="3" spans="1:11" s="3" customFormat="1" ht="16" customHeight="1">
      <c r="A3" s="228"/>
      <c r="B3" s="228"/>
      <c r="C3" s="228"/>
      <c r="D3" s="228"/>
      <c r="E3" s="228"/>
    </row>
    <row r="4" spans="1:11" s="7" customFormat="1" ht="22" customHeight="1">
      <c r="A4" s="266" t="str">
        <f>"Match " &amp; 'Read Me First'!C9</f>
        <v>Match 2</v>
      </c>
      <c r="B4" s="455" t="str">
        <f>(VLOOKUP('Read Me First'!F4,'Read Me First'!A22:D24,4,FALSE))</f>
        <v>Banbury</v>
      </c>
      <c r="C4" s="456"/>
      <c r="D4" s="457"/>
      <c r="E4" s="453">
        <f>'Read Me First'!C10</f>
        <v>46250</v>
      </c>
      <c r="F4" s="454"/>
      <c r="G4" s="267"/>
    </row>
    <row r="5" spans="1:11" s="271" customFormat="1" ht="16">
      <c r="A5" s="268"/>
      <c r="B5" s="269" t="s">
        <v>0</v>
      </c>
      <c r="C5" s="269" t="s">
        <v>20</v>
      </c>
      <c r="D5" s="269" t="s">
        <v>144</v>
      </c>
      <c r="E5" s="269" t="s">
        <v>22</v>
      </c>
      <c r="F5" s="269" t="s">
        <v>21</v>
      </c>
      <c r="G5" s="270"/>
    </row>
    <row r="6" spans="1:11" ht="15" customHeight="1">
      <c r="A6" s="451" t="str">
        <f>'Read Me First'!C11</f>
        <v>Abingdon AC</v>
      </c>
      <c r="B6" s="343"/>
      <c r="C6" s="344"/>
      <c r="D6" s="78" t="s">
        <v>145</v>
      </c>
      <c r="E6" s="263" t="s">
        <v>15</v>
      </c>
      <c r="F6" s="272" t="str">
        <f>$A$6</f>
        <v>Abingdon AC</v>
      </c>
      <c r="G6" s="273"/>
    </row>
    <row r="7" spans="1:11" ht="15" customHeight="1">
      <c r="A7" s="451"/>
      <c r="B7" s="345"/>
      <c r="C7" s="346"/>
      <c r="D7" s="59" t="s">
        <v>145</v>
      </c>
      <c r="E7" s="261" t="s">
        <v>15</v>
      </c>
      <c r="F7" s="2" t="str">
        <f t="shared" ref="F7:F37" si="0">$A$6</f>
        <v>Abingdon AC</v>
      </c>
      <c r="G7" s="273"/>
      <c r="H7" s="438" t="s">
        <v>72</v>
      </c>
      <c r="I7" s="439"/>
      <c r="J7" s="439"/>
      <c r="K7" s="440"/>
    </row>
    <row r="8" spans="1:11" ht="15" customHeight="1">
      <c r="A8" s="451"/>
      <c r="B8" s="343"/>
      <c r="C8" s="346"/>
      <c r="D8" s="59" t="s">
        <v>145</v>
      </c>
      <c r="E8" s="261" t="s">
        <v>15</v>
      </c>
      <c r="F8" s="2" t="str">
        <f t="shared" si="0"/>
        <v>Abingdon AC</v>
      </c>
      <c r="G8" s="273"/>
      <c r="H8" s="441"/>
      <c r="I8" s="442"/>
      <c r="J8" s="442"/>
      <c r="K8" s="443"/>
    </row>
    <row r="9" spans="1:11" ht="15" customHeight="1">
      <c r="A9" s="451"/>
      <c r="B9" s="345"/>
      <c r="C9" s="346"/>
      <c r="D9" s="59" t="s">
        <v>145</v>
      </c>
      <c r="E9" s="261" t="s">
        <v>15</v>
      </c>
      <c r="F9" s="2" t="str">
        <f t="shared" si="0"/>
        <v>Abingdon AC</v>
      </c>
      <c r="G9" s="273"/>
      <c r="H9" s="441"/>
      <c r="I9" s="442"/>
      <c r="J9" s="442"/>
      <c r="K9" s="443"/>
    </row>
    <row r="10" spans="1:11" ht="15" customHeight="1">
      <c r="A10" s="451"/>
      <c r="B10" s="343"/>
      <c r="C10" s="346"/>
      <c r="D10" s="59" t="s">
        <v>145</v>
      </c>
      <c r="E10" s="261" t="s">
        <v>15</v>
      </c>
      <c r="F10" s="2" t="str">
        <f t="shared" si="0"/>
        <v>Abingdon AC</v>
      </c>
      <c r="G10" s="273"/>
      <c r="H10" s="441"/>
      <c r="I10" s="442"/>
      <c r="J10" s="442"/>
      <c r="K10" s="443"/>
    </row>
    <row r="11" spans="1:11" ht="15" customHeight="1">
      <c r="A11" s="451"/>
      <c r="B11" s="345"/>
      <c r="C11" s="346"/>
      <c r="D11" s="59" t="s">
        <v>145</v>
      </c>
      <c r="E11" s="261" t="s">
        <v>15</v>
      </c>
      <c r="F11" s="2" t="str">
        <f t="shared" si="0"/>
        <v>Abingdon AC</v>
      </c>
      <c r="G11" s="273"/>
      <c r="H11" s="444"/>
      <c r="I11" s="445"/>
      <c r="J11" s="445"/>
      <c r="K11" s="446"/>
    </row>
    <row r="12" spans="1:11" ht="15" customHeight="1">
      <c r="A12" s="451"/>
      <c r="B12" s="343"/>
      <c r="C12" s="346"/>
      <c r="D12" s="59" t="s">
        <v>145</v>
      </c>
      <c r="E12" s="261" t="s">
        <v>15</v>
      </c>
      <c r="F12" s="2" t="str">
        <f t="shared" si="0"/>
        <v>Abingdon AC</v>
      </c>
      <c r="G12" s="273"/>
      <c r="H12" s="447"/>
      <c r="I12" s="448"/>
      <c r="J12" s="448"/>
      <c r="K12" s="449"/>
    </row>
    <row r="13" spans="1:11" ht="15" customHeight="1">
      <c r="A13" s="451"/>
      <c r="B13" s="345"/>
      <c r="C13" s="346"/>
      <c r="D13" s="59" t="s">
        <v>145</v>
      </c>
      <c r="E13" s="261" t="s">
        <v>15</v>
      </c>
      <c r="F13" s="2" t="str">
        <f t="shared" si="0"/>
        <v>Abingdon AC</v>
      </c>
      <c r="G13" s="273"/>
    </row>
    <row r="14" spans="1:11" ht="15" customHeight="1">
      <c r="A14" s="451"/>
      <c r="B14" s="343"/>
      <c r="C14" s="346"/>
      <c r="D14" s="59" t="s">
        <v>145</v>
      </c>
      <c r="E14" s="261" t="s">
        <v>15</v>
      </c>
      <c r="F14" s="2" t="str">
        <f t="shared" si="0"/>
        <v>Abingdon AC</v>
      </c>
      <c r="G14" s="273"/>
    </row>
    <row r="15" spans="1:11" ht="15" customHeight="1">
      <c r="A15" s="451"/>
      <c r="B15" s="345"/>
      <c r="C15" s="346"/>
      <c r="D15" s="59" t="s">
        <v>145</v>
      </c>
      <c r="E15" s="261" t="s">
        <v>15</v>
      </c>
      <c r="F15" s="2" t="str">
        <f t="shared" si="0"/>
        <v>Abingdon AC</v>
      </c>
      <c r="G15" s="273"/>
    </row>
    <row r="16" spans="1:11" ht="15" customHeight="1">
      <c r="A16" s="451"/>
      <c r="B16" s="343"/>
      <c r="C16" s="346"/>
      <c r="D16" s="59" t="s">
        <v>145</v>
      </c>
      <c r="E16" s="261" t="s">
        <v>15</v>
      </c>
      <c r="F16" s="2" t="str">
        <f t="shared" si="0"/>
        <v>Abingdon AC</v>
      </c>
      <c r="G16" s="273"/>
    </row>
    <row r="17" spans="1:7" ht="15" customHeight="1">
      <c r="A17" s="451"/>
      <c r="B17" s="345"/>
      <c r="C17" s="346"/>
      <c r="D17" s="59" t="s">
        <v>145</v>
      </c>
      <c r="E17" s="261" t="s">
        <v>15</v>
      </c>
      <c r="F17" s="2" t="str">
        <f t="shared" si="0"/>
        <v>Abingdon AC</v>
      </c>
      <c r="G17" s="273"/>
    </row>
    <row r="18" spans="1:7" ht="15" customHeight="1">
      <c r="A18" s="451"/>
      <c r="B18" s="343"/>
      <c r="C18" s="346"/>
      <c r="D18" s="59" t="s">
        <v>145</v>
      </c>
      <c r="E18" s="261" t="s">
        <v>15</v>
      </c>
      <c r="F18" s="2" t="str">
        <f t="shared" si="0"/>
        <v>Abingdon AC</v>
      </c>
      <c r="G18" s="273"/>
    </row>
    <row r="19" spans="1:7" ht="15" customHeight="1">
      <c r="A19" s="451"/>
      <c r="B19" s="345"/>
      <c r="C19" s="346"/>
      <c r="D19" s="59" t="s">
        <v>145</v>
      </c>
      <c r="E19" s="261" t="s">
        <v>15</v>
      </c>
      <c r="F19" s="2" t="str">
        <f t="shared" si="0"/>
        <v>Abingdon AC</v>
      </c>
      <c r="G19" s="273"/>
    </row>
    <row r="20" spans="1:7" ht="15" customHeight="1">
      <c r="A20" s="451"/>
      <c r="B20" s="343"/>
      <c r="C20" s="346"/>
      <c r="D20" s="59" t="s">
        <v>145</v>
      </c>
      <c r="E20" s="261" t="s">
        <v>15</v>
      </c>
      <c r="F20" s="2" t="str">
        <f t="shared" si="0"/>
        <v>Abingdon AC</v>
      </c>
      <c r="G20" s="273"/>
    </row>
    <row r="21" spans="1:7" ht="15" customHeight="1" thickBot="1">
      <c r="A21" s="451"/>
      <c r="B21" s="347"/>
      <c r="C21" s="348"/>
      <c r="D21" s="79" t="s">
        <v>145</v>
      </c>
      <c r="E21" s="262" t="s">
        <v>15</v>
      </c>
      <c r="F21" s="274" t="str">
        <f t="shared" si="0"/>
        <v>Abingdon AC</v>
      </c>
      <c r="G21" s="273"/>
    </row>
    <row r="22" spans="1:7" ht="15" customHeight="1">
      <c r="A22" s="451"/>
      <c r="B22" s="343"/>
      <c r="C22" s="344"/>
      <c r="D22" s="78" t="s">
        <v>145</v>
      </c>
      <c r="E22" s="263" t="s">
        <v>14</v>
      </c>
      <c r="F22" s="272" t="str">
        <f t="shared" si="0"/>
        <v>Abingdon AC</v>
      </c>
      <c r="G22" s="273"/>
    </row>
    <row r="23" spans="1:7" ht="15" customHeight="1">
      <c r="A23" s="451"/>
      <c r="B23" s="345"/>
      <c r="C23" s="346"/>
      <c r="D23" s="59" t="s">
        <v>145</v>
      </c>
      <c r="E23" s="261" t="s">
        <v>14</v>
      </c>
      <c r="F23" s="2" t="str">
        <f t="shared" si="0"/>
        <v>Abingdon AC</v>
      </c>
      <c r="G23" s="273"/>
    </row>
    <row r="24" spans="1:7" ht="15" customHeight="1">
      <c r="A24" s="451"/>
      <c r="B24" s="343"/>
      <c r="C24" s="346"/>
      <c r="D24" s="59" t="s">
        <v>145</v>
      </c>
      <c r="E24" s="261" t="s">
        <v>14</v>
      </c>
      <c r="F24" s="2" t="str">
        <f t="shared" si="0"/>
        <v>Abingdon AC</v>
      </c>
      <c r="G24" s="273"/>
    </row>
    <row r="25" spans="1:7" ht="15" customHeight="1">
      <c r="A25" s="451"/>
      <c r="B25" s="345"/>
      <c r="C25" s="346"/>
      <c r="D25" s="59" t="s">
        <v>145</v>
      </c>
      <c r="E25" s="261" t="s">
        <v>14</v>
      </c>
      <c r="F25" s="2" t="str">
        <f t="shared" si="0"/>
        <v>Abingdon AC</v>
      </c>
      <c r="G25" s="273"/>
    </row>
    <row r="26" spans="1:7" ht="15" customHeight="1">
      <c r="A26" s="451"/>
      <c r="B26" s="343"/>
      <c r="C26" s="346"/>
      <c r="D26" s="59" t="s">
        <v>145</v>
      </c>
      <c r="E26" s="261" t="s">
        <v>14</v>
      </c>
      <c r="F26" s="2" t="str">
        <f t="shared" si="0"/>
        <v>Abingdon AC</v>
      </c>
      <c r="G26" s="273"/>
    </row>
    <row r="27" spans="1:7" ht="15" customHeight="1">
      <c r="A27" s="451"/>
      <c r="B27" s="345"/>
      <c r="C27" s="346"/>
      <c r="D27" s="59" t="s">
        <v>145</v>
      </c>
      <c r="E27" s="261" t="s">
        <v>14</v>
      </c>
      <c r="F27" s="2" t="str">
        <f t="shared" si="0"/>
        <v>Abingdon AC</v>
      </c>
      <c r="G27" s="273"/>
    </row>
    <row r="28" spans="1:7" ht="15" customHeight="1">
      <c r="A28" s="451"/>
      <c r="B28" s="343"/>
      <c r="C28" s="346"/>
      <c r="D28" s="59" t="s">
        <v>145</v>
      </c>
      <c r="E28" s="261" t="s">
        <v>14</v>
      </c>
      <c r="F28" s="2" t="str">
        <f t="shared" si="0"/>
        <v>Abingdon AC</v>
      </c>
      <c r="G28" s="273"/>
    </row>
    <row r="29" spans="1:7" ht="15" customHeight="1">
      <c r="A29" s="451"/>
      <c r="B29" s="345"/>
      <c r="C29" s="346"/>
      <c r="D29" s="59" t="s">
        <v>145</v>
      </c>
      <c r="E29" s="261" t="s">
        <v>14</v>
      </c>
      <c r="F29" s="2" t="str">
        <f t="shared" si="0"/>
        <v>Abingdon AC</v>
      </c>
      <c r="G29" s="273"/>
    </row>
    <row r="30" spans="1:7" ht="15" customHeight="1">
      <c r="A30" s="451"/>
      <c r="B30" s="343"/>
      <c r="C30" s="346"/>
      <c r="D30" s="59" t="s">
        <v>145</v>
      </c>
      <c r="E30" s="261" t="s">
        <v>14</v>
      </c>
      <c r="F30" s="2" t="str">
        <f t="shared" si="0"/>
        <v>Abingdon AC</v>
      </c>
      <c r="G30" s="273"/>
    </row>
    <row r="31" spans="1:7" ht="15" customHeight="1">
      <c r="A31" s="451"/>
      <c r="B31" s="345"/>
      <c r="C31" s="346"/>
      <c r="D31" s="59" t="s">
        <v>145</v>
      </c>
      <c r="E31" s="261" t="s">
        <v>14</v>
      </c>
      <c r="F31" s="2" t="str">
        <f t="shared" si="0"/>
        <v>Abingdon AC</v>
      </c>
      <c r="G31" s="273"/>
    </row>
    <row r="32" spans="1:7" ht="15" customHeight="1">
      <c r="A32" s="451"/>
      <c r="B32" s="343"/>
      <c r="C32" s="346"/>
      <c r="D32" s="59" t="s">
        <v>145</v>
      </c>
      <c r="E32" s="261" t="s">
        <v>14</v>
      </c>
      <c r="F32" s="2" t="str">
        <f t="shared" si="0"/>
        <v>Abingdon AC</v>
      </c>
      <c r="G32" s="273"/>
    </row>
    <row r="33" spans="1:7" ht="15" customHeight="1">
      <c r="A33" s="451"/>
      <c r="B33" s="345"/>
      <c r="C33" s="346"/>
      <c r="D33" s="59" t="s">
        <v>145</v>
      </c>
      <c r="E33" s="261" t="s">
        <v>14</v>
      </c>
      <c r="F33" s="2" t="str">
        <f t="shared" si="0"/>
        <v>Abingdon AC</v>
      </c>
      <c r="G33" s="273"/>
    </row>
    <row r="34" spans="1:7" ht="15" customHeight="1">
      <c r="A34" s="451"/>
      <c r="B34" s="343"/>
      <c r="C34" s="346"/>
      <c r="D34" s="59" t="s">
        <v>145</v>
      </c>
      <c r="E34" s="261" t="s">
        <v>14</v>
      </c>
      <c r="F34" s="2" t="str">
        <f t="shared" si="0"/>
        <v>Abingdon AC</v>
      </c>
      <c r="G34" s="273"/>
    </row>
    <row r="35" spans="1:7" ht="15" customHeight="1">
      <c r="A35" s="451"/>
      <c r="B35" s="345"/>
      <c r="C35" s="346"/>
      <c r="D35" s="59" t="s">
        <v>145</v>
      </c>
      <c r="E35" s="261" t="s">
        <v>14</v>
      </c>
      <c r="F35" s="2" t="str">
        <f t="shared" si="0"/>
        <v>Abingdon AC</v>
      </c>
      <c r="G35" s="273"/>
    </row>
    <row r="36" spans="1:7" ht="15" customHeight="1">
      <c r="A36" s="451"/>
      <c r="B36" s="343"/>
      <c r="C36" s="346"/>
      <c r="D36" s="59" t="s">
        <v>145</v>
      </c>
      <c r="E36" s="261" t="s">
        <v>14</v>
      </c>
      <c r="F36" s="2" t="str">
        <f t="shared" si="0"/>
        <v>Abingdon AC</v>
      </c>
      <c r="G36" s="273"/>
    </row>
    <row r="37" spans="1:7" ht="15" customHeight="1" thickBot="1">
      <c r="A37" s="452"/>
      <c r="B37" s="347"/>
      <c r="C37" s="348"/>
      <c r="D37" s="79" t="s">
        <v>145</v>
      </c>
      <c r="E37" s="262" t="s">
        <v>14</v>
      </c>
      <c r="F37" s="274" t="str">
        <f t="shared" si="0"/>
        <v>Abingdon AC</v>
      </c>
      <c r="G37" s="273"/>
    </row>
    <row r="38" spans="1:7" ht="15" customHeight="1">
      <c r="A38" s="450" t="str">
        <f>'Read Me First'!C12</f>
        <v>Banbury Harriers AC</v>
      </c>
      <c r="B38" s="343"/>
      <c r="C38" s="349"/>
      <c r="D38" s="264" t="s">
        <v>145</v>
      </c>
      <c r="E38" s="265" t="s">
        <v>15</v>
      </c>
      <c r="F38" s="275" t="str">
        <f>$A$38</f>
        <v>Banbury Harriers AC</v>
      </c>
      <c r="G38" s="273"/>
    </row>
    <row r="39" spans="1:7" ht="15" customHeight="1">
      <c r="A39" s="451"/>
      <c r="B39" s="345"/>
      <c r="C39" s="346"/>
      <c r="D39" s="59" t="s">
        <v>145</v>
      </c>
      <c r="E39" s="261" t="s">
        <v>15</v>
      </c>
      <c r="F39" s="2" t="str">
        <f t="shared" ref="F39:F69" si="1">$A$38</f>
        <v>Banbury Harriers AC</v>
      </c>
      <c r="G39" s="273"/>
    </row>
    <row r="40" spans="1:7" ht="15" customHeight="1">
      <c r="A40" s="451"/>
      <c r="B40" s="343"/>
      <c r="C40" s="346"/>
      <c r="D40" s="59" t="s">
        <v>145</v>
      </c>
      <c r="E40" s="261" t="s">
        <v>15</v>
      </c>
      <c r="F40" s="2" t="str">
        <f t="shared" si="1"/>
        <v>Banbury Harriers AC</v>
      </c>
      <c r="G40" s="273"/>
    </row>
    <row r="41" spans="1:7" ht="15" customHeight="1">
      <c r="A41" s="451"/>
      <c r="B41" s="345"/>
      <c r="C41" s="346"/>
      <c r="D41" s="59" t="s">
        <v>145</v>
      </c>
      <c r="E41" s="261" t="s">
        <v>15</v>
      </c>
      <c r="F41" s="2" t="str">
        <f t="shared" si="1"/>
        <v>Banbury Harriers AC</v>
      </c>
      <c r="G41" s="273"/>
    </row>
    <row r="42" spans="1:7" ht="15" customHeight="1">
      <c r="A42" s="451"/>
      <c r="B42" s="343"/>
      <c r="C42" s="346"/>
      <c r="D42" s="59" t="s">
        <v>145</v>
      </c>
      <c r="E42" s="261" t="s">
        <v>15</v>
      </c>
      <c r="F42" s="2" t="str">
        <f t="shared" si="1"/>
        <v>Banbury Harriers AC</v>
      </c>
      <c r="G42" s="273"/>
    </row>
    <row r="43" spans="1:7" ht="15" customHeight="1">
      <c r="A43" s="451"/>
      <c r="B43" s="345"/>
      <c r="C43" s="346"/>
      <c r="D43" s="59" t="s">
        <v>145</v>
      </c>
      <c r="E43" s="261" t="s">
        <v>15</v>
      </c>
      <c r="F43" s="2" t="str">
        <f t="shared" si="1"/>
        <v>Banbury Harriers AC</v>
      </c>
      <c r="G43" s="273"/>
    </row>
    <row r="44" spans="1:7" ht="15" customHeight="1">
      <c r="A44" s="451"/>
      <c r="B44" s="343"/>
      <c r="C44" s="346"/>
      <c r="D44" s="59" t="s">
        <v>145</v>
      </c>
      <c r="E44" s="261" t="s">
        <v>15</v>
      </c>
      <c r="F44" s="2" t="str">
        <f t="shared" si="1"/>
        <v>Banbury Harriers AC</v>
      </c>
      <c r="G44" s="273"/>
    </row>
    <row r="45" spans="1:7" ht="15" customHeight="1">
      <c r="A45" s="451"/>
      <c r="B45" s="345"/>
      <c r="C45" s="346"/>
      <c r="D45" s="59" t="s">
        <v>145</v>
      </c>
      <c r="E45" s="261" t="s">
        <v>15</v>
      </c>
      <c r="F45" s="2" t="str">
        <f t="shared" si="1"/>
        <v>Banbury Harriers AC</v>
      </c>
      <c r="G45" s="273"/>
    </row>
    <row r="46" spans="1:7" ht="15" customHeight="1">
      <c r="A46" s="451"/>
      <c r="B46" s="343"/>
      <c r="C46" s="346"/>
      <c r="D46" s="59" t="s">
        <v>145</v>
      </c>
      <c r="E46" s="261" t="s">
        <v>15</v>
      </c>
      <c r="F46" s="2" t="str">
        <f t="shared" si="1"/>
        <v>Banbury Harriers AC</v>
      </c>
      <c r="G46" s="273"/>
    </row>
    <row r="47" spans="1:7" ht="15" customHeight="1">
      <c r="A47" s="451"/>
      <c r="B47" s="345"/>
      <c r="C47" s="346"/>
      <c r="D47" s="59" t="s">
        <v>145</v>
      </c>
      <c r="E47" s="261" t="s">
        <v>15</v>
      </c>
      <c r="F47" s="2" t="str">
        <f t="shared" si="1"/>
        <v>Banbury Harriers AC</v>
      </c>
      <c r="G47" s="273"/>
    </row>
    <row r="48" spans="1:7" ht="15" customHeight="1">
      <c r="A48" s="451"/>
      <c r="B48" s="343"/>
      <c r="C48" s="346"/>
      <c r="D48" s="59" t="s">
        <v>145</v>
      </c>
      <c r="E48" s="261" t="s">
        <v>15</v>
      </c>
      <c r="F48" s="2" t="str">
        <f t="shared" si="1"/>
        <v>Banbury Harriers AC</v>
      </c>
      <c r="G48" s="273"/>
    </row>
    <row r="49" spans="1:7" ht="15" customHeight="1">
      <c r="A49" s="451"/>
      <c r="B49" s="345"/>
      <c r="C49" s="346"/>
      <c r="D49" s="59" t="s">
        <v>145</v>
      </c>
      <c r="E49" s="261" t="s">
        <v>15</v>
      </c>
      <c r="F49" s="2" t="str">
        <f t="shared" si="1"/>
        <v>Banbury Harriers AC</v>
      </c>
      <c r="G49" s="273"/>
    </row>
    <row r="50" spans="1:7" ht="15" customHeight="1">
      <c r="A50" s="451"/>
      <c r="B50" s="343"/>
      <c r="C50" s="346"/>
      <c r="D50" s="59" t="s">
        <v>145</v>
      </c>
      <c r="E50" s="261" t="s">
        <v>15</v>
      </c>
      <c r="F50" s="2" t="str">
        <f t="shared" si="1"/>
        <v>Banbury Harriers AC</v>
      </c>
      <c r="G50" s="273"/>
    </row>
    <row r="51" spans="1:7" ht="15" customHeight="1">
      <c r="A51" s="451"/>
      <c r="B51" s="345"/>
      <c r="C51" s="346"/>
      <c r="D51" s="59" t="s">
        <v>145</v>
      </c>
      <c r="E51" s="261" t="s">
        <v>15</v>
      </c>
      <c r="F51" s="2" t="str">
        <f t="shared" si="1"/>
        <v>Banbury Harriers AC</v>
      </c>
      <c r="G51" s="273"/>
    </row>
    <row r="52" spans="1:7" ht="15" customHeight="1">
      <c r="A52" s="451"/>
      <c r="B52" s="343"/>
      <c r="C52" s="346"/>
      <c r="D52" s="59" t="s">
        <v>145</v>
      </c>
      <c r="E52" s="261" t="s">
        <v>15</v>
      </c>
      <c r="F52" s="2" t="str">
        <f t="shared" si="1"/>
        <v>Banbury Harriers AC</v>
      </c>
      <c r="G52" s="273"/>
    </row>
    <row r="53" spans="1:7" ht="15" customHeight="1" thickBot="1">
      <c r="A53" s="451"/>
      <c r="B53" s="347"/>
      <c r="C53" s="348"/>
      <c r="D53" s="79" t="s">
        <v>145</v>
      </c>
      <c r="E53" s="262" t="s">
        <v>15</v>
      </c>
      <c r="F53" s="274" t="str">
        <f t="shared" si="1"/>
        <v>Banbury Harriers AC</v>
      </c>
      <c r="G53" s="273"/>
    </row>
    <row r="54" spans="1:7" ht="15" customHeight="1">
      <c r="A54" s="451"/>
      <c r="B54" s="343"/>
      <c r="C54" s="344"/>
      <c r="D54" s="78" t="s">
        <v>145</v>
      </c>
      <c r="E54" s="263" t="s">
        <v>14</v>
      </c>
      <c r="F54" s="272" t="str">
        <f t="shared" si="1"/>
        <v>Banbury Harriers AC</v>
      </c>
      <c r="G54" s="273"/>
    </row>
    <row r="55" spans="1:7" ht="15" customHeight="1">
      <c r="A55" s="451"/>
      <c r="B55" s="345"/>
      <c r="C55" s="346"/>
      <c r="D55" s="59" t="s">
        <v>145</v>
      </c>
      <c r="E55" s="261" t="s">
        <v>14</v>
      </c>
      <c r="F55" s="2" t="str">
        <f t="shared" si="1"/>
        <v>Banbury Harriers AC</v>
      </c>
      <c r="G55" s="273"/>
    </row>
    <row r="56" spans="1:7" ht="15" customHeight="1">
      <c r="A56" s="451"/>
      <c r="B56" s="343"/>
      <c r="C56" s="346"/>
      <c r="D56" s="59" t="s">
        <v>145</v>
      </c>
      <c r="E56" s="261" t="s">
        <v>14</v>
      </c>
      <c r="F56" s="2" t="str">
        <f t="shared" si="1"/>
        <v>Banbury Harriers AC</v>
      </c>
      <c r="G56" s="273"/>
    </row>
    <row r="57" spans="1:7" ht="15" customHeight="1">
      <c r="A57" s="451"/>
      <c r="B57" s="345"/>
      <c r="C57" s="346"/>
      <c r="D57" s="59" t="s">
        <v>145</v>
      </c>
      <c r="E57" s="261" t="s">
        <v>14</v>
      </c>
      <c r="F57" s="2" t="str">
        <f t="shared" si="1"/>
        <v>Banbury Harriers AC</v>
      </c>
      <c r="G57" s="273"/>
    </row>
    <row r="58" spans="1:7" ht="15" customHeight="1">
      <c r="A58" s="451"/>
      <c r="B58" s="343"/>
      <c r="C58" s="346"/>
      <c r="D58" s="59" t="s">
        <v>145</v>
      </c>
      <c r="E58" s="261" t="s">
        <v>14</v>
      </c>
      <c r="F58" s="2" t="str">
        <f t="shared" si="1"/>
        <v>Banbury Harriers AC</v>
      </c>
      <c r="G58" s="273"/>
    </row>
    <row r="59" spans="1:7" ht="15" customHeight="1">
      <c r="A59" s="451"/>
      <c r="B59" s="345"/>
      <c r="C59" s="346"/>
      <c r="D59" s="59" t="s">
        <v>145</v>
      </c>
      <c r="E59" s="261" t="s">
        <v>14</v>
      </c>
      <c r="F59" s="2" t="str">
        <f t="shared" si="1"/>
        <v>Banbury Harriers AC</v>
      </c>
      <c r="G59" s="273"/>
    </row>
    <row r="60" spans="1:7" ht="15" customHeight="1">
      <c r="A60" s="451"/>
      <c r="B60" s="343"/>
      <c r="C60" s="346"/>
      <c r="D60" s="59" t="s">
        <v>145</v>
      </c>
      <c r="E60" s="261" t="s">
        <v>14</v>
      </c>
      <c r="F60" s="2" t="str">
        <f t="shared" si="1"/>
        <v>Banbury Harriers AC</v>
      </c>
      <c r="G60" s="273"/>
    </row>
    <row r="61" spans="1:7" ht="15" customHeight="1">
      <c r="A61" s="451"/>
      <c r="B61" s="345"/>
      <c r="C61" s="346"/>
      <c r="D61" s="59" t="s">
        <v>145</v>
      </c>
      <c r="E61" s="261" t="s">
        <v>14</v>
      </c>
      <c r="F61" s="2" t="str">
        <f t="shared" si="1"/>
        <v>Banbury Harriers AC</v>
      </c>
      <c r="G61" s="273"/>
    </row>
    <row r="62" spans="1:7" ht="15" customHeight="1">
      <c r="A62" s="451"/>
      <c r="B62" s="343"/>
      <c r="C62" s="346"/>
      <c r="D62" s="59" t="s">
        <v>145</v>
      </c>
      <c r="E62" s="261" t="s">
        <v>14</v>
      </c>
      <c r="F62" s="2" t="str">
        <f t="shared" si="1"/>
        <v>Banbury Harriers AC</v>
      </c>
      <c r="G62" s="273"/>
    </row>
    <row r="63" spans="1:7" ht="15" customHeight="1">
      <c r="A63" s="451"/>
      <c r="B63" s="345"/>
      <c r="C63" s="346"/>
      <c r="D63" s="59" t="s">
        <v>145</v>
      </c>
      <c r="E63" s="261" t="s">
        <v>14</v>
      </c>
      <c r="F63" s="2" t="str">
        <f t="shared" si="1"/>
        <v>Banbury Harriers AC</v>
      </c>
      <c r="G63" s="273"/>
    </row>
    <row r="64" spans="1:7" ht="15" customHeight="1">
      <c r="A64" s="451"/>
      <c r="B64" s="343"/>
      <c r="C64" s="350"/>
      <c r="D64" s="59" t="s">
        <v>145</v>
      </c>
      <c r="E64" s="261" t="s">
        <v>14</v>
      </c>
      <c r="F64" s="2" t="str">
        <f t="shared" si="1"/>
        <v>Banbury Harriers AC</v>
      </c>
      <c r="G64" s="273"/>
    </row>
    <row r="65" spans="1:7" ht="15" customHeight="1">
      <c r="A65" s="451"/>
      <c r="B65" s="345"/>
      <c r="C65" s="346"/>
      <c r="D65" s="59" t="s">
        <v>145</v>
      </c>
      <c r="E65" s="261" t="s">
        <v>14</v>
      </c>
      <c r="F65" s="2" t="str">
        <f t="shared" si="1"/>
        <v>Banbury Harriers AC</v>
      </c>
      <c r="G65" s="273"/>
    </row>
    <row r="66" spans="1:7" ht="15" customHeight="1">
      <c r="A66" s="451"/>
      <c r="B66" s="343"/>
      <c r="C66" s="346"/>
      <c r="D66" s="59" t="s">
        <v>145</v>
      </c>
      <c r="E66" s="261" t="s">
        <v>14</v>
      </c>
      <c r="F66" s="2" t="str">
        <f t="shared" si="1"/>
        <v>Banbury Harriers AC</v>
      </c>
      <c r="G66" s="273"/>
    </row>
    <row r="67" spans="1:7" ht="15" customHeight="1">
      <c r="A67" s="451"/>
      <c r="B67" s="345"/>
      <c r="C67" s="346"/>
      <c r="D67" s="59" t="s">
        <v>145</v>
      </c>
      <c r="E67" s="261" t="s">
        <v>14</v>
      </c>
      <c r="F67" s="2" t="str">
        <f t="shared" si="1"/>
        <v>Banbury Harriers AC</v>
      </c>
      <c r="G67" s="273"/>
    </row>
    <row r="68" spans="1:7" ht="15" customHeight="1">
      <c r="A68" s="451"/>
      <c r="B68" s="343"/>
      <c r="C68" s="346"/>
      <c r="D68" s="59" t="s">
        <v>145</v>
      </c>
      <c r="E68" s="261" t="s">
        <v>14</v>
      </c>
      <c r="F68" s="2" t="str">
        <f t="shared" si="1"/>
        <v>Banbury Harriers AC</v>
      </c>
      <c r="G68" s="273"/>
    </row>
    <row r="69" spans="1:7" ht="15" customHeight="1" thickBot="1">
      <c r="A69" s="452"/>
      <c r="B69" s="347"/>
      <c r="C69" s="348"/>
      <c r="D69" s="79" t="s">
        <v>145</v>
      </c>
      <c r="E69" s="262" t="s">
        <v>14</v>
      </c>
      <c r="F69" s="274" t="str">
        <f t="shared" si="1"/>
        <v>Banbury Harriers AC</v>
      </c>
      <c r="G69" s="273"/>
    </row>
    <row r="70" spans="1:7" ht="15" customHeight="1">
      <c r="A70" s="450" t="str">
        <f>'Read Me First'!C13</f>
        <v>Bicester AC</v>
      </c>
      <c r="B70" s="343"/>
      <c r="C70" s="349"/>
      <c r="D70" s="264" t="s">
        <v>145</v>
      </c>
      <c r="E70" s="265" t="s">
        <v>15</v>
      </c>
      <c r="F70" s="275" t="str">
        <f>$A$70</f>
        <v>Bicester AC</v>
      </c>
      <c r="G70" s="273"/>
    </row>
    <row r="71" spans="1:7" ht="15" customHeight="1">
      <c r="A71" s="451"/>
      <c r="B71" s="345"/>
      <c r="C71" s="346"/>
      <c r="D71" s="59" t="s">
        <v>145</v>
      </c>
      <c r="E71" s="261" t="s">
        <v>15</v>
      </c>
      <c r="F71" s="2" t="str">
        <f t="shared" ref="F71:F101" si="2">$A$70</f>
        <v>Bicester AC</v>
      </c>
      <c r="G71" s="273"/>
    </row>
    <row r="72" spans="1:7" ht="15" customHeight="1">
      <c r="A72" s="451"/>
      <c r="B72" s="343"/>
      <c r="C72" s="346"/>
      <c r="D72" s="59" t="s">
        <v>145</v>
      </c>
      <c r="E72" s="261" t="s">
        <v>15</v>
      </c>
      <c r="F72" s="2" t="str">
        <f t="shared" si="2"/>
        <v>Bicester AC</v>
      </c>
      <c r="G72" s="273"/>
    </row>
    <row r="73" spans="1:7" ht="15" customHeight="1">
      <c r="A73" s="451"/>
      <c r="B73" s="345"/>
      <c r="C73" s="346"/>
      <c r="D73" s="59" t="s">
        <v>145</v>
      </c>
      <c r="E73" s="261" t="s">
        <v>15</v>
      </c>
      <c r="F73" s="2" t="str">
        <f t="shared" si="2"/>
        <v>Bicester AC</v>
      </c>
      <c r="G73" s="273"/>
    </row>
    <row r="74" spans="1:7" ht="15" customHeight="1">
      <c r="A74" s="451"/>
      <c r="B74" s="343"/>
      <c r="C74" s="346"/>
      <c r="D74" s="59" t="s">
        <v>145</v>
      </c>
      <c r="E74" s="261" t="s">
        <v>15</v>
      </c>
      <c r="F74" s="2" t="str">
        <f t="shared" si="2"/>
        <v>Bicester AC</v>
      </c>
      <c r="G74" s="273"/>
    </row>
    <row r="75" spans="1:7" ht="15" customHeight="1">
      <c r="A75" s="451"/>
      <c r="B75" s="345"/>
      <c r="C75" s="346"/>
      <c r="D75" s="59" t="s">
        <v>145</v>
      </c>
      <c r="E75" s="261" t="s">
        <v>15</v>
      </c>
      <c r="F75" s="2" t="str">
        <f t="shared" si="2"/>
        <v>Bicester AC</v>
      </c>
      <c r="G75" s="273"/>
    </row>
    <row r="76" spans="1:7" ht="15" customHeight="1">
      <c r="A76" s="451"/>
      <c r="B76" s="343"/>
      <c r="C76" s="346"/>
      <c r="D76" s="59" t="s">
        <v>145</v>
      </c>
      <c r="E76" s="261" t="s">
        <v>15</v>
      </c>
      <c r="F76" s="2" t="str">
        <f t="shared" si="2"/>
        <v>Bicester AC</v>
      </c>
      <c r="G76" s="273"/>
    </row>
    <row r="77" spans="1:7" ht="15" customHeight="1">
      <c r="A77" s="451"/>
      <c r="B77" s="345"/>
      <c r="C77" s="346"/>
      <c r="D77" s="59" t="s">
        <v>145</v>
      </c>
      <c r="E77" s="261" t="s">
        <v>15</v>
      </c>
      <c r="F77" s="2" t="str">
        <f t="shared" si="2"/>
        <v>Bicester AC</v>
      </c>
      <c r="G77" s="273"/>
    </row>
    <row r="78" spans="1:7" ht="15" customHeight="1">
      <c r="A78" s="451"/>
      <c r="B78" s="343"/>
      <c r="C78" s="346"/>
      <c r="D78" s="59" t="s">
        <v>145</v>
      </c>
      <c r="E78" s="261" t="s">
        <v>15</v>
      </c>
      <c r="F78" s="2" t="str">
        <f t="shared" si="2"/>
        <v>Bicester AC</v>
      </c>
      <c r="G78" s="273"/>
    </row>
    <row r="79" spans="1:7" ht="15" customHeight="1">
      <c r="A79" s="451"/>
      <c r="B79" s="345"/>
      <c r="C79" s="346"/>
      <c r="D79" s="59" t="s">
        <v>145</v>
      </c>
      <c r="E79" s="261" t="s">
        <v>15</v>
      </c>
      <c r="F79" s="2" t="str">
        <f t="shared" si="2"/>
        <v>Bicester AC</v>
      </c>
      <c r="G79" s="273"/>
    </row>
    <row r="80" spans="1:7" ht="15" customHeight="1">
      <c r="A80" s="451"/>
      <c r="B80" s="343"/>
      <c r="C80" s="346"/>
      <c r="D80" s="59" t="s">
        <v>145</v>
      </c>
      <c r="E80" s="261" t="s">
        <v>15</v>
      </c>
      <c r="F80" s="2" t="str">
        <f t="shared" si="2"/>
        <v>Bicester AC</v>
      </c>
      <c r="G80" s="273"/>
    </row>
    <row r="81" spans="1:7" ht="15" customHeight="1">
      <c r="A81" s="451"/>
      <c r="B81" s="345"/>
      <c r="C81" s="346"/>
      <c r="D81" s="59" t="s">
        <v>145</v>
      </c>
      <c r="E81" s="261" t="s">
        <v>15</v>
      </c>
      <c r="F81" s="2" t="str">
        <f t="shared" si="2"/>
        <v>Bicester AC</v>
      </c>
      <c r="G81" s="273"/>
    </row>
    <row r="82" spans="1:7" ht="15" customHeight="1">
      <c r="A82" s="451"/>
      <c r="B82" s="343"/>
      <c r="C82" s="346"/>
      <c r="D82" s="59" t="s">
        <v>145</v>
      </c>
      <c r="E82" s="261" t="s">
        <v>15</v>
      </c>
      <c r="F82" s="2" t="str">
        <f t="shared" si="2"/>
        <v>Bicester AC</v>
      </c>
      <c r="G82" s="273"/>
    </row>
    <row r="83" spans="1:7" ht="15" customHeight="1">
      <c r="A83" s="451"/>
      <c r="B83" s="345"/>
      <c r="C83" s="346"/>
      <c r="D83" s="59" t="s">
        <v>145</v>
      </c>
      <c r="E83" s="261" t="s">
        <v>15</v>
      </c>
      <c r="F83" s="2" t="str">
        <f t="shared" si="2"/>
        <v>Bicester AC</v>
      </c>
      <c r="G83" s="273"/>
    </row>
    <row r="84" spans="1:7" ht="15" customHeight="1">
      <c r="A84" s="451"/>
      <c r="B84" s="343"/>
      <c r="C84" s="346"/>
      <c r="D84" s="59" t="s">
        <v>145</v>
      </c>
      <c r="E84" s="261" t="s">
        <v>15</v>
      </c>
      <c r="F84" s="2" t="str">
        <f t="shared" si="2"/>
        <v>Bicester AC</v>
      </c>
      <c r="G84" s="273"/>
    </row>
    <row r="85" spans="1:7" ht="15" customHeight="1" thickBot="1">
      <c r="A85" s="451"/>
      <c r="B85" s="347"/>
      <c r="C85" s="348"/>
      <c r="D85" s="79" t="s">
        <v>145</v>
      </c>
      <c r="E85" s="262" t="s">
        <v>15</v>
      </c>
      <c r="F85" s="274" t="str">
        <f t="shared" si="2"/>
        <v>Bicester AC</v>
      </c>
      <c r="G85" s="273"/>
    </row>
    <row r="86" spans="1:7" ht="15" customHeight="1">
      <c r="A86" s="451"/>
      <c r="B86" s="343"/>
      <c r="C86" s="344"/>
      <c r="D86" s="78" t="s">
        <v>145</v>
      </c>
      <c r="E86" s="263" t="s">
        <v>14</v>
      </c>
      <c r="F86" s="272" t="str">
        <f t="shared" si="2"/>
        <v>Bicester AC</v>
      </c>
      <c r="G86" s="273"/>
    </row>
    <row r="87" spans="1:7" ht="15" customHeight="1">
      <c r="A87" s="451"/>
      <c r="B87" s="345"/>
      <c r="C87" s="346"/>
      <c r="D87" s="59" t="s">
        <v>145</v>
      </c>
      <c r="E87" s="261" t="s">
        <v>14</v>
      </c>
      <c r="F87" s="2" t="str">
        <f t="shared" si="2"/>
        <v>Bicester AC</v>
      </c>
      <c r="G87" s="273"/>
    </row>
    <row r="88" spans="1:7" ht="15" customHeight="1">
      <c r="A88" s="451"/>
      <c r="B88" s="343"/>
      <c r="C88" s="346"/>
      <c r="D88" s="59" t="s">
        <v>145</v>
      </c>
      <c r="E88" s="261" t="s">
        <v>14</v>
      </c>
      <c r="F88" s="2" t="str">
        <f t="shared" si="2"/>
        <v>Bicester AC</v>
      </c>
      <c r="G88" s="273"/>
    </row>
    <row r="89" spans="1:7" ht="15" customHeight="1">
      <c r="A89" s="451"/>
      <c r="B89" s="345"/>
      <c r="C89" s="346"/>
      <c r="D89" s="59" t="s">
        <v>145</v>
      </c>
      <c r="E89" s="261" t="s">
        <v>14</v>
      </c>
      <c r="F89" s="2" t="str">
        <f t="shared" si="2"/>
        <v>Bicester AC</v>
      </c>
      <c r="G89" s="273"/>
    </row>
    <row r="90" spans="1:7" ht="15" customHeight="1">
      <c r="A90" s="451"/>
      <c r="B90" s="343"/>
      <c r="C90" s="346"/>
      <c r="D90" s="59" t="s">
        <v>145</v>
      </c>
      <c r="E90" s="261" t="s">
        <v>14</v>
      </c>
      <c r="F90" s="2" t="str">
        <f t="shared" si="2"/>
        <v>Bicester AC</v>
      </c>
      <c r="G90" s="273"/>
    </row>
    <row r="91" spans="1:7" ht="15" customHeight="1">
      <c r="A91" s="451"/>
      <c r="B91" s="345"/>
      <c r="C91" s="346"/>
      <c r="D91" s="59" t="s">
        <v>145</v>
      </c>
      <c r="E91" s="261" t="s">
        <v>14</v>
      </c>
      <c r="F91" s="2" t="str">
        <f t="shared" si="2"/>
        <v>Bicester AC</v>
      </c>
      <c r="G91" s="273"/>
    </row>
    <row r="92" spans="1:7" ht="15" customHeight="1">
      <c r="A92" s="451"/>
      <c r="B92" s="343"/>
      <c r="C92" s="346"/>
      <c r="D92" s="59" t="s">
        <v>145</v>
      </c>
      <c r="E92" s="261" t="s">
        <v>14</v>
      </c>
      <c r="F92" s="2" t="str">
        <f t="shared" si="2"/>
        <v>Bicester AC</v>
      </c>
      <c r="G92" s="273"/>
    </row>
    <row r="93" spans="1:7" ht="15" customHeight="1">
      <c r="A93" s="451"/>
      <c r="B93" s="345"/>
      <c r="C93" s="346"/>
      <c r="D93" s="59" t="s">
        <v>145</v>
      </c>
      <c r="E93" s="261" t="s">
        <v>14</v>
      </c>
      <c r="F93" s="2" t="str">
        <f t="shared" si="2"/>
        <v>Bicester AC</v>
      </c>
      <c r="G93" s="273"/>
    </row>
    <row r="94" spans="1:7" ht="15" customHeight="1">
      <c r="A94" s="451"/>
      <c r="B94" s="343"/>
      <c r="C94" s="346"/>
      <c r="D94" s="59" t="s">
        <v>145</v>
      </c>
      <c r="E94" s="261" t="s">
        <v>14</v>
      </c>
      <c r="F94" s="2" t="str">
        <f t="shared" si="2"/>
        <v>Bicester AC</v>
      </c>
      <c r="G94" s="273"/>
    </row>
    <row r="95" spans="1:7" ht="15" customHeight="1">
      <c r="A95" s="451"/>
      <c r="B95" s="345"/>
      <c r="C95" s="346"/>
      <c r="D95" s="59" t="s">
        <v>145</v>
      </c>
      <c r="E95" s="261" t="s">
        <v>14</v>
      </c>
      <c r="F95" s="2" t="str">
        <f t="shared" si="2"/>
        <v>Bicester AC</v>
      </c>
      <c r="G95" s="273"/>
    </row>
    <row r="96" spans="1:7" ht="15" customHeight="1">
      <c r="A96" s="451"/>
      <c r="B96" s="343"/>
      <c r="C96" s="346"/>
      <c r="D96" s="59" t="s">
        <v>145</v>
      </c>
      <c r="E96" s="261" t="s">
        <v>14</v>
      </c>
      <c r="F96" s="2" t="str">
        <f t="shared" si="2"/>
        <v>Bicester AC</v>
      </c>
      <c r="G96" s="273"/>
    </row>
    <row r="97" spans="1:7" ht="15" customHeight="1">
      <c r="A97" s="451"/>
      <c r="B97" s="345"/>
      <c r="C97" s="346"/>
      <c r="D97" s="59" t="s">
        <v>145</v>
      </c>
      <c r="E97" s="261" t="s">
        <v>14</v>
      </c>
      <c r="F97" s="2" t="str">
        <f t="shared" si="2"/>
        <v>Bicester AC</v>
      </c>
      <c r="G97" s="273"/>
    </row>
    <row r="98" spans="1:7" ht="15" customHeight="1">
      <c r="A98" s="451"/>
      <c r="B98" s="343"/>
      <c r="C98" s="346"/>
      <c r="D98" s="59" t="s">
        <v>145</v>
      </c>
      <c r="E98" s="261" t="s">
        <v>14</v>
      </c>
      <c r="F98" s="2" t="str">
        <f t="shared" si="2"/>
        <v>Bicester AC</v>
      </c>
      <c r="G98" s="273"/>
    </row>
    <row r="99" spans="1:7" ht="15" customHeight="1">
      <c r="A99" s="451"/>
      <c r="B99" s="345"/>
      <c r="C99" s="346"/>
      <c r="D99" s="59" t="s">
        <v>145</v>
      </c>
      <c r="E99" s="261" t="s">
        <v>14</v>
      </c>
      <c r="F99" s="2" t="str">
        <f t="shared" si="2"/>
        <v>Bicester AC</v>
      </c>
      <c r="G99" s="273"/>
    </row>
    <row r="100" spans="1:7" ht="15" customHeight="1">
      <c r="A100" s="451"/>
      <c r="B100" s="343"/>
      <c r="C100" s="346"/>
      <c r="D100" s="59" t="s">
        <v>145</v>
      </c>
      <c r="E100" s="261" t="s">
        <v>14</v>
      </c>
      <c r="F100" s="2" t="str">
        <f t="shared" si="2"/>
        <v>Bicester AC</v>
      </c>
      <c r="G100" s="273"/>
    </row>
    <row r="101" spans="1:7" ht="15" customHeight="1" thickBot="1">
      <c r="A101" s="452"/>
      <c r="B101" s="347"/>
      <c r="C101" s="348"/>
      <c r="D101" s="79" t="s">
        <v>145</v>
      </c>
      <c r="E101" s="262" t="s">
        <v>14</v>
      </c>
      <c r="F101" s="274" t="str">
        <f t="shared" si="2"/>
        <v>Bicester AC</v>
      </c>
      <c r="G101" s="273"/>
    </row>
    <row r="102" spans="1:7" ht="15" customHeight="1">
      <c r="A102" s="450" t="str">
        <f>'Read Me First'!C14</f>
        <v>Oxford City AC</v>
      </c>
      <c r="B102" s="343"/>
      <c r="C102" s="349"/>
      <c r="D102" s="264" t="s">
        <v>145</v>
      </c>
      <c r="E102" s="265" t="s">
        <v>15</v>
      </c>
      <c r="F102" s="275" t="str">
        <f>$A$102</f>
        <v>Oxford City AC</v>
      </c>
      <c r="G102" s="273"/>
    </row>
    <row r="103" spans="1:7" ht="15" customHeight="1">
      <c r="A103" s="451"/>
      <c r="B103" s="345"/>
      <c r="C103" s="346"/>
      <c r="D103" s="59" t="s">
        <v>145</v>
      </c>
      <c r="E103" s="261" t="s">
        <v>15</v>
      </c>
      <c r="F103" s="2" t="str">
        <f t="shared" ref="F103:F133" si="3">$A$102</f>
        <v>Oxford City AC</v>
      </c>
      <c r="G103" s="273"/>
    </row>
    <row r="104" spans="1:7" ht="15" customHeight="1">
      <c r="A104" s="451"/>
      <c r="B104" s="343"/>
      <c r="C104" s="346"/>
      <c r="D104" s="59" t="s">
        <v>145</v>
      </c>
      <c r="E104" s="261" t="s">
        <v>15</v>
      </c>
      <c r="F104" s="2" t="str">
        <f t="shared" si="3"/>
        <v>Oxford City AC</v>
      </c>
      <c r="G104" s="273"/>
    </row>
    <row r="105" spans="1:7" ht="15" customHeight="1">
      <c r="A105" s="451"/>
      <c r="B105" s="345"/>
      <c r="C105" s="346"/>
      <c r="D105" s="59" t="s">
        <v>145</v>
      </c>
      <c r="E105" s="261" t="s">
        <v>15</v>
      </c>
      <c r="F105" s="2" t="str">
        <f t="shared" si="3"/>
        <v>Oxford City AC</v>
      </c>
      <c r="G105" s="273"/>
    </row>
    <row r="106" spans="1:7" ht="15" customHeight="1">
      <c r="A106" s="451"/>
      <c r="B106" s="343"/>
      <c r="C106" s="346"/>
      <c r="D106" s="59" t="s">
        <v>145</v>
      </c>
      <c r="E106" s="261" t="s">
        <v>15</v>
      </c>
      <c r="F106" s="2" t="str">
        <f t="shared" si="3"/>
        <v>Oxford City AC</v>
      </c>
      <c r="G106" s="273"/>
    </row>
    <row r="107" spans="1:7" ht="15" customHeight="1">
      <c r="A107" s="451"/>
      <c r="B107" s="345"/>
      <c r="C107" s="346"/>
      <c r="D107" s="59" t="s">
        <v>145</v>
      </c>
      <c r="E107" s="261" t="s">
        <v>15</v>
      </c>
      <c r="F107" s="2" t="str">
        <f t="shared" si="3"/>
        <v>Oxford City AC</v>
      </c>
      <c r="G107" s="273"/>
    </row>
    <row r="108" spans="1:7" ht="15" customHeight="1">
      <c r="A108" s="451"/>
      <c r="B108" s="343"/>
      <c r="C108" s="346"/>
      <c r="D108" s="59" t="s">
        <v>145</v>
      </c>
      <c r="E108" s="261" t="s">
        <v>15</v>
      </c>
      <c r="F108" s="2" t="str">
        <f t="shared" si="3"/>
        <v>Oxford City AC</v>
      </c>
      <c r="G108" s="273"/>
    </row>
    <row r="109" spans="1:7" ht="15" customHeight="1">
      <c r="A109" s="451"/>
      <c r="B109" s="345"/>
      <c r="C109" s="346"/>
      <c r="D109" s="59" t="s">
        <v>145</v>
      </c>
      <c r="E109" s="261" t="s">
        <v>15</v>
      </c>
      <c r="F109" s="2" t="str">
        <f t="shared" si="3"/>
        <v>Oxford City AC</v>
      </c>
      <c r="G109" s="273"/>
    </row>
    <row r="110" spans="1:7" ht="15" customHeight="1">
      <c r="A110" s="451"/>
      <c r="B110" s="343"/>
      <c r="C110" s="346"/>
      <c r="D110" s="59" t="s">
        <v>145</v>
      </c>
      <c r="E110" s="261" t="s">
        <v>15</v>
      </c>
      <c r="F110" s="2" t="str">
        <f t="shared" si="3"/>
        <v>Oxford City AC</v>
      </c>
      <c r="G110" s="273"/>
    </row>
    <row r="111" spans="1:7" ht="15" customHeight="1">
      <c r="A111" s="451"/>
      <c r="B111" s="345"/>
      <c r="C111" s="346"/>
      <c r="D111" s="59" t="s">
        <v>145</v>
      </c>
      <c r="E111" s="261" t="s">
        <v>15</v>
      </c>
      <c r="F111" s="2" t="str">
        <f t="shared" si="3"/>
        <v>Oxford City AC</v>
      </c>
      <c r="G111" s="273"/>
    </row>
    <row r="112" spans="1:7" ht="15" customHeight="1">
      <c r="A112" s="451"/>
      <c r="B112" s="343"/>
      <c r="C112" s="346"/>
      <c r="D112" s="59" t="s">
        <v>145</v>
      </c>
      <c r="E112" s="261" t="s">
        <v>15</v>
      </c>
      <c r="F112" s="2" t="str">
        <f t="shared" si="3"/>
        <v>Oxford City AC</v>
      </c>
      <c r="G112" s="273"/>
    </row>
    <row r="113" spans="1:7" ht="15" customHeight="1">
      <c r="A113" s="451"/>
      <c r="B113" s="345"/>
      <c r="C113" s="346"/>
      <c r="D113" s="59" t="s">
        <v>145</v>
      </c>
      <c r="E113" s="261" t="s">
        <v>15</v>
      </c>
      <c r="F113" s="2" t="str">
        <f t="shared" si="3"/>
        <v>Oxford City AC</v>
      </c>
      <c r="G113" s="273"/>
    </row>
    <row r="114" spans="1:7" ht="15" customHeight="1">
      <c r="A114" s="451"/>
      <c r="B114" s="343"/>
      <c r="C114" s="346"/>
      <c r="D114" s="59" t="s">
        <v>145</v>
      </c>
      <c r="E114" s="261" t="s">
        <v>15</v>
      </c>
      <c r="F114" s="2" t="str">
        <f t="shared" si="3"/>
        <v>Oxford City AC</v>
      </c>
      <c r="G114" s="273"/>
    </row>
    <row r="115" spans="1:7" ht="15" customHeight="1">
      <c r="A115" s="451"/>
      <c r="B115" s="345"/>
      <c r="C115" s="346"/>
      <c r="D115" s="59" t="s">
        <v>145</v>
      </c>
      <c r="E115" s="261" t="s">
        <v>15</v>
      </c>
      <c r="F115" s="2" t="str">
        <f t="shared" si="3"/>
        <v>Oxford City AC</v>
      </c>
      <c r="G115" s="273"/>
    </row>
    <row r="116" spans="1:7" ht="15" customHeight="1">
      <c r="A116" s="451"/>
      <c r="B116" s="343"/>
      <c r="C116" s="346"/>
      <c r="D116" s="59" t="s">
        <v>145</v>
      </c>
      <c r="E116" s="261" t="s">
        <v>15</v>
      </c>
      <c r="F116" s="2" t="str">
        <f t="shared" si="3"/>
        <v>Oxford City AC</v>
      </c>
      <c r="G116" s="273"/>
    </row>
    <row r="117" spans="1:7" ht="15" customHeight="1" thickBot="1">
      <c r="A117" s="451"/>
      <c r="B117" s="347"/>
      <c r="C117" s="348"/>
      <c r="D117" s="79" t="s">
        <v>145</v>
      </c>
      <c r="E117" s="262" t="s">
        <v>15</v>
      </c>
      <c r="F117" s="274" t="str">
        <f t="shared" si="3"/>
        <v>Oxford City AC</v>
      </c>
      <c r="G117" s="273"/>
    </row>
    <row r="118" spans="1:7" ht="15" customHeight="1">
      <c r="A118" s="451"/>
      <c r="B118" s="343"/>
      <c r="C118" s="344"/>
      <c r="D118" s="78" t="s">
        <v>145</v>
      </c>
      <c r="E118" s="263" t="s">
        <v>14</v>
      </c>
      <c r="F118" s="272" t="str">
        <f t="shared" si="3"/>
        <v>Oxford City AC</v>
      </c>
      <c r="G118" s="273"/>
    </row>
    <row r="119" spans="1:7" ht="15" customHeight="1">
      <c r="A119" s="451"/>
      <c r="B119" s="345"/>
      <c r="C119" s="346"/>
      <c r="D119" s="59" t="s">
        <v>145</v>
      </c>
      <c r="E119" s="261" t="s">
        <v>14</v>
      </c>
      <c r="F119" s="2" t="str">
        <f t="shared" si="3"/>
        <v>Oxford City AC</v>
      </c>
      <c r="G119" s="273"/>
    </row>
    <row r="120" spans="1:7" ht="15" customHeight="1">
      <c r="A120" s="451"/>
      <c r="B120" s="343"/>
      <c r="C120" s="346"/>
      <c r="D120" s="59" t="s">
        <v>145</v>
      </c>
      <c r="E120" s="261" t="s">
        <v>14</v>
      </c>
      <c r="F120" s="2" t="str">
        <f t="shared" si="3"/>
        <v>Oxford City AC</v>
      </c>
      <c r="G120" s="273"/>
    </row>
    <row r="121" spans="1:7" ht="15" customHeight="1">
      <c r="A121" s="451"/>
      <c r="B121" s="345"/>
      <c r="C121" s="346"/>
      <c r="D121" s="59" t="s">
        <v>145</v>
      </c>
      <c r="E121" s="261" t="s">
        <v>14</v>
      </c>
      <c r="F121" s="2" t="str">
        <f t="shared" si="3"/>
        <v>Oxford City AC</v>
      </c>
      <c r="G121" s="273"/>
    </row>
    <row r="122" spans="1:7" ht="15" customHeight="1">
      <c r="A122" s="451"/>
      <c r="B122" s="343"/>
      <c r="C122" s="346"/>
      <c r="D122" s="59" t="s">
        <v>145</v>
      </c>
      <c r="E122" s="261" t="s">
        <v>14</v>
      </c>
      <c r="F122" s="2" t="str">
        <f t="shared" si="3"/>
        <v>Oxford City AC</v>
      </c>
      <c r="G122" s="273"/>
    </row>
    <row r="123" spans="1:7" ht="15" customHeight="1">
      <c r="A123" s="451"/>
      <c r="B123" s="345"/>
      <c r="C123" s="346"/>
      <c r="D123" s="59" t="s">
        <v>145</v>
      </c>
      <c r="E123" s="261" t="s">
        <v>14</v>
      </c>
      <c r="F123" s="2" t="str">
        <f t="shared" si="3"/>
        <v>Oxford City AC</v>
      </c>
      <c r="G123" s="273"/>
    </row>
    <row r="124" spans="1:7" ht="15" customHeight="1">
      <c r="A124" s="451"/>
      <c r="B124" s="343"/>
      <c r="C124" s="346"/>
      <c r="D124" s="59" t="s">
        <v>145</v>
      </c>
      <c r="E124" s="261" t="s">
        <v>14</v>
      </c>
      <c r="F124" s="2" t="str">
        <f t="shared" si="3"/>
        <v>Oxford City AC</v>
      </c>
      <c r="G124" s="273"/>
    </row>
    <row r="125" spans="1:7" ht="15" customHeight="1">
      <c r="A125" s="451"/>
      <c r="B125" s="345"/>
      <c r="C125" s="346"/>
      <c r="D125" s="59" t="s">
        <v>145</v>
      </c>
      <c r="E125" s="261" t="s">
        <v>14</v>
      </c>
      <c r="F125" s="2" t="str">
        <f t="shared" si="3"/>
        <v>Oxford City AC</v>
      </c>
      <c r="G125" s="273"/>
    </row>
    <row r="126" spans="1:7" ht="15" customHeight="1">
      <c r="A126" s="451"/>
      <c r="B126" s="343"/>
      <c r="C126" s="346"/>
      <c r="D126" s="59" t="s">
        <v>145</v>
      </c>
      <c r="E126" s="261" t="s">
        <v>14</v>
      </c>
      <c r="F126" s="2" t="str">
        <f t="shared" si="3"/>
        <v>Oxford City AC</v>
      </c>
      <c r="G126" s="273"/>
    </row>
    <row r="127" spans="1:7" ht="15" customHeight="1">
      <c r="A127" s="451"/>
      <c r="B127" s="345"/>
      <c r="C127" s="346"/>
      <c r="D127" s="59" t="s">
        <v>145</v>
      </c>
      <c r="E127" s="261" t="s">
        <v>14</v>
      </c>
      <c r="F127" s="2" t="str">
        <f t="shared" si="3"/>
        <v>Oxford City AC</v>
      </c>
      <c r="G127" s="273"/>
    </row>
    <row r="128" spans="1:7" ht="15" customHeight="1">
      <c r="A128" s="451"/>
      <c r="B128" s="343"/>
      <c r="C128" s="346"/>
      <c r="D128" s="59" t="s">
        <v>145</v>
      </c>
      <c r="E128" s="261" t="s">
        <v>14</v>
      </c>
      <c r="F128" s="2" t="str">
        <f t="shared" si="3"/>
        <v>Oxford City AC</v>
      </c>
      <c r="G128" s="273"/>
    </row>
    <row r="129" spans="1:7" ht="15" customHeight="1">
      <c r="A129" s="451"/>
      <c r="B129" s="345"/>
      <c r="C129" s="346"/>
      <c r="D129" s="59" t="s">
        <v>145</v>
      </c>
      <c r="E129" s="261" t="s">
        <v>14</v>
      </c>
      <c r="F129" s="2" t="str">
        <f t="shared" si="3"/>
        <v>Oxford City AC</v>
      </c>
      <c r="G129" s="273"/>
    </row>
    <row r="130" spans="1:7" ht="15" customHeight="1">
      <c r="A130" s="451"/>
      <c r="B130" s="343"/>
      <c r="C130" s="346"/>
      <c r="D130" s="59" t="s">
        <v>145</v>
      </c>
      <c r="E130" s="261" t="s">
        <v>14</v>
      </c>
      <c r="F130" s="2" t="str">
        <f t="shared" si="3"/>
        <v>Oxford City AC</v>
      </c>
      <c r="G130" s="273"/>
    </row>
    <row r="131" spans="1:7" ht="15" customHeight="1">
      <c r="A131" s="451"/>
      <c r="B131" s="345"/>
      <c r="C131" s="346"/>
      <c r="D131" s="59" t="s">
        <v>145</v>
      </c>
      <c r="E131" s="261" t="s">
        <v>14</v>
      </c>
      <c r="F131" s="2" t="str">
        <f t="shared" si="3"/>
        <v>Oxford City AC</v>
      </c>
      <c r="G131" s="273"/>
    </row>
    <row r="132" spans="1:7" ht="15" customHeight="1">
      <c r="A132" s="451"/>
      <c r="B132" s="343"/>
      <c r="C132" s="346"/>
      <c r="D132" s="59" t="s">
        <v>145</v>
      </c>
      <c r="E132" s="261" t="s">
        <v>14</v>
      </c>
      <c r="F132" s="2" t="str">
        <f t="shared" si="3"/>
        <v>Oxford City AC</v>
      </c>
      <c r="G132" s="273"/>
    </row>
    <row r="133" spans="1:7" ht="15" customHeight="1" thickBot="1">
      <c r="A133" s="452"/>
      <c r="B133" s="347"/>
      <c r="C133" s="348"/>
      <c r="D133" s="79" t="s">
        <v>145</v>
      </c>
      <c r="E133" s="262" t="s">
        <v>14</v>
      </c>
      <c r="F133" s="274" t="str">
        <f t="shared" si="3"/>
        <v>Oxford City AC</v>
      </c>
      <c r="G133" s="273"/>
    </row>
    <row r="134" spans="1:7" ht="15" customHeight="1">
      <c r="A134" s="450" t="str">
        <f>'Read Me First'!C15</f>
        <v>Radley AC</v>
      </c>
      <c r="B134" s="343"/>
      <c r="C134" s="349"/>
      <c r="D134" s="264" t="s">
        <v>145</v>
      </c>
      <c r="E134" s="265" t="s">
        <v>15</v>
      </c>
      <c r="F134" s="275" t="str">
        <f>$A$134</f>
        <v>Radley AC</v>
      </c>
      <c r="G134" s="273"/>
    </row>
    <row r="135" spans="1:7" ht="15" customHeight="1">
      <c r="A135" s="451"/>
      <c r="B135" s="345"/>
      <c r="C135" s="346"/>
      <c r="D135" s="59" t="s">
        <v>145</v>
      </c>
      <c r="E135" s="261" t="s">
        <v>15</v>
      </c>
      <c r="F135" s="2" t="str">
        <f t="shared" ref="F135:F165" si="4">$A$134</f>
        <v>Radley AC</v>
      </c>
      <c r="G135" s="273"/>
    </row>
    <row r="136" spans="1:7" ht="15" customHeight="1">
      <c r="A136" s="451"/>
      <c r="B136" s="343"/>
      <c r="C136" s="346"/>
      <c r="D136" s="59" t="s">
        <v>145</v>
      </c>
      <c r="E136" s="261" t="s">
        <v>15</v>
      </c>
      <c r="F136" s="2" t="str">
        <f t="shared" si="4"/>
        <v>Radley AC</v>
      </c>
      <c r="G136" s="273"/>
    </row>
    <row r="137" spans="1:7" ht="15" customHeight="1">
      <c r="A137" s="451"/>
      <c r="B137" s="345"/>
      <c r="C137" s="346"/>
      <c r="D137" s="59" t="s">
        <v>145</v>
      </c>
      <c r="E137" s="261" t="s">
        <v>15</v>
      </c>
      <c r="F137" s="2" t="str">
        <f t="shared" si="4"/>
        <v>Radley AC</v>
      </c>
      <c r="G137" s="273"/>
    </row>
    <row r="138" spans="1:7" ht="15" customHeight="1">
      <c r="A138" s="451"/>
      <c r="B138" s="343"/>
      <c r="C138" s="346"/>
      <c r="D138" s="59" t="s">
        <v>145</v>
      </c>
      <c r="E138" s="261" t="s">
        <v>15</v>
      </c>
      <c r="F138" s="2" t="str">
        <f t="shared" si="4"/>
        <v>Radley AC</v>
      </c>
      <c r="G138" s="273"/>
    </row>
    <row r="139" spans="1:7" ht="15" customHeight="1">
      <c r="A139" s="451"/>
      <c r="B139" s="345"/>
      <c r="C139" s="346"/>
      <c r="D139" s="59" t="s">
        <v>145</v>
      </c>
      <c r="E139" s="261" t="s">
        <v>15</v>
      </c>
      <c r="F139" s="2" t="str">
        <f t="shared" si="4"/>
        <v>Radley AC</v>
      </c>
      <c r="G139" s="273"/>
    </row>
    <row r="140" spans="1:7" ht="15" customHeight="1">
      <c r="A140" s="451"/>
      <c r="B140" s="343"/>
      <c r="C140" s="346"/>
      <c r="D140" s="59" t="s">
        <v>145</v>
      </c>
      <c r="E140" s="261" t="s">
        <v>15</v>
      </c>
      <c r="F140" s="2" t="str">
        <f t="shared" si="4"/>
        <v>Radley AC</v>
      </c>
      <c r="G140" s="273"/>
    </row>
    <row r="141" spans="1:7" ht="15" customHeight="1">
      <c r="A141" s="451"/>
      <c r="B141" s="345"/>
      <c r="C141" s="346"/>
      <c r="D141" s="59" t="s">
        <v>145</v>
      </c>
      <c r="E141" s="261" t="s">
        <v>15</v>
      </c>
      <c r="F141" s="2" t="str">
        <f t="shared" si="4"/>
        <v>Radley AC</v>
      </c>
      <c r="G141" s="273"/>
    </row>
    <row r="142" spans="1:7" ht="15" customHeight="1">
      <c r="A142" s="451"/>
      <c r="B142" s="343"/>
      <c r="C142" s="346"/>
      <c r="D142" s="59" t="s">
        <v>145</v>
      </c>
      <c r="E142" s="261" t="s">
        <v>15</v>
      </c>
      <c r="F142" s="2" t="str">
        <f t="shared" si="4"/>
        <v>Radley AC</v>
      </c>
      <c r="G142" s="273"/>
    </row>
    <row r="143" spans="1:7" ht="15" customHeight="1">
      <c r="A143" s="451"/>
      <c r="B143" s="345"/>
      <c r="C143" s="346"/>
      <c r="D143" s="59" t="s">
        <v>145</v>
      </c>
      <c r="E143" s="261" t="s">
        <v>15</v>
      </c>
      <c r="F143" s="2" t="str">
        <f t="shared" si="4"/>
        <v>Radley AC</v>
      </c>
      <c r="G143" s="273"/>
    </row>
    <row r="144" spans="1:7" ht="15" customHeight="1">
      <c r="A144" s="451"/>
      <c r="B144" s="343"/>
      <c r="C144" s="346"/>
      <c r="D144" s="59" t="s">
        <v>145</v>
      </c>
      <c r="E144" s="261" t="s">
        <v>15</v>
      </c>
      <c r="F144" s="2" t="str">
        <f t="shared" si="4"/>
        <v>Radley AC</v>
      </c>
      <c r="G144" s="273"/>
    </row>
    <row r="145" spans="1:7" ht="15" customHeight="1">
      <c r="A145" s="451"/>
      <c r="B145" s="345"/>
      <c r="C145" s="346"/>
      <c r="D145" s="59" t="s">
        <v>145</v>
      </c>
      <c r="E145" s="261" t="s">
        <v>15</v>
      </c>
      <c r="F145" s="2" t="str">
        <f t="shared" si="4"/>
        <v>Radley AC</v>
      </c>
      <c r="G145" s="273"/>
    </row>
    <row r="146" spans="1:7" ht="15" customHeight="1">
      <c r="A146" s="451"/>
      <c r="B146" s="343"/>
      <c r="C146" s="346"/>
      <c r="D146" s="59" t="s">
        <v>145</v>
      </c>
      <c r="E146" s="261" t="s">
        <v>15</v>
      </c>
      <c r="F146" s="2" t="str">
        <f t="shared" si="4"/>
        <v>Radley AC</v>
      </c>
      <c r="G146" s="273"/>
    </row>
    <row r="147" spans="1:7" ht="15" customHeight="1">
      <c r="A147" s="451"/>
      <c r="B147" s="345"/>
      <c r="C147" s="346"/>
      <c r="D147" s="59" t="s">
        <v>145</v>
      </c>
      <c r="E147" s="261" t="s">
        <v>15</v>
      </c>
      <c r="F147" s="2" t="str">
        <f t="shared" si="4"/>
        <v>Radley AC</v>
      </c>
      <c r="G147" s="273"/>
    </row>
    <row r="148" spans="1:7" ht="15" customHeight="1">
      <c r="A148" s="451"/>
      <c r="B148" s="343"/>
      <c r="C148" s="346"/>
      <c r="D148" s="59" t="s">
        <v>145</v>
      </c>
      <c r="E148" s="261" t="s">
        <v>15</v>
      </c>
      <c r="F148" s="2" t="str">
        <f t="shared" si="4"/>
        <v>Radley AC</v>
      </c>
      <c r="G148" s="273"/>
    </row>
    <row r="149" spans="1:7" ht="15" customHeight="1" thickBot="1">
      <c r="A149" s="451"/>
      <c r="B149" s="347"/>
      <c r="C149" s="348"/>
      <c r="D149" s="79" t="s">
        <v>145</v>
      </c>
      <c r="E149" s="262" t="s">
        <v>15</v>
      </c>
      <c r="F149" s="274" t="str">
        <f t="shared" si="4"/>
        <v>Radley AC</v>
      </c>
      <c r="G149" s="273"/>
    </row>
    <row r="150" spans="1:7" ht="15" customHeight="1">
      <c r="A150" s="451"/>
      <c r="B150" s="343"/>
      <c r="C150" s="344"/>
      <c r="D150" s="78" t="s">
        <v>145</v>
      </c>
      <c r="E150" s="263" t="s">
        <v>14</v>
      </c>
      <c r="F150" s="272" t="str">
        <f t="shared" si="4"/>
        <v>Radley AC</v>
      </c>
      <c r="G150" s="273"/>
    </row>
    <row r="151" spans="1:7" ht="15" customHeight="1">
      <c r="A151" s="451"/>
      <c r="B151" s="345"/>
      <c r="C151" s="346"/>
      <c r="D151" s="59" t="s">
        <v>145</v>
      </c>
      <c r="E151" s="261" t="s">
        <v>14</v>
      </c>
      <c r="F151" s="2" t="str">
        <f t="shared" si="4"/>
        <v>Radley AC</v>
      </c>
      <c r="G151" s="273"/>
    </row>
    <row r="152" spans="1:7" ht="15" customHeight="1">
      <c r="A152" s="451"/>
      <c r="B152" s="343"/>
      <c r="C152" s="346"/>
      <c r="D152" s="59" t="s">
        <v>145</v>
      </c>
      <c r="E152" s="261" t="s">
        <v>14</v>
      </c>
      <c r="F152" s="2" t="str">
        <f t="shared" si="4"/>
        <v>Radley AC</v>
      </c>
      <c r="G152" s="273"/>
    </row>
    <row r="153" spans="1:7" ht="15" customHeight="1">
      <c r="A153" s="451"/>
      <c r="B153" s="345"/>
      <c r="C153" s="346"/>
      <c r="D153" s="59" t="s">
        <v>145</v>
      </c>
      <c r="E153" s="261" t="s">
        <v>14</v>
      </c>
      <c r="F153" s="2" t="str">
        <f t="shared" si="4"/>
        <v>Radley AC</v>
      </c>
      <c r="G153" s="273"/>
    </row>
    <row r="154" spans="1:7" ht="15" customHeight="1">
      <c r="A154" s="451"/>
      <c r="B154" s="343"/>
      <c r="C154" s="346"/>
      <c r="D154" s="59" t="s">
        <v>145</v>
      </c>
      <c r="E154" s="261" t="s">
        <v>14</v>
      </c>
      <c r="F154" s="2" t="str">
        <f t="shared" si="4"/>
        <v>Radley AC</v>
      </c>
      <c r="G154" s="273"/>
    </row>
    <row r="155" spans="1:7" ht="15" customHeight="1">
      <c r="A155" s="451"/>
      <c r="B155" s="345"/>
      <c r="C155" s="346"/>
      <c r="D155" s="59" t="s">
        <v>145</v>
      </c>
      <c r="E155" s="261" t="s">
        <v>14</v>
      </c>
      <c r="F155" s="2" t="str">
        <f t="shared" si="4"/>
        <v>Radley AC</v>
      </c>
      <c r="G155" s="273"/>
    </row>
    <row r="156" spans="1:7" ht="15" customHeight="1">
      <c r="A156" s="451"/>
      <c r="B156" s="343"/>
      <c r="C156" s="346"/>
      <c r="D156" s="59" t="s">
        <v>145</v>
      </c>
      <c r="E156" s="261" t="s">
        <v>14</v>
      </c>
      <c r="F156" s="2" t="str">
        <f t="shared" si="4"/>
        <v>Radley AC</v>
      </c>
      <c r="G156" s="273"/>
    </row>
    <row r="157" spans="1:7" ht="15" customHeight="1">
      <c r="A157" s="451"/>
      <c r="B157" s="345"/>
      <c r="C157" s="346"/>
      <c r="D157" s="59" t="s">
        <v>145</v>
      </c>
      <c r="E157" s="261" t="s">
        <v>14</v>
      </c>
      <c r="F157" s="2" t="str">
        <f t="shared" si="4"/>
        <v>Radley AC</v>
      </c>
      <c r="G157" s="273"/>
    </row>
    <row r="158" spans="1:7" ht="15" customHeight="1">
      <c r="A158" s="451"/>
      <c r="B158" s="343"/>
      <c r="C158" s="346"/>
      <c r="D158" s="59" t="s">
        <v>145</v>
      </c>
      <c r="E158" s="261" t="s">
        <v>14</v>
      </c>
      <c r="F158" s="2" t="str">
        <f t="shared" si="4"/>
        <v>Radley AC</v>
      </c>
      <c r="G158" s="273"/>
    </row>
    <row r="159" spans="1:7" ht="15" customHeight="1">
      <c r="A159" s="451"/>
      <c r="B159" s="345"/>
      <c r="C159" s="346"/>
      <c r="D159" s="59" t="s">
        <v>145</v>
      </c>
      <c r="E159" s="261" t="s">
        <v>14</v>
      </c>
      <c r="F159" s="2" t="str">
        <f t="shared" si="4"/>
        <v>Radley AC</v>
      </c>
      <c r="G159" s="273"/>
    </row>
    <row r="160" spans="1:7" ht="15" customHeight="1">
      <c r="A160" s="451"/>
      <c r="B160" s="343"/>
      <c r="C160" s="346"/>
      <c r="D160" s="59" t="s">
        <v>145</v>
      </c>
      <c r="E160" s="261" t="s">
        <v>14</v>
      </c>
      <c r="F160" s="2" t="str">
        <f t="shared" si="4"/>
        <v>Radley AC</v>
      </c>
      <c r="G160" s="273"/>
    </row>
    <row r="161" spans="1:11" ht="15" customHeight="1">
      <c r="A161" s="451"/>
      <c r="B161" s="345"/>
      <c r="C161" s="346"/>
      <c r="D161" s="59" t="s">
        <v>145</v>
      </c>
      <c r="E161" s="261" t="s">
        <v>14</v>
      </c>
      <c r="F161" s="2" t="str">
        <f t="shared" si="4"/>
        <v>Radley AC</v>
      </c>
      <c r="G161" s="273"/>
    </row>
    <row r="162" spans="1:11" ht="15" customHeight="1">
      <c r="A162" s="451"/>
      <c r="B162" s="343"/>
      <c r="C162" s="346"/>
      <c r="D162" s="59" t="s">
        <v>145</v>
      </c>
      <c r="E162" s="261" t="s">
        <v>14</v>
      </c>
      <c r="F162" s="2" t="str">
        <f t="shared" si="4"/>
        <v>Radley AC</v>
      </c>
      <c r="G162" s="273"/>
    </row>
    <row r="163" spans="1:11" ht="15" customHeight="1">
      <c r="A163" s="451"/>
      <c r="B163" s="345"/>
      <c r="C163" s="346"/>
      <c r="D163" s="59" t="s">
        <v>145</v>
      </c>
      <c r="E163" s="261" t="s">
        <v>14</v>
      </c>
      <c r="F163" s="2" t="str">
        <f t="shared" si="4"/>
        <v>Radley AC</v>
      </c>
      <c r="G163" s="273"/>
    </row>
    <row r="164" spans="1:11" ht="15" customHeight="1">
      <c r="A164" s="451"/>
      <c r="B164" s="343"/>
      <c r="C164" s="346"/>
      <c r="D164" s="59" t="s">
        <v>145</v>
      </c>
      <c r="E164" s="261" t="s">
        <v>14</v>
      </c>
      <c r="F164" s="2" t="str">
        <f t="shared" si="4"/>
        <v>Radley AC</v>
      </c>
      <c r="G164" s="273"/>
    </row>
    <row r="165" spans="1:11" ht="15" customHeight="1" thickBot="1">
      <c r="A165" s="452"/>
      <c r="B165" s="347"/>
      <c r="C165" s="348"/>
      <c r="D165" s="79" t="s">
        <v>145</v>
      </c>
      <c r="E165" s="262" t="s">
        <v>14</v>
      </c>
      <c r="F165" s="274" t="str">
        <f t="shared" si="4"/>
        <v>Radley AC</v>
      </c>
      <c r="G165" s="273"/>
    </row>
    <row r="166" spans="1:11" ht="15" customHeight="1">
      <c r="A166" s="450" t="str">
        <f>'Read Me First'!C16</f>
        <v>Team Kennet</v>
      </c>
      <c r="B166" s="343"/>
      <c r="C166" s="349"/>
      <c r="D166" s="264" t="s">
        <v>145</v>
      </c>
      <c r="E166" s="265" t="s">
        <v>15</v>
      </c>
      <c r="F166" s="275" t="str">
        <f>$A$166</f>
        <v>Team Kennet</v>
      </c>
      <c r="G166" s="273"/>
    </row>
    <row r="167" spans="1:11" ht="15" customHeight="1">
      <c r="A167" s="451"/>
      <c r="B167" s="345"/>
      <c r="C167" s="346"/>
      <c r="D167" s="59" t="s">
        <v>145</v>
      </c>
      <c r="E167" s="261" t="s">
        <v>15</v>
      </c>
      <c r="F167" s="2" t="str">
        <f t="shared" ref="F167:F197" si="5">$A$166</f>
        <v>Team Kennet</v>
      </c>
      <c r="G167" s="273"/>
    </row>
    <row r="168" spans="1:11" ht="15" customHeight="1">
      <c r="A168" s="451"/>
      <c r="B168" s="343"/>
      <c r="C168" s="346"/>
      <c r="D168" s="59" t="s">
        <v>145</v>
      </c>
      <c r="E168" s="261" t="s">
        <v>15</v>
      </c>
      <c r="F168" s="2" t="str">
        <f t="shared" si="5"/>
        <v>Team Kennet</v>
      </c>
      <c r="G168" s="273"/>
    </row>
    <row r="169" spans="1:11" ht="15" customHeight="1">
      <c r="A169" s="451"/>
      <c r="B169" s="345"/>
      <c r="C169" s="346"/>
      <c r="D169" s="59" t="s">
        <v>145</v>
      </c>
      <c r="E169" s="261" t="s">
        <v>15</v>
      </c>
      <c r="F169" s="2" t="str">
        <f t="shared" si="5"/>
        <v>Team Kennet</v>
      </c>
      <c r="G169" s="273"/>
      <c r="K169" t="s">
        <v>23</v>
      </c>
    </row>
    <row r="170" spans="1:11" ht="15" customHeight="1">
      <c r="A170" s="451"/>
      <c r="B170" s="343"/>
      <c r="C170" s="346"/>
      <c r="D170" s="59" t="s">
        <v>145</v>
      </c>
      <c r="E170" s="261" t="s">
        <v>15</v>
      </c>
      <c r="F170" s="2" t="str">
        <f t="shared" si="5"/>
        <v>Team Kennet</v>
      </c>
      <c r="G170" s="273"/>
    </row>
    <row r="171" spans="1:11" ht="15" customHeight="1">
      <c r="A171" s="451"/>
      <c r="B171" s="345"/>
      <c r="C171" s="346"/>
      <c r="D171" s="59" t="s">
        <v>145</v>
      </c>
      <c r="E171" s="261" t="s">
        <v>15</v>
      </c>
      <c r="F171" s="2" t="str">
        <f t="shared" si="5"/>
        <v>Team Kennet</v>
      </c>
      <c r="G171" s="273"/>
    </row>
    <row r="172" spans="1:11" ht="15" customHeight="1">
      <c r="A172" s="451"/>
      <c r="B172" s="343"/>
      <c r="C172" s="346"/>
      <c r="D172" s="59" t="s">
        <v>145</v>
      </c>
      <c r="E172" s="261" t="s">
        <v>15</v>
      </c>
      <c r="F172" s="2" t="str">
        <f t="shared" si="5"/>
        <v>Team Kennet</v>
      </c>
      <c r="G172" s="273"/>
    </row>
    <row r="173" spans="1:11" ht="15" customHeight="1">
      <c r="A173" s="451"/>
      <c r="B173" s="345"/>
      <c r="C173" s="346"/>
      <c r="D173" s="59" t="s">
        <v>145</v>
      </c>
      <c r="E173" s="261" t="s">
        <v>15</v>
      </c>
      <c r="F173" s="2" t="str">
        <f t="shared" si="5"/>
        <v>Team Kennet</v>
      </c>
      <c r="G173" s="273"/>
    </row>
    <row r="174" spans="1:11" ht="15" customHeight="1">
      <c r="A174" s="451"/>
      <c r="B174" s="343"/>
      <c r="C174" s="346"/>
      <c r="D174" s="59" t="s">
        <v>145</v>
      </c>
      <c r="E174" s="261" t="s">
        <v>15</v>
      </c>
      <c r="F174" s="2" t="str">
        <f t="shared" si="5"/>
        <v>Team Kennet</v>
      </c>
      <c r="G174" s="273"/>
    </row>
    <row r="175" spans="1:11" ht="15" customHeight="1">
      <c r="A175" s="451"/>
      <c r="B175" s="345"/>
      <c r="C175" s="346"/>
      <c r="D175" s="59" t="s">
        <v>145</v>
      </c>
      <c r="E175" s="261" t="s">
        <v>15</v>
      </c>
      <c r="F175" s="2" t="str">
        <f t="shared" si="5"/>
        <v>Team Kennet</v>
      </c>
      <c r="G175" s="273"/>
    </row>
    <row r="176" spans="1:11" ht="15" customHeight="1">
      <c r="A176" s="451"/>
      <c r="B176" s="343"/>
      <c r="C176" s="346"/>
      <c r="D176" s="59" t="s">
        <v>145</v>
      </c>
      <c r="E176" s="261" t="s">
        <v>15</v>
      </c>
      <c r="F176" s="2" t="str">
        <f t="shared" si="5"/>
        <v>Team Kennet</v>
      </c>
      <c r="G176" s="273"/>
    </row>
    <row r="177" spans="1:7" ht="15" customHeight="1">
      <c r="A177" s="451"/>
      <c r="B177" s="345"/>
      <c r="C177" s="346"/>
      <c r="D177" s="59" t="s">
        <v>145</v>
      </c>
      <c r="E177" s="261" t="s">
        <v>15</v>
      </c>
      <c r="F177" s="2" t="str">
        <f t="shared" si="5"/>
        <v>Team Kennet</v>
      </c>
      <c r="G177" s="273"/>
    </row>
    <row r="178" spans="1:7" ht="15" customHeight="1">
      <c r="A178" s="451"/>
      <c r="B178" s="343"/>
      <c r="C178" s="346"/>
      <c r="D178" s="59" t="s">
        <v>145</v>
      </c>
      <c r="E178" s="261" t="s">
        <v>15</v>
      </c>
      <c r="F178" s="2" t="str">
        <f t="shared" si="5"/>
        <v>Team Kennet</v>
      </c>
      <c r="G178" s="273"/>
    </row>
    <row r="179" spans="1:7" ht="15" customHeight="1">
      <c r="A179" s="451"/>
      <c r="B179" s="345"/>
      <c r="C179" s="346"/>
      <c r="D179" s="59" t="s">
        <v>145</v>
      </c>
      <c r="E179" s="261" t="s">
        <v>15</v>
      </c>
      <c r="F179" s="2" t="str">
        <f t="shared" si="5"/>
        <v>Team Kennet</v>
      </c>
      <c r="G179" s="273"/>
    </row>
    <row r="180" spans="1:7" ht="15" customHeight="1">
      <c r="A180" s="451"/>
      <c r="B180" s="343"/>
      <c r="C180" s="346"/>
      <c r="D180" s="59" t="s">
        <v>145</v>
      </c>
      <c r="E180" s="261" t="s">
        <v>15</v>
      </c>
      <c r="F180" s="2" t="str">
        <f t="shared" si="5"/>
        <v>Team Kennet</v>
      </c>
      <c r="G180" s="273"/>
    </row>
    <row r="181" spans="1:7" ht="15" customHeight="1" thickBot="1">
      <c r="A181" s="451"/>
      <c r="B181" s="347"/>
      <c r="C181" s="348"/>
      <c r="D181" s="79" t="s">
        <v>145</v>
      </c>
      <c r="E181" s="262" t="s">
        <v>15</v>
      </c>
      <c r="F181" s="274" t="str">
        <f t="shared" si="5"/>
        <v>Team Kennet</v>
      </c>
      <c r="G181" s="273"/>
    </row>
    <row r="182" spans="1:7" ht="15" customHeight="1">
      <c r="A182" s="451"/>
      <c r="B182" s="343"/>
      <c r="C182" s="344"/>
      <c r="D182" s="78" t="s">
        <v>145</v>
      </c>
      <c r="E182" s="263" t="s">
        <v>14</v>
      </c>
      <c r="F182" s="272" t="str">
        <f t="shared" si="5"/>
        <v>Team Kennet</v>
      </c>
      <c r="G182" s="273"/>
    </row>
    <row r="183" spans="1:7" ht="15" customHeight="1">
      <c r="A183" s="451"/>
      <c r="B183" s="345"/>
      <c r="C183" s="346"/>
      <c r="D183" s="59" t="s">
        <v>145</v>
      </c>
      <c r="E183" s="261" t="s">
        <v>14</v>
      </c>
      <c r="F183" s="2" t="str">
        <f t="shared" si="5"/>
        <v>Team Kennet</v>
      </c>
      <c r="G183" s="273"/>
    </row>
    <row r="184" spans="1:7" ht="15" customHeight="1">
      <c r="A184" s="451"/>
      <c r="B184" s="343"/>
      <c r="C184" s="346"/>
      <c r="D184" s="59" t="s">
        <v>145</v>
      </c>
      <c r="E184" s="261" t="s">
        <v>14</v>
      </c>
      <c r="F184" s="2" t="str">
        <f t="shared" si="5"/>
        <v>Team Kennet</v>
      </c>
      <c r="G184" s="273"/>
    </row>
    <row r="185" spans="1:7" ht="15" customHeight="1">
      <c r="A185" s="451"/>
      <c r="B185" s="345"/>
      <c r="C185" s="346"/>
      <c r="D185" s="59" t="s">
        <v>145</v>
      </c>
      <c r="E185" s="261" t="s">
        <v>14</v>
      </c>
      <c r="F185" s="2" t="str">
        <f t="shared" si="5"/>
        <v>Team Kennet</v>
      </c>
      <c r="G185" s="273"/>
    </row>
    <row r="186" spans="1:7" ht="15" customHeight="1">
      <c r="A186" s="451"/>
      <c r="B186" s="343"/>
      <c r="C186" s="346"/>
      <c r="D186" s="59" t="s">
        <v>145</v>
      </c>
      <c r="E186" s="261" t="s">
        <v>14</v>
      </c>
      <c r="F186" s="2" t="str">
        <f t="shared" si="5"/>
        <v>Team Kennet</v>
      </c>
      <c r="G186" s="273"/>
    </row>
    <row r="187" spans="1:7" ht="15" customHeight="1">
      <c r="A187" s="451"/>
      <c r="B187" s="345"/>
      <c r="C187" s="346"/>
      <c r="D187" s="59" t="s">
        <v>145</v>
      </c>
      <c r="E187" s="261" t="s">
        <v>14</v>
      </c>
      <c r="F187" s="2" t="str">
        <f t="shared" si="5"/>
        <v>Team Kennet</v>
      </c>
      <c r="G187" s="273"/>
    </row>
    <row r="188" spans="1:7" ht="15" customHeight="1">
      <c r="A188" s="451"/>
      <c r="B188" s="343"/>
      <c r="C188" s="346"/>
      <c r="D188" s="59" t="s">
        <v>145</v>
      </c>
      <c r="E188" s="261" t="s">
        <v>14</v>
      </c>
      <c r="F188" s="2" t="str">
        <f t="shared" si="5"/>
        <v>Team Kennet</v>
      </c>
      <c r="G188" s="273"/>
    </row>
    <row r="189" spans="1:7" ht="15" customHeight="1">
      <c r="A189" s="451"/>
      <c r="B189" s="345"/>
      <c r="C189" s="346"/>
      <c r="D189" s="59" t="s">
        <v>145</v>
      </c>
      <c r="E189" s="261" t="s">
        <v>14</v>
      </c>
      <c r="F189" s="2" t="str">
        <f t="shared" si="5"/>
        <v>Team Kennet</v>
      </c>
      <c r="G189" s="273"/>
    </row>
    <row r="190" spans="1:7" ht="15" customHeight="1">
      <c r="A190" s="451"/>
      <c r="B190" s="343"/>
      <c r="C190" s="346"/>
      <c r="D190" s="59" t="s">
        <v>145</v>
      </c>
      <c r="E190" s="261" t="s">
        <v>14</v>
      </c>
      <c r="F190" s="2" t="str">
        <f t="shared" si="5"/>
        <v>Team Kennet</v>
      </c>
      <c r="G190" s="273"/>
    </row>
    <row r="191" spans="1:7" ht="15" customHeight="1">
      <c r="A191" s="451"/>
      <c r="B191" s="345"/>
      <c r="C191" s="346"/>
      <c r="D191" s="59" t="s">
        <v>145</v>
      </c>
      <c r="E191" s="261" t="s">
        <v>14</v>
      </c>
      <c r="F191" s="2" t="str">
        <f t="shared" si="5"/>
        <v>Team Kennet</v>
      </c>
      <c r="G191" s="273"/>
    </row>
    <row r="192" spans="1:7" ht="15" customHeight="1">
      <c r="A192" s="451"/>
      <c r="B192" s="343"/>
      <c r="C192" s="346"/>
      <c r="D192" s="59" t="s">
        <v>145</v>
      </c>
      <c r="E192" s="261" t="s">
        <v>14</v>
      </c>
      <c r="F192" s="2" t="str">
        <f t="shared" si="5"/>
        <v>Team Kennet</v>
      </c>
      <c r="G192"/>
    </row>
    <row r="193" spans="1:6" customFormat="1" ht="15" customHeight="1">
      <c r="A193" s="451"/>
      <c r="B193" s="345"/>
      <c r="C193" s="346"/>
      <c r="D193" s="59" t="s">
        <v>145</v>
      </c>
      <c r="E193" s="261" t="s">
        <v>14</v>
      </c>
      <c r="F193" s="2" t="str">
        <f t="shared" si="5"/>
        <v>Team Kennet</v>
      </c>
    </row>
    <row r="194" spans="1:6" customFormat="1" ht="15" customHeight="1">
      <c r="A194" s="451"/>
      <c r="B194" s="343"/>
      <c r="C194" s="346"/>
      <c r="D194" s="59" t="s">
        <v>145</v>
      </c>
      <c r="E194" s="261" t="s">
        <v>14</v>
      </c>
      <c r="F194" s="2" t="str">
        <f t="shared" si="5"/>
        <v>Team Kennet</v>
      </c>
    </row>
    <row r="195" spans="1:6" customFormat="1" ht="15" customHeight="1">
      <c r="A195" s="451"/>
      <c r="B195" s="345"/>
      <c r="C195" s="346"/>
      <c r="D195" s="59" t="s">
        <v>145</v>
      </c>
      <c r="E195" s="261" t="s">
        <v>14</v>
      </c>
      <c r="F195" s="2" t="str">
        <f t="shared" si="5"/>
        <v>Team Kennet</v>
      </c>
    </row>
    <row r="196" spans="1:6" customFormat="1" ht="15" customHeight="1">
      <c r="A196" s="451"/>
      <c r="B196" s="343"/>
      <c r="C196" s="346"/>
      <c r="D196" s="59" t="s">
        <v>145</v>
      </c>
      <c r="E196" s="261" t="s">
        <v>14</v>
      </c>
      <c r="F196" s="2" t="str">
        <f t="shared" si="5"/>
        <v>Team Kennet</v>
      </c>
    </row>
    <row r="197" spans="1:6" customFormat="1" ht="15" customHeight="1" thickBot="1">
      <c r="A197" s="452"/>
      <c r="B197" s="347"/>
      <c r="C197" s="348"/>
      <c r="D197" s="79" t="s">
        <v>145</v>
      </c>
      <c r="E197" s="262" t="s">
        <v>14</v>
      </c>
      <c r="F197" s="274" t="str">
        <f t="shared" si="5"/>
        <v>Team Kennet</v>
      </c>
    </row>
    <row r="198" spans="1:6" customFormat="1" ht="15" customHeight="1">
      <c r="A198" s="450" t="str">
        <f>'Read Me First'!C17</f>
        <v>White Horse Harriers</v>
      </c>
      <c r="B198" s="343"/>
      <c r="C198" s="349"/>
      <c r="D198" s="264" t="s">
        <v>145</v>
      </c>
      <c r="E198" s="265" t="s">
        <v>15</v>
      </c>
      <c r="F198" s="275" t="str">
        <f>$A$198</f>
        <v>White Horse Harriers</v>
      </c>
    </row>
    <row r="199" spans="1:6" customFormat="1" ht="15" customHeight="1">
      <c r="A199" s="451"/>
      <c r="B199" s="345"/>
      <c r="C199" s="346"/>
      <c r="D199" s="59" t="s">
        <v>145</v>
      </c>
      <c r="E199" s="261" t="s">
        <v>15</v>
      </c>
      <c r="F199" s="2" t="str">
        <f t="shared" ref="F199:F229" si="6">$A$198</f>
        <v>White Horse Harriers</v>
      </c>
    </row>
    <row r="200" spans="1:6" customFormat="1" ht="15" customHeight="1">
      <c r="A200" s="451"/>
      <c r="B200" s="343"/>
      <c r="C200" s="346"/>
      <c r="D200" s="59" t="s">
        <v>145</v>
      </c>
      <c r="E200" s="261" t="s">
        <v>15</v>
      </c>
      <c r="F200" s="2" t="str">
        <f t="shared" si="6"/>
        <v>White Horse Harriers</v>
      </c>
    </row>
    <row r="201" spans="1:6" customFormat="1" ht="15" customHeight="1">
      <c r="A201" s="451"/>
      <c r="B201" s="345"/>
      <c r="C201" s="346"/>
      <c r="D201" s="59" t="s">
        <v>145</v>
      </c>
      <c r="E201" s="261" t="s">
        <v>15</v>
      </c>
      <c r="F201" s="2" t="str">
        <f t="shared" si="6"/>
        <v>White Horse Harriers</v>
      </c>
    </row>
    <row r="202" spans="1:6" customFormat="1" ht="15" customHeight="1">
      <c r="A202" s="451"/>
      <c r="B202" s="343"/>
      <c r="C202" s="346"/>
      <c r="D202" s="59" t="s">
        <v>145</v>
      </c>
      <c r="E202" s="261" t="s">
        <v>15</v>
      </c>
      <c r="F202" s="2" t="str">
        <f t="shared" si="6"/>
        <v>White Horse Harriers</v>
      </c>
    </row>
    <row r="203" spans="1:6" customFormat="1" ht="15" customHeight="1">
      <c r="A203" s="451"/>
      <c r="B203" s="345"/>
      <c r="C203" s="346"/>
      <c r="D203" s="59" t="s">
        <v>145</v>
      </c>
      <c r="E203" s="261" t="s">
        <v>15</v>
      </c>
      <c r="F203" s="2" t="str">
        <f t="shared" si="6"/>
        <v>White Horse Harriers</v>
      </c>
    </row>
    <row r="204" spans="1:6" customFormat="1" ht="15" customHeight="1">
      <c r="A204" s="451"/>
      <c r="B204" s="343"/>
      <c r="C204" s="346"/>
      <c r="D204" s="59" t="s">
        <v>145</v>
      </c>
      <c r="E204" s="261" t="s">
        <v>15</v>
      </c>
      <c r="F204" s="2" t="str">
        <f t="shared" si="6"/>
        <v>White Horse Harriers</v>
      </c>
    </row>
    <row r="205" spans="1:6" customFormat="1" ht="15" customHeight="1">
      <c r="A205" s="451"/>
      <c r="B205" s="345"/>
      <c r="C205" s="346"/>
      <c r="D205" s="59" t="s">
        <v>145</v>
      </c>
      <c r="E205" s="261" t="s">
        <v>15</v>
      </c>
      <c r="F205" s="2" t="str">
        <f t="shared" si="6"/>
        <v>White Horse Harriers</v>
      </c>
    </row>
    <row r="206" spans="1:6" customFormat="1" ht="15" customHeight="1">
      <c r="A206" s="451"/>
      <c r="B206" s="343"/>
      <c r="C206" s="346"/>
      <c r="D206" s="59" t="s">
        <v>145</v>
      </c>
      <c r="E206" s="261" t="s">
        <v>15</v>
      </c>
      <c r="F206" s="2" t="str">
        <f t="shared" si="6"/>
        <v>White Horse Harriers</v>
      </c>
    </row>
    <row r="207" spans="1:6" customFormat="1" ht="15" customHeight="1">
      <c r="A207" s="451"/>
      <c r="B207" s="345"/>
      <c r="C207" s="346"/>
      <c r="D207" s="59" t="s">
        <v>145</v>
      </c>
      <c r="E207" s="261" t="s">
        <v>15</v>
      </c>
      <c r="F207" s="2" t="str">
        <f t="shared" si="6"/>
        <v>White Horse Harriers</v>
      </c>
    </row>
    <row r="208" spans="1:6" customFormat="1" ht="15" customHeight="1">
      <c r="A208" s="451"/>
      <c r="B208" s="343"/>
      <c r="C208" s="346"/>
      <c r="D208" s="59" t="s">
        <v>145</v>
      </c>
      <c r="E208" s="261" t="s">
        <v>15</v>
      </c>
      <c r="F208" s="2" t="str">
        <f t="shared" si="6"/>
        <v>White Horse Harriers</v>
      </c>
    </row>
    <row r="209" spans="1:6" customFormat="1" ht="15" customHeight="1">
      <c r="A209" s="451"/>
      <c r="B209" s="345"/>
      <c r="C209" s="346"/>
      <c r="D209" s="59" t="s">
        <v>145</v>
      </c>
      <c r="E209" s="261" t="s">
        <v>15</v>
      </c>
      <c r="F209" s="2" t="str">
        <f t="shared" si="6"/>
        <v>White Horse Harriers</v>
      </c>
    </row>
    <row r="210" spans="1:6" customFormat="1" ht="15" customHeight="1">
      <c r="A210" s="451"/>
      <c r="B210" s="343"/>
      <c r="C210" s="346"/>
      <c r="D210" s="59" t="s">
        <v>145</v>
      </c>
      <c r="E210" s="261" t="s">
        <v>15</v>
      </c>
      <c r="F210" s="2" t="str">
        <f t="shared" si="6"/>
        <v>White Horse Harriers</v>
      </c>
    </row>
    <row r="211" spans="1:6" customFormat="1" ht="15" customHeight="1">
      <c r="A211" s="451"/>
      <c r="B211" s="345"/>
      <c r="C211" s="346"/>
      <c r="D211" s="59" t="s">
        <v>145</v>
      </c>
      <c r="E211" s="261" t="s">
        <v>15</v>
      </c>
      <c r="F211" s="2" t="str">
        <f t="shared" si="6"/>
        <v>White Horse Harriers</v>
      </c>
    </row>
    <row r="212" spans="1:6" customFormat="1" ht="15" customHeight="1">
      <c r="A212" s="451"/>
      <c r="B212" s="343"/>
      <c r="C212" s="346"/>
      <c r="D212" s="59" t="s">
        <v>145</v>
      </c>
      <c r="E212" s="261" t="s">
        <v>15</v>
      </c>
      <c r="F212" s="2" t="str">
        <f t="shared" si="6"/>
        <v>White Horse Harriers</v>
      </c>
    </row>
    <row r="213" spans="1:6" customFormat="1" ht="15" customHeight="1" thickBot="1">
      <c r="A213" s="451"/>
      <c r="B213" s="347"/>
      <c r="C213" s="348"/>
      <c r="D213" s="79" t="s">
        <v>145</v>
      </c>
      <c r="E213" s="262" t="s">
        <v>15</v>
      </c>
      <c r="F213" s="274" t="str">
        <f t="shared" si="6"/>
        <v>White Horse Harriers</v>
      </c>
    </row>
    <row r="214" spans="1:6" customFormat="1" ht="15" customHeight="1">
      <c r="A214" s="451"/>
      <c r="B214" s="343"/>
      <c r="C214" s="344"/>
      <c r="D214" s="78" t="s">
        <v>145</v>
      </c>
      <c r="E214" s="263" t="s">
        <v>14</v>
      </c>
      <c r="F214" s="272" t="str">
        <f t="shared" si="6"/>
        <v>White Horse Harriers</v>
      </c>
    </row>
    <row r="215" spans="1:6" customFormat="1" ht="15" customHeight="1">
      <c r="A215" s="451"/>
      <c r="B215" s="345"/>
      <c r="C215" s="346"/>
      <c r="D215" s="59" t="s">
        <v>145</v>
      </c>
      <c r="E215" s="261" t="s">
        <v>14</v>
      </c>
      <c r="F215" s="2" t="str">
        <f t="shared" si="6"/>
        <v>White Horse Harriers</v>
      </c>
    </row>
    <row r="216" spans="1:6" customFormat="1" ht="15" customHeight="1">
      <c r="A216" s="451"/>
      <c r="B216" s="343"/>
      <c r="C216" s="346"/>
      <c r="D216" s="59" t="s">
        <v>145</v>
      </c>
      <c r="E216" s="261" t="s">
        <v>14</v>
      </c>
      <c r="F216" s="2" t="str">
        <f t="shared" si="6"/>
        <v>White Horse Harriers</v>
      </c>
    </row>
    <row r="217" spans="1:6" customFormat="1" ht="15" customHeight="1">
      <c r="A217" s="451"/>
      <c r="B217" s="345"/>
      <c r="C217" s="346"/>
      <c r="D217" s="59" t="s">
        <v>145</v>
      </c>
      <c r="E217" s="261" t="s">
        <v>14</v>
      </c>
      <c r="F217" s="2" t="str">
        <f t="shared" si="6"/>
        <v>White Horse Harriers</v>
      </c>
    </row>
    <row r="218" spans="1:6" customFormat="1" ht="15" customHeight="1">
      <c r="A218" s="451"/>
      <c r="B218" s="343"/>
      <c r="C218" s="346"/>
      <c r="D218" s="59" t="s">
        <v>145</v>
      </c>
      <c r="E218" s="261" t="s">
        <v>14</v>
      </c>
      <c r="F218" s="2" t="str">
        <f t="shared" si="6"/>
        <v>White Horse Harriers</v>
      </c>
    </row>
    <row r="219" spans="1:6" customFormat="1" ht="15" customHeight="1">
      <c r="A219" s="451"/>
      <c r="B219" s="345"/>
      <c r="C219" s="346"/>
      <c r="D219" s="59" t="s">
        <v>145</v>
      </c>
      <c r="E219" s="261" t="s">
        <v>14</v>
      </c>
      <c r="F219" s="2" t="str">
        <f t="shared" si="6"/>
        <v>White Horse Harriers</v>
      </c>
    </row>
    <row r="220" spans="1:6" customFormat="1" ht="15" customHeight="1">
      <c r="A220" s="451"/>
      <c r="B220" s="343"/>
      <c r="C220" s="346"/>
      <c r="D220" s="59" t="s">
        <v>145</v>
      </c>
      <c r="E220" s="261" t="s">
        <v>14</v>
      </c>
      <c r="F220" s="2" t="str">
        <f t="shared" si="6"/>
        <v>White Horse Harriers</v>
      </c>
    </row>
    <row r="221" spans="1:6" customFormat="1" ht="15" customHeight="1">
      <c r="A221" s="451"/>
      <c r="B221" s="345"/>
      <c r="C221" s="346"/>
      <c r="D221" s="59" t="s">
        <v>145</v>
      </c>
      <c r="E221" s="261" t="s">
        <v>14</v>
      </c>
      <c r="F221" s="2" t="str">
        <f t="shared" si="6"/>
        <v>White Horse Harriers</v>
      </c>
    </row>
    <row r="222" spans="1:6" customFormat="1" ht="15" customHeight="1">
      <c r="A222" s="451"/>
      <c r="B222" s="343"/>
      <c r="C222" s="346"/>
      <c r="D222" s="59" t="s">
        <v>145</v>
      </c>
      <c r="E222" s="261" t="s">
        <v>14</v>
      </c>
      <c r="F222" s="2" t="str">
        <f t="shared" si="6"/>
        <v>White Horse Harriers</v>
      </c>
    </row>
    <row r="223" spans="1:6" customFormat="1" ht="15" customHeight="1">
      <c r="A223" s="451"/>
      <c r="B223" s="345"/>
      <c r="C223" s="346"/>
      <c r="D223" s="59" t="s">
        <v>145</v>
      </c>
      <c r="E223" s="261" t="s">
        <v>14</v>
      </c>
      <c r="F223" s="2" t="str">
        <f t="shared" si="6"/>
        <v>White Horse Harriers</v>
      </c>
    </row>
    <row r="224" spans="1:6" customFormat="1" ht="15" customHeight="1">
      <c r="A224" s="451"/>
      <c r="B224" s="343"/>
      <c r="C224" s="346"/>
      <c r="D224" s="59" t="s">
        <v>145</v>
      </c>
      <c r="E224" s="261" t="s">
        <v>14</v>
      </c>
      <c r="F224" s="2" t="str">
        <f t="shared" si="6"/>
        <v>White Horse Harriers</v>
      </c>
    </row>
    <row r="225" spans="1:6" customFormat="1" ht="15" customHeight="1">
      <c r="A225" s="451"/>
      <c r="B225" s="345"/>
      <c r="C225" s="346"/>
      <c r="D225" s="59" t="s">
        <v>145</v>
      </c>
      <c r="E225" s="261" t="s">
        <v>14</v>
      </c>
      <c r="F225" s="2" t="str">
        <f t="shared" si="6"/>
        <v>White Horse Harriers</v>
      </c>
    </row>
    <row r="226" spans="1:6" customFormat="1" ht="15" customHeight="1">
      <c r="A226" s="451"/>
      <c r="B226" s="343"/>
      <c r="C226" s="346"/>
      <c r="D226" s="59" t="s">
        <v>145</v>
      </c>
      <c r="E226" s="261" t="s">
        <v>14</v>
      </c>
      <c r="F226" s="2" t="str">
        <f t="shared" si="6"/>
        <v>White Horse Harriers</v>
      </c>
    </row>
    <row r="227" spans="1:6" customFormat="1" ht="15" customHeight="1">
      <c r="A227" s="451"/>
      <c r="B227" s="345"/>
      <c r="C227" s="346"/>
      <c r="D227" s="59" t="s">
        <v>145</v>
      </c>
      <c r="E227" s="261" t="s">
        <v>14</v>
      </c>
      <c r="F227" s="2" t="str">
        <f t="shared" si="6"/>
        <v>White Horse Harriers</v>
      </c>
    </row>
    <row r="228" spans="1:6" customFormat="1" ht="15" customHeight="1">
      <c r="A228" s="451"/>
      <c r="B228" s="343"/>
      <c r="C228" s="346"/>
      <c r="D228" s="59" t="s">
        <v>145</v>
      </c>
      <c r="E228" s="261" t="s">
        <v>14</v>
      </c>
      <c r="F228" s="2" t="str">
        <f t="shared" si="6"/>
        <v>White Horse Harriers</v>
      </c>
    </row>
    <row r="229" spans="1:6" customFormat="1" ht="15" customHeight="1" thickBot="1">
      <c r="A229" s="452"/>
      <c r="B229" s="347"/>
      <c r="C229" s="348"/>
      <c r="D229" s="79" t="s">
        <v>145</v>
      </c>
      <c r="E229" s="262" t="s">
        <v>14</v>
      </c>
      <c r="F229" s="274" t="str">
        <f t="shared" si="6"/>
        <v>White Horse Harriers</v>
      </c>
    </row>
    <row r="230" spans="1:6" customFormat="1" ht="15" customHeight="1">
      <c r="A230" s="450" t="str">
        <f>'Read Me First'!C18</f>
        <v>Witney Road Runners</v>
      </c>
      <c r="B230" s="343"/>
      <c r="C230" s="349"/>
      <c r="D230" s="264" t="s">
        <v>145</v>
      </c>
      <c r="E230" s="265" t="s">
        <v>15</v>
      </c>
      <c r="F230" s="275" t="str">
        <f>$A$230</f>
        <v>Witney Road Runners</v>
      </c>
    </row>
    <row r="231" spans="1:6" customFormat="1" ht="15" customHeight="1">
      <c r="A231" s="451"/>
      <c r="B231" s="345"/>
      <c r="C231" s="346"/>
      <c r="D231" s="59" t="s">
        <v>145</v>
      </c>
      <c r="E231" s="261" t="s">
        <v>15</v>
      </c>
      <c r="F231" s="2" t="str">
        <f t="shared" ref="F231:F261" si="7">$A$230</f>
        <v>Witney Road Runners</v>
      </c>
    </row>
    <row r="232" spans="1:6" customFormat="1" ht="15" customHeight="1">
      <c r="A232" s="451"/>
      <c r="B232" s="343"/>
      <c r="C232" s="346"/>
      <c r="D232" s="59" t="s">
        <v>145</v>
      </c>
      <c r="E232" s="261" t="s">
        <v>15</v>
      </c>
      <c r="F232" s="2" t="str">
        <f t="shared" si="7"/>
        <v>Witney Road Runners</v>
      </c>
    </row>
    <row r="233" spans="1:6" customFormat="1" ht="15" customHeight="1">
      <c r="A233" s="451"/>
      <c r="B233" s="345"/>
      <c r="C233" s="346"/>
      <c r="D233" s="59" t="s">
        <v>145</v>
      </c>
      <c r="E233" s="261" t="s">
        <v>15</v>
      </c>
      <c r="F233" s="2" t="str">
        <f t="shared" si="7"/>
        <v>Witney Road Runners</v>
      </c>
    </row>
    <row r="234" spans="1:6" customFormat="1" ht="15" customHeight="1">
      <c r="A234" s="451"/>
      <c r="B234" s="343"/>
      <c r="C234" s="346"/>
      <c r="D234" s="59" t="s">
        <v>145</v>
      </c>
      <c r="E234" s="261" t="s">
        <v>15</v>
      </c>
      <c r="F234" s="2" t="str">
        <f t="shared" si="7"/>
        <v>Witney Road Runners</v>
      </c>
    </row>
    <row r="235" spans="1:6" customFormat="1" ht="15" customHeight="1">
      <c r="A235" s="451"/>
      <c r="B235" s="345"/>
      <c r="C235" s="346"/>
      <c r="D235" s="59" t="s">
        <v>145</v>
      </c>
      <c r="E235" s="261" t="s">
        <v>15</v>
      </c>
      <c r="F235" s="2" t="str">
        <f t="shared" si="7"/>
        <v>Witney Road Runners</v>
      </c>
    </row>
    <row r="236" spans="1:6" customFormat="1" ht="15" customHeight="1">
      <c r="A236" s="451"/>
      <c r="B236" s="343"/>
      <c r="C236" s="346"/>
      <c r="D236" s="59" t="s">
        <v>145</v>
      </c>
      <c r="E236" s="261" t="s">
        <v>15</v>
      </c>
      <c r="F236" s="2" t="str">
        <f t="shared" si="7"/>
        <v>Witney Road Runners</v>
      </c>
    </row>
    <row r="237" spans="1:6" customFormat="1" ht="15" customHeight="1">
      <c r="A237" s="451"/>
      <c r="B237" s="345"/>
      <c r="C237" s="346"/>
      <c r="D237" s="59" t="s">
        <v>145</v>
      </c>
      <c r="E237" s="261" t="s">
        <v>15</v>
      </c>
      <c r="F237" s="2" t="str">
        <f t="shared" si="7"/>
        <v>Witney Road Runners</v>
      </c>
    </row>
    <row r="238" spans="1:6" customFormat="1" ht="15" customHeight="1">
      <c r="A238" s="451"/>
      <c r="B238" s="343"/>
      <c r="C238" s="346"/>
      <c r="D238" s="59" t="s">
        <v>145</v>
      </c>
      <c r="E238" s="261" t="s">
        <v>15</v>
      </c>
      <c r="F238" s="2" t="str">
        <f t="shared" si="7"/>
        <v>Witney Road Runners</v>
      </c>
    </row>
    <row r="239" spans="1:6" customFormat="1" ht="15" customHeight="1">
      <c r="A239" s="451"/>
      <c r="B239" s="345"/>
      <c r="C239" s="346"/>
      <c r="D239" s="59" t="s">
        <v>145</v>
      </c>
      <c r="E239" s="261" t="s">
        <v>15</v>
      </c>
      <c r="F239" s="2" t="str">
        <f t="shared" si="7"/>
        <v>Witney Road Runners</v>
      </c>
    </row>
    <row r="240" spans="1:6" customFormat="1" ht="15" customHeight="1">
      <c r="A240" s="451"/>
      <c r="B240" s="343"/>
      <c r="C240" s="346"/>
      <c r="D240" s="59" t="s">
        <v>145</v>
      </c>
      <c r="E240" s="261" t="s">
        <v>15</v>
      </c>
      <c r="F240" s="2" t="str">
        <f t="shared" si="7"/>
        <v>Witney Road Runners</v>
      </c>
    </row>
    <row r="241" spans="1:6" customFormat="1" ht="15" customHeight="1">
      <c r="A241" s="451"/>
      <c r="B241" s="345"/>
      <c r="C241" s="346"/>
      <c r="D241" s="59" t="s">
        <v>145</v>
      </c>
      <c r="E241" s="261" t="s">
        <v>15</v>
      </c>
      <c r="F241" s="2" t="str">
        <f t="shared" si="7"/>
        <v>Witney Road Runners</v>
      </c>
    </row>
    <row r="242" spans="1:6" customFormat="1" ht="15" customHeight="1">
      <c r="A242" s="451"/>
      <c r="B242" s="343"/>
      <c r="C242" s="346"/>
      <c r="D242" s="59" t="s">
        <v>145</v>
      </c>
      <c r="E242" s="261" t="s">
        <v>15</v>
      </c>
      <c r="F242" s="2" t="str">
        <f t="shared" si="7"/>
        <v>Witney Road Runners</v>
      </c>
    </row>
    <row r="243" spans="1:6" customFormat="1" ht="15" customHeight="1">
      <c r="A243" s="451"/>
      <c r="B243" s="345"/>
      <c r="C243" s="346"/>
      <c r="D243" s="59" t="s">
        <v>145</v>
      </c>
      <c r="E243" s="261" t="s">
        <v>15</v>
      </c>
      <c r="F243" s="2" t="str">
        <f t="shared" si="7"/>
        <v>Witney Road Runners</v>
      </c>
    </row>
    <row r="244" spans="1:6" customFormat="1" ht="15" customHeight="1">
      <c r="A244" s="451"/>
      <c r="B244" s="343"/>
      <c r="C244" s="346"/>
      <c r="D244" s="59" t="s">
        <v>145</v>
      </c>
      <c r="E244" s="261" t="s">
        <v>15</v>
      </c>
      <c r="F244" s="2" t="str">
        <f t="shared" si="7"/>
        <v>Witney Road Runners</v>
      </c>
    </row>
    <row r="245" spans="1:6" customFormat="1" ht="15" customHeight="1" thickBot="1">
      <c r="A245" s="451"/>
      <c r="B245" s="347"/>
      <c r="C245" s="348"/>
      <c r="D245" s="79" t="s">
        <v>145</v>
      </c>
      <c r="E245" s="262" t="s">
        <v>15</v>
      </c>
      <c r="F245" s="274" t="str">
        <f t="shared" si="7"/>
        <v>Witney Road Runners</v>
      </c>
    </row>
    <row r="246" spans="1:6" customFormat="1" ht="15" customHeight="1">
      <c r="A246" s="451"/>
      <c r="B246" s="343"/>
      <c r="C246" s="344"/>
      <c r="D246" s="78" t="s">
        <v>145</v>
      </c>
      <c r="E246" s="263" t="s">
        <v>14</v>
      </c>
      <c r="F246" s="272" t="str">
        <f t="shared" si="7"/>
        <v>Witney Road Runners</v>
      </c>
    </row>
    <row r="247" spans="1:6" customFormat="1" ht="15" customHeight="1">
      <c r="A247" s="451"/>
      <c r="B247" s="345"/>
      <c r="C247" s="346"/>
      <c r="D247" s="59" t="s">
        <v>145</v>
      </c>
      <c r="E247" s="261" t="s">
        <v>14</v>
      </c>
      <c r="F247" s="2" t="str">
        <f t="shared" si="7"/>
        <v>Witney Road Runners</v>
      </c>
    </row>
    <row r="248" spans="1:6" customFormat="1" ht="15" customHeight="1">
      <c r="A248" s="451"/>
      <c r="B248" s="343"/>
      <c r="C248" s="346"/>
      <c r="D248" s="59" t="s">
        <v>145</v>
      </c>
      <c r="E248" s="261" t="s">
        <v>14</v>
      </c>
      <c r="F248" s="2" t="str">
        <f t="shared" si="7"/>
        <v>Witney Road Runners</v>
      </c>
    </row>
    <row r="249" spans="1:6" customFormat="1" ht="15" customHeight="1">
      <c r="A249" s="451"/>
      <c r="B249" s="345"/>
      <c r="C249" s="346"/>
      <c r="D249" s="59" t="s">
        <v>145</v>
      </c>
      <c r="E249" s="261" t="s">
        <v>14</v>
      </c>
      <c r="F249" s="2" t="str">
        <f t="shared" si="7"/>
        <v>Witney Road Runners</v>
      </c>
    </row>
    <row r="250" spans="1:6" customFormat="1" ht="15" customHeight="1">
      <c r="A250" s="451"/>
      <c r="B250" s="343"/>
      <c r="C250" s="346"/>
      <c r="D250" s="59" t="s">
        <v>145</v>
      </c>
      <c r="E250" s="261" t="s">
        <v>14</v>
      </c>
      <c r="F250" s="2" t="str">
        <f t="shared" si="7"/>
        <v>Witney Road Runners</v>
      </c>
    </row>
    <row r="251" spans="1:6" customFormat="1" ht="15" customHeight="1">
      <c r="A251" s="451"/>
      <c r="B251" s="345"/>
      <c r="C251" s="346"/>
      <c r="D251" s="59" t="s">
        <v>145</v>
      </c>
      <c r="E251" s="261" t="s">
        <v>14</v>
      </c>
      <c r="F251" s="2" t="str">
        <f t="shared" si="7"/>
        <v>Witney Road Runners</v>
      </c>
    </row>
    <row r="252" spans="1:6" customFormat="1" ht="15" customHeight="1">
      <c r="A252" s="451"/>
      <c r="B252" s="343"/>
      <c r="C252" s="346"/>
      <c r="D252" s="59" t="s">
        <v>145</v>
      </c>
      <c r="E252" s="261" t="s">
        <v>14</v>
      </c>
      <c r="F252" s="2" t="str">
        <f t="shared" si="7"/>
        <v>Witney Road Runners</v>
      </c>
    </row>
    <row r="253" spans="1:6" customFormat="1" ht="15" customHeight="1">
      <c r="A253" s="451"/>
      <c r="B253" s="345"/>
      <c r="C253" s="346"/>
      <c r="D253" s="59" t="s">
        <v>145</v>
      </c>
      <c r="E253" s="261" t="s">
        <v>14</v>
      </c>
      <c r="F253" s="2" t="str">
        <f t="shared" si="7"/>
        <v>Witney Road Runners</v>
      </c>
    </row>
    <row r="254" spans="1:6" customFormat="1" ht="15" customHeight="1">
      <c r="A254" s="451"/>
      <c r="B254" s="343"/>
      <c r="C254" s="346"/>
      <c r="D254" s="59" t="s">
        <v>145</v>
      </c>
      <c r="E254" s="261" t="s">
        <v>14</v>
      </c>
      <c r="F254" s="2" t="str">
        <f t="shared" si="7"/>
        <v>Witney Road Runners</v>
      </c>
    </row>
    <row r="255" spans="1:6" customFormat="1" ht="15" customHeight="1">
      <c r="A255" s="451"/>
      <c r="B255" s="345"/>
      <c r="C255" s="346"/>
      <c r="D255" s="59" t="s">
        <v>145</v>
      </c>
      <c r="E255" s="261" t="s">
        <v>14</v>
      </c>
      <c r="F255" s="2" t="str">
        <f t="shared" si="7"/>
        <v>Witney Road Runners</v>
      </c>
    </row>
    <row r="256" spans="1:6" customFormat="1" ht="15" customHeight="1">
      <c r="A256" s="451"/>
      <c r="B256" s="343"/>
      <c r="C256" s="346"/>
      <c r="D256" s="59" t="s">
        <v>145</v>
      </c>
      <c r="E256" s="261" t="s">
        <v>14</v>
      </c>
      <c r="F256" s="2" t="str">
        <f t="shared" si="7"/>
        <v>Witney Road Runners</v>
      </c>
    </row>
    <row r="257" spans="1:6" customFormat="1" ht="15" customHeight="1">
      <c r="A257" s="451"/>
      <c r="B257" s="345"/>
      <c r="C257" s="346"/>
      <c r="D257" s="59" t="s">
        <v>145</v>
      </c>
      <c r="E257" s="261" t="s">
        <v>14</v>
      </c>
      <c r="F257" s="2" t="str">
        <f t="shared" si="7"/>
        <v>Witney Road Runners</v>
      </c>
    </row>
    <row r="258" spans="1:6" customFormat="1" ht="15" customHeight="1">
      <c r="A258" s="451"/>
      <c r="B258" s="343"/>
      <c r="C258" s="346"/>
      <c r="D258" s="59" t="s">
        <v>145</v>
      </c>
      <c r="E258" s="261" t="s">
        <v>14</v>
      </c>
      <c r="F258" s="2" t="str">
        <f t="shared" si="7"/>
        <v>Witney Road Runners</v>
      </c>
    </row>
    <row r="259" spans="1:6" customFormat="1" ht="15" customHeight="1">
      <c r="A259" s="451"/>
      <c r="B259" s="345"/>
      <c r="C259" s="346"/>
      <c r="D259" s="59" t="s">
        <v>145</v>
      </c>
      <c r="E259" s="261" t="s">
        <v>14</v>
      </c>
      <c r="F259" s="2" t="str">
        <f t="shared" si="7"/>
        <v>Witney Road Runners</v>
      </c>
    </row>
    <row r="260" spans="1:6" customFormat="1" ht="15" customHeight="1">
      <c r="A260" s="451"/>
      <c r="B260" s="343"/>
      <c r="C260" s="346"/>
      <c r="D260" s="59" t="s">
        <v>145</v>
      </c>
      <c r="E260" s="261" t="s">
        <v>14</v>
      </c>
      <c r="F260" s="2" t="str">
        <f t="shared" si="7"/>
        <v>Witney Road Runners</v>
      </c>
    </row>
    <row r="261" spans="1:6" customFormat="1" ht="15" customHeight="1" thickBot="1">
      <c r="A261" s="452"/>
      <c r="B261" s="347"/>
      <c r="C261" s="348"/>
      <c r="D261" s="79" t="s">
        <v>145</v>
      </c>
      <c r="E261" s="262" t="s">
        <v>14</v>
      </c>
      <c r="F261" s="274" t="str">
        <f t="shared" si="7"/>
        <v>Witney Road Runners</v>
      </c>
    </row>
    <row r="262" spans="1:6" customFormat="1" ht="15" customHeight="1">
      <c r="A262" s="450" t="str">
        <f>'Read Me First'!C19</f>
        <v>Great Milton AC</v>
      </c>
      <c r="B262" s="343"/>
      <c r="C262" s="351"/>
      <c r="D262" s="264" t="s">
        <v>145</v>
      </c>
      <c r="E262" s="265" t="s">
        <v>15</v>
      </c>
      <c r="F262" s="275" t="str">
        <f>$A$262</f>
        <v>Great Milton AC</v>
      </c>
    </row>
    <row r="263" spans="1:6" customFormat="1" ht="15" customHeight="1">
      <c r="A263" s="451"/>
      <c r="B263" s="345"/>
      <c r="C263" s="352"/>
      <c r="D263" s="59" t="s">
        <v>145</v>
      </c>
      <c r="E263" s="261" t="s">
        <v>15</v>
      </c>
      <c r="F263" s="2" t="str">
        <f t="shared" ref="F263:F293" si="8">$A$262</f>
        <v>Great Milton AC</v>
      </c>
    </row>
    <row r="264" spans="1:6" customFormat="1" ht="15" customHeight="1">
      <c r="A264" s="451"/>
      <c r="B264" s="343"/>
      <c r="C264" s="352"/>
      <c r="D264" s="59" t="s">
        <v>145</v>
      </c>
      <c r="E264" s="261" t="s">
        <v>15</v>
      </c>
      <c r="F264" s="2" t="str">
        <f t="shared" si="8"/>
        <v>Great Milton AC</v>
      </c>
    </row>
    <row r="265" spans="1:6" customFormat="1" ht="15" customHeight="1">
      <c r="A265" s="451"/>
      <c r="B265" s="345"/>
      <c r="C265" s="346"/>
      <c r="D265" s="59" t="s">
        <v>145</v>
      </c>
      <c r="E265" s="261" t="s">
        <v>15</v>
      </c>
      <c r="F265" s="2" t="str">
        <f t="shared" si="8"/>
        <v>Great Milton AC</v>
      </c>
    </row>
    <row r="266" spans="1:6" customFormat="1" ht="15" customHeight="1">
      <c r="A266" s="451"/>
      <c r="B266" s="343"/>
      <c r="C266" s="346"/>
      <c r="D266" s="59" t="s">
        <v>145</v>
      </c>
      <c r="E266" s="261" t="s">
        <v>15</v>
      </c>
      <c r="F266" s="2" t="str">
        <f t="shared" si="8"/>
        <v>Great Milton AC</v>
      </c>
    </row>
    <row r="267" spans="1:6" customFormat="1" ht="15" customHeight="1">
      <c r="A267" s="451"/>
      <c r="B267" s="345"/>
      <c r="C267" s="346"/>
      <c r="D267" s="59" t="s">
        <v>145</v>
      </c>
      <c r="E267" s="261" t="s">
        <v>15</v>
      </c>
      <c r="F267" s="2" t="str">
        <f t="shared" si="8"/>
        <v>Great Milton AC</v>
      </c>
    </row>
    <row r="268" spans="1:6" customFormat="1" ht="15" customHeight="1">
      <c r="A268" s="451"/>
      <c r="B268" s="343"/>
      <c r="C268" s="346"/>
      <c r="D268" s="59" t="s">
        <v>145</v>
      </c>
      <c r="E268" s="261" t="s">
        <v>15</v>
      </c>
      <c r="F268" s="2" t="str">
        <f t="shared" si="8"/>
        <v>Great Milton AC</v>
      </c>
    </row>
    <row r="269" spans="1:6" customFormat="1" ht="15" customHeight="1">
      <c r="A269" s="451"/>
      <c r="B269" s="345"/>
      <c r="C269" s="346"/>
      <c r="D269" s="59" t="s">
        <v>145</v>
      </c>
      <c r="E269" s="261" t="s">
        <v>15</v>
      </c>
      <c r="F269" s="2" t="str">
        <f t="shared" si="8"/>
        <v>Great Milton AC</v>
      </c>
    </row>
    <row r="270" spans="1:6" customFormat="1" ht="15" customHeight="1">
      <c r="A270" s="451"/>
      <c r="B270" s="343"/>
      <c r="C270" s="346"/>
      <c r="D270" s="59" t="s">
        <v>145</v>
      </c>
      <c r="E270" s="261" t="s">
        <v>15</v>
      </c>
      <c r="F270" s="2" t="str">
        <f t="shared" si="8"/>
        <v>Great Milton AC</v>
      </c>
    </row>
    <row r="271" spans="1:6" customFormat="1" ht="15" customHeight="1">
      <c r="A271" s="451"/>
      <c r="B271" s="345"/>
      <c r="C271" s="346"/>
      <c r="D271" s="59" t="s">
        <v>145</v>
      </c>
      <c r="E271" s="261" t="s">
        <v>15</v>
      </c>
      <c r="F271" s="2" t="str">
        <f t="shared" si="8"/>
        <v>Great Milton AC</v>
      </c>
    </row>
    <row r="272" spans="1:6" customFormat="1" ht="15" customHeight="1">
      <c r="A272" s="451"/>
      <c r="B272" s="343"/>
      <c r="C272" s="346"/>
      <c r="D272" s="59" t="s">
        <v>145</v>
      </c>
      <c r="E272" s="261" t="s">
        <v>15</v>
      </c>
      <c r="F272" s="2" t="str">
        <f t="shared" si="8"/>
        <v>Great Milton AC</v>
      </c>
    </row>
    <row r="273" spans="1:7" ht="15" customHeight="1">
      <c r="A273" s="451"/>
      <c r="B273" s="345"/>
      <c r="C273" s="346"/>
      <c r="D273" s="59" t="s">
        <v>145</v>
      </c>
      <c r="E273" s="261" t="s">
        <v>15</v>
      </c>
      <c r="F273" s="2" t="str">
        <f t="shared" si="8"/>
        <v>Great Milton AC</v>
      </c>
      <c r="G273"/>
    </row>
    <row r="274" spans="1:7" ht="15" customHeight="1">
      <c r="A274" s="451"/>
      <c r="B274" s="343"/>
      <c r="C274" s="346"/>
      <c r="D274" s="59" t="s">
        <v>145</v>
      </c>
      <c r="E274" s="261" t="s">
        <v>15</v>
      </c>
      <c r="F274" s="2" t="str">
        <f t="shared" si="8"/>
        <v>Great Milton AC</v>
      </c>
      <c r="G274"/>
    </row>
    <row r="275" spans="1:7" ht="15" customHeight="1">
      <c r="A275" s="451"/>
      <c r="B275" s="345"/>
      <c r="C275" s="346"/>
      <c r="D275" s="59" t="s">
        <v>145</v>
      </c>
      <c r="E275" s="261" t="s">
        <v>15</v>
      </c>
      <c r="F275" s="2" t="str">
        <f t="shared" si="8"/>
        <v>Great Milton AC</v>
      </c>
      <c r="G275"/>
    </row>
    <row r="276" spans="1:7" ht="15" customHeight="1">
      <c r="A276" s="451"/>
      <c r="B276" s="343"/>
      <c r="C276" s="346"/>
      <c r="D276" s="59" t="s">
        <v>145</v>
      </c>
      <c r="E276" s="261" t="s">
        <v>15</v>
      </c>
      <c r="F276" s="2" t="str">
        <f t="shared" si="8"/>
        <v>Great Milton AC</v>
      </c>
      <c r="G276"/>
    </row>
    <row r="277" spans="1:7" ht="15" customHeight="1" thickBot="1">
      <c r="A277" s="451"/>
      <c r="B277" s="347"/>
      <c r="C277" s="348"/>
      <c r="D277" s="79" t="s">
        <v>145</v>
      </c>
      <c r="E277" s="262" t="s">
        <v>15</v>
      </c>
      <c r="F277" s="274" t="str">
        <f t="shared" si="8"/>
        <v>Great Milton AC</v>
      </c>
      <c r="G277" s="276"/>
    </row>
    <row r="278" spans="1:7" ht="15" customHeight="1">
      <c r="A278" s="451"/>
      <c r="B278" s="343"/>
      <c r="C278" s="344"/>
      <c r="D278" s="78" t="s">
        <v>145</v>
      </c>
      <c r="E278" s="263" t="s">
        <v>14</v>
      </c>
      <c r="F278" s="272" t="str">
        <f t="shared" si="8"/>
        <v>Great Milton AC</v>
      </c>
      <c r="G278" s="276"/>
    </row>
    <row r="279" spans="1:7" ht="15" customHeight="1">
      <c r="A279" s="451"/>
      <c r="B279" s="345"/>
      <c r="C279" s="346"/>
      <c r="D279" s="59" t="s">
        <v>145</v>
      </c>
      <c r="E279" s="261" t="s">
        <v>14</v>
      </c>
      <c r="F279" s="2" t="str">
        <f t="shared" si="8"/>
        <v>Great Milton AC</v>
      </c>
      <c r="G279"/>
    </row>
    <row r="280" spans="1:7" ht="15" customHeight="1">
      <c r="A280" s="451"/>
      <c r="B280" s="343"/>
      <c r="C280" s="346"/>
      <c r="D280" s="59" t="s">
        <v>145</v>
      </c>
      <c r="E280" s="261" t="s">
        <v>14</v>
      </c>
      <c r="F280" s="2" t="str">
        <f t="shared" si="8"/>
        <v>Great Milton AC</v>
      </c>
      <c r="G280"/>
    </row>
    <row r="281" spans="1:7" ht="15" customHeight="1">
      <c r="A281" s="451"/>
      <c r="B281" s="345"/>
      <c r="C281" s="346"/>
      <c r="D281" s="59" t="s">
        <v>145</v>
      </c>
      <c r="E281" s="261" t="s">
        <v>14</v>
      </c>
      <c r="F281" s="2" t="str">
        <f t="shared" si="8"/>
        <v>Great Milton AC</v>
      </c>
      <c r="G281"/>
    </row>
    <row r="282" spans="1:7" ht="15" customHeight="1">
      <c r="A282" s="451"/>
      <c r="B282" s="343"/>
      <c r="C282" s="346"/>
      <c r="D282" s="59" t="s">
        <v>145</v>
      </c>
      <c r="E282" s="261" t="s">
        <v>14</v>
      </c>
      <c r="F282" s="2" t="str">
        <f t="shared" si="8"/>
        <v>Great Milton AC</v>
      </c>
      <c r="G282"/>
    </row>
    <row r="283" spans="1:7" ht="15" customHeight="1">
      <c r="A283" s="451"/>
      <c r="B283" s="345"/>
      <c r="C283" s="346"/>
      <c r="D283" s="59" t="s">
        <v>145</v>
      </c>
      <c r="E283" s="261" t="s">
        <v>14</v>
      </c>
      <c r="F283" s="2" t="str">
        <f t="shared" si="8"/>
        <v>Great Milton AC</v>
      </c>
      <c r="G283"/>
    </row>
    <row r="284" spans="1:7" ht="15" customHeight="1">
      <c r="A284" s="451"/>
      <c r="B284" s="343"/>
      <c r="C284" s="346"/>
      <c r="D284" s="59" t="s">
        <v>145</v>
      </c>
      <c r="E284" s="261" t="s">
        <v>14</v>
      </c>
      <c r="F284" s="2" t="str">
        <f t="shared" si="8"/>
        <v>Great Milton AC</v>
      </c>
      <c r="G284"/>
    </row>
    <row r="285" spans="1:7" ht="15" customHeight="1">
      <c r="A285" s="451"/>
      <c r="B285" s="345"/>
      <c r="C285" s="346"/>
      <c r="D285" s="59" t="s">
        <v>145</v>
      </c>
      <c r="E285" s="261" t="s">
        <v>14</v>
      </c>
      <c r="F285" s="2" t="str">
        <f t="shared" si="8"/>
        <v>Great Milton AC</v>
      </c>
      <c r="G285"/>
    </row>
    <row r="286" spans="1:7" ht="15" customHeight="1">
      <c r="A286" s="451"/>
      <c r="B286" s="343"/>
      <c r="C286" s="346"/>
      <c r="D286" s="59" t="s">
        <v>145</v>
      </c>
      <c r="E286" s="261" t="s">
        <v>14</v>
      </c>
      <c r="F286" s="2" t="str">
        <f t="shared" si="8"/>
        <v>Great Milton AC</v>
      </c>
      <c r="G286"/>
    </row>
    <row r="287" spans="1:7" ht="15" customHeight="1">
      <c r="A287" s="451"/>
      <c r="B287" s="345"/>
      <c r="C287" s="346"/>
      <c r="D287" s="59" t="s">
        <v>145</v>
      </c>
      <c r="E287" s="261" t="s">
        <v>14</v>
      </c>
      <c r="F287" s="2" t="str">
        <f t="shared" si="8"/>
        <v>Great Milton AC</v>
      </c>
      <c r="G287"/>
    </row>
    <row r="288" spans="1:7" ht="15" customHeight="1">
      <c r="A288" s="451"/>
      <c r="B288" s="343"/>
      <c r="C288" s="346"/>
      <c r="D288" s="59" t="s">
        <v>145</v>
      </c>
      <c r="E288" s="261" t="s">
        <v>14</v>
      </c>
      <c r="F288" s="2" t="str">
        <f t="shared" si="8"/>
        <v>Great Milton AC</v>
      </c>
      <c r="G288"/>
    </row>
    <row r="289" spans="1:6" customFormat="1" ht="15" customHeight="1">
      <c r="A289" s="451"/>
      <c r="B289" s="345"/>
      <c r="C289" s="346"/>
      <c r="D289" s="59" t="s">
        <v>145</v>
      </c>
      <c r="E289" s="261" t="s">
        <v>14</v>
      </c>
      <c r="F289" s="2" t="str">
        <f t="shared" si="8"/>
        <v>Great Milton AC</v>
      </c>
    </row>
    <row r="290" spans="1:6" customFormat="1" ht="15" customHeight="1">
      <c r="A290" s="451"/>
      <c r="B290" s="343"/>
      <c r="C290" s="346"/>
      <c r="D290" s="59" t="s">
        <v>145</v>
      </c>
      <c r="E290" s="261" t="s">
        <v>14</v>
      </c>
      <c r="F290" s="2" t="str">
        <f t="shared" si="8"/>
        <v>Great Milton AC</v>
      </c>
    </row>
    <row r="291" spans="1:6" customFormat="1" ht="15" customHeight="1">
      <c r="A291" s="451"/>
      <c r="B291" s="345"/>
      <c r="C291" s="346"/>
      <c r="D291" s="59" t="s">
        <v>145</v>
      </c>
      <c r="E291" s="261" t="s">
        <v>14</v>
      </c>
      <c r="F291" s="2" t="str">
        <f t="shared" si="8"/>
        <v>Great Milton AC</v>
      </c>
    </row>
    <row r="292" spans="1:6" customFormat="1" ht="15" customHeight="1">
      <c r="A292" s="451"/>
      <c r="B292" s="343"/>
      <c r="C292" s="346"/>
      <c r="D292" s="59" t="s">
        <v>145</v>
      </c>
      <c r="E292" s="261" t="s">
        <v>14</v>
      </c>
      <c r="F292" s="2" t="str">
        <f t="shared" si="8"/>
        <v>Great Milton AC</v>
      </c>
    </row>
    <row r="293" spans="1:6" customFormat="1" ht="15" customHeight="1" thickBot="1">
      <c r="A293" s="452"/>
      <c r="B293" s="347"/>
      <c r="C293" s="348"/>
      <c r="D293" s="79" t="s">
        <v>145</v>
      </c>
      <c r="E293" s="262" t="s">
        <v>14</v>
      </c>
      <c r="F293" s="274" t="str">
        <f t="shared" si="8"/>
        <v>Great Milton AC</v>
      </c>
    </row>
    <row r="294" spans="1:6" customFormat="1">
      <c r="A294" s="16"/>
      <c r="B294" s="277"/>
      <c r="C294" s="1"/>
      <c r="D294" s="1"/>
      <c r="E294" s="277"/>
      <c r="F294" s="277"/>
    </row>
    <row r="295" spans="1:6" customFormat="1">
      <c r="A295" s="16"/>
      <c r="B295" s="277"/>
      <c r="C295" s="1"/>
      <c r="D295" s="1"/>
      <c r="E295" s="277"/>
      <c r="F295" s="277"/>
    </row>
    <row r="296" spans="1:6" customFormat="1">
      <c r="A296" s="16"/>
      <c r="B296" s="277"/>
      <c r="C296" s="1"/>
      <c r="D296" s="1"/>
      <c r="E296" s="277"/>
      <c r="F296" s="277"/>
    </row>
    <row r="297" spans="1:6" customFormat="1">
      <c r="A297" s="16"/>
      <c r="B297" s="277"/>
      <c r="C297" s="1"/>
      <c r="D297" s="1"/>
      <c r="E297" s="277"/>
      <c r="F297" s="277"/>
    </row>
    <row r="298" spans="1:6" customFormat="1">
      <c r="A298" s="16"/>
      <c r="B298" s="277"/>
      <c r="C298" s="1"/>
      <c r="D298" s="1"/>
      <c r="E298" s="277"/>
      <c r="F298" s="277"/>
    </row>
    <row r="299" spans="1:6" customFormat="1">
      <c r="A299" s="16"/>
      <c r="B299" s="277"/>
      <c r="C299" s="1"/>
      <c r="D299" s="1"/>
      <c r="E299" s="277"/>
      <c r="F299" s="277"/>
    </row>
    <row r="300" spans="1:6" customFormat="1">
      <c r="A300" s="16"/>
      <c r="B300" s="277"/>
      <c r="C300" s="1"/>
      <c r="D300" s="1"/>
      <c r="E300" s="277"/>
      <c r="F300" s="277"/>
    </row>
    <row r="301" spans="1:6" customFormat="1">
      <c r="A301" s="16"/>
      <c r="B301" s="277"/>
      <c r="C301" s="1"/>
      <c r="D301" s="1"/>
      <c r="E301" s="277"/>
      <c r="F301" s="277"/>
    </row>
    <row r="302" spans="1:6" customFormat="1">
      <c r="A302" s="16"/>
      <c r="B302" s="277"/>
      <c r="C302" s="1"/>
      <c r="D302" s="1"/>
      <c r="E302" s="277"/>
      <c r="F302" s="277"/>
    </row>
    <row r="303" spans="1:6" customFormat="1">
      <c r="A303" s="16"/>
      <c r="B303" s="277"/>
      <c r="C303" s="1"/>
      <c r="D303" s="1"/>
      <c r="E303" s="277"/>
      <c r="F303" s="277"/>
    </row>
    <row r="304" spans="1:6" customFormat="1">
      <c r="A304" s="16"/>
      <c r="B304" s="277"/>
      <c r="C304" s="1"/>
      <c r="D304" s="1"/>
      <c r="E304" s="277"/>
      <c r="F304" s="277"/>
    </row>
    <row r="305" spans="1:6" customFormat="1">
      <c r="A305" s="16"/>
      <c r="B305" s="277"/>
      <c r="C305" s="1"/>
      <c r="D305" s="1"/>
      <c r="E305" s="277"/>
      <c r="F305" s="277"/>
    </row>
    <row r="306" spans="1:6" customFormat="1">
      <c r="A306" s="16"/>
      <c r="B306" s="277"/>
      <c r="C306" s="1"/>
      <c r="D306" s="1"/>
      <c r="E306" s="277"/>
      <c r="F306" s="277"/>
    </row>
    <row r="307" spans="1:6" customFormat="1">
      <c r="A307" s="16"/>
      <c r="B307" s="277"/>
      <c r="C307" s="1"/>
      <c r="D307" s="1"/>
      <c r="E307" s="277"/>
      <c r="F307" s="277"/>
    </row>
    <row r="308" spans="1:6" customFormat="1">
      <c r="A308" s="16"/>
      <c r="B308" s="277"/>
      <c r="C308" s="1"/>
      <c r="D308" s="1"/>
      <c r="E308" s="277"/>
      <c r="F308" s="277"/>
    </row>
    <row r="309" spans="1:6" customFormat="1">
      <c r="A309" s="16"/>
      <c r="B309" s="277"/>
      <c r="C309" s="1"/>
      <c r="D309" s="1"/>
      <c r="E309" s="277"/>
      <c r="F309" s="277"/>
    </row>
    <row r="310" spans="1:6" customFormat="1">
      <c r="A310" s="16"/>
      <c r="B310" s="277"/>
      <c r="C310" s="1"/>
      <c r="D310" s="1"/>
      <c r="E310" s="277"/>
      <c r="F310" s="277"/>
    </row>
    <row r="311" spans="1:6" customFormat="1">
      <c r="A311" s="16"/>
      <c r="B311" s="277"/>
      <c r="C311" s="1"/>
      <c r="D311" s="1"/>
      <c r="E311" s="277"/>
      <c r="F311" s="277"/>
    </row>
    <row r="312" spans="1:6" customFormat="1">
      <c r="A312" s="16"/>
      <c r="B312" s="277"/>
      <c r="C312" s="1"/>
      <c r="D312" s="1"/>
      <c r="E312" s="277"/>
      <c r="F312" s="277"/>
    </row>
    <row r="313" spans="1:6" customFormat="1">
      <c r="A313" s="16"/>
      <c r="B313" s="277"/>
      <c r="C313" s="1"/>
      <c r="D313" s="1"/>
      <c r="E313" s="277"/>
      <c r="F313" s="277"/>
    </row>
    <row r="314" spans="1:6" customFormat="1">
      <c r="A314" s="16"/>
      <c r="B314" s="277"/>
      <c r="C314" s="1"/>
      <c r="D314" s="1"/>
      <c r="E314" s="277"/>
      <c r="F314" s="277"/>
    </row>
    <row r="315" spans="1:6" customFormat="1">
      <c r="A315" s="16"/>
      <c r="B315" s="277"/>
      <c r="C315" s="1"/>
      <c r="D315" s="1"/>
      <c r="E315" s="277"/>
      <c r="F315" s="277"/>
    </row>
    <row r="316" spans="1:6" customFormat="1">
      <c r="A316" s="16"/>
      <c r="B316" s="277"/>
      <c r="C316" s="1"/>
      <c r="D316" s="1"/>
      <c r="E316" s="277"/>
      <c r="F316" s="277"/>
    </row>
    <row r="317" spans="1:6" customFormat="1">
      <c r="A317" s="16"/>
      <c r="B317" s="277"/>
      <c r="C317" s="1"/>
      <c r="D317" s="1"/>
      <c r="E317" s="277"/>
      <c r="F317" s="277"/>
    </row>
    <row r="318" spans="1:6" customFormat="1">
      <c r="A318" s="16"/>
      <c r="B318" s="277"/>
      <c r="C318" s="1"/>
      <c r="D318" s="1"/>
      <c r="E318" s="277"/>
      <c r="F318" s="277"/>
    </row>
    <row r="319" spans="1:6" customFormat="1">
      <c r="A319" s="16"/>
      <c r="B319" s="277"/>
      <c r="C319" s="1"/>
      <c r="D319" s="1"/>
      <c r="E319" s="277"/>
      <c r="F319" s="277"/>
    </row>
    <row r="320" spans="1:6" customFormat="1">
      <c r="A320" s="16"/>
      <c r="B320" s="277"/>
      <c r="C320" s="1"/>
      <c r="D320" s="1"/>
      <c r="E320" s="277"/>
      <c r="F320" s="277"/>
    </row>
    <row r="321" spans="1:6" customFormat="1">
      <c r="A321" s="16"/>
      <c r="B321" s="277"/>
      <c r="C321" s="1"/>
      <c r="D321" s="1"/>
      <c r="E321" s="277"/>
      <c r="F321" s="277"/>
    </row>
    <row r="322" spans="1:6" customFormat="1">
      <c r="A322" s="16"/>
      <c r="B322" s="277"/>
      <c r="C322" s="1"/>
      <c r="D322" s="1"/>
      <c r="E322" s="277"/>
      <c r="F322" s="277"/>
    </row>
    <row r="323" spans="1:6" customFormat="1">
      <c r="A323" s="16"/>
      <c r="B323" s="277"/>
      <c r="C323" s="1"/>
      <c r="D323" s="1"/>
      <c r="E323" s="277"/>
      <c r="F323" s="277"/>
    </row>
    <row r="324" spans="1:6" customFormat="1">
      <c r="A324" s="16"/>
      <c r="B324" s="277"/>
      <c r="C324" s="1"/>
      <c r="D324" s="1"/>
      <c r="E324" s="277"/>
      <c r="F324" s="277"/>
    </row>
    <row r="325" spans="1:6" customFormat="1">
      <c r="A325" s="16"/>
      <c r="B325" s="277"/>
      <c r="C325" s="1"/>
      <c r="D325" s="1"/>
      <c r="E325" s="277"/>
      <c r="F325" s="277"/>
    </row>
    <row r="326" spans="1:6" customFormat="1">
      <c r="A326" s="16"/>
      <c r="B326" s="277"/>
      <c r="C326" s="1"/>
      <c r="D326" s="1"/>
      <c r="E326" s="277"/>
      <c r="F326" s="277"/>
    </row>
    <row r="327" spans="1:6" customFormat="1">
      <c r="A327" s="16"/>
      <c r="B327" s="277"/>
      <c r="C327" s="1"/>
      <c r="D327" s="1"/>
      <c r="E327" s="277"/>
      <c r="F327" s="277"/>
    </row>
    <row r="328" spans="1:6" customFormat="1">
      <c r="A328" s="16"/>
      <c r="B328" s="277"/>
      <c r="C328" s="1"/>
      <c r="D328" s="1"/>
      <c r="E328" s="277"/>
      <c r="F328" s="277"/>
    </row>
    <row r="329" spans="1:6" customFormat="1">
      <c r="A329" s="16"/>
      <c r="B329" s="277"/>
      <c r="C329" s="1"/>
      <c r="D329" s="1"/>
      <c r="E329" s="277"/>
      <c r="F329" s="277"/>
    </row>
    <row r="330" spans="1:6" customFormat="1">
      <c r="A330" s="16"/>
      <c r="B330" s="277"/>
      <c r="C330" s="1"/>
      <c r="D330" s="1"/>
      <c r="E330" s="277"/>
      <c r="F330" s="277"/>
    </row>
    <row r="331" spans="1:6" customFormat="1">
      <c r="A331" s="16"/>
      <c r="B331" s="277"/>
      <c r="C331" s="1"/>
      <c r="D331" s="1"/>
      <c r="E331" s="277"/>
      <c r="F331" s="277"/>
    </row>
    <row r="332" spans="1:6" customFormat="1">
      <c r="A332" s="16"/>
      <c r="B332" s="277"/>
      <c r="C332" s="1"/>
      <c r="D332" s="1"/>
      <c r="E332" s="277"/>
      <c r="F332" s="277"/>
    </row>
    <row r="333" spans="1:6" customFormat="1">
      <c r="A333" s="16"/>
      <c r="B333" s="277"/>
      <c r="C333" s="1"/>
      <c r="D333" s="1"/>
      <c r="E333" s="277"/>
      <c r="F333" s="277"/>
    </row>
    <row r="334" spans="1:6" customFormat="1">
      <c r="A334" s="16"/>
      <c r="B334" s="277"/>
      <c r="C334" s="1"/>
      <c r="D334" s="1"/>
      <c r="E334" s="277"/>
      <c r="F334" s="277"/>
    </row>
    <row r="335" spans="1:6" customFormat="1">
      <c r="A335" s="16"/>
      <c r="B335" s="277"/>
      <c r="C335" s="1"/>
      <c r="D335" s="1"/>
      <c r="E335" s="277"/>
      <c r="F335" s="277"/>
    </row>
    <row r="336" spans="1:6" customFormat="1">
      <c r="A336" s="16"/>
      <c r="B336" s="277"/>
      <c r="C336" s="1"/>
      <c r="D336" s="1"/>
      <c r="E336" s="277"/>
      <c r="F336" s="277"/>
    </row>
  </sheetData>
  <sheetProtection sheet="1" objects="1" scenarios="1"/>
  <mergeCells count="14">
    <mergeCell ref="A1:F1"/>
    <mergeCell ref="A2:F2"/>
    <mergeCell ref="H7:K12"/>
    <mergeCell ref="A230:A261"/>
    <mergeCell ref="A262:A293"/>
    <mergeCell ref="A70:A101"/>
    <mergeCell ref="A102:A133"/>
    <mergeCell ref="A134:A165"/>
    <mergeCell ref="A166:A197"/>
    <mergeCell ref="A198:A229"/>
    <mergeCell ref="A38:A69"/>
    <mergeCell ref="E4:F4"/>
    <mergeCell ref="B4:D4"/>
    <mergeCell ref="A6:A37"/>
  </mergeCells>
  <phoneticPr fontId="5" type="noConversion"/>
  <conditionalFormatting sqref="B6:B293">
    <cfRule type="duplicateValues" dxfId="37" priority="43"/>
  </conditionalFormatting>
  <conditionalFormatting sqref="E6:E293">
    <cfRule type="containsText" dxfId="36" priority="1" stopIfTrue="1" operator="containsText" text="BOYS">
      <formula>NOT(ISERROR(SEARCH("BOYS",E6)))</formula>
    </cfRule>
    <cfRule type="containsText" dxfId="35" priority="2" stopIfTrue="1" operator="containsText" text="GIRLS">
      <formula>NOT(ISERROR(SEARCH("GIRLS",E6)))</formula>
    </cfRule>
  </conditionalFormatting>
  <dataValidations count="3">
    <dataValidation type="list" allowBlank="1" showInputMessage="1" showErrorMessage="1" sqref="D6:D293" xr:uid="{414ED40C-971F-9744-A861-8CA7951DCA9A}">
      <formula1>"U12,U10"</formula1>
    </dataValidation>
    <dataValidation type="list" allowBlank="1" showInputMessage="1" showErrorMessage="1" sqref="E6:E293" xr:uid="{F13ADCBF-A7EC-6148-870F-DFF2B0E09E35}">
      <formula1>"GIRLS, BOYS"</formula1>
    </dataValidation>
    <dataValidation type="list" allowBlank="1" showInputMessage="1" showErrorMessage="1" sqref="E6:E293" xr:uid="{0190AEB2-76C1-3342-9538-0B213C9E4A75}">
      <formula1>"Girls, Boys"</formula1>
    </dataValidation>
  </dataValidations>
  <pageMargins left="0.75" right="0.75" top="1" bottom="1" header="0.5" footer="0.5"/>
  <pageSetup paperSize="9" scale="66" fitToHeight="6" orientation="portrait" r:id="rId1"/>
  <headerFooter alignWithMargins="0"/>
  <rowBreaks count="4" manualBreakCount="4">
    <brk id="37" max="5" man="1"/>
    <brk id="101" max="5" man="1"/>
    <brk id="165" max="5" man="1"/>
    <brk id="229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CD3F4-1B5B-CE41-A0DC-87DE99CFC523}">
  <sheetPr codeName="Sheet1">
    <tabColor theme="0" tint="-0.249977111117893"/>
    <pageSetUpPr fitToPage="1"/>
  </sheetPr>
  <dimension ref="A2:J31"/>
  <sheetViews>
    <sheetView zoomScale="120" zoomScaleNormal="120" workbookViewId="0">
      <selection activeCell="G8" sqref="G8"/>
    </sheetView>
  </sheetViews>
  <sheetFormatPr baseColWidth="10" defaultColWidth="10.83203125" defaultRowHeight="13"/>
  <cols>
    <col min="1" max="1" width="18.83203125" customWidth="1"/>
    <col min="2" max="2" width="8.6640625" customWidth="1"/>
    <col min="3" max="3" width="7" customWidth="1"/>
    <col min="4" max="4" width="17.5" customWidth="1"/>
    <col min="5" max="5" width="13.33203125" bestFit="1" customWidth="1"/>
    <col min="6" max="6" width="9.1640625" customWidth="1"/>
    <col min="7" max="7" width="18.83203125" customWidth="1"/>
    <col min="9" max="9" width="72.6640625" customWidth="1"/>
    <col min="10" max="10" width="18" customWidth="1"/>
  </cols>
  <sheetData>
    <row r="2" spans="1:10">
      <c r="A2" s="65" t="s">
        <v>19</v>
      </c>
      <c r="B2" s="65"/>
      <c r="C2" s="65"/>
      <c r="D2" s="65" t="s">
        <v>61</v>
      </c>
      <c r="E2" s="65" t="s">
        <v>62</v>
      </c>
      <c r="J2" s="1"/>
    </row>
    <row r="3" spans="1:10">
      <c r="A3" s="64" t="str">
        <f>'Read Me First'!C11</f>
        <v>Abingdon AC</v>
      </c>
      <c r="B3" s="476" cm="1">
        <f t="array" ref="B3">SUM(_xlfn._xlws.FILTER(D$3:D$20,A$3:A$20=A3))</f>
        <v>0</v>
      </c>
      <c r="C3" s="17" t="s">
        <v>59</v>
      </c>
      <c r="D3" s="64" cm="1">
        <f t="array" ref="D3">IFERROR(ROWS(_xlfn._xlws.FILTER(Declarations!C$6:C$37,(Declarations!E$6:E$37=C3)*(Declarations!C$6:C$37&lt;&gt;""))), 0)</f>
        <v>0</v>
      </c>
      <c r="E3" s="74"/>
      <c r="F3" s="75" t="str" cm="1">
        <f t="array" ref="F3">IFERROR(_xlfn.TEXTJOIN(",",TRUE,_xlfn._xlws.FILTER(Declarations!$B$6:$B$301,(Declarations!$F$6:$F$301&amp;Declarations!$E$6:$E$301=A3&amp;C3)*(NOT(ISBLANK(Declarations!$C$6:$C$301))))), "")</f>
        <v/>
      </c>
      <c r="G3" s="17" t="s">
        <v>68</v>
      </c>
      <c r="H3" s="17" t="s">
        <v>16</v>
      </c>
      <c r="I3" s="17" t="s">
        <v>69</v>
      </c>
    </row>
    <row r="4" spans="1:10">
      <c r="A4" s="64" t="str">
        <f>'Read Me First'!C11</f>
        <v>Abingdon AC</v>
      </c>
      <c r="B4" s="477"/>
      <c r="C4" s="17" t="s">
        <v>60</v>
      </c>
      <c r="D4" s="64" cm="1">
        <f t="array" ref="D4">IFERROR(ROWS(_xlfn._xlws.FILTER(Declarations!C$6:C$37,(Declarations!E$6:E$37=C4)*(Declarations!C$6:C$37&lt;&gt;""))), 0)</f>
        <v>0</v>
      </c>
      <c r="E4" s="74"/>
      <c r="F4" s="75" t="str" cm="1">
        <f t="array" ref="F4">IFERROR(_xlfn.TEXTJOIN(",",TRUE,_xlfn._xlws.FILTER(Declarations!$B$6:$B$301,(Declarations!$F$6:$F$301&amp;Declarations!$E$6:$E$301=A4&amp;C4)*(NOT(ISBLANK(Declarations!$C$6:$C$301))))), "")</f>
        <v/>
      </c>
      <c r="G4" s="353"/>
      <c r="H4" s="354"/>
      <c r="I4" s="355"/>
    </row>
    <row r="5" spans="1:10">
      <c r="A5" s="64" t="str">
        <f>'Read Me First'!C12</f>
        <v>Banbury Harriers AC</v>
      </c>
      <c r="B5" s="476" cm="1">
        <f t="array" ref="B5">SUM(_xlfn._xlws.FILTER(D$3:D$20,A$3:A$20=A5))</f>
        <v>0</v>
      </c>
      <c r="C5" s="17" t="s">
        <v>59</v>
      </c>
      <c r="D5" s="64" cm="1">
        <f t="array" ref="D5">IFERROR(ROWS(_xlfn._xlws.FILTER(Declarations!C$38:C$69,(Declarations!E$38:E$69=C5)*(Declarations!C$38:C$69&lt;&gt;""))), 0)</f>
        <v>0</v>
      </c>
      <c r="E5" s="74"/>
      <c r="F5" s="75" t="str" cm="1">
        <f t="array" ref="F5">IFERROR(_xlfn.TEXTJOIN(",",TRUE,_xlfn._xlws.FILTER(Declarations!$B$6:$B$301,(Declarations!$F$6:$F$301&amp;Declarations!$E$6:$E$301=A5&amp;C5)*(NOT(ISBLANK(Declarations!$C$6:$C$301))))), "")</f>
        <v/>
      </c>
      <c r="G5" s="17" t="s">
        <v>205</v>
      </c>
      <c r="H5" s="64" cm="1">
        <f t="array" ref="H5">IFERROR(SUM(_xlfn._xlws.FILTER(D$3:D$20,E$3:E$20=G5)),0)</f>
        <v>0</v>
      </c>
      <c r="I5" s="64" t="str" cm="1">
        <f t="array" ref="I5">IFERROR(_xlfn.TEXTJOIN(", ",TRUE,_xlfn._xlws.FILTER($A$3:$A$20&amp;" "&amp;$C$3:$C$20,$E$3:$E$20=$G5)),"")</f>
        <v/>
      </c>
    </row>
    <row r="6" spans="1:10">
      <c r="A6" s="64" t="str">
        <f>'Read Me First'!C12</f>
        <v>Banbury Harriers AC</v>
      </c>
      <c r="B6" s="477"/>
      <c r="C6" s="17" t="s">
        <v>60</v>
      </c>
      <c r="D6" s="64" cm="1">
        <f t="array" ref="D6">IFERROR(ROWS(_xlfn._xlws.FILTER(Declarations!C$38:C$69,(Declarations!E$38:E$69=C6)*(Declarations!C$38:C$69&lt;&gt;""))), 0)</f>
        <v>0</v>
      </c>
      <c r="E6" s="74"/>
      <c r="F6" s="75" t="str" cm="1">
        <f t="array" ref="F6">IFERROR(_xlfn.TEXTJOIN(",",TRUE,_xlfn._xlws.FILTER(Declarations!$B$6:$B$301,(Declarations!$F$6:$F$301&amp;Declarations!$E$6:$E$301=A6&amp;C6)*(NOT(ISBLANK(Declarations!$C$6:$C$301))))), "")</f>
        <v/>
      </c>
      <c r="G6" s="356"/>
      <c r="H6" s="52"/>
      <c r="I6" s="357"/>
    </row>
    <row r="7" spans="1:10">
      <c r="A7" s="64" t="str">
        <f>'Read Me First'!C13</f>
        <v>Bicester AC</v>
      </c>
      <c r="B7" s="476" cm="1">
        <f t="array" ref="B7">SUM(_xlfn._xlws.FILTER(D$3:D$20,A$3:A$20=A7))</f>
        <v>0</v>
      </c>
      <c r="C7" s="17" t="s">
        <v>59</v>
      </c>
      <c r="D7" s="64" cm="1">
        <f t="array" ref="D7">IFERROR(ROWS(_xlfn._xlws.FILTER(Declarations!C$70:C$101,(Declarations!E$70:E$101=C7)*(Declarations!C$70:C$101&lt;&gt;""))), 0)</f>
        <v>0</v>
      </c>
      <c r="E7" s="74" t="s">
        <v>186</v>
      </c>
      <c r="F7" s="75" t="str" cm="1">
        <f t="array" ref="F7">IFERROR(_xlfn.TEXTJOIN(",",TRUE,_xlfn._xlws.FILTER(Declarations!$B$6:$B$301,(Declarations!$F$6:$F$301&amp;Declarations!$E$6:$E$301=A7&amp;C7)*(NOT(ISBLANK(Declarations!$C$6:$C$301))))), "")</f>
        <v/>
      </c>
      <c r="G7" s="17" t="s">
        <v>206</v>
      </c>
      <c r="H7" s="64" cm="1">
        <f t="array" ref="H7">IFERROR(SUM(_xlfn._xlws.FILTER(D$3:D$20,E$3:E$20=G7)),0)</f>
        <v>0</v>
      </c>
      <c r="I7" s="64" t="str" cm="1">
        <f t="array" ref="I7">IFERROR(_xlfn.TEXTJOIN(", ",TRUE,_xlfn._xlws.FILTER($A$3:$A$20&amp;" "&amp;$C$3:$C$20,$E$3:$E$20=$G7)),"")</f>
        <v/>
      </c>
    </row>
    <row r="8" spans="1:10">
      <c r="A8" s="64" t="str">
        <f>'Read Me First'!C13</f>
        <v>Bicester AC</v>
      </c>
      <c r="B8" s="477"/>
      <c r="C8" s="17" t="s">
        <v>60</v>
      </c>
      <c r="D8" s="64" cm="1">
        <f t="array" ref="D8">IFERROR(ROWS(_xlfn._xlws.FILTER(Declarations!C$70:C$101,(Declarations!E$70:E$101=C8)*(Declarations!C$70:C$101&lt;&gt;""))), 0)</f>
        <v>0</v>
      </c>
      <c r="E8" s="74" t="s">
        <v>186</v>
      </c>
      <c r="F8" s="75" t="str" cm="1">
        <f t="array" ref="F8">IFERROR(_xlfn.TEXTJOIN(",",TRUE,_xlfn._xlws.FILTER(Declarations!$B$6:$B$301,(Declarations!$F$6:$F$301&amp;Declarations!$E$6:$E$301=A8&amp;C8)*(NOT(ISBLANK(Declarations!$C$6:$C$301))))), "")</f>
        <v/>
      </c>
      <c r="G8" s="17" t="s">
        <v>207</v>
      </c>
      <c r="H8" s="64" cm="1">
        <f t="array" ref="H8">IFERROR(SUM(_xlfn._xlws.FILTER(D$3:D$20,E$3:E$20=G8)),0)</f>
        <v>0</v>
      </c>
      <c r="I8" s="64" t="str" cm="1">
        <f t="array" ref="I8">IFERROR(_xlfn.TEXTJOIN(", ",TRUE,_xlfn._xlws.FILTER($A$3:$A$20&amp;" "&amp;$C$3:$C$20,$E$3:$E$20=$G8)),"")</f>
        <v/>
      </c>
    </row>
    <row r="9" spans="1:10">
      <c r="A9" s="64" t="str">
        <f>'Read Me First'!C14</f>
        <v>Oxford City AC</v>
      </c>
      <c r="B9" s="476" cm="1">
        <f t="array" ref="B9">SUM(_xlfn._xlws.FILTER(D$3:D$20,A$3:A$20=A9))</f>
        <v>0</v>
      </c>
      <c r="C9" s="17" t="s">
        <v>59</v>
      </c>
      <c r="D9" s="64" cm="1">
        <f t="array" ref="D9">IFERROR(ROWS(_xlfn._xlws.FILTER(Declarations!C$102:C$133,(Declarations!E$102:E$133=C9)*(Declarations!C$102:C$133&lt;&gt;""))), 0)</f>
        <v>0</v>
      </c>
      <c r="E9" s="74"/>
      <c r="F9" s="75" t="str" cm="1">
        <f t="array" ref="F9">IFERROR(_xlfn.TEXTJOIN(",",TRUE,_xlfn._xlws.FILTER(Declarations!$B$6:$B$301,(Declarations!$F$6:$F$301&amp;Declarations!$E$6:$E$301=A9&amp;C9)*(NOT(ISBLANK(Declarations!$C$6:$C$301))))), "")</f>
        <v/>
      </c>
      <c r="G9" s="17" t="s">
        <v>64</v>
      </c>
      <c r="H9" s="64" cm="1">
        <f t="array" ref="H9">IFERROR(SUM(_xlfn._xlws.FILTER(D$3:D$20,E$3:E$20=G9)),0)</f>
        <v>0</v>
      </c>
      <c r="I9" s="64" t="str" cm="1">
        <f t="array" ref="I9">IFERROR(_xlfn.TEXTJOIN(", ",TRUE,_xlfn._xlws.FILTER($A$3:$A$20&amp;" "&amp;$C$3:$C$20,$E$3:$E$20=$G9)),"")</f>
        <v/>
      </c>
    </row>
    <row r="10" spans="1:10">
      <c r="A10" s="64" t="str">
        <f>'Read Me First'!C14</f>
        <v>Oxford City AC</v>
      </c>
      <c r="B10" s="477"/>
      <c r="C10" s="17" t="s">
        <v>60</v>
      </c>
      <c r="D10" s="64" cm="1">
        <f t="array" ref="D10">IFERROR(ROWS(_xlfn._xlws.FILTER(Declarations!C$102:C$133,(Declarations!E$102:E$133=C10)*(Declarations!C$102:C$133&lt;&gt;""))), 0)</f>
        <v>0</v>
      </c>
      <c r="E10" s="74"/>
      <c r="F10" s="75" t="str" cm="1">
        <f t="array" ref="F10">IFERROR(_xlfn.TEXTJOIN(",",TRUE,_xlfn._xlws.FILTER(Declarations!$B$6:$B$301,(Declarations!$F$6:$F$301&amp;Declarations!$E$6:$E$301=A10&amp;C10)*(NOT(ISBLANK(Declarations!$C$6:$C$301))))), "")</f>
        <v/>
      </c>
      <c r="G10" s="17" t="s">
        <v>208</v>
      </c>
      <c r="H10" s="64" cm="1">
        <f t="array" ref="H10">IFERROR(SUM(_xlfn._xlws.FILTER(D$3:D$20,E$3:E$20=G10)),0)</f>
        <v>0</v>
      </c>
      <c r="I10" s="64" t="str" cm="1">
        <f t="array" ref="I10">IFERROR(_xlfn.TEXTJOIN(", ",TRUE,_xlfn._xlws.FILTER($A$3:$A$20&amp;" "&amp;$C$3:$C$20,$E$3:$E$20=$G10)),"")</f>
        <v/>
      </c>
    </row>
    <row r="11" spans="1:10">
      <c r="A11" s="64" t="str">
        <f>'Read Me First'!C15</f>
        <v>Radley AC</v>
      </c>
      <c r="B11" s="476" cm="1">
        <f t="array" ref="B11">SUM(_xlfn._xlws.FILTER(D$3:D$20,A$3:A$20=A11))</f>
        <v>0</v>
      </c>
      <c r="C11" s="17" t="s">
        <v>59</v>
      </c>
      <c r="D11" s="64" cm="1">
        <f t="array" ref="D11">IFERROR(ROWS(_xlfn._xlws.FILTER(Declarations!C$134:C$165,(Declarations!E$134:E$165=C11)*(Declarations!C$134:C$165&lt;&gt;""))), 0)</f>
        <v>0</v>
      </c>
      <c r="E11" s="74" t="s">
        <v>185</v>
      </c>
      <c r="F11" s="75" t="str" cm="1">
        <f t="array" ref="F11">IFERROR(_xlfn.TEXTJOIN(",",TRUE,_xlfn._xlws.FILTER(Declarations!$B$6:$B$301,(Declarations!$F$6:$F$301&amp;Declarations!$E$6:$E$301=A11&amp;C11)*(NOT(ISBLANK(Declarations!$C$6:$C$301))))), "")</f>
        <v/>
      </c>
      <c r="G11" s="17" t="s">
        <v>186</v>
      </c>
      <c r="H11" s="64" cm="1">
        <f t="array" ref="H11">IFERROR(SUM(_xlfn._xlws.FILTER(D$3:D$20,E$3:E$20=G11)),0)</f>
        <v>0</v>
      </c>
      <c r="I11" s="64" t="str" cm="1">
        <f t="array" ref="I11">IFERROR(_xlfn.TEXTJOIN(", ",TRUE,_xlfn._xlws.FILTER($A$3:$A$20&amp;" "&amp;$C$3:$C$20,$E$3:$E$20=$G11)),"")</f>
        <v>Bicester AC Girls, Bicester AC Boys</v>
      </c>
    </row>
    <row r="12" spans="1:10">
      <c r="A12" s="64" t="str">
        <f>'Read Me First'!C15</f>
        <v>Radley AC</v>
      </c>
      <c r="B12" s="477"/>
      <c r="C12" s="17" t="s">
        <v>60</v>
      </c>
      <c r="D12" s="64" cm="1">
        <f t="array" ref="D12">IFERROR(ROWS(_xlfn._xlws.FILTER(Declarations!C$134:C$165,(Declarations!E$134:E$165=C12)*(Declarations!C$134:C$165&lt;&gt;""))), 0)</f>
        <v>0</v>
      </c>
      <c r="E12" s="74" t="s">
        <v>185</v>
      </c>
      <c r="F12" s="75" t="str" cm="1">
        <f t="array" ref="F12">IFERROR(_xlfn.TEXTJOIN(",",TRUE,_xlfn._xlws.FILTER(Declarations!$B$6:$B$301,(Declarations!$F$6:$F$301&amp;Declarations!$E$6:$E$301=A12&amp;C12)*(NOT(ISBLANK(Declarations!$C$6:$C$301))))), "")</f>
        <v/>
      </c>
      <c r="G12" s="17" t="s">
        <v>185</v>
      </c>
      <c r="H12" s="64" cm="1">
        <f t="array" ref="H12">IFERROR(SUM(_xlfn._xlws.FILTER(D$3:D$20,E$3:E$20=G12)),0)</f>
        <v>0</v>
      </c>
      <c r="I12" s="64" t="str" cm="1">
        <f t="array" ref="I12">IFERROR(_xlfn.TEXTJOIN(", ",TRUE,_xlfn._xlws.FILTER($A$3:$A$20&amp;" "&amp;$C$3:$C$20,$E$3:$E$20=$G12)),"")</f>
        <v>Radley AC Girls, Radley AC Boys</v>
      </c>
    </row>
    <row r="13" spans="1:10">
      <c r="A13" s="64" t="str">
        <f>'Read Me First'!C16</f>
        <v>Team Kennet</v>
      </c>
      <c r="B13" s="476" cm="1">
        <f t="array" ref="B13">SUM(_xlfn._xlws.FILTER(D$3:D$20,A$3:A$20=A13))</f>
        <v>0</v>
      </c>
      <c r="C13" s="17" t="s">
        <v>59</v>
      </c>
      <c r="D13" s="64" cm="1">
        <f t="array" ref="D13">IFERROR(ROWS(_xlfn._xlws.FILTER(Declarations!C$166:C$197,(Declarations!E$166:E$197=C13)*(Declarations!C$166:C$197&lt;&gt;""))), 0)</f>
        <v>0</v>
      </c>
      <c r="E13" s="74"/>
      <c r="F13" s="75" t="str" cm="1">
        <f t="array" ref="F13">IFERROR(_xlfn.TEXTJOIN(",",TRUE,_xlfn._xlws.FILTER(Declarations!$B$6:$B$301,(Declarations!$F$6:$F$301&amp;Declarations!$E$6:$E$301=A13&amp;C13)*(NOT(ISBLANK(Declarations!$C$6:$C$301))))), "")</f>
        <v/>
      </c>
      <c r="G13" s="17" t="s">
        <v>65</v>
      </c>
      <c r="H13" s="64" cm="1">
        <f t="array" ref="H13">IFERROR(SUM(_xlfn._xlws.FILTER(D$3:D$20,E$3:E$20=G13)),0)</f>
        <v>0</v>
      </c>
      <c r="I13" s="64" t="str" cm="1">
        <f t="array" ref="I13">IFERROR(_xlfn.TEXTJOIN(", ",TRUE,_xlfn._xlws.FILTER($A$3:$A$20&amp;" "&amp;$C$3:$C$20,$E$3:$E$20=$G13)),"")</f>
        <v/>
      </c>
    </row>
    <row r="14" spans="1:10">
      <c r="A14" s="64" t="str">
        <f>'Read Me First'!C16</f>
        <v>Team Kennet</v>
      </c>
      <c r="B14" s="477"/>
      <c r="C14" s="17" t="s">
        <v>60</v>
      </c>
      <c r="D14" s="64" cm="1">
        <f t="array" ref="D14">IFERROR(ROWS(_xlfn._xlws.FILTER(Declarations!C$166:C$197,(Declarations!E$166:E$197=C14)*(Declarations!C$166:C$197&lt;&gt;""))), 0)</f>
        <v>0</v>
      </c>
      <c r="E14" s="74"/>
      <c r="F14" s="75" t="str" cm="1">
        <f t="array" ref="F14">IFERROR(_xlfn.TEXTJOIN(",",TRUE,_xlfn._xlws.FILTER(Declarations!$B$6:$B$301,(Declarations!$F$6:$F$301&amp;Declarations!$E$6:$E$301=A14&amp;C14)*(NOT(ISBLANK(Declarations!$C$6:$C$301))))), "")</f>
        <v/>
      </c>
      <c r="G14" s="17" t="s">
        <v>66</v>
      </c>
      <c r="H14" s="64" cm="1">
        <f t="array" ref="H14">IFERROR(SUM(_xlfn._xlws.FILTER(D$3:D$20,E$3:E$20=G14)),0)</f>
        <v>0</v>
      </c>
      <c r="I14" s="64" t="str" cm="1">
        <f t="array" ref="I14">IFERROR(_xlfn.TEXTJOIN(", ",TRUE,_xlfn._xlws.FILTER($A$3:$A$20&amp;" "&amp;$C$3:$C$20,$E$3:$E$20=$G14)),"")</f>
        <v/>
      </c>
    </row>
    <row r="15" spans="1:10">
      <c r="A15" s="64" t="str">
        <f>'Read Me First'!C17</f>
        <v>White Horse Harriers</v>
      </c>
      <c r="B15" s="476" cm="1">
        <f t="array" ref="B15">SUM(_xlfn._xlws.FILTER(D$3:D$20,A$3:A$20=A15))</f>
        <v>0</v>
      </c>
      <c r="C15" s="17" t="s">
        <v>59</v>
      </c>
      <c r="D15" s="64" cm="1">
        <f t="array" ref="D15">IFERROR(ROWS(_xlfn._xlws.FILTER(Declarations!C$198:C$229,(Declarations!E$198:E$229=C15)*(Declarations!C$198:C$229&lt;&gt;""))), 0)</f>
        <v>0</v>
      </c>
      <c r="E15" s="74"/>
      <c r="F15" s="75" t="str" cm="1">
        <f t="array" ref="F15">IFERROR(_xlfn.TEXTJOIN(",",TRUE,_xlfn._xlws.FILTER(Declarations!$B$6:$B$301,(Declarations!$F$6:$F$301&amp;Declarations!$E$6:$E$301=A15&amp;C15)*(NOT(ISBLANK(Declarations!$C$6:$C$301))))), "")</f>
        <v/>
      </c>
      <c r="G15" s="17" t="s">
        <v>67</v>
      </c>
      <c r="H15" s="64" cm="1">
        <f t="array" ref="H15">IFERROR(SUM(_xlfn._xlws.FILTER(D$3:D$20,E$3:E$20=G15)),0)</f>
        <v>0</v>
      </c>
      <c r="I15" s="64" t="str" cm="1">
        <f t="array" ref="I15">IFERROR(_xlfn.TEXTJOIN(", ",TRUE,_xlfn._xlws.FILTER($A$3:$A$20&amp;" "&amp;$C$3:$C$20,$E$3:$E$20=$G15)),"")</f>
        <v/>
      </c>
    </row>
    <row r="16" spans="1:10">
      <c r="A16" s="64" t="str">
        <f>'Read Me First'!C17</f>
        <v>White Horse Harriers</v>
      </c>
      <c r="B16" s="477"/>
      <c r="C16" s="17" t="s">
        <v>60</v>
      </c>
      <c r="D16" s="64" cm="1">
        <f t="array" ref="D16">IFERROR(ROWS(_xlfn._xlws.FILTER(Declarations!C$198:C$229,(Declarations!E$198:E$229=C16)*(Declarations!C$198:C$229&lt;&gt;""))), 0)</f>
        <v>0</v>
      </c>
      <c r="E16" s="74"/>
      <c r="F16" s="75" t="str" cm="1">
        <f t="array" ref="F16">IFERROR(_xlfn.TEXTJOIN(",",TRUE,_xlfn._xlws.FILTER(Declarations!$B$6:$B$301,(Declarations!$F$6:$F$301&amp;Declarations!$E$6:$E$301=A16&amp;C16)*(NOT(ISBLANK(Declarations!$C$6:$C$301))))), "")</f>
        <v/>
      </c>
    </row>
    <row r="17" spans="1:8">
      <c r="A17" s="64" t="str">
        <f>'Read Me First'!C18</f>
        <v>Witney Road Runners</v>
      </c>
      <c r="B17" s="476" cm="1">
        <f t="array" ref="B17">SUM(_xlfn._xlws.FILTER(D$3:D$20,A$3:A$20=A17))</f>
        <v>0</v>
      </c>
      <c r="C17" s="17" t="s">
        <v>59</v>
      </c>
      <c r="D17" s="64" cm="1">
        <f t="array" ref="D17">IFERROR(ROWS(_xlfn._xlws.FILTER(Declarations!C$230:C$261,(Declarations!E$230:E$261=C17)*(Declarations!C$230:C$261&lt;&gt;""))), 0)</f>
        <v>0</v>
      </c>
      <c r="E17" s="74"/>
      <c r="F17" s="75" t="str" cm="1">
        <f t="array" ref="F17">IFERROR(_xlfn.TEXTJOIN(",",TRUE,_xlfn._xlws.FILTER(Declarations!$B$6:$B$301,(Declarations!$F$6:$F$301&amp;Declarations!$E$6:$E$301=A17&amp;C17)*(NOT(ISBLANK(Declarations!$C$6:$C$301))))), "")</f>
        <v/>
      </c>
      <c r="G17" s="17" t="s">
        <v>63</v>
      </c>
      <c r="H17" s="64">
        <f>SUM(H5:H15)</f>
        <v>0</v>
      </c>
    </row>
    <row r="18" spans="1:8">
      <c r="A18" s="64" t="str">
        <f>'Read Me First'!C18</f>
        <v>Witney Road Runners</v>
      </c>
      <c r="B18" s="477"/>
      <c r="C18" s="17" t="s">
        <v>60</v>
      </c>
      <c r="D18" s="64" cm="1">
        <f t="array" ref="D18">IFERROR(ROWS(_xlfn._xlws.FILTER(Declarations!C$230:C$261,(Declarations!E$230:E$261=C18)*(Declarations!C$230:C$261&lt;&gt;""))), 0)</f>
        <v>0</v>
      </c>
      <c r="E18" s="74"/>
      <c r="F18" s="75" t="str" cm="1">
        <f t="array" ref="F18">IFERROR(_xlfn.TEXTJOIN(",",TRUE,_xlfn._xlws.FILTER(Declarations!$B$6:$B$301,(Declarations!$F$6:$F$301&amp;Declarations!$E$6:$E$301=A18&amp;C18)*(NOT(ISBLANK(Declarations!$C$6:$C$301))))), "")</f>
        <v/>
      </c>
    </row>
    <row r="19" spans="1:8">
      <c r="A19" s="64" t="str">
        <f>'Read Me First'!C19</f>
        <v>Great Milton AC</v>
      </c>
      <c r="B19" s="476" cm="1">
        <f t="array" ref="B19">SUM(_xlfn._xlws.FILTER(D$3:D$20,A$3:A$20=A19))</f>
        <v>0</v>
      </c>
      <c r="C19" s="17" t="s">
        <v>59</v>
      </c>
      <c r="D19" s="64" cm="1">
        <f t="array" ref="D19">IFERROR(ROWS(_xlfn._xlws.FILTER(Declarations!C$262:C$293,(Declarations!E$262:E$293=C19)*(Declarations!C$262:C$293&lt;&gt;""))), 0)</f>
        <v>0</v>
      </c>
      <c r="E19" s="74"/>
      <c r="F19" s="75" t="str" cm="1">
        <f t="array" ref="F19">IFERROR(_xlfn.TEXTJOIN(",",TRUE,_xlfn._xlws.FILTER(Declarations!$B$6:$B$301,(Declarations!$F$6:$F$301&amp;Declarations!$E$6:$E$301=A19&amp;C19)*(NOT(ISBLANK(Declarations!$C$6:$C$301))))), "")</f>
        <v/>
      </c>
    </row>
    <row r="20" spans="1:8">
      <c r="A20" s="64" t="str">
        <f>'Read Me First'!C19</f>
        <v>Great Milton AC</v>
      </c>
      <c r="B20" s="477"/>
      <c r="C20" s="17" t="s">
        <v>60</v>
      </c>
      <c r="D20" s="64" cm="1">
        <f t="array" ref="D20">IFERROR(ROWS(_xlfn._xlws.FILTER(Declarations!C$262:C$293,(Declarations!E$262:E$293=C20)*(Declarations!C$262:C$293&lt;&gt;""))), 0)</f>
        <v>0</v>
      </c>
      <c r="E20" s="74"/>
      <c r="F20" s="75" t="str" cm="1">
        <f t="array" ref="F20">IFERROR(_xlfn.TEXTJOIN(",",TRUE,_xlfn._xlws.FILTER(Declarations!$B$6:$B$301,(Declarations!$F$6:$F$301&amp;Declarations!$E$6:$E$301=A20&amp;C20)*(NOT(ISBLANK(Declarations!$C$6:$C$301))))), "")</f>
        <v/>
      </c>
    </row>
    <row r="23" spans="1:8">
      <c r="C23" s="17" t="s">
        <v>63</v>
      </c>
      <c r="D23" s="64">
        <f>SUM(D3:D20)</f>
        <v>0</v>
      </c>
    </row>
    <row r="25" spans="1:8" ht="13" customHeight="1">
      <c r="B25" s="458" t="s">
        <v>73</v>
      </c>
      <c r="C25" s="459"/>
      <c r="D25" s="459"/>
      <c r="E25" s="460"/>
    </row>
    <row r="26" spans="1:8" ht="13" customHeight="1">
      <c r="B26" s="461"/>
      <c r="C26" s="462"/>
      <c r="D26" s="462"/>
      <c r="E26" s="463"/>
    </row>
    <row r="27" spans="1:8" ht="13" customHeight="1">
      <c r="B27" s="464"/>
      <c r="C27" s="465"/>
      <c r="D27" s="465"/>
      <c r="E27" s="466"/>
    </row>
    <row r="29" spans="1:8">
      <c r="B29" s="467" t="s">
        <v>204</v>
      </c>
      <c r="C29" s="468"/>
      <c r="D29" s="468"/>
      <c r="E29" s="469"/>
    </row>
    <row r="30" spans="1:8">
      <c r="B30" s="470"/>
      <c r="C30" s="471"/>
      <c r="D30" s="471"/>
      <c r="E30" s="472"/>
    </row>
    <row r="31" spans="1:8">
      <c r="B31" s="473"/>
      <c r="C31" s="474"/>
      <c r="D31" s="474"/>
      <c r="E31" s="475"/>
    </row>
  </sheetData>
  <sheetProtection sheet="1" objects="1" scenarios="1"/>
  <mergeCells count="11">
    <mergeCell ref="B3:B4"/>
    <mergeCell ref="B5:B6"/>
    <mergeCell ref="B7:B8"/>
    <mergeCell ref="B9:B10"/>
    <mergeCell ref="B11:B12"/>
    <mergeCell ref="B25:E27"/>
    <mergeCell ref="B29:E31"/>
    <mergeCell ref="B13:B14"/>
    <mergeCell ref="B15:B16"/>
    <mergeCell ref="B17:B18"/>
    <mergeCell ref="B19:B20"/>
  </mergeCells>
  <conditionalFormatting sqref="H5 H7:H15">
    <cfRule type="cellIs" dxfId="34" priority="1" operator="greaterThan">
      <formula>30</formula>
    </cfRule>
  </conditionalFormatting>
  <pageMargins left="0.7" right="0.7" top="0.75" bottom="0.75" header="0.3" footer="0.3"/>
  <pageSetup paperSize="9" scale="6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FC5C2-4775-1343-B9BE-9CD77800E3CB}">
  <sheetPr>
    <pageSetUpPr fitToPage="1"/>
  </sheetPr>
  <dimension ref="A1:Q36"/>
  <sheetViews>
    <sheetView tabSelected="1" workbookViewId="0">
      <selection activeCell="H22" sqref="H22"/>
    </sheetView>
  </sheetViews>
  <sheetFormatPr baseColWidth="10" defaultColWidth="9.1640625" defaultRowHeight="11"/>
  <cols>
    <col min="1" max="1" width="13.33203125" style="189" customWidth="1"/>
    <col min="2" max="3" width="15" style="190" customWidth="1"/>
    <col min="4" max="13" width="15" style="189" customWidth="1"/>
    <col min="14" max="14" width="4.5" style="189" customWidth="1"/>
    <col min="15" max="38" width="13.33203125" style="189" customWidth="1"/>
    <col min="39" max="16384" width="9.1640625" style="189"/>
  </cols>
  <sheetData>
    <row r="1" spans="1:17" s="188" customFormat="1" ht="28">
      <c r="A1" s="219" t="str">
        <f>'Read Me First'!A1</f>
        <v>Oxfordshire Track and Field League 2026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7"/>
    </row>
    <row r="2" spans="1:17" s="188" customFormat="1" ht="20">
      <c r="A2" s="220" t="str">
        <f>TEXT('Read Me First'!C10, "DD MMMM YYYY") &amp; "    " &amp; (VLOOKUP('Read Me First'!F4,'Read Me First'!A22:D24,4,FALSE))</f>
        <v>16 August 2026    Banbury</v>
      </c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18"/>
    </row>
    <row r="3" spans="1:17" ht="14" thickBot="1">
      <c r="N3" s="191"/>
      <c r="Q3" s="192"/>
    </row>
    <row r="4" spans="1:17" ht="28" customHeight="1" thickBot="1">
      <c r="A4" s="221" t="s">
        <v>17</v>
      </c>
      <c r="B4" s="492" t="s">
        <v>113</v>
      </c>
      <c r="C4" s="493"/>
      <c r="D4" s="493"/>
      <c r="E4" s="493"/>
      <c r="F4" s="493"/>
      <c r="G4" s="494"/>
      <c r="H4" s="492" t="s">
        <v>114</v>
      </c>
      <c r="I4" s="493"/>
      <c r="J4" s="493"/>
      <c r="K4" s="493"/>
      <c r="L4" s="493"/>
      <c r="M4" s="495"/>
      <c r="N4" s="193"/>
    </row>
    <row r="5" spans="1:17" ht="28" customHeight="1">
      <c r="A5" s="222">
        <v>0.41666666666666669</v>
      </c>
      <c r="B5" s="496" t="s">
        <v>111</v>
      </c>
      <c r="C5" s="497"/>
      <c r="D5" s="497"/>
      <c r="E5" s="498" t="s">
        <v>112</v>
      </c>
      <c r="F5" s="498"/>
      <c r="G5" s="499"/>
      <c r="H5" s="195" t="s">
        <v>26</v>
      </c>
      <c r="I5" s="498" t="str">
        <f>"QK BLOCK C - " &amp; BlockAllocations!$H$5</f>
        <v>QK BLOCK C - 0</v>
      </c>
      <c r="J5" s="498"/>
      <c r="K5" s="196"/>
      <c r="L5" s="497"/>
      <c r="M5" s="500"/>
      <c r="N5" s="193"/>
    </row>
    <row r="6" spans="1:17" ht="28" customHeight="1">
      <c r="A6" s="223">
        <v>0.4375</v>
      </c>
      <c r="B6" s="482" t="s">
        <v>111</v>
      </c>
      <c r="C6" s="483"/>
      <c r="D6" s="483"/>
      <c r="E6" s="484" t="str">
        <f>"QK BLOCK B - " &amp; BlockAllocations!$H$5</f>
        <v>QK BLOCK B - 0</v>
      </c>
      <c r="F6" s="490"/>
      <c r="G6" s="491"/>
      <c r="H6" s="197" t="s">
        <v>26</v>
      </c>
      <c r="I6" s="483" t="str">
        <f>"QK BLOCK H - " &amp; BlockAllocations!$H$11</f>
        <v>QK BLOCK H - 0</v>
      </c>
      <c r="J6" s="483"/>
      <c r="K6" s="199"/>
      <c r="L6" s="483"/>
      <c r="M6" s="485"/>
      <c r="N6" s="193"/>
    </row>
    <row r="7" spans="1:17" ht="28" customHeight="1">
      <c r="A7" s="223">
        <v>0.45833333333333298</v>
      </c>
      <c r="B7" s="482" t="s">
        <v>111</v>
      </c>
      <c r="C7" s="483"/>
      <c r="D7" s="483"/>
      <c r="E7" s="487" t="str">
        <f>"QK BLOCK L - " &amp; BlockAllocations!$H$15</f>
        <v>QK BLOCK L - 0</v>
      </c>
      <c r="F7" s="487"/>
      <c r="G7" s="488"/>
      <c r="H7" s="197" t="s">
        <v>26</v>
      </c>
      <c r="I7" s="483" t="str">
        <f>"QK BLOCK D - " &amp; BlockAllocations!$H$7</f>
        <v>QK BLOCK D - 0</v>
      </c>
      <c r="J7" s="483"/>
      <c r="K7" s="199"/>
      <c r="L7" s="483"/>
      <c r="M7" s="485"/>
      <c r="N7" s="193"/>
    </row>
    <row r="8" spans="1:17" ht="28" customHeight="1">
      <c r="A8" s="223">
        <v>0.47916666666666702</v>
      </c>
      <c r="B8" s="482" t="s">
        <v>111</v>
      </c>
      <c r="C8" s="483"/>
      <c r="D8" s="483"/>
      <c r="E8" s="487" t="str">
        <f>"QK BLOCK G - " &amp; BlockAllocations!$H$10</f>
        <v>QK BLOCK G - 0</v>
      </c>
      <c r="F8" s="487"/>
      <c r="G8" s="488"/>
      <c r="H8" s="197" t="s">
        <v>26</v>
      </c>
      <c r="I8" s="483" t="str">
        <f>"QK BLOCK I - " &amp; BlockAllocations!$H$12</f>
        <v>QK BLOCK I - 0</v>
      </c>
      <c r="J8" s="483"/>
      <c r="K8" s="199"/>
      <c r="L8" s="483"/>
      <c r="M8" s="485"/>
      <c r="N8" s="193"/>
    </row>
    <row r="9" spans="1:17" ht="28" customHeight="1">
      <c r="A9" s="223">
        <v>0.5</v>
      </c>
      <c r="B9" s="482" t="s">
        <v>111</v>
      </c>
      <c r="C9" s="483"/>
      <c r="D9" s="483"/>
      <c r="E9" s="486" t="str">
        <f>"QK BLOCK C - 0"</f>
        <v>QK BLOCK C - 0</v>
      </c>
      <c r="F9" s="486"/>
      <c r="G9" s="489"/>
      <c r="H9" s="197" t="s">
        <v>26</v>
      </c>
      <c r="I9" s="483" t="str">
        <f>"QK BLOCK E - " &amp; BlockAllocations!$H$8</f>
        <v>QK BLOCK E - 0</v>
      </c>
      <c r="J9" s="483"/>
      <c r="K9" s="198" t="s">
        <v>26</v>
      </c>
      <c r="L9" s="483" t="str">
        <f>"QK BLOCK L - " &amp; BlockAllocations!$H$15</f>
        <v>QK BLOCK L - 0</v>
      </c>
      <c r="M9" s="485"/>
      <c r="N9" s="193"/>
    </row>
    <row r="10" spans="1:17" ht="28" customHeight="1">
      <c r="A10" s="223">
        <v>0.52083333333333304</v>
      </c>
      <c r="B10" s="482" t="s">
        <v>111</v>
      </c>
      <c r="C10" s="483"/>
      <c r="D10" s="483"/>
      <c r="E10" s="483" t="str">
        <f>"QK BLOCK H - " &amp; BlockAllocations!$H$11</f>
        <v>QK BLOCK H - 0</v>
      </c>
      <c r="F10" s="483"/>
      <c r="G10" s="484"/>
      <c r="H10" s="197" t="s">
        <v>26</v>
      </c>
      <c r="I10" s="483" t="str">
        <f>"QK BLOCK J - " &amp; BlockAllocations!$H$13</f>
        <v>QK BLOCK J - 0</v>
      </c>
      <c r="J10" s="483"/>
      <c r="K10" s="199"/>
      <c r="L10" s="483"/>
      <c r="M10" s="485"/>
      <c r="N10" s="193"/>
    </row>
    <row r="11" spans="1:17" ht="28" customHeight="1">
      <c r="A11" s="223">
        <v>0.54166666666666696</v>
      </c>
      <c r="B11" s="482" t="s">
        <v>111</v>
      </c>
      <c r="C11" s="483"/>
      <c r="D11" s="483"/>
      <c r="E11" s="483" t="str">
        <f>"QK BLOCK D - " &amp; BlockAllocations!$H$7</f>
        <v>QK BLOCK D - 0</v>
      </c>
      <c r="F11" s="483"/>
      <c r="G11" s="484"/>
      <c r="H11" s="197" t="s">
        <v>26</v>
      </c>
      <c r="I11" s="483" t="str">
        <f>"QK BLOCK F - " &amp; BlockAllocations!$H$9</f>
        <v>QK BLOCK F - 0</v>
      </c>
      <c r="J11" s="483"/>
      <c r="K11" s="199"/>
      <c r="L11" s="483"/>
      <c r="M11" s="485"/>
      <c r="N11" s="193"/>
    </row>
    <row r="12" spans="1:17" ht="28" customHeight="1">
      <c r="A12" s="223">
        <v>0.5625</v>
      </c>
      <c r="B12" s="482" t="s">
        <v>111</v>
      </c>
      <c r="C12" s="483"/>
      <c r="D12" s="483"/>
      <c r="E12" s="483" t="str">
        <f>"QK BLOCK I - " &amp; BlockAllocations!$H$12</f>
        <v>QK BLOCK I - 0</v>
      </c>
      <c r="F12" s="483"/>
      <c r="G12" s="484"/>
      <c r="H12" s="197" t="s">
        <v>26</v>
      </c>
      <c r="I12" s="483" t="str">
        <f>"QK BLOCK K - " &amp; BlockAllocations!$H$14</f>
        <v>QK BLOCK K - 0</v>
      </c>
      <c r="J12" s="483"/>
      <c r="K12" s="199"/>
      <c r="L12" s="483"/>
      <c r="M12" s="485"/>
      <c r="N12" s="193"/>
    </row>
    <row r="13" spans="1:17" ht="28" customHeight="1">
      <c r="A13" s="223">
        <v>0.58333333333333304</v>
      </c>
      <c r="B13" s="482" t="s">
        <v>111</v>
      </c>
      <c r="C13" s="483"/>
      <c r="D13" s="483"/>
      <c r="E13" s="483" t="str">
        <f>"QK BLOCK E - " &amp; BlockAllocations!$H$8</f>
        <v>QK BLOCK E - 0</v>
      </c>
      <c r="F13" s="483"/>
      <c r="G13" s="484"/>
      <c r="H13" s="197" t="s">
        <v>26</v>
      </c>
      <c r="I13" s="483" t="str">
        <f>"QK BLOCK G - " &amp; BlockAllocations!$H$10</f>
        <v>QK BLOCK G - 0</v>
      </c>
      <c r="J13" s="483"/>
      <c r="K13" s="199"/>
      <c r="L13" s="483"/>
      <c r="M13" s="485"/>
      <c r="N13" s="193"/>
    </row>
    <row r="14" spans="1:17" ht="28" customHeight="1">
      <c r="A14" s="223">
        <v>0.60416666666666696</v>
      </c>
      <c r="B14" s="482" t="s">
        <v>111</v>
      </c>
      <c r="C14" s="483"/>
      <c r="D14" s="483"/>
      <c r="E14" s="483" t="str">
        <f>"QK BLOCK J - " &amp; BlockAllocations!$H$13</f>
        <v>QK BLOCK J - 0</v>
      </c>
      <c r="F14" s="483"/>
      <c r="G14" s="484"/>
      <c r="H14" s="197"/>
      <c r="I14" s="483"/>
      <c r="J14" s="483"/>
      <c r="K14" s="199"/>
      <c r="L14" s="483"/>
      <c r="M14" s="485"/>
      <c r="N14" s="193"/>
    </row>
    <row r="15" spans="1:17" ht="28" customHeight="1">
      <c r="A15" s="223">
        <v>0.625</v>
      </c>
      <c r="B15" s="482" t="s">
        <v>111</v>
      </c>
      <c r="C15" s="483"/>
      <c r="D15" s="483"/>
      <c r="E15" s="483" t="str">
        <f>"QK BLOCK F - " &amp; BlockAllocations!$H$9</f>
        <v>QK BLOCK F - 0</v>
      </c>
      <c r="F15" s="483"/>
      <c r="G15" s="484"/>
      <c r="H15" s="197" t="s">
        <v>26</v>
      </c>
      <c r="I15" s="486" t="s">
        <v>112</v>
      </c>
      <c r="J15" s="486"/>
      <c r="K15" s="199"/>
      <c r="L15" s="483"/>
      <c r="M15" s="485"/>
      <c r="N15" s="193"/>
    </row>
    <row r="16" spans="1:17" ht="28" customHeight="1" thickBot="1">
      <c r="A16" s="224">
        <v>0.64583333333333304</v>
      </c>
      <c r="B16" s="478" t="s">
        <v>111</v>
      </c>
      <c r="C16" s="479"/>
      <c r="D16" s="479"/>
      <c r="E16" s="479" t="str">
        <f>"QK BLOCK K - " &amp; BlockAllocations!$H$14</f>
        <v>QK BLOCK K - 0</v>
      </c>
      <c r="F16" s="479"/>
      <c r="G16" s="480"/>
      <c r="H16" s="225" t="s">
        <v>26</v>
      </c>
      <c r="I16" s="479" t="str">
        <f>"QK BLOCK B - " &amp; BlockAllocations!$H$5</f>
        <v>QK BLOCK B - 0</v>
      </c>
      <c r="J16" s="479"/>
      <c r="K16" s="226"/>
      <c r="L16" s="479"/>
      <c r="M16" s="481"/>
      <c r="N16" s="193"/>
    </row>
    <row r="17" spans="1:15" ht="17" thickBot="1">
      <c r="A17" s="201"/>
      <c r="B17" s="202"/>
      <c r="C17" s="202"/>
      <c r="D17" s="201"/>
      <c r="E17" s="201"/>
      <c r="F17" s="201"/>
      <c r="G17" s="201"/>
      <c r="H17" s="201"/>
      <c r="I17" s="201"/>
      <c r="J17" s="201"/>
      <c r="K17" s="201"/>
      <c r="L17" s="201"/>
      <c r="M17" s="201"/>
      <c r="N17" s="193"/>
    </row>
    <row r="18" spans="1:15" ht="28" customHeight="1" thickBot="1">
      <c r="A18" s="210" t="s">
        <v>17</v>
      </c>
      <c r="B18" s="211" t="s">
        <v>115</v>
      </c>
      <c r="C18" s="212"/>
      <c r="D18" s="212"/>
      <c r="E18" s="212"/>
      <c r="F18" s="212"/>
      <c r="G18" s="213"/>
      <c r="H18" s="214"/>
      <c r="I18" s="212"/>
      <c r="J18" s="212"/>
      <c r="K18" s="212"/>
      <c r="L18" s="212"/>
      <c r="M18" s="215"/>
      <c r="N18" s="200"/>
      <c r="O18" s="201"/>
    </row>
    <row r="19" spans="1:15" s="194" customFormat="1" ht="29" customHeight="1">
      <c r="A19" s="329">
        <v>0.46527777777777779</v>
      </c>
      <c r="B19" s="330" t="s">
        <v>2</v>
      </c>
      <c r="C19" s="204"/>
      <c r="D19" s="204" t="s">
        <v>202</v>
      </c>
      <c r="E19" s="204"/>
      <c r="F19" s="204"/>
      <c r="G19" s="204"/>
      <c r="H19" s="204" t="str">
        <f>"Number of athletes: " &amp; IFERROR(BlockAllocations!$H$8,0)+IFERROR(BlockAllocations!$H$9,0)+IFERROR(BlockAllocations!$H$10,0)+IFERROR(BlockAllocations!$H$12,0)+IFERROR(BlockAllocations!$H$13,0)+IFERROR(BlockAllocations!$H$14,0)</f>
        <v>Number of athletes: 0</v>
      </c>
      <c r="I19" s="204"/>
      <c r="J19" s="204"/>
      <c r="K19" s="204"/>
      <c r="L19" s="204" t="str">
        <f>"U10B - "&amp; Data!$M$2 &amp; "   U12B - " &amp;  Data!$M$8</f>
        <v>U10B - 11.9   U12B - 10.5</v>
      </c>
      <c r="M19" s="209"/>
    </row>
    <row r="20" spans="1:15" s="194" customFormat="1" ht="29" customHeight="1">
      <c r="A20" s="331">
        <v>0.4861111111111111</v>
      </c>
      <c r="B20" s="332" t="s">
        <v>2</v>
      </c>
      <c r="C20" s="203"/>
      <c r="D20" s="203" t="s">
        <v>203</v>
      </c>
      <c r="E20" s="203"/>
      <c r="F20" s="203"/>
      <c r="G20" s="203"/>
      <c r="H20" s="203" t="str">
        <f>"Number of athletes: " &amp; IFERROR(BlockAllocations!$H$5,0)+IFERROR(BlockAllocations!$H$7,0)+IFERROR(BlockAllocations!$H$11,0)+IFERROR(BlockAllocations!$H$15,0)</f>
        <v>Number of athletes: 0</v>
      </c>
      <c r="I20" s="203"/>
      <c r="J20" s="203"/>
      <c r="K20" s="203"/>
      <c r="L20" s="203" t="str">
        <f>"U10G - "&amp; Data!$M$15 &amp; "   U12G - " &amp;  Data!$M$21</f>
        <v>U10G - 12.3   U12G - 10.7</v>
      </c>
      <c r="M20" s="206"/>
    </row>
    <row r="21" spans="1:15" ht="16">
      <c r="A21" s="227"/>
      <c r="B21" s="188"/>
      <c r="C21" s="188"/>
      <c r="D21" s="188"/>
      <c r="E21" s="188"/>
      <c r="F21" s="188"/>
      <c r="G21" s="188"/>
      <c r="H21" s="205"/>
      <c r="I21" s="205"/>
      <c r="J21" s="205"/>
      <c r="K21" s="205"/>
      <c r="L21" s="205"/>
      <c r="M21" s="216"/>
      <c r="O21" s="201"/>
    </row>
    <row r="22" spans="1:15" s="194" customFormat="1" ht="29" customHeight="1">
      <c r="A22" s="331">
        <v>0.58333333333333337</v>
      </c>
      <c r="B22" s="332" t="s">
        <v>3</v>
      </c>
      <c r="C22" s="203"/>
      <c r="D22" s="203" t="s">
        <v>211</v>
      </c>
      <c r="E22" s="203"/>
      <c r="F22" s="203"/>
      <c r="G22" s="203"/>
      <c r="H22" s="203" t="str">
        <f>"Number of athletes: " &amp;IFERROR(BlockAllocations!$H$5,0)+IFERROR(BlockAllocations!$H$7,0)+IFERROR(BlockAllocations!$H$9,0)+IFERROR(BlockAllocations!$H$11,0)+IFERROR(BlockAllocations!$H$13,0)+IFERROR(BlockAllocations!$H$15,0)</f>
        <v>Number of athletes: 0</v>
      </c>
      <c r="I22" s="203"/>
      <c r="J22" s="203"/>
      <c r="K22" s="203"/>
      <c r="L22" s="203" t="str">
        <f>"U10B - "&amp;TEXT(Data!$M$3,"m:ss.0")&amp;"   U12B - "&amp;TEXT(Data!$M$9,"m:ss.0")</f>
        <v>U10B - 2:01.4   U12B - 1:47.0</v>
      </c>
      <c r="M22" s="206"/>
    </row>
    <row r="23" spans="1:15" s="194" customFormat="1" ht="29" customHeight="1" thickBot="1">
      <c r="A23" s="333">
        <v>0.60416666666666663</v>
      </c>
      <c r="B23" s="334" t="s">
        <v>3</v>
      </c>
      <c r="C23" s="207"/>
      <c r="D23" s="207" t="s">
        <v>212</v>
      </c>
      <c r="E23" s="207"/>
      <c r="F23" s="207"/>
      <c r="G23" s="207"/>
      <c r="H23" s="207" t="str">
        <f>"Number of athletes: " &amp;IFERROR(BlockAllocations!$H$8,0)+IFERROR(BlockAllocations!$H$10,0)+IFERROR(BlockAllocations!$H$12,0)+IFERROR(BlockAllocations!$H$14,0)</f>
        <v>Number of athletes: 0</v>
      </c>
      <c r="I23" s="207"/>
      <c r="J23" s="207"/>
      <c r="K23" s="207"/>
      <c r="L23" s="207" t="str">
        <f>"U10G - "&amp;TEXT(Data!$M$16,"m:ss.0")&amp;"   U12G - "&amp;TEXT(Data!$M$22,"m:ss.0")</f>
        <v>U10G - 2:08.9   U12G - 1:50.6</v>
      </c>
      <c r="M23" s="208"/>
    </row>
    <row r="24" spans="1:15" ht="13">
      <c r="N24" s="193"/>
    </row>
    <row r="25" spans="1:15" ht="13">
      <c r="N25" s="193"/>
    </row>
    <row r="26" spans="1:15" ht="13">
      <c r="N26" s="193"/>
    </row>
    <row r="27" spans="1:15" ht="13">
      <c r="N27" s="193"/>
    </row>
    <row r="28" spans="1:15" ht="13">
      <c r="N28" s="193"/>
    </row>
    <row r="29" spans="1:15" ht="13">
      <c r="N29" s="193"/>
    </row>
    <row r="30" spans="1:15" ht="13">
      <c r="N30" s="193"/>
    </row>
    <row r="31" spans="1:15" ht="13">
      <c r="N31" s="193"/>
    </row>
    <row r="32" spans="1:15" ht="13">
      <c r="N32" s="193"/>
    </row>
    <row r="33" spans="14:14" ht="13">
      <c r="N33" s="193"/>
    </row>
    <row r="34" spans="14:14" ht="13">
      <c r="N34" s="193"/>
    </row>
    <row r="35" spans="14:14" ht="13">
      <c r="N35" s="193"/>
    </row>
    <row r="36" spans="14:14" ht="13">
      <c r="N36" s="193"/>
    </row>
  </sheetData>
  <sheetProtection sheet="1" objects="1" scenarios="1"/>
  <mergeCells count="50">
    <mergeCell ref="B4:G4"/>
    <mergeCell ref="H4:M4"/>
    <mergeCell ref="B5:D5"/>
    <mergeCell ref="E5:G5"/>
    <mergeCell ref="I5:J5"/>
    <mergeCell ref="L5:M5"/>
    <mergeCell ref="B6:D6"/>
    <mergeCell ref="E6:G6"/>
    <mergeCell ref="I6:J6"/>
    <mergeCell ref="L6:M6"/>
    <mergeCell ref="B7:D7"/>
    <mergeCell ref="E7:G7"/>
    <mergeCell ref="I7:J7"/>
    <mergeCell ref="L7:M7"/>
    <mergeCell ref="B8:D8"/>
    <mergeCell ref="E8:G8"/>
    <mergeCell ref="I8:J8"/>
    <mergeCell ref="L8:M8"/>
    <mergeCell ref="B9:D9"/>
    <mergeCell ref="E9:G9"/>
    <mergeCell ref="I9:J9"/>
    <mergeCell ref="L9:M9"/>
    <mergeCell ref="B10:D10"/>
    <mergeCell ref="E10:G10"/>
    <mergeCell ref="I10:J10"/>
    <mergeCell ref="L10:M10"/>
    <mergeCell ref="B11:D11"/>
    <mergeCell ref="E11:G11"/>
    <mergeCell ref="I11:J11"/>
    <mergeCell ref="L11:M11"/>
    <mergeCell ref="B12:D12"/>
    <mergeCell ref="E12:G12"/>
    <mergeCell ref="I12:J12"/>
    <mergeCell ref="L12:M12"/>
    <mergeCell ref="B13:D13"/>
    <mergeCell ref="E13:G13"/>
    <mergeCell ref="I13:J13"/>
    <mergeCell ref="L13:M13"/>
    <mergeCell ref="B16:D16"/>
    <mergeCell ref="E16:G16"/>
    <mergeCell ref="I16:J16"/>
    <mergeCell ref="L16:M16"/>
    <mergeCell ref="B14:D14"/>
    <mergeCell ref="E14:G14"/>
    <mergeCell ref="I14:J14"/>
    <mergeCell ref="L14:M14"/>
    <mergeCell ref="B15:D15"/>
    <mergeCell ref="E15:G15"/>
    <mergeCell ref="I15:J15"/>
    <mergeCell ref="L15:M15"/>
  </mergeCells>
  <pageMargins left="0.7" right="0.7" top="0.75" bottom="0.75" header="0.3" footer="0.3"/>
  <pageSetup paperSize="9" scale="63" orientation="landscape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theme="0" tint="-0.249977111117893"/>
  </sheetPr>
  <dimension ref="A1:H800"/>
  <sheetViews>
    <sheetView view="pageBreakPreview" zoomScale="90" zoomScaleNormal="100" zoomScaleSheetLayoutView="100" workbookViewId="0">
      <selection activeCell="A3" sqref="A3:D3"/>
    </sheetView>
  </sheetViews>
  <sheetFormatPr baseColWidth="10" defaultColWidth="9.1640625" defaultRowHeight="16"/>
  <cols>
    <col min="1" max="1" width="10.6640625" style="25" customWidth="1"/>
    <col min="2" max="2" width="45.1640625" style="25" customWidth="1"/>
    <col min="3" max="3" width="28" style="25" customWidth="1"/>
    <col min="4" max="4" width="12" style="25" customWidth="1"/>
    <col min="5" max="8" width="20.33203125" style="25" customWidth="1"/>
    <col min="9" max="16384" width="9.1640625" style="23"/>
  </cols>
  <sheetData>
    <row r="1" spans="1:8" ht="20" customHeight="1">
      <c r="A1" s="502" t="str">
        <f>'Read Me First'!A1:F18</f>
        <v>Oxfordshire Track and Field League 2026</v>
      </c>
      <c r="B1" s="503"/>
      <c r="C1" s="503"/>
      <c r="D1" s="503"/>
      <c r="E1" s="503"/>
      <c r="F1" s="503"/>
      <c r="G1" s="503"/>
      <c r="H1" s="504"/>
    </row>
    <row r="2" spans="1:8" ht="18" customHeight="1">
      <c r="A2" s="61" t="s">
        <v>12</v>
      </c>
      <c r="B2" s="62">
        <f>'Read Me First'!$C$10</f>
        <v>46250</v>
      </c>
      <c r="C2" s="63">
        <v>0.4375</v>
      </c>
      <c r="D2" s="61" t="s">
        <v>13</v>
      </c>
      <c r="E2" s="505" t="str">
        <f>(VLOOKUP('Read Me First'!F4,'Read Me First'!A22:D24,4,FALSE))</f>
        <v>Banbury</v>
      </c>
      <c r="F2" s="506"/>
      <c r="G2" s="506"/>
      <c r="H2" s="507"/>
    </row>
    <row r="3" spans="1:8" ht="18" customHeight="1">
      <c r="A3" s="508" t="s">
        <v>209</v>
      </c>
      <c r="B3" s="508"/>
      <c r="C3" s="508"/>
      <c r="D3" s="508"/>
      <c r="E3" s="60">
        <v>1</v>
      </c>
      <c r="F3" s="60">
        <v>2</v>
      </c>
      <c r="G3" s="60">
        <v>3</v>
      </c>
      <c r="H3" s="60" t="s">
        <v>42</v>
      </c>
    </row>
    <row r="4" spans="1:8" ht="18" customHeight="1">
      <c r="A4" s="66"/>
      <c r="B4" s="66"/>
      <c r="C4" s="66"/>
      <c r="D4" s="66"/>
      <c r="E4" s="67"/>
      <c r="F4" s="67"/>
      <c r="G4" s="67"/>
      <c r="H4" s="67"/>
    </row>
    <row r="5" spans="1:8" s="24" customFormat="1" ht="20" customHeight="1">
      <c r="A5" s="68" t="str" cm="1">
        <f t="array" ref="A5">IFERROR(_xlfn.TEXTSPLIT(IFERROR(_xlfn.TEXTJOIN(",",TRUE,_xlfn._xlws.FILTER(BlockAllocations!$F$3:$F$20,BlockAllocations!$E$3:$E$20=BlockAllocations!$G$5)),""),,",")+0, "!")</f>
        <v>!</v>
      </c>
      <c r="B5" s="69" t="str">
        <f>IF(ISNA(VLOOKUP(A5,Declarations!B$6:C$293,2,FALSE)),"",IF(VLOOKUP(A5,Declarations!B$6:C$293,2,FALSE)="","---",VLOOKUP(A5,Declarations!B$6:C$293,2,FALSE)))</f>
        <v/>
      </c>
      <c r="C5" s="69" t="str">
        <f>IF(ISNA(VLOOKUP(A5,Declarations!B$6:F$293,5,FALSE)),"",IF(VLOOKUP(A5,Declarations!B$6:F$293,5,FALSE)="","---",VLOOKUP(A5,Declarations!B$6:F$293,5,FALSE)))</f>
        <v/>
      </c>
      <c r="D5" s="69" t="str">
        <f>IF(ISNA(VLOOKUP(A5,Declarations!B$6:F$293,4,FALSE)),"",IF(VLOOKUP(A5,Declarations!B$6:F$293,4,FALSE)="","---",VLOOKUP(A5,Declarations!B$6:F$293,4,FALSE)))</f>
        <v/>
      </c>
      <c r="E5" s="284" t="s">
        <v>161</v>
      </c>
      <c r="F5" s="284" t="s">
        <v>161</v>
      </c>
      <c r="G5" s="284" t="s">
        <v>161</v>
      </c>
      <c r="H5" s="70"/>
    </row>
    <row r="6" spans="1:8" s="24" customFormat="1" ht="20" customHeight="1">
      <c r="A6" s="68"/>
      <c r="B6" s="69" t="str">
        <f>IF(ISNA(VLOOKUP(A6,Declarations!B$6:C$293,2,FALSE)),"",IF(VLOOKUP(A6,Declarations!B$6:C$293,2,FALSE)="","---",VLOOKUP(A6,Declarations!B$6:C$293,2,FALSE)))</f>
        <v/>
      </c>
      <c r="C6" s="69" t="str">
        <f>IF(ISNA(VLOOKUP(A6,Declarations!B$6:F$293,5,FALSE)),"",IF(VLOOKUP(A6,Declarations!B$6:F$293,5,FALSE)="","---",VLOOKUP(A6,Declarations!B$6:F$293,5,FALSE)))</f>
        <v/>
      </c>
      <c r="D6" s="69" t="str">
        <f>IF(ISNA(VLOOKUP(A6,Declarations!B$6:F$293,4,FALSE)),"",IF(VLOOKUP(A6,Declarations!B$6:F$293,4,FALSE)="","---",VLOOKUP(A6,Declarations!B$6:F$293,4,FALSE)))</f>
        <v/>
      </c>
      <c r="E6" s="284" t="s">
        <v>161</v>
      </c>
      <c r="F6" s="284" t="s">
        <v>161</v>
      </c>
      <c r="G6" s="284" t="s">
        <v>161</v>
      </c>
      <c r="H6" s="70"/>
    </row>
    <row r="7" spans="1:8" s="24" customFormat="1" ht="20" customHeight="1">
      <c r="A7" s="68"/>
      <c r="B7" s="69" t="str">
        <f>IF(ISNA(VLOOKUP(A7,Declarations!B$6:C$293,2,FALSE)),"",IF(VLOOKUP(A7,Declarations!B$6:C$293,2,FALSE)="","---",VLOOKUP(A7,Declarations!B$6:C$293,2,FALSE)))</f>
        <v/>
      </c>
      <c r="C7" s="69" t="str">
        <f>IF(ISNA(VLOOKUP(A7,Declarations!B$6:F$293,5,FALSE)),"",IF(VLOOKUP(A7,Declarations!B$6:F$293,5,FALSE)="","---",VLOOKUP(A7,Declarations!B$6:F$293,5,FALSE)))</f>
        <v/>
      </c>
      <c r="D7" s="69" t="str">
        <f>IF(ISNA(VLOOKUP(A7,Declarations!B$6:F$293,4,FALSE)),"",IF(VLOOKUP(A7,Declarations!B$6:F$293,4,FALSE)="","---",VLOOKUP(A7,Declarations!B$6:F$293,4,FALSE)))</f>
        <v/>
      </c>
      <c r="E7" s="284" t="s">
        <v>161</v>
      </c>
      <c r="F7" s="284" t="s">
        <v>161</v>
      </c>
      <c r="G7" s="284" t="s">
        <v>161</v>
      </c>
      <c r="H7" s="70"/>
    </row>
    <row r="8" spans="1:8" s="24" customFormat="1" ht="20" customHeight="1">
      <c r="A8" s="68"/>
      <c r="B8" s="69" t="str">
        <f>IF(ISNA(VLOOKUP(A8,Declarations!B$6:C$293,2,FALSE)),"",IF(VLOOKUP(A8,Declarations!B$6:C$293,2,FALSE)="","---",VLOOKUP(A8,Declarations!B$6:C$293,2,FALSE)))</f>
        <v/>
      </c>
      <c r="C8" s="69" t="str">
        <f>IF(ISNA(VLOOKUP(A8,Declarations!B$6:F$293,5,FALSE)),"",IF(VLOOKUP(A8,Declarations!B$6:F$293,5,FALSE)="","---",VLOOKUP(A8,Declarations!B$6:F$293,5,FALSE)))</f>
        <v/>
      </c>
      <c r="D8" s="69" t="str">
        <f>IF(ISNA(VLOOKUP(A8,Declarations!B$6:F$293,4,FALSE)),"",IF(VLOOKUP(A8,Declarations!B$6:F$293,4,FALSE)="","---",VLOOKUP(A8,Declarations!B$6:F$293,4,FALSE)))</f>
        <v/>
      </c>
      <c r="E8" s="284" t="s">
        <v>161</v>
      </c>
      <c r="F8" s="284" t="s">
        <v>161</v>
      </c>
      <c r="G8" s="284" t="s">
        <v>161</v>
      </c>
      <c r="H8" s="70"/>
    </row>
    <row r="9" spans="1:8" s="24" customFormat="1" ht="20" customHeight="1">
      <c r="A9" s="68"/>
      <c r="B9" s="69" t="str">
        <f>IF(ISNA(VLOOKUP(A9,Declarations!B$6:C$293,2,FALSE)),"",IF(VLOOKUP(A9,Declarations!B$6:C$293,2,FALSE)="","---",VLOOKUP(A9,Declarations!B$6:C$293,2,FALSE)))</f>
        <v/>
      </c>
      <c r="C9" s="69" t="str">
        <f>IF(ISNA(VLOOKUP(A9,Declarations!B$6:F$293,5,FALSE)),"",IF(VLOOKUP(A9,Declarations!B$6:F$293,5,FALSE)="","---",VLOOKUP(A9,Declarations!B$6:F$293,5,FALSE)))</f>
        <v/>
      </c>
      <c r="D9" s="69" t="str">
        <f>IF(ISNA(VLOOKUP(A9,Declarations!B$6:F$293,4,FALSE)),"",IF(VLOOKUP(A9,Declarations!B$6:F$293,4,FALSE)="","---",VLOOKUP(A9,Declarations!B$6:F$293,4,FALSE)))</f>
        <v/>
      </c>
      <c r="E9" s="284" t="s">
        <v>161</v>
      </c>
      <c r="F9" s="284" t="s">
        <v>161</v>
      </c>
      <c r="G9" s="284" t="s">
        <v>161</v>
      </c>
      <c r="H9" s="70"/>
    </row>
    <row r="10" spans="1:8" s="24" customFormat="1" ht="20" customHeight="1">
      <c r="A10" s="68"/>
      <c r="B10" s="69" t="str">
        <f>IF(ISNA(VLOOKUP(A10,Declarations!B$6:C$293,2,FALSE)),"",IF(VLOOKUP(A10,Declarations!B$6:C$293,2,FALSE)="","---",VLOOKUP(A10,Declarations!B$6:C$293,2,FALSE)))</f>
        <v/>
      </c>
      <c r="C10" s="69" t="str">
        <f>IF(ISNA(VLOOKUP(A10,Declarations!B$6:F$293,5,FALSE)),"",IF(VLOOKUP(A10,Declarations!B$6:F$293,5,FALSE)="","---",VLOOKUP(A10,Declarations!B$6:F$293,5,FALSE)))</f>
        <v/>
      </c>
      <c r="D10" s="69" t="str">
        <f>IF(ISNA(VLOOKUP(A10,Declarations!B$6:F$293,4,FALSE)),"",IF(VLOOKUP(A10,Declarations!B$6:F$293,4,FALSE)="","---",VLOOKUP(A10,Declarations!B$6:F$293,4,FALSE)))</f>
        <v/>
      </c>
      <c r="E10" s="284" t="s">
        <v>161</v>
      </c>
      <c r="F10" s="284" t="s">
        <v>161</v>
      </c>
      <c r="G10" s="284" t="s">
        <v>161</v>
      </c>
      <c r="H10" s="70"/>
    </row>
    <row r="11" spans="1:8" s="24" customFormat="1" ht="20" customHeight="1">
      <c r="A11" s="68"/>
      <c r="B11" s="69" t="str">
        <f>IF(ISNA(VLOOKUP(A11,Declarations!B$6:C$293,2,FALSE)),"",IF(VLOOKUP(A11,Declarations!B$6:C$293,2,FALSE)="","---",VLOOKUP(A11,Declarations!B$6:C$293,2,FALSE)))</f>
        <v/>
      </c>
      <c r="C11" s="69" t="str">
        <f>IF(ISNA(VLOOKUP(A11,Declarations!B$6:F$293,5,FALSE)),"",IF(VLOOKUP(A11,Declarations!B$6:F$293,5,FALSE)="","---",VLOOKUP(A11,Declarations!B$6:F$293,5,FALSE)))</f>
        <v/>
      </c>
      <c r="D11" s="69" t="str">
        <f>IF(ISNA(VLOOKUP(A11,Declarations!B$6:F$293,4,FALSE)),"",IF(VLOOKUP(A11,Declarations!B$6:F$293,4,FALSE)="","---",VLOOKUP(A11,Declarations!B$6:F$293,4,FALSE)))</f>
        <v/>
      </c>
      <c r="E11" s="284" t="s">
        <v>161</v>
      </c>
      <c r="F11" s="284" t="s">
        <v>161</v>
      </c>
      <c r="G11" s="284" t="s">
        <v>161</v>
      </c>
      <c r="H11" s="70"/>
    </row>
    <row r="12" spans="1:8" s="24" customFormat="1" ht="20" customHeight="1">
      <c r="A12" s="68"/>
      <c r="B12" s="69" t="str">
        <f>IF(ISNA(VLOOKUP(A12,Declarations!B$6:C$293,2,FALSE)),"",IF(VLOOKUP(A12,Declarations!B$6:C$293,2,FALSE)="","---",VLOOKUP(A12,Declarations!B$6:C$293,2,FALSE)))</f>
        <v/>
      </c>
      <c r="C12" s="69" t="str">
        <f>IF(ISNA(VLOOKUP(A12,Declarations!B$6:F$293,5,FALSE)),"",IF(VLOOKUP(A12,Declarations!B$6:F$293,5,FALSE)="","---",VLOOKUP(A12,Declarations!B$6:F$293,5,FALSE)))</f>
        <v/>
      </c>
      <c r="D12" s="69" t="str">
        <f>IF(ISNA(VLOOKUP(A12,Declarations!B$6:F$293,4,FALSE)),"",IF(VLOOKUP(A12,Declarations!B$6:F$293,4,FALSE)="","---",VLOOKUP(A12,Declarations!B$6:F$293,4,FALSE)))</f>
        <v/>
      </c>
      <c r="E12" s="284" t="s">
        <v>161</v>
      </c>
      <c r="F12" s="284" t="s">
        <v>161</v>
      </c>
      <c r="G12" s="284" t="s">
        <v>161</v>
      </c>
      <c r="H12" s="70"/>
    </row>
    <row r="13" spans="1:8" s="24" customFormat="1" ht="20" customHeight="1">
      <c r="A13" s="68"/>
      <c r="B13" s="69" t="str">
        <f>IF(ISNA(VLOOKUP(A13,Declarations!B$6:C$293,2,FALSE)),"",IF(VLOOKUP(A13,Declarations!B$6:C$293,2,FALSE)="","---",VLOOKUP(A13,Declarations!B$6:C$293,2,FALSE)))</f>
        <v/>
      </c>
      <c r="C13" s="69" t="str">
        <f>IF(ISNA(VLOOKUP(A13,Declarations!B$6:F$293,5,FALSE)),"",IF(VLOOKUP(A13,Declarations!B$6:F$293,5,FALSE)="","---",VLOOKUP(A13,Declarations!B$6:F$293,5,FALSE)))</f>
        <v/>
      </c>
      <c r="D13" s="69" t="str">
        <f>IF(ISNA(VLOOKUP(A13,Declarations!B$6:F$293,4,FALSE)),"",IF(VLOOKUP(A13,Declarations!B$6:F$293,4,FALSE)="","---",VLOOKUP(A13,Declarations!B$6:F$293,4,FALSE)))</f>
        <v/>
      </c>
      <c r="E13" s="284" t="s">
        <v>161</v>
      </c>
      <c r="F13" s="284" t="s">
        <v>161</v>
      </c>
      <c r="G13" s="284" t="s">
        <v>161</v>
      </c>
      <c r="H13" s="70"/>
    </row>
    <row r="14" spans="1:8" s="24" customFormat="1" ht="20" customHeight="1">
      <c r="A14" s="68"/>
      <c r="B14" s="69" t="str">
        <f>IF(ISNA(VLOOKUP(A14,Declarations!B$6:C$293,2,FALSE)),"",IF(VLOOKUP(A14,Declarations!B$6:C$293,2,FALSE)="","---",VLOOKUP(A14,Declarations!B$6:C$293,2,FALSE)))</f>
        <v/>
      </c>
      <c r="C14" s="69" t="str">
        <f>IF(ISNA(VLOOKUP(A14,Declarations!B$6:F$293,5,FALSE)),"",IF(VLOOKUP(A14,Declarations!B$6:F$293,5,FALSE)="","---",VLOOKUP(A14,Declarations!B$6:F$293,5,FALSE)))</f>
        <v/>
      </c>
      <c r="D14" s="69" t="str">
        <f>IF(ISNA(VLOOKUP(A14,Declarations!B$6:F$293,4,FALSE)),"",IF(VLOOKUP(A14,Declarations!B$6:F$293,4,FALSE)="","---",VLOOKUP(A14,Declarations!B$6:F$293,4,FALSE)))</f>
        <v/>
      </c>
      <c r="E14" s="284" t="s">
        <v>161</v>
      </c>
      <c r="F14" s="284" t="s">
        <v>161</v>
      </c>
      <c r="G14" s="284" t="s">
        <v>161</v>
      </c>
      <c r="H14" s="70"/>
    </row>
    <row r="15" spans="1:8" s="24" customFormat="1" ht="20" customHeight="1">
      <c r="A15" s="68"/>
      <c r="B15" s="69" t="str">
        <f>IF(ISNA(VLOOKUP(A15,Declarations!B$6:C$293,2,FALSE)),"",IF(VLOOKUP(A15,Declarations!B$6:C$293,2,FALSE)="","---",VLOOKUP(A15,Declarations!B$6:C$293,2,FALSE)))</f>
        <v/>
      </c>
      <c r="C15" s="69" t="str">
        <f>IF(ISNA(VLOOKUP(A15,Declarations!B$6:F$293,5,FALSE)),"",IF(VLOOKUP(A15,Declarations!B$6:F$293,5,FALSE)="","---",VLOOKUP(A15,Declarations!B$6:F$293,5,FALSE)))</f>
        <v/>
      </c>
      <c r="D15" s="69" t="str">
        <f>IF(ISNA(VLOOKUP(A15,Declarations!B$6:F$293,4,FALSE)),"",IF(VLOOKUP(A15,Declarations!B$6:F$293,4,FALSE)="","---",VLOOKUP(A15,Declarations!B$6:F$293,4,FALSE)))</f>
        <v/>
      </c>
      <c r="E15" s="284" t="s">
        <v>161</v>
      </c>
      <c r="F15" s="284" t="s">
        <v>161</v>
      </c>
      <c r="G15" s="284" t="s">
        <v>161</v>
      </c>
      <c r="H15" s="70"/>
    </row>
    <row r="16" spans="1:8" s="24" customFormat="1" ht="20" customHeight="1">
      <c r="A16" s="68"/>
      <c r="B16" s="69" t="str">
        <f>IF(ISNA(VLOOKUP(A16,Declarations!B$6:C$293,2,FALSE)),"",IF(VLOOKUP(A16,Declarations!B$6:C$293,2,FALSE)="","---",VLOOKUP(A16,Declarations!B$6:C$293,2,FALSE)))</f>
        <v/>
      </c>
      <c r="C16" s="69" t="str">
        <f>IF(ISNA(VLOOKUP(A16,Declarations!B$6:F$293,5,FALSE)),"",IF(VLOOKUP(A16,Declarations!B$6:F$293,5,FALSE)="","---",VLOOKUP(A16,Declarations!B$6:F$293,5,FALSE)))</f>
        <v/>
      </c>
      <c r="D16" s="69" t="str">
        <f>IF(ISNA(VLOOKUP(A16,Declarations!B$6:F$293,4,FALSE)),"",IF(VLOOKUP(A16,Declarations!B$6:F$293,4,FALSE)="","---",VLOOKUP(A16,Declarations!B$6:F$293,4,FALSE)))</f>
        <v/>
      </c>
      <c r="E16" s="284" t="s">
        <v>161</v>
      </c>
      <c r="F16" s="284" t="s">
        <v>161</v>
      </c>
      <c r="G16" s="284" t="s">
        <v>161</v>
      </c>
      <c r="H16" s="70"/>
    </row>
    <row r="17" spans="1:8" s="24" customFormat="1" ht="20" customHeight="1">
      <c r="A17" s="68"/>
      <c r="B17" s="69" t="str">
        <f>IF(ISNA(VLOOKUP(A17,Declarations!B$6:C$293,2,FALSE)),"",IF(VLOOKUP(A17,Declarations!B$6:C$293,2,FALSE)="","---",VLOOKUP(A17,Declarations!B$6:C$293,2,FALSE)))</f>
        <v/>
      </c>
      <c r="C17" s="69" t="str">
        <f>IF(ISNA(VLOOKUP(A17,Declarations!B$6:F$293,5,FALSE)),"",IF(VLOOKUP(A17,Declarations!B$6:F$293,5,FALSE)="","---",VLOOKUP(A17,Declarations!B$6:F$293,5,FALSE)))</f>
        <v/>
      </c>
      <c r="D17" s="69" t="str">
        <f>IF(ISNA(VLOOKUP(A17,Declarations!B$6:F$293,4,FALSE)),"",IF(VLOOKUP(A17,Declarations!B$6:F$293,4,FALSE)="","---",VLOOKUP(A17,Declarations!B$6:F$293,4,FALSE)))</f>
        <v/>
      </c>
      <c r="E17" s="284" t="s">
        <v>161</v>
      </c>
      <c r="F17" s="284" t="s">
        <v>161</v>
      </c>
      <c r="G17" s="284" t="s">
        <v>161</v>
      </c>
      <c r="H17" s="70"/>
    </row>
    <row r="18" spans="1:8" s="24" customFormat="1" ht="20" customHeight="1">
      <c r="A18" s="68"/>
      <c r="B18" s="69" t="str">
        <f>IF(ISNA(VLOOKUP(A18,Declarations!B$6:C$293,2,FALSE)),"",IF(VLOOKUP(A18,Declarations!B$6:C$293,2,FALSE)="","---",VLOOKUP(A18,Declarations!B$6:C$293,2,FALSE)))</f>
        <v/>
      </c>
      <c r="C18" s="69" t="str">
        <f>IF(ISNA(VLOOKUP(A18,Declarations!B$6:F$293,5,FALSE)),"",IF(VLOOKUP(A18,Declarations!B$6:F$293,5,FALSE)="","---",VLOOKUP(A18,Declarations!B$6:F$293,5,FALSE)))</f>
        <v/>
      </c>
      <c r="D18" s="69" t="str">
        <f>IF(ISNA(VLOOKUP(A18,Declarations!B$6:F$293,4,FALSE)),"",IF(VLOOKUP(A18,Declarations!B$6:F$293,4,FALSE)="","---",VLOOKUP(A18,Declarations!B$6:F$293,4,FALSE)))</f>
        <v/>
      </c>
      <c r="E18" s="284" t="s">
        <v>161</v>
      </c>
      <c r="F18" s="284" t="s">
        <v>161</v>
      </c>
      <c r="G18" s="284" t="s">
        <v>161</v>
      </c>
      <c r="H18" s="70"/>
    </row>
    <row r="19" spans="1:8" s="24" customFormat="1" ht="20" customHeight="1">
      <c r="A19" s="68"/>
      <c r="B19" s="69" t="str">
        <f>IF(ISNA(VLOOKUP(A19,Declarations!B$6:C$293,2,FALSE)),"",IF(VLOOKUP(A19,Declarations!B$6:C$293,2,FALSE)="","---",VLOOKUP(A19,Declarations!B$6:C$293,2,FALSE)))</f>
        <v/>
      </c>
      <c r="C19" s="69" t="str">
        <f>IF(ISNA(VLOOKUP(A19,Declarations!B$6:F$293,5,FALSE)),"",IF(VLOOKUP(A19,Declarations!B$6:F$293,5,FALSE)="","---",VLOOKUP(A19,Declarations!B$6:F$293,5,FALSE)))</f>
        <v/>
      </c>
      <c r="D19" s="69" t="str">
        <f>IF(ISNA(VLOOKUP(A19,Declarations!B$6:F$293,4,FALSE)),"",IF(VLOOKUP(A19,Declarations!B$6:F$293,4,FALSE)="","---",VLOOKUP(A19,Declarations!B$6:F$293,4,FALSE)))</f>
        <v/>
      </c>
      <c r="E19" s="284" t="s">
        <v>161</v>
      </c>
      <c r="F19" s="284" t="s">
        <v>161</v>
      </c>
      <c r="G19" s="284" t="s">
        <v>161</v>
      </c>
      <c r="H19" s="70"/>
    </row>
    <row r="20" spans="1:8" s="24" customFormat="1" ht="20" customHeight="1">
      <c r="A20" s="68"/>
      <c r="B20" s="69" t="str">
        <f>IF(ISNA(VLOOKUP(A20,Declarations!B$6:C$293,2,FALSE)),"",IF(VLOOKUP(A20,Declarations!B$6:C$293,2,FALSE)="","---",VLOOKUP(A20,Declarations!B$6:C$293,2,FALSE)))</f>
        <v/>
      </c>
      <c r="C20" s="69" t="str">
        <f>IF(ISNA(VLOOKUP(A20,Declarations!B$6:F$293,5,FALSE)),"",IF(VLOOKUP(A20,Declarations!B$6:F$293,5,FALSE)="","---",VLOOKUP(A20,Declarations!B$6:F$293,5,FALSE)))</f>
        <v/>
      </c>
      <c r="D20" s="69" t="str">
        <f>IF(ISNA(VLOOKUP(A20,Declarations!B$6:F$293,4,FALSE)),"",IF(VLOOKUP(A20,Declarations!B$6:F$293,4,FALSE)="","---",VLOOKUP(A20,Declarations!B$6:F$293,4,FALSE)))</f>
        <v/>
      </c>
      <c r="E20" s="284" t="s">
        <v>161</v>
      </c>
      <c r="F20" s="284" t="s">
        <v>161</v>
      </c>
      <c r="G20" s="284" t="s">
        <v>161</v>
      </c>
      <c r="H20" s="70"/>
    </row>
    <row r="21" spans="1:8" s="24" customFormat="1" ht="20" customHeight="1">
      <c r="A21" s="68"/>
      <c r="B21" s="69" t="str">
        <f>IF(ISNA(VLOOKUP(A21,Declarations!B$6:C$293,2,FALSE)),"",IF(VLOOKUP(A21,Declarations!B$6:C$293,2,FALSE)="","---",VLOOKUP(A21,Declarations!B$6:C$293,2,FALSE)))</f>
        <v/>
      </c>
      <c r="C21" s="69" t="str">
        <f>IF(ISNA(VLOOKUP(A21,Declarations!B$6:F$293,5,FALSE)),"",IF(VLOOKUP(A21,Declarations!B$6:F$293,5,FALSE)="","---",VLOOKUP(A21,Declarations!B$6:F$293,5,FALSE)))</f>
        <v/>
      </c>
      <c r="D21" s="69" t="str">
        <f>IF(ISNA(VLOOKUP(A21,Declarations!B$6:F$293,4,FALSE)),"",IF(VLOOKUP(A21,Declarations!B$6:F$293,4,FALSE)="","---",VLOOKUP(A21,Declarations!B$6:F$293,4,FALSE)))</f>
        <v/>
      </c>
      <c r="E21" s="284" t="s">
        <v>161</v>
      </c>
      <c r="F21" s="284" t="s">
        <v>161</v>
      </c>
      <c r="G21" s="284" t="s">
        <v>161</v>
      </c>
      <c r="H21" s="70"/>
    </row>
    <row r="22" spans="1:8" s="24" customFormat="1" ht="20" customHeight="1">
      <c r="A22" s="68"/>
      <c r="B22" s="69" t="str">
        <f>IF(ISNA(VLOOKUP(A22,Declarations!B$6:C$293,2,FALSE)),"",IF(VLOOKUP(A22,Declarations!B$6:C$293,2,FALSE)="","---",VLOOKUP(A22,Declarations!B$6:C$293,2,FALSE)))</f>
        <v/>
      </c>
      <c r="C22" s="69" t="str">
        <f>IF(ISNA(VLOOKUP(A22,Declarations!B$6:F$293,5,FALSE)),"",IF(VLOOKUP(A22,Declarations!B$6:F$293,5,FALSE)="","---",VLOOKUP(A22,Declarations!B$6:F$293,5,FALSE)))</f>
        <v/>
      </c>
      <c r="D22" s="69" t="str">
        <f>IF(ISNA(VLOOKUP(A22,Declarations!B$6:F$293,4,FALSE)),"",IF(VLOOKUP(A22,Declarations!B$6:F$293,4,FALSE)="","---",VLOOKUP(A22,Declarations!B$6:F$293,4,FALSE)))</f>
        <v/>
      </c>
      <c r="E22" s="284" t="s">
        <v>161</v>
      </c>
      <c r="F22" s="284" t="s">
        <v>161</v>
      </c>
      <c r="G22" s="284" t="s">
        <v>161</v>
      </c>
      <c r="H22" s="70"/>
    </row>
    <row r="23" spans="1:8" s="24" customFormat="1" ht="20" customHeight="1">
      <c r="A23" s="68"/>
      <c r="B23" s="69" t="str">
        <f>IF(ISNA(VLOOKUP(A23,Declarations!B$6:C$293,2,FALSE)),"",IF(VLOOKUP(A23,Declarations!B$6:C$293,2,FALSE)="","---",VLOOKUP(A23,Declarations!B$6:C$293,2,FALSE)))</f>
        <v/>
      </c>
      <c r="C23" s="69" t="str">
        <f>IF(ISNA(VLOOKUP(A23,Declarations!B$6:F$293,5,FALSE)),"",IF(VLOOKUP(A23,Declarations!B$6:F$293,5,FALSE)="","---",VLOOKUP(A23,Declarations!B$6:F$293,5,FALSE)))</f>
        <v/>
      </c>
      <c r="D23" s="69" t="str">
        <f>IF(ISNA(VLOOKUP(A23,Declarations!B$6:F$293,4,FALSE)),"",IF(VLOOKUP(A23,Declarations!B$6:F$293,4,FALSE)="","---",VLOOKUP(A23,Declarations!B$6:F$293,4,FALSE)))</f>
        <v/>
      </c>
      <c r="E23" s="284" t="s">
        <v>161</v>
      </c>
      <c r="F23" s="284" t="s">
        <v>161</v>
      </c>
      <c r="G23" s="284" t="s">
        <v>161</v>
      </c>
      <c r="H23" s="70"/>
    </row>
    <row r="24" spans="1:8" s="24" customFormat="1" ht="20" customHeight="1">
      <c r="A24" s="68"/>
      <c r="B24" s="69" t="str">
        <f>IF(ISNA(VLOOKUP(A24,Declarations!B$6:C$293,2,FALSE)),"",IF(VLOOKUP(A24,Declarations!B$6:C$293,2,FALSE)="","---",VLOOKUP(A24,Declarations!B$6:C$293,2,FALSE)))</f>
        <v/>
      </c>
      <c r="C24" s="69" t="str">
        <f>IF(ISNA(VLOOKUP(A24,Declarations!B$6:F$293,5,FALSE)),"",IF(VLOOKUP(A24,Declarations!B$6:F$293,5,FALSE)="","---",VLOOKUP(A24,Declarations!B$6:F$293,5,FALSE)))</f>
        <v/>
      </c>
      <c r="D24" s="69" t="str">
        <f>IF(ISNA(VLOOKUP(A24,Declarations!B$6:F$293,4,FALSE)),"",IF(VLOOKUP(A24,Declarations!B$6:F$293,4,FALSE)="","---",VLOOKUP(A24,Declarations!B$6:F$293,4,FALSE)))</f>
        <v/>
      </c>
      <c r="E24" s="284" t="s">
        <v>161</v>
      </c>
      <c r="F24" s="284" t="s">
        <v>161</v>
      </c>
      <c r="G24" s="284" t="s">
        <v>161</v>
      </c>
      <c r="H24" s="70"/>
    </row>
    <row r="25" spans="1:8" s="24" customFormat="1" ht="20" customHeight="1">
      <c r="A25" s="68"/>
      <c r="B25" s="69" t="str">
        <f>IF(ISNA(VLOOKUP(A25,Declarations!B$6:C$293,2,FALSE)),"",IF(VLOOKUP(A25,Declarations!B$6:C$293,2,FALSE)="","---",VLOOKUP(A25,Declarations!B$6:C$293,2,FALSE)))</f>
        <v/>
      </c>
      <c r="C25" s="69" t="str">
        <f>IF(ISNA(VLOOKUP(A25,Declarations!B$6:F$293,5,FALSE)),"",IF(VLOOKUP(A25,Declarations!B$6:F$293,5,FALSE)="","---",VLOOKUP(A25,Declarations!B$6:F$293,5,FALSE)))</f>
        <v/>
      </c>
      <c r="D25" s="69" t="str">
        <f>IF(ISNA(VLOOKUP(A25,Declarations!B$6:F$293,4,FALSE)),"",IF(VLOOKUP(A25,Declarations!B$6:F$293,4,FALSE)="","---",VLOOKUP(A25,Declarations!B$6:F$293,4,FALSE)))</f>
        <v/>
      </c>
      <c r="E25" s="284" t="s">
        <v>161</v>
      </c>
      <c r="F25" s="284" t="s">
        <v>161</v>
      </c>
      <c r="G25" s="284" t="s">
        <v>161</v>
      </c>
      <c r="H25" s="70"/>
    </row>
    <row r="26" spans="1:8" s="24" customFormat="1" ht="20" customHeight="1">
      <c r="A26" s="68"/>
      <c r="B26" s="69" t="str">
        <f>IF(ISNA(VLOOKUP(A26,Declarations!B$6:C$293,2,FALSE)),"",IF(VLOOKUP(A26,Declarations!B$6:C$293,2,FALSE)="","---",VLOOKUP(A26,Declarations!B$6:C$293,2,FALSE)))</f>
        <v/>
      </c>
      <c r="C26" s="69" t="str">
        <f>IF(ISNA(VLOOKUP(A26,Declarations!B$6:F$293,5,FALSE)),"",IF(VLOOKUP(A26,Declarations!B$6:F$293,5,FALSE)="","---",VLOOKUP(A26,Declarations!B$6:F$293,5,FALSE)))</f>
        <v/>
      </c>
      <c r="D26" s="69" t="str">
        <f>IF(ISNA(VLOOKUP(A26,Declarations!B$6:F$293,4,FALSE)),"",IF(VLOOKUP(A26,Declarations!B$6:F$293,4,FALSE)="","---",VLOOKUP(A26,Declarations!B$6:F$293,4,FALSE)))</f>
        <v/>
      </c>
      <c r="E26" s="284" t="s">
        <v>161</v>
      </c>
      <c r="F26" s="284" t="s">
        <v>161</v>
      </c>
      <c r="G26" s="284" t="s">
        <v>161</v>
      </c>
      <c r="H26" s="70"/>
    </row>
    <row r="27" spans="1:8" s="24" customFormat="1" ht="20" customHeight="1">
      <c r="A27" s="68"/>
      <c r="B27" s="69" t="str">
        <f>IF(ISNA(VLOOKUP(A27,Declarations!B$6:C$293,2,FALSE)),"",IF(VLOOKUP(A27,Declarations!B$6:C$293,2,FALSE)="","---",VLOOKUP(A27,Declarations!B$6:C$293,2,FALSE)))</f>
        <v/>
      </c>
      <c r="C27" s="69" t="str">
        <f>IF(ISNA(VLOOKUP(A27,Declarations!B$6:F$293,5,FALSE)),"",IF(VLOOKUP(A27,Declarations!B$6:F$293,5,FALSE)="","---",VLOOKUP(A27,Declarations!B$6:F$293,5,FALSE)))</f>
        <v/>
      </c>
      <c r="D27" s="69" t="str">
        <f>IF(ISNA(VLOOKUP(A27,Declarations!B$6:F$293,4,FALSE)),"",IF(VLOOKUP(A27,Declarations!B$6:F$293,4,FALSE)="","---",VLOOKUP(A27,Declarations!B$6:F$293,4,FALSE)))</f>
        <v/>
      </c>
      <c r="E27" s="284" t="s">
        <v>161</v>
      </c>
      <c r="F27" s="284" t="s">
        <v>161</v>
      </c>
      <c r="G27" s="284" t="s">
        <v>161</v>
      </c>
      <c r="H27" s="70"/>
    </row>
    <row r="28" spans="1:8" s="24" customFormat="1" ht="20" customHeight="1">
      <c r="A28" s="68"/>
      <c r="B28" s="69" t="str">
        <f>IF(ISNA(VLOOKUP(A28,Declarations!B$6:C$293,2,FALSE)),"",IF(VLOOKUP(A28,Declarations!B$6:C$293,2,FALSE)="","---",VLOOKUP(A28,Declarations!B$6:C$293,2,FALSE)))</f>
        <v/>
      </c>
      <c r="C28" s="69" t="str">
        <f>IF(ISNA(VLOOKUP(A28,Declarations!B$6:F$293,5,FALSE)),"",IF(VLOOKUP(A28,Declarations!B$6:F$293,5,FALSE)="","---",VLOOKUP(A28,Declarations!B$6:F$293,5,FALSE)))</f>
        <v/>
      </c>
      <c r="D28" s="69" t="str">
        <f>IF(ISNA(VLOOKUP(A28,Declarations!B$6:F$293,4,FALSE)),"",IF(VLOOKUP(A28,Declarations!B$6:F$293,4,FALSE)="","---",VLOOKUP(A28,Declarations!B$6:F$293,4,FALSE)))</f>
        <v/>
      </c>
      <c r="E28" s="284" t="s">
        <v>161</v>
      </c>
      <c r="F28" s="284" t="s">
        <v>161</v>
      </c>
      <c r="G28" s="284" t="s">
        <v>161</v>
      </c>
      <c r="H28" s="70"/>
    </row>
    <row r="29" spans="1:8" s="24" customFormat="1" ht="20" customHeight="1">
      <c r="A29" s="68"/>
      <c r="B29" s="69" t="str">
        <f>IF(ISNA(VLOOKUP(A29,Declarations!B$6:C$293,2,FALSE)),"",IF(VLOOKUP(A29,Declarations!B$6:C$293,2,FALSE)="","---",VLOOKUP(A29,Declarations!B$6:C$293,2,FALSE)))</f>
        <v/>
      </c>
      <c r="C29" s="69" t="str">
        <f>IF(ISNA(VLOOKUP(A29,Declarations!B$6:F$293,5,FALSE)),"",IF(VLOOKUP(A29,Declarations!B$6:F$293,5,FALSE)="","---",VLOOKUP(A29,Declarations!B$6:F$293,5,FALSE)))</f>
        <v/>
      </c>
      <c r="D29" s="69" t="str">
        <f>IF(ISNA(VLOOKUP(A29,Declarations!B$6:F$293,4,FALSE)),"",IF(VLOOKUP(A29,Declarations!B$6:F$293,4,FALSE)="","---",VLOOKUP(A29,Declarations!B$6:F$293,4,FALSE)))</f>
        <v/>
      </c>
      <c r="E29" s="284" t="s">
        <v>161</v>
      </c>
      <c r="F29" s="284" t="s">
        <v>161</v>
      </c>
      <c r="G29" s="284" t="s">
        <v>161</v>
      </c>
      <c r="H29" s="70"/>
    </row>
    <row r="30" spans="1:8" s="24" customFormat="1" ht="20" customHeight="1">
      <c r="A30" s="68"/>
      <c r="B30" s="69" t="str">
        <f>IF(ISNA(VLOOKUP(A30,Declarations!B$6:C$293,2,FALSE)),"",IF(VLOOKUP(A30,Declarations!B$6:C$293,2,FALSE)="","---",VLOOKUP(A30,Declarations!B$6:C$293,2,FALSE)))</f>
        <v/>
      </c>
      <c r="C30" s="69" t="str">
        <f>IF(ISNA(VLOOKUP(A30,Declarations!B$6:F$293,5,FALSE)),"",IF(VLOOKUP(A30,Declarations!B$6:F$293,5,FALSE)="","---",VLOOKUP(A30,Declarations!B$6:F$293,5,FALSE)))</f>
        <v/>
      </c>
      <c r="D30" s="69" t="str">
        <f>IF(ISNA(VLOOKUP(A30,Declarations!B$6:F$293,4,FALSE)),"",IF(VLOOKUP(A30,Declarations!B$6:F$293,4,FALSE)="","---",VLOOKUP(A30,Declarations!B$6:F$293,4,FALSE)))</f>
        <v/>
      </c>
      <c r="E30" s="284" t="s">
        <v>161</v>
      </c>
      <c r="F30" s="284" t="s">
        <v>161</v>
      </c>
      <c r="G30" s="284" t="s">
        <v>161</v>
      </c>
      <c r="H30" s="70"/>
    </row>
    <row r="31" spans="1:8" s="24" customFormat="1" ht="20" customHeight="1">
      <c r="A31" s="68"/>
      <c r="B31" s="69" t="str">
        <f>IF(ISNA(VLOOKUP(A31,Declarations!B$6:C$293,2,FALSE)),"",IF(VLOOKUP(A31,Declarations!B$6:C$293,2,FALSE)="","---",VLOOKUP(A31,Declarations!B$6:C$293,2,FALSE)))</f>
        <v/>
      </c>
      <c r="C31" s="69" t="str">
        <f>IF(ISNA(VLOOKUP(A31,Declarations!B$6:F$293,5,FALSE)),"",IF(VLOOKUP(A31,Declarations!B$6:F$293,5,FALSE)="","---",VLOOKUP(A31,Declarations!B$6:F$293,5,FALSE)))</f>
        <v/>
      </c>
      <c r="D31" s="69" t="str">
        <f>IF(ISNA(VLOOKUP(A31,Declarations!B$6:F$293,4,FALSE)),"",IF(VLOOKUP(A31,Declarations!B$6:F$293,4,FALSE)="","---",VLOOKUP(A31,Declarations!B$6:F$293,4,FALSE)))</f>
        <v/>
      </c>
      <c r="E31" s="284" t="s">
        <v>161</v>
      </c>
      <c r="F31" s="284" t="s">
        <v>161</v>
      </c>
      <c r="G31" s="284" t="s">
        <v>161</v>
      </c>
      <c r="H31" s="70"/>
    </row>
    <row r="32" spans="1:8" s="24" customFormat="1" ht="20" customHeight="1">
      <c r="A32" s="68"/>
      <c r="B32" s="69" t="str">
        <f>IF(ISNA(VLOOKUP(A32,Declarations!B$6:C$293,2,FALSE)),"",IF(VLOOKUP(A32,Declarations!B$6:C$293,2,FALSE)="","---",VLOOKUP(A32,Declarations!B$6:C$293,2,FALSE)))</f>
        <v/>
      </c>
      <c r="C32" s="69" t="str">
        <f>IF(ISNA(VLOOKUP(A32,Declarations!B$6:F$293,5,FALSE)),"",IF(VLOOKUP(A32,Declarations!B$6:F$293,5,FALSE)="","---",VLOOKUP(A32,Declarations!B$6:F$293,5,FALSE)))</f>
        <v/>
      </c>
      <c r="D32" s="69" t="str">
        <f>IF(ISNA(VLOOKUP(A32,Declarations!B$6:F$293,4,FALSE)),"",IF(VLOOKUP(A32,Declarations!B$6:F$293,4,FALSE)="","---",VLOOKUP(A32,Declarations!B$6:F$293,4,FALSE)))</f>
        <v/>
      </c>
      <c r="E32" s="284" t="s">
        <v>161</v>
      </c>
      <c r="F32" s="284" t="s">
        <v>161</v>
      </c>
      <c r="G32" s="284" t="s">
        <v>161</v>
      </c>
      <c r="H32" s="70"/>
    </row>
    <row r="33" spans="1:8" s="24" customFormat="1" ht="20" customHeight="1">
      <c r="A33" s="68"/>
      <c r="B33" s="69" t="str">
        <f>IF(ISNA(VLOOKUP(A33,Declarations!B$6:C$293,2,FALSE)),"",IF(VLOOKUP(A33,Declarations!B$6:C$293,2,FALSE)="","---",VLOOKUP(A33,Declarations!B$6:C$293,2,FALSE)))</f>
        <v/>
      </c>
      <c r="C33" s="69" t="str">
        <f>IF(ISNA(VLOOKUP(A33,Declarations!B$6:F$293,5,FALSE)),"",IF(VLOOKUP(A33,Declarations!B$6:F$293,5,FALSE)="","---",VLOOKUP(A33,Declarations!B$6:F$293,5,FALSE)))</f>
        <v/>
      </c>
      <c r="D33" s="69" t="str">
        <f>IF(ISNA(VLOOKUP(A33,Declarations!B$6:F$293,4,FALSE)),"",IF(VLOOKUP(A33,Declarations!B$6:F$293,4,FALSE)="","---",VLOOKUP(A33,Declarations!B$6:F$293,4,FALSE)))</f>
        <v/>
      </c>
      <c r="E33" s="284" t="s">
        <v>161</v>
      </c>
      <c r="F33" s="284" t="s">
        <v>161</v>
      </c>
      <c r="G33" s="284" t="s">
        <v>161</v>
      </c>
      <c r="H33" s="70"/>
    </row>
    <row r="34" spans="1:8" s="24" customFormat="1" ht="20" customHeight="1">
      <c r="A34" s="68"/>
      <c r="B34" s="69" t="str">
        <f>IF(ISNA(VLOOKUP(A34,Declarations!B$6:C$293,2,FALSE)),"",IF(VLOOKUP(A34,Declarations!B$6:C$293,2,FALSE)="","---",VLOOKUP(A34,Declarations!B$6:C$293,2,FALSE)))</f>
        <v/>
      </c>
      <c r="C34" s="69" t="str">
        <f>IF(ISNA(VLOOKUP(A34,Declarations!B$6:F$293,5,FALSE)),"",IF(VLOOKUP(A34,Declarations!B$6:F$293,5,FALSE)="","---",VLOOKUP(A34,Declarations!B$6:F$293,5,FALSE)))</f>
        <v/>
      </c>
      <c r="D34" s="69" t="str">
        <f>IF(ISNA(VLOOKUP(A34,Declarations!B$6:F$293,4,FALSE)),"",IF(VLOOKUP(A34,Declarations!B$6:F$293,4,FALSE)="","---",VLOOKUP(A34,Declarations!B$6:F$293,4,FALSE)))</f>
        <v/>
      </c>
      <c r="E34" s="284" t="s">
        <v>161</v>
      </c>
      <c r="F34" s="284" t="s">
        <v>161</v>
      </c>
      <c r="G34" s="284" t="s">
        <v>161</v>
      </c>
      <c r="H34" s="70"/>
    </row>
    <row r="35" spans="1:8" ht="16" customHeight="1">
      <c r="A35" s="71"/>
      <c r="B35" s="72"/>
      <c r="C35" s="72"/>
      <c r="D35" s="72"/>
      <c r="E35" s="73"/>
      <c r="F35" s="73"/>
      <c r="G35" s="73"/>
      <c r="H35" s="73"/>
    </row>
    <row r="36" spans="1:8" ht="16" customHeight="1">
      <c r="A36" s="71"/>
      <c r="B36" s="510" t="s">
        <v>92</v>
      </c>
      <c r="C36" s="511"/>
      <c r="D36" s="72"/>
      <c r="E36" s="509" t="s">
        <v>93</v>
      </c>
      <c r="F36" s="509"/>
      <c r="G36" s="501" t="s">
        <v>43</v>
      </c>
      <c r="H36" s="501"/>
    </row>
    <row r="37" spans="1:8" ht="16" customHeight="1">
      <c r="A37" s="71"/>
      <c r="B37" s="512"/>
      <c r="C37" s="513"/>
      <c r="D37" s="72"/>
      <c r="E37" s="501"/>
      <c r="F37" s="501"/>
      <c r="G37" s="501"/>
      <c r="H37" s="501"/>
    </row>
    <row r="38" spans="1:8" ht="16" customHeight="1">
      <c r="A38" s="71"/>
      <c r="B38" s="512"/>
      <c r="C38" s="513"/>
      <c r="D38" s="72"/>
      <c r="E38" s="501"/>
      <c r="F38" s="501"/>
      <c r="G38" s="501"/>
      <c r="H38" s="501"/>
    </row>
    <row r="39" spans="1:8" ht="16" customHeight="1">
      <c r="A39" s="71"/>
      <c r="B39" s="514"/>
      <c r="C39" s="515"/>
      <c r="D39" s="72"/>
      <c r="E39" s="501"/>
      <c r="F39" s="501"/>
      <c r="G39" s="501"/>
      <c r="H39" s="501"/>
    </row>
    <row r="40" spans="1:8" ht="8" customHeight="1">
      <c r="A40" s="71"/>
      <c r="B40" s="72"/>
      <c r="C40" s="72"/>
      <c r="D40" s="72"/>
      <c r="E40" s="97"/>
      <c r="F40" s="97"/>
      <c r="G40" s="97"/>
      <c r="H40" s="97"/>
    </row>
    <row r="41" spans="1:8" ht="20" customHeight="1">
      <c r="A41" s="502" t="str">
        <f>'Read Me First'!A1:F1</f>
        <v>Oxfordshire Track and Field League 2026</v>
      </c>
      <c r="B41" s="503"/>
      <c r="C41" s="503"/>
      <c r="D41" s="503"/>
      <c r="E41" s="503"/>
      <c r="F41" s="503"/>
      <c r="G41" s="503"/>
      <c r="H41" s="504"/>
    </row>
    <row r="42" spans="1:8" ht="18" customHeight="1">
      <c r="A42" s="61" t="s">
        <v>12</v>
      </c>
      <c r="B42" s="62">
        <f>'Read Me First'!$C$10</f>
        <v>46250</v>
      </c>
      <c r="C42" s="96">
        <v>0.54166666666666663</v>
      </c>
      <c r="D42" s="61" t="s">
        <v>13</v>
      </c>
      <c r="E42" s="505" t="str">
        <f>$E$2</f>
        <v>Banbury</v>
      </c>
      <c r="F42" s="506"/>
      <c r="G42" s="506"/>
      <c r="H42" s="507"/>
    </row>
    <row r="43" spans="1:8" ht="18" customHeight="1">
      <c r="A43" s="508" t="s">
        <v>74</v>
      </c>
      <c r="B43" s="508"/>
      <c r="C43" s="508"/>
      <c r="D43" s="508"/>
      <c r="E43" s="60">
        <v>1</v>
      </c>
      <c r="F43" s="60">
        <v>2</v>
      </c>
      <c r="G43" s="60">
        <v>3</v>
      </c>
      <c r="H43" s="60" t="s">
        <v>42</v>
      </c>
    </row>
    <row r="44" spans="1:8" ht="18" customHeight="1">
      <c r="A44" s="66"/>
      <c r="B44" s="66"/>
      <c r="C44" s="66"/>
      <c r="D44" s="66"/>
      <c r="E44" s="67"/>
      <c r="F44" s="67"/>
      <c r="G44" s="67"/>
      <c r="H44" s="67"/>
    </row>
    <row r="45" spans="1:8" ht="20" customHeight="1">
      <c r="A45" s="68" t="str" cm="1">
        <f t="array" ref="A45">IFERROR(_xlfn.TEXTSPLIT(IFERROR(_xlfn.TEXTJOIN(",",TRUE,_xlfn._xlws.FILTER(BlockAllocations!$F$3:$F$20,BlockAllocations!$E$3:$E$20=BlockAllocations!$G$7)),""),,",")+0,"!")</f>
        <v>!</v>
      </c>
      <c r="B45" s="69" t="str">
        <f>IF(ISNA(VLOOKUP(A45,Declarations!B$6:C$293,2,FALSE)),"",IF(VLOOKUP(A45,Declarations!B$6:C$293,2,FALSE)="","---",VLOOKUP(A45,Declarations!B$6:C$293,2,FALSE)))</f>
        <v/>
      </c>
      <c r="C45" s="69" t="str">
        <f>IF(ISNA(VLOOKUP(A45,Declarations!B$6:F$293,5,FALSE)),"",IF(VLOOKUP(A45,Declarations!B$6:F$293,5,FALSE)="","---",VLOOKUP(A45,Declarations!B$6:F$293,5,FALSE)))</f>
        <v/>
      </c>
      <c r="D45" s="69" t="str">
        <f>IF(ISNA(VLOOKUP(A45,Declarations!B$6:F$293,4,FALSE)),"",IF(VLOOKUP(A45,Declarations!B$6:F$293,4,FALSE)="","---",VLOOKUP(A45,Declarations!B$6:F$293,4,FALSE)))</f>
        <v/>
      </c>
      <c r="E45" s="284" t="s">
        <v>161</v>
      </c>
      <c r="F45" s="284" t="s">
        <v>161</v>
      </c>
      <c r="G45" s="284" t="s">
        <v>161</v>
      </c>
      <c r="H45" s="70"/>
    </row>
    <row r="46" spans="1:8" ht="20" customHeight="1">
      <c r="A46" s="68"/>
      <c r="B46" s="69" t="str">
        <f>IF(ISNA(VLOOKUP(A46,Declarations!B$6:C$293,2,FALSE)),"",IF(VLOOKUP(A46,Declarations!B$6:C$293,2,FALSE)="","---",VLOOKUP(A46,Declarations!B$6:C$293,2,FALSE)))</f>
        <v/>
      </c>
      <c r="C46" s="69" t="str">
        <f>IF(ISNA(VLOOKUP(A46,Declarations!B$6:F$293,5,FALSE)),"",IF(VLOOKUP(A46,Declarations!B$6:F$293,5,FALSE)="","---",VLOOKUP(A46,Declarations!B$6:F$293,5,FALSE)))</f>
        <v/>
      </c>
      <c r="D46" s="69" t="str">
        <f>IF(ISNA(VLOOKUP(A46,Declarations!B$6:F$293,4,FALSE)),"",IF(VLOOKUP(A46,Declarations!B$6:F$293,4,FALSE)="","---",VLOOKUP(A46,Declarations!B$6:F$293,4,FALSE)))</f>
        <v/>
      </c>
      <c r="E46" s="284" t="s">
        <v>161</v>
      </c>
      <c r="F46" s="284" t="s">
        <v>161</v>
      </c>
      <c r="G46" s="284" t="s">
        <v>161</v>
      </c>
      <c r="H46" s="70"/>
    </row>
    <row r="47" spans="1:8" ht="20" customHeight="1">
      <c r="A47" s="68"/>
      <c r="B47" s="69" t="str">
        <f>IF(ISNA(VLOOKUP(A47,Declarations!B$6:C$293,2,FALSE)),"",IF(VLOOKUP(A47,Declarations!B$6:C$293,2,FALSE)="","---",VLOOKUP(A47,Declarations!B$6:C$293,2,FALSE)))</f>
        <v/>
      </c>
      <c r="C47" s="69" t="str">
        <f>IF(ISNA(VLOOKUP(A47,Declarations!B$6:F$293,5,FALSE)),"",IF(VLOOKUP(A47,Declarations!B$6:F$293,5,FALSE)="","---",VLOOKUP(A47,Declarations!B$6:F$293,5,FALSE)))</f>
        <v/>
      </c>
      <c r="D47" s="69" t="str">
        <f>IF(ISNA(VLOOKUP(A47,Declarations!B$6:F$293,4,FALSE)),"",IF(VLOOKUP(A47,Declarations!B$6:F$293,4,FALSE)="","---",VLOOKUP(A47,Declarations!B$6:F$293,4,FALSE)))</f>
        <v/>
      </c>
      <c r="E47" s="284" t="s">
        <v>161</v>
      </c>
      <c r="F47" s="284" t="s">
        <v>161</v>
      </c>
      <c r="G47" s="284" t="s">
        <v>161</v>
      </c>
      <c r="H47" s="70"/>
    </row>
    <row r="48" spans="1:8" ht="20" customHeight="1">
      <c r="A48" s="68"/>
      <c r="B48" s="69" t="str">
        <f>IF(ISNA(VLOOKUP(A48,Declarations!B$6:C$293,2,FALSE)),"",IF(VLOOKUP(A48,Declarations!B$6:C$293,2,FALSE)="","---",VLOOKUP(A48,Declarations!B$6:C$293,2,FALSE)))</f>
        <v/>
      </c>
      <c r="C48" s="69" t="str">
        <f>IF(ISNA(VLOOKUP(A48,Declarations!B$6:F$293,5,FALSE)),"",IF(VLOOKUP(A48,Declarations!B$6:F$293,5,FALSE)="","---",VLOOKUP(A48,Declarations!B$6:F$293,5,FALSE)))</f>
        <v/>
      </c>
      <c r="D48" s="69" t="str">
        <f>IF(ISNA(VLOOKUP(A48,Declarations!B$6:F$293,4,FALSE)),"",IF(VLOOKUP(A48,Declarations!B$6:F$293,4,FALSE)="","---",VLOOKUP(A48,Declarations!B$6:F$293,4,FALSE)))</f>
        <v/>
      </c>
      <c r="E48" s="284" t="s">
        <v>161</v>
      </c>
      <c r="F48" s="284" t="s">
        <v>161</v>
      </c>
      <c r="G48" s="284" t="s">
        <v>161</v>
      </c>
      <c r="H48" s="70"/>
    </row>
    <row r="49" spans="1:8" ht="20" customHeight="1">
      <c r="A49" s="68"/>
      <c r="B49" s="69" t="str">
        <f>IF(ISNA(VLOOKUP(A49,Declarations!B$6:C$293,2,FALSE)),"",IF(VLOOKUP(A49,Declarations!B$6:C$293,2,FALSE)="","---",VLOOKUP(A49,Declarations!B$6:C$293,2,FALSE)))</f>
        <v/>
      </c>
      <c r="C49" s="69" t="str">
        <f>IF(ISNA(VLOOKUP(A49,Declarations!B$6:F$293,5,FALSE)),"",IF(VLOOKUP(A49,Declarations!B$6:F$293,5,FALSE)="","---",VLOOKUP(A49,Declarations!B$6:F$293,5,FALSE)))</f>
        <v/>
      </c>
      <c r="D49" s="69" t="str">
        <f>IF(ISNA(VLOOKUP(A49,Declarations!B$6:F$293,4,FALSE)),"",IF(VLOOKUP(A49,Declarations!B$6:F$293,4,FALSE)="","---",VLOOKUP(A49,Declarations!B$6:F$293,4,FALSE)))</f>
        <v/>
      </c>
      <c r="E49" s="284" t="s">
        <v>161</v>
      </c>
      <c r="F49" s="284" t="s">
        <v>161</v>
      </c>
      <c r="G49" s="284" t="s">
        <v>161</v>
      </c>
      <c r="H49" s="70"/>
    </row>
    <row r="50" spans="1:8" ht="20" customHeight="1">
      <c r="A50" s="68"/>
      <c r="B50" s="69" t="str">
        <f>IF(ISNA(VLOOKUP(A50,Declarations!B$6:C$293,2,FALSE)),"",IF(VLOOKUP(A50,Declarations!B$6:C$293,2,FALSE)="","---",VLOOKUP(A50,Declarations!B$6:C$293,2,FALSE)))</f>
        <v/>
      </c>
      <c r="C50" s="69" t="str">
        <f>IF(ISNA(VLOOKUP(A50,Declarations!B$6:F$293,5,FALSE)),"",IF(VLOOKUP(A50,Declarations!B$6:F$293,5,FALSE)="","---",VLOOKUP(A50,Declarations!B$6:F$293,5,FALSE)))</f>
        <v/>
      </c>
      <c r="D50" s="69" t="str">
        <f>IF(ISNA(VLOOKUP(A50,Declarations!B$6:F$293,4,FALSE)),"",IF(VLOOKUP(A50,Declarations!B$6:F$293,4,FALSE)="","---",VLOOKUP(A50,Declarations!B$6:F$293,4,FALSE)))</f>
        <v/>
      </c>
      <c r="E50" s="284" t="s">
        <v>161</v>
      </c>
      <c r="F50" s="284" t="s">
        <v>161</v>
      </c>
      <c r="G50" s="284" t="s">
        <v>161</v>
      </c>
      <c r="H50" s="70"/>
    </row>
    <row r="51" spans="1:8" ht="20" customHeight="1">
      <c r="A51" s="68"/>
      <c r="B51" s="69" t="str">
        <f>IF(ISNA(VLOOKUP(A51,Declarations!B$6:C$293,2,FALSE)),"",IF(VLOOKUP(A51,Declarations!B$6:C$293,2,FALSE)="","---",VLOOKUP(A51,Declarations!B$6:C$293,2,FALSE)))</f>
        <v/>
      </c>
      <c r="C51" s="69" t="str">
        <f>IF(ISNA(VLOOKUP(A51,Declarations!B$6:F$293,5,FALSE)),"",IF(VLOOKUP(A51,Declarations!B$6:F$293,5,FALSE)="","---",VLOOKUP(A51,Declarations!B$6:F$293,5,FALSE)))</f>
        <v/>
      </c>
      <c r="D51" s="69" t="str">
        <f>IF(ISNA(VLOOKUP(A51,Declarations!B$6:F$293,4,FALSE)),"",IF(VLOOKUP(A51,Declarations!B$6:F$293,4,FALSE)="","---",VLOOKUP(A51,Declarations!B$6:F$293,4,FALSE)))</f>
        <v/>
      </c>
      <c r="E51" s="284" t="s">
        <v>161</v>
      </c>
      <c r="F51" s="284" t="s">
        <v>161</v>
      </c>
      <c r="G51" s="284" t="s">
        <v>161</v>
      </c>
      <c r="H51" s="70"/>
    </row>
    <row r="52" spans="1:8" ht="20" customHeight="1">
      <c r="A52" s="68"/>
      <c r="B52" s="69" t="str">
        <f>IF(ISNA(VLOOKUP(A52,Declarations!B$6:C$293,2,FALSE)),"",IF(VLOOKUP(A52,Declarations!B$6:C$293,2,FALSE)="","---",VLOOKUP(A52,Declarations!B$6:C$293,2,FALSE)))</f>
        <v/>
      </c>
      <c r="C52" s="69" t="str">
        <f>IF(ISNA(VLOOKUP(A52,Declarations!B$6:F$293,5,FALSE)),"",IF(VLOOKUP(A52,Declarations!B$6:F$293,5,FALSE)="","---",VLOOKUP(A52,Declarations!B$6:F$293,5,FALSE)))</f>
        <v/>
      </c>
      <c r="D52" s="69" t="str">
        <f>IF(ISNA(VLOOKUP(A52,Declarations!B$6:F$293,4,FALSE)),"",IF(VLOOKUP(A52,Declarations!B$6:F$293,4,FALSE)="","---",VLOOKUP(A52,Declarations!B$6:F$293,4,FALSE)))</f>
        <v/>
      </c>
      <c r="E52" s="284" t="s">
        <v>161</v>
      </c>
      <c r="F52" s="284" t="s">
        <v>161</v>
      </c>
      <c r="G52" s="284" t="s">
        <v>161</v>
      </c>
      <c r="H52" s="70"/>
    </row>
    <row r="53" spans="1:8" ht="20" customHeight="1">
      <c r="A53" s="68"/>
      <c r="B53" s="69" t="str">
        <f>IF(ISNA(VLOOKUP(A53,Declarations!B$6:C$293,2,FALSE)),"",IF(VLOOKUP(A53,Declarations!B$6:C$293,2,FALSE)="","---",VLOOKUP(A53,Declarations!B$6:C$293,2,FALSE)))</f>
        <v/>
      </c>
      <c r="C53" s="69" t="str">
        <f>IF(ISNA(VLOOKUP(A53,Declarations!B$6:F$293,5,FALSE)),"",IF(VLOOKUP(A53,Declarations!B$6:F$293,5,FALSE)="","---",VLOOKUP(A53,Declarations!B$6:F$293,5,FALSE)))</f>
        <v/>
      </c>
      <c r="D53" s="69" t="str">
        <f>IF(ISNA(VLOOKUP(A53,Declarations!B$6:F$293,4,FALSE)),"",IF(VLOOKUP(A53,Declarations!B$6:F$293,4,FALSE)="","---",VLOOKUP(A53,Declarations!B$6:F$293,4,FALSE)))</f>
        <v/>
      </c>
      <c r="E53" s="284" t="s">
        <v>161</v>
      </c>
      <c r="F53" s="284" t="s">
        <v>161</v>
      </c>
      <c r="G53" s="284" t="s">
        <v>161</v>
      </c>
      <c r="H53" s="70"/>
    </row>
    <row r="54" spans="1:8" ht="20" customHeight="1">
      <c r="A54" s="68"/>
      <c r="B54" s="69" t="str">
        <f>IF(ISNA(VLOOKUP(A54,Declarations!B$6:C$293,2,FALSE)),"",IF(VLOOKUP(A54,Declarations!B$6:C$293,2,FALSE)="","---",VLOOKUP(A54,Declarations!B$6:C$293,2,FALSE)))</f>
        <v/>
      </c>
      <c r="C54" s="69" t="str">
        <f>IF(ISNA(VLOOKUP(A54,Declarations!B$6:F$293,5,FALSE)),"",IF(VLOOKUP(A54,Declarations!B$6:F$293,5,FALSE)="","---",VLOOKUP(A54,Declarations!B$6:F$293,5,FALSE)))</f>
        <v/>
      </c>
      <c r="D54" s="69" t="str">
        <f>IF(ISNA(VLOOKUP(A54,Declarations!B$6:F$293,4,FALSE)),"",IF(VLOOKUP(A54,Declarations!B$6:F$293,4,FALSE)="","---",VLOOKUP(A54,Declarations!B$6:F$293,4,FALSE)))</f>
        <v/>
      </c>
      <c r="E54" s="284" t="s">
        <v>161</v>
      </c>
      <c r="F54" s="284" t="s">
        <v>161</v>
      </c>
      <c r="G54" s="284" t="s">
        <v>161</v>
      </c>
      <c r="H54" s="70"/>
    </row>
    <row r="55" spans="1:8" ht="20" customHeight="1">
      <c r="A55" s="68"/>
      <c r="B55" s="69" t="str">
        <f>IF(ISNA(VLOOKUP(A55,Declarations!B$6:C$293,2,FALSE)),"",IF(VLOOKUP(A55,Declarations!B$6:C$293,2,FALSE)="","---",VLOOKUP(A55,Declarations!B$6:C$293,2,FALSE)))</f>
        <v/>
      </c>
      <c r="C55" s="69" t="str">
        <f>IF(ISNA(VLOOKUP(A55,Declarations!B$6:F$293,5,FALSE)),"",IF(VLOOKUP(A55,Declarations!B$6:F$293,5,FALSE)="","---",VLOOKUP(A55,Declarations!B$6:F$293,5,FALSE)))</f>
        <v/>
      </c>
      <c r="D55" s="69" t="str">
        <f>IF(ISNA(VLOOKUP(A55,Declarations!B$6:F$293,4,FALSE)),"",IF(VLOOKUP(A55,Declarations!B$6:F$293,4,FALSE)="","---",VLOOKUP(A55,Declarations!B$6:F$293,4,FALSE)))</f>
        <v/>
      </c>
      <c r="E55" s="284" t="s">
        <v>161</v>
      </c>
      <c r="F55" s="284" t="s">
        <v>161</v>
      </c>
      <c r="G55" s="284" t="s">
        <v>161</v>
      </c>
      <c r="H55" s="70"/>
    </row>
    <row r="56" spans="1:8" ht="20" customHeight="1">
      <c r="A56" s="68"/>
      <c r="B56" s="69" t="str">
        <f>IF(ISNA(VLOOKUP(A56,Declarations!B$6:C$293,2,FALSE)),"",IF(VLOOKUP(A56,Declarations!B$6:C$293,2,FALSE)="","---",VLOOKUP(A56,Declarations!B$6:C$293,2,FALSE)))</f>
        <v/>
      </c>
      <c r="C56" s="69" t="str">
        <f>IF(ISNA(VLOOKUP(A56,Declarations!B$6:F$293,5,FALSE)),"",IF(VLOOKUP(A56,Declarations!B$6:F$293,5,FALSE)="","---",VLOOKUP(A56,Declarations!B$6:F$293,5,FALSE)))</f>
        <v/>
      </c>
      <c r="D56" s="69" t="str">
        <f>IF(ISNA(VLOOKUP(A56,Declarations!B$6:F$293,4,FALSE)),"",IF(VLOOKUP(A56,Declarations!B$6:F$293,4,FALSE)="","---",VLOOKUP(A56,Declarations!B$6:F$293,4,FALSE)))</f>
        <v/>
      </c>
      <c r="E56" s="284" t="s">
        <v>161</v>
      </c>
      <c r="F56" s="284" t="s">
        <v>161</v>
      </c>
      <c r="G56" s="284" t="s">
        <v>161</v>
      </c>
      <c r="H56" s="70"/>
    </row>
    <row r="57" spans="1:8" ht="20" customHeight="1">
      <c r="A57" s="68"/>
      <c r="B57" s="69" t="str">
        <f>IF(ISNA(VLOOKUP(A57,Declarations!B$6:C$293,2,FALSE)),"",IF(VLOOKUP(A57,Declarations!B$6:C$293,2,FALSE)="","---",VLOOKUP(A57,Declarations!B$6:C$293,2,FALSE)))</f>
        <v/>
      </c>
      <c r="C57" s="69" t="str">
        <f>IF(ISNA(VLOOKUP(A57,Declarations!B$6:F$293,5,FALSE)),"",IF(VLOOKUP(A57,Declarations!B$6:F$293,5,FALSE)="","---",VLOOKUP(A57,Declarations!B$6:F$293,5,FALSE)))</f>
        <v/>
      </c>
      <c r="D57" s="69" t="str">
        <f>IF(ISNA(VLOOKUP(A57,Declarations!B$6:F$293,4,FALSE)),"",IF(VLOOKUP(A57,Declarations!B$6:F$293,4,FALSE)="","---",VLOOKUP(A57,Declarations!B$6:F$293,4,FALSE)))</f>
        <v/>
      </c>
      <c r="E57" s="284" t="s">
        <v>161</v>
      </c>
      <c r="F57" s="284" t="s">
        <v>161</v>
      </c>
      <c r="G57" s="284" t="s">
        <v>161</v>
      </c>
      <c r="H57" s="70"/>
    </row>
    <row r="58" spans="1:8" ht="20" customHeight="1">
      <c r="A58" s="68"/>
      <c r="B58" s="69" t="str">
        <f>IF(ISNA(VLOOKUP(A58,Declarations!B$6:C$293,2,FALSE)),"",IF(VLOOKUP(A58,Declarations!B$6:C$293,2,FALSE)="","---",VLOOKUP(A58,Declarations!B$6:C$293,2,FALSE)))</f>
        <v/>
      </c>
      <c r="C58" s="69" t="str">
        <f>IF(ISNA(VLOOKUP(A58,Declarations!B$6:F$293,5,FALSE)),"",IF(VLOOKUP(A58,Declarations!B$6:F$293,5,FALSE)="","---",VLOOKUP(A58,Declarations!B$6:F$293,5,FALSE)))</f>
        <v/>
      </c>
      <c r="D58" s="69" t="str">
        <f>IF(ISNA(VLOOKUP(A58,Declarations!B$6:F$293,4,FALSE)),"",IF(VLOOKUP(A58,Declarations!B$6:F$293,4,FALSE)="","---",VLOOKUP(A58,Declarations!B$6:F$293,4,FALSE)))</f>
        <v/>
      </c>
      <c r="E58" s="284" t="s">
        <v>161</v>
      </c>
      <c r="F58" s="284" t="s">
        <v>161</v>
      </c>
      <c r="G58" s="284" t="s">
        <v>161</v>
      </c>
      <c r="H58" s="70"/>
    </row>
    <row r="59" spans="1:8" ht="20" customHeight="1">
      <c r="A59" s="68"/>
      <c r="B59" s="69" t="str">
        <f>IF(ISNA(VLOOKUP(A59,Declarations!B$6:C$293,2,FALSE)),"",IF(VLOOKUP(A59,Declarations!B$6:C$293,2,FALSE)="","---",VLOOKUP(A59,Declarations!B$6:C$293,2,FALSE)))</f>
        <v/>
      </c>
      <c r="C59" s="69" t="str">
        <f>IF(ISNA(VLOOKUP(A59,Declarations!B$6:F$293,5,FALSE)),"",IF(VLOOKUP(A59,Declarations!B$6:F$293,5,FALSE)="","---",VLOOKUP(A59,Declarations!B$6:F$293,5,FALSE)))</f>
        <v/>
      </c>
      <c r="D59" s="69" t="str">
        <f>IF(ISNA(VLOOKUP(A59,Declarations!B$6:F$293,4,FALSE)),"",IF(VLOOKUP(A59,Declarations!B$6:F$293,4,FALSE)="","---",VLOOKUP(A59,Declarations!B$6:F$293,4,FALSE)))</f>
        <v/>
      </c>
      <c r="E59" s="284" t="s">
        <v>161</v>
      </c>
      <c r="F59" s="284" t="s">
        <v>161</v>
      </c>
      <c r="G59" s="284" t="s">
        <v>161</v>
      </c>
      <c r="H59" s="70"/>
    </row>
    <row r="60" spans="1:8" ht="20" customHeight="1">
      <c r="A60" s="68"/>
      <c r="B60" s="69" t="str">
        <f>IF(ISNA(VLOOKUP(A60,Declarations!B$6:C$293,2,FALSE)),"",IF(VLOOKUP(A60,Declarations!B$6:C$293,2,FALSE)="","---",VLOOKUP(A60,Declarations!B$6:C$293,2,FALSE)))</f>
        <v/>
      </c>
      <c r="C60" s="69" t="str">
        <f>IF(ISNA(VLOOKUP(A60,Declarations!B$6:F$293,5,FALSE)),"",IF(VLOOKUP(A60,Declarations!B$6:F$293,5,FALSE)="","---",VLOOKUP(A60,Declarations!B$6:F$293,5,FALSE)))</f>
        <v/>
      </c>
      <c r="D60" s="69" t="str">
        <f>IF(ISNA(VLOOKUP(A60,Declarations!B$6:F$293,4,FALSE)),"",IF(VLOOKUP(A60,Declarations!B$6:F$293,4,FALSE)="","---",VLOOKUP(A60,Declarations!B$6:F$293,4,FALSE)))</f>
        <v/>
      </c>
      <c r="E60" s="284" t="s">
        <v>161</v>
      </c>
      <c r="F60" s="284" t="s">
        <v>161</v>
      </c>
      <c r="G60" s="284" t="s">
        <v>161</v>
      </c>
      <c r="H60" s="70"/>
    </row>
    <row r="61" spans="1:8" ht="20" customHeight="1">
      <c r="A61" s="68"/>
      <c r="B61" s="69" t="str">
        <f>IF(ISNA(VLOOKUP(A61,Declarations!B$6:C$293,2,FALSE)),"",IF(VLOOKUP(A61,Declarations!B$6:C$293,2,FALSE)="","---",VLOOKUP(A61,Declarations!B$6:C$293,2,FALSE)))</f>
        <v/>
      </c>
      <c r="C61" s="69" t="str">
        <f>IF(ISNA(VLOOKUP(A61,Declarations!B$6:F$293,5,FALSE)),"",IF(VLOOKUP(A61,Declarations!B$6:F$293,5,FALSE)="","---",VLOOKUP(A61,Declarations!B$6:F$293,5,FALSE)))</f>
        <v/>
      </c>
      <c r="D61" s="69" t="str">
        <f>IF(ISNA(VLOOKUP(A61,Declarations!B$6:F$293,4,FALSE)),"",IF(VLOOKUP(A61,Declarations!B$6:F$293,4,FALSE)="","---",VLOOKUP(A61,Declarations!B$6:F$293,4,FALSE)))</f>
        <v/>
      </c>
      <c r="E61" s="284" t="s">
        <v>161</v>
      </c>
      <c r="F61" s="284" t="s">
        <v>161</v>
      </c>
      <c r="G61" s="284" t="s">
        <v>161</v>
      </c>
      <c r="H61" s="70"/>
    </row>
    <row r="62" spans="1:8" ht="20" customHeight="1">
      <c r="A62" s="68"/>
      <c r="B62" s="69" t="str">
        <f>IF(ISNA(VLOOKUP(A62,Declarations!B$6:C$293,2,FALSE)),"",IF(VLOOKUP(A62,Declarations!B$6:C$293,2,FALSE)="","---",VLOOKUP(A62,Declarations!B$6:C$293,2,FALSE)))</f>
        <v/>
      </c>
      <c r="C62" s="69" t="str">
        <f>IF(ISNA(VLOOKUP(A62,Declarations!B$6:F$293,5,FALSE)),"",IF(VLOOKUP(A62,Declarations!B$6:F$293,5,FALSE)="","---",VLOOKUP(A62,Declarations!B$6:F$293,5,FALSE)))</f>
        <v/>
      </c>
      <c r="D62" s="69" t="str">
        <f>IF(ISNA(VLOOKUP(A62,Declarations!B$6:F$293,4,FALSE)),"",IF(VLOOKUP(A62,Declarations!B$6:F$293,4,FALSE)="","---",VLOOKUP(A62,Declarations!B$6:F$293,4,FALSE)))</f>
        <v/>
      </c>
      <c r="E62" s="284" t="s">
        <v>161</v>
      </c>
      <c r="F62" s="284" t="s">
        <v>161</v>
      </c>
      <c r="G62" s="284" t="s">
        <v>161</v>
      </c>
      <c r="H62" s="70"/>
    </row>
    <row r="63" spans="1:8" ht="20" customHeight="1">
      <c r="A63" s="68"/>
      <c r="B63" s="69" t="str">
        <f>IF(ISNA(VLOOKUP(A63,Declarations!B$6:C$293,2,FALSE)),"",IF(VLOOKUP(A63,Declarations!B$6:C$293,2,FALSE)="","---",VLOOKUP(A63,Declarations!B$6:C$293,2,FALSE)))</f>
        <v/>
      </c>
      <c r="C63" s="69" t="str">
        <f>IF(ISNA(VLOOKUP(A63,Declarations!B$6:F$293,5,FALSE)),"",IF(VLOOKUP(A63,Declarations!B$6:F$293,5,FALSE)="","---",VLOOKUP(A63,Declarations!B$6:F$293,5,FALSE)))</f>
        <v/>
      </c>
      <c r="D63" s="69" t="str">
        <f>IF(ISNA(VLOOKUP(A63,Declarations!B$6:F$293,4,FALSE)),"",IF(VLOOKUP(A63,Declarations!B$6:F$293,4,FALSE)="","---",VLOOKUP(A63,Declarations!B$6:F$293,4,FALSE)))</f>
        <v/>
      </c>
      <c r="E63" s="284" t="s">
        <v>161</v>
      </c>
      <c r="F63" s="284" t="s">
        <v>161</v>
      </c>
      <c r="G63" s="284" t="s">
        <v>161</v>
      </c>
      <c r="H63" s="70"/>
    </row>
    <row r="64" spans="1:8" ht="20" customHeight="1">
      <c r="A64" s="68"/>
      <c r="B64" s="69" t="str">
        <f>IF(ISNA(VLOOKUP(A64,Declarations!B$6:C$293,2,FALSE)),"",IF(VLOOKUP(A64,Declarations!B$6:C$293,2,FALSE)="","---",VLOOKUP(A64,Declarations!B$6:C$293,2,FALSE)))</f>
        <v/>
      </c>
      <c r="C64" s="69" t="str">
        <f>IF(ISNA(VLOOKUP(A64,Declarations!B$6:F$293,5,FALSE)),"",IF(VLOOKUP(A64,Declarations!B$6:F$293,5,FALSE)="","---",VLOOKUP(A64,Declarations!B$6:F$293,5,FALSE)))</f>
        <v/>
      </c>
      <c r="D64" s="69" t="str">
        <f>IF(ISNA(VLOOKUP(A64,Declarations!B$6:F$293,4,FALSE)),"",IF(VLOOKUP(A64,Declarations!B$6:F$293,4,FALSE)="","---",VLOOKUP(A64,Declarations!B$6:F$293,4,FALSE)))</f>
        <v/>
      </c>
      <c r="E64" s="284" t="s">
        <v>161</v>
      </c>
      <c r="F64" s="284" t="s">
        <v>161</v>
      </c>
      <c r="G64" s="284" t="s">
        <v>161</v>
      </c>
      <c r="H64" s="70"/>
    </row>
    <row r="65" spans="1:8" ht="20" customHeight="1">
      <c r="A65" s="68"/>
      <c r="B65" s="69" t="str">
        <f>IF(ISNA(VLOOKUP(A65,Declarations!B$6:C$293,2,FALSE)),"",IF(VLOOKUP(A65,Declarations!B$6:C$293,2,FALSE)="","---",VLOOKUP(A65,Declarations!B$6:C$293,2,FALSE)))</f>
        <v/>
      </c>
      <c r="C65" s="69" t="str">
        <f>IF(ISNA(VLOOKUP(A65,Declarations!B$6:F$293,5,FALSE)),"",IF(VLOOKUP(A65,Declarations!B$6:F$293,5,FALSE)="","---",VLOOKUP(A65,Declarations!B$6:F$293,5,FALSE)))</f>
        <v/>
      </c>
      <c r="D65" s="69" t="str">
        <f>IF(ISNA(VLOOKUP(A65,Declarations!B$6:F$293,4,FALSE)),"",IF(VLOOKUP(A65,Declarations!B$6:F$293,4,FALSE)="","---",VLOOKUP(A65,Declarations!B$6:F$293,4,FALSE)))</f>
        <v/>
      </c>
      <c r="E65" s="284" t="s">
        <v>161</v>
      </c>
      <c r="F65" s="284" t="s">
        <v>161</v>
      </c>
      <c r="G65" s="284" t="s">
        <v>161</v>
      </c>
      <c r="H65" s="70"/>
    </row>
    <row r="66" spans="1:8" ht="20" customHeight="1">
      <c r="A66" s="68"/>
      <c r="B66" s="69" t="str">
        <f>IF(ISNA(VLOOKUP(A66,Declarations!B$6:C$293,2,FALSE)),"",IF(VLOOKUP(A66,Declarations!B$6:C$293,2,FALSE)="","---",VLOOKUP(A66,Declarations!B$6:C$293,2,FALSE)))</f>
        <v/>
      </c>
      <c r="C66" s="69" t="str">
        <f>IF(ISNA(VLOOKUP(A66,Declarations!B$6:F$293,5,FALSE)),"",IF(VLOOKUP(A66,Declarations!B$6:F$293,5,FALSE)="","---",VLOOKUP(A66,Declarations!B$6:F$293,5,FALSE)))</f>
        <v/>
      </c>
      <c r="D66" s="69" t="str">
        <f>IF(ISNA(VLOOKUP(A66,Declarations!B$6:F$293,4,FALSE)),"",IF(VLOOKUP(A66,Declarations!B$6:F$293,4,FALSE)="","---",VLOOKUP(A66,Declarations!B$6:F$293,4,FALSE)))</f>
        <v/>
      </c>
      <c r="E66" s="284" t="s">
        <v>161</v>
      </c>
      <c r="F66" s="284" t="s">
        <v>161</v>
      </c>
      <c r="G66" s="284" t="s">
        <v>161</v>
      </c>
      <c r="H66" s="70"/>
    </row>
    <row r="67" spans="1:8" ht="20" customHeight="1">
      <c r="A67" s="68"/>
      <c r="B67" s="69" t="str">
        <f>IF(ISNA(VLOOKUP(A67,Declarations!B$6:C$293,2,FALSE)),"",IF(VLOOKUP(A67,Declarations!B$6:C$293,2,FALSE)="","---",VLOOKUP(A67,Declarations!B$6:C$293,2,FALSE)))</f>
        <v/>
      </c>
      <c r="C67" s="69" t="str">
        <f>IF(ISNA(VLOOKUP(A67,Declarations!B$6:F$293,5,FALSE)),"",IF(VLOOKUP(A67,Declarations!B$6:F$293,5,FALSE)="","---",VLOOKUP(A67,Declarations!B$6:F$293,5,FALSE)))</f>
        <v/>
      </c>
      <c r="D67" s="69" t="str">
        <f>IF(ISNA(VLOOKUP(A67,Declarations!B$6:F$293,4,FALSE)),"",IF(VLOOKUP(A67,Declarations!B$6:F$293,4,FALSE)="","---",VLOOKUP(A67,Declarations!B$6:F$293,4,FALSE)))</f>
        <v/>
      </c>
      <c r="E67" s="284" t="s">
        <v>161</v>
      </c>
      <c r="F67" s="284" t="s">
        <v>161</v>
      </c>
      <c r="G67" s="284" t="s">
        <v>161</v>
      </c>
      <c r="H67" s="70"/>
    </row>
    <row r="68" spans="1:8" ht="20" customHeight="1">
      <c r="A68" s="68"/>
      <c r="B68" s="69" t="str">
        <f>IF(ISNA(VLOOKUP(A68,Declarations!B$6:C$293,2,FALSE)),"",IF(VLOOKUP(A68,Declarations!B$6:C$293,2,FALSE)="","---",VLOOKUP(A68,Declarations!B$6:C$293,2,FALSE)))</f>
        <v/>
      </c>
      <c r="C68" s="69" t="str">
        <f>IF(ISNA(VLOOKUP(A68,Declarations!B$6:F$293,5,FALSE)),"",IF(VLOOKUP(A68,Declarations!B$6:F$293,5,FALSE)="","---",VLOOKUP(A68,Declarations!B$6:F$293,5,FALSE)))</f>
        <v/>
      </c>
      <c r="D68" s="69" t="str">
        <f>IF(ISNA(VLOOKUP(A68,Declarations!B$6:F$293,4,FALSE)),"",IF(VLOOKUP(A68,Declarations!B$6:F$293,4,FALSE)="","---",VLOOKUP(A68,Declarations!B$6:F$293,4,FALSE)))</f>
        <v/>
      </c>
      <c r="E68" s="284" t="s">
        <v>161</v>
      </c>
      <c r="F68" s="284" t="s">
        <v>161</v>
      </c>
      <c r="G68" s="284" t="s">
        <v>161</v>
      </c>
      <c r="H68" s="70"/>
    </row>
    <row r="69" spans="1:8" ht="20" customHeight="1">
      <c r="A69" s="68"/>
      <c r="B69" s="69" t="str">
        <f>IF(ISNA(VLOOKUP(A69,Declarations!B$6:C$293,2,FALSE)),"",IF(VLOOKUP(A69,Declarations!B$6:C$293,2,FALSE)="","---",VLOOKUP(A69,Declarations!B$6:C$293,2,FALSE)))</f>
        <v/>
      </c>
      <c r="C69" s="69" t="str">
        <f>IF(ISNA(VLOOKUP(A69,Declarations!B$6:F$293,5,FALSE)),"",IF(VLOOKUP(A69,Declarations!B$6:F$293,5,FALSE)="","---",VLOOKUP(A69,Declarations!B$6:F$293,5,FALSE)))</f>
        <v/>
      </c>
      <c r="D69" s="69" t="str">
        <f>IF(ISNA(VLOOKUP(A69,Declarations!B$6:F$293,4,FALSE)),"",IF(VLOOKUP(A69,Declarations!B$6:F$293,4,FALSE)="","---",VLOOKUP(A69,Declarations!B$6:F$293,4,FALSE)))</f>
        <v/>
      </c>
      <c r="E69" s="284" t="s">
        <v>161</v>
      </c>
      <c r="F69" s="284" t="s">
        <v>161</v>
      </c>
      <c r="G69" s="284" t="s">
        <v>161</v>
      </c>
      <c r="H69" s="70"/>
    </row>
    <row r="70" spans="1:8" ht="20" customHeight="1">
      <c r="A70" s="68"/>
      <c r="B70" s="69" t="str">
        <f>IF(ISNA(VLOOKUP(A70,Declarations!B$6:C$293,2,FALSE)),"",IF(VLOOKUP(A70,Declarations!B$6:C$293,2,FALSE)="","---",VLOOKUP(A70,Declarations!B$6:C$293,2,FALSE)))</f>
        <v/>
      </c>
      <c r="C70" s="69" t="str">
        <f>IF(ISNA(VLOOKUP(A70,Declarations!B$6:F$293,5,FALSE)),"",IF(VLOOKUP(A70,Declarations!B$6:F$293,5,FALSE)="","---",VLOOKUP(A70,Declarations!B$6:F$293,5,FALSE)))</f>
        <v/>
      </c>
      <c r="D70" s="69" t="str">
        <f>IF(ISNA(VLOOKUP(A70,Declarations!B$6:F$293,4,FALSE)),"",IF(VLOOKUP(A70,Declarations!B$6:F$293,4,FALSE)="","---",VLOOKUP(A70,Declarations!B$6:F$293,4,FALSE)))</f>
        <v/>
      </c>
      <c r="E70" s="284" t="s">
        <v>161</v>
      </c>
      <c r="F70" s="284" t="s">
        <v>161</v>
      </c>
      <c r="G70" s="284" t="s">
        <v>161</v>
      </c>
      <c r="H70" s="70"/>
    </row>
    <row r="71" spans="1:8" ht="20" customHeight="1">
      <c r="A71" s="68"/>
      <c r="B71" s="69" t="str">
        <f>IF(ISNA(VLOOKUP(A71,Declarations!B$6:C$293,2,FALSE)),"",IF(VLOOKUP(A71,Declarations!B$6:C$293,2,FALSE)="","---",VLOOKUP(A71,Declarations!B$6:C$293,2,FALSE)))</f>
        <v/>
      </c>
      <c r="C71" s="69" t="str">
        <f>IF(ISNA(VLOOKUP(A71,Declarations!B$6:F$293,5,FALSE)),"",IF(VLOOKUP(A71,Declarations!B$6:F$293,5,FALSE)="","---",VLOOKUP(A71,Declarations!B$6:F$293,5,FALSE)))</f>
        <v/>
      </c>
      <c r="D71" s="69" t="str">
        <f>IF(ISNA(VLOOKUP(A71,Declarations!B$6:F$293,4,FALSE)),"",IF(VLOOKUP(A71,Declarations!B$6:F$293,4,FALSE)="","---",VLOOKUP(A71,Declarations!B$6:F$293,4,FALSE)))</f>
        <v/>
      </c>
      <c r="E71" s="284" t="s">
        <v>161</v>
      </c>
      <c r="F71" s="284" t="s">
        <v>161</v>
      </c>
      <c r="G71" s="284" t="s">
        <v>161</v>
      </c>
      <c r="H71" s="70"/>
    </row>
    <row r="72" spans="1:8" ht="20" customHeight="1">
      <c r="A72" s="68"/>
      <c r="B72" s="69" t="str">
        <f>IF(ISNA(VLOOKUP(A72,Declarations!B$6:C$293,2,FALSE)),"",IF(VLOOKUP(A72,Declarations!B$6:C$293,2,FALSE)="","---",VLOOKUP(A72,Declarations!B$6:C$293,2,FALSE)))</f>
        <v/>
      </c>
      <c r="C72" s="69" t="str">
        <f>IF(ISNA(VLOOKUP(A72,Declarations!B$6:F$293,5,FALSE)),"",IF(VLOOKUP(A72,Declarations!B$6:F$293,5,FALSE)="","---",VLOOKUP(A72,Declarations!B$6:F$293,5,FALSE)))</f>
        <v/>
      </c>
      <c r="D72" s="69" t="str">
        <f>IF(ISNA(VLOOKUP(A72,Declarations!B$6:F$293,4,FALSE)),"",IF(VLOOKUP(A72,Declarations!B$6:F$293,4,FALSE)="","---",VLOOKUP(A72,Declarations!B$6:F$293,4,FALSE)))</f>
        <v/>
      </c>
      <c r="E72" s="284" t="s">
        <v>161</v>
      </c>
      <c r="F72" s="284" t="s">
        <v>161</v>
      </c>
      <c r="G72" s="284" t="s">
        <v>161</v>
      </c>
      <c r="H72" s="70"/>
    </row>
    <row r="73" spans="1:8" ht="20" customHeight="1">
      <c r="A73" s="68"/>
      <c r="B73" s="69" t="str">
        <f>IF(ISNA(VLOOKUP(A73,Declarations!B$6:C$293,2,FALSE)),"",IF(VLOOKUP(A73,Declarations!B$6:C$293,2,FALSE)="","---",VLOOKUP(A73,Declarations!B$6:C$293,2,FALSE)))</f>
        <v/>
      </c>
      <c r="C73" s="69" t="str">
        <f>IF(ISNA(VLOOKUP(A73,Declarations!B$6:F$293,5,FALSE)),"",IF(VLOOKUP(A73,Declarations!B$6:F$293,5,FALSE)="","---",VLOOKUP(A73,Declarations!B$6:F$293,5,FALSE)))</f>
        <v/>
      </c>
      <c r="D73" s="69" t="str">
        <f>IF(ISNA(VLOOKUP(A73,Declarations!B$6:F$293,4,FALSE)),"",IF(VLOOKUP(A73,Declarations!B$6:F$293,4,FALSE)="","---",VLOOKUP(A73,Declarations!B$6:F$293,4,FALSE)))</f>
        <v/>
      </c>
      <c r="E73" s="284" t="s">
        <v>161</v>
      </c>
      <c r="F73" s="284" t="s">
        <v>161</v>
      </c>
      <c r="G73" s="284" t="s">
        <v>161</v>
      </c>
      <c r="H73" s="70"/>
    </row>
    <row r="74" spans="1:8" ht="20" customHeight="1">
      <c r="A74" s="68"/>
      <c r="B74" s="69" t="str">
        <f>IF(ISNA(VLOOKUP(A74,Declarations!B$6:C$293,2,FALSE)),"",IF(VLOOKUP(A74,Declarations!B$6:C$293,2,FALSE)="","---",VLOOKUP(A74,Declarations!B$6:C$293,2,FALSE)))</f>
        <v/>
      </c>
      <c r="C74" s="69" t="str">
        <f>IF(ISNA(VLOOKUP(A74,Declarations!B$6:F$293,5,FALSE)),"",IF(VLOOKUP(A74,Declarations!B$6:F$293,5,FALSE)="","---",VLOOKUP(A74,Declarations!B$6:F$293,5,FALSE)))</f>
        <v/>
      </c>
      <c r="D74" s="69" t="str">
        <f>IF(ISNA(VLOOKUP(A74,Declarations!B$6:F$293,4,FALSE)),"",IF(VLOOKUP(A74,Declarations!B$6:F$293,4,FALSE)="","---",VLOOKUP(A74,Declarations!B$6:F$293,4,FALSE)))</f>
        <v/>
      </c>
      <c r="E74" s="284" t="s">
        <v>161</v>
      </c>
      <c r="F74" s="284" t="s">
        <v>161</v>
      </c>
      <c r="G74" s="284" t="s">
        <v>161</v>
      </c>
      <c r="H74" s="70"/>
    </row>
    <row r="75" spans="1:8" ht="16" customHeight="1">
      <c r="A75" s="71"/>
      <c r="B75" s="72"/>
      <c r="C75" s="72"/>
      <c r="D75" s="72"/>
      <c r="E75" s="73"/>
      <c r="F75" s="73"/>
      <c r="G75" s="73"/>
      <c r="H75" s="73"/>
    </row>
    <row r="76" spans="1:8" ht="16" customHeight="1">
      <c r="A76" s="71"/>
      <c r="B76" s="510" t="s">
        <v>92</v>
      </c>
      <c r="C76" s="511"/>
      <c r="D76" s="72"/>
      <c r="E76" s="509" t="s">
        <v>93</v>
      </c>
      <c r="F76" s="509"/>
      <c r="G76" s="501" t="s">
        <v>43</v>
      </c>
      <c r="H76" s="501"/>
    </row>
    <row r="77" spans="1:8" ht="16" customHeight="1">
      <c r="A77" s="71"/>
      <c r="B77" s="512"/>
      <c r="C77" s="513"/>
      <c r="D77" s="72"/>
      <c r="E77" s="501"/>
      <c r="F77" s="501"/>
      <c r="G77" s="501"/>
      <c r="H77" s="501"/>
    </row>
    <row r="78" spans="1:8" ht="16" customHeight="1">
      <c r="A78" s="71"/>
      <c r="B78" s="512"/>
      <c r="C78" s="513"/>
      <c r="D78" s="72"/>
      <c r="E78" s="501"/>
      <c r="F78" s="501"/>
      <c r="G78" s="501"/>
      <c r="H78" s="501"/>
    </row>
    <row r="79" spans="1:8" ht="16" customHeight="1">
      <c r="A79" s="71"/>
      <c r="B79" s="514"/>
      <c r="C79" s="515"/>
      <c r="D79" s="72"/>
      <c r="E79" s="501"/>
      <c r="F79" s="501"/>
      <c r="G79" s="501"/>
      <c r="H79" s="501"/>
    </row>
    <row r="80" spans="1:8" ht="8" customHeight="1">
      <c r="A80" s="71"/>
      <c r="B80" s="72"/>
      <c r="C80" s="72"/>
      <c r="D80" s="72"/>
      <c r="E80" s="97"/>
      <c r="F80" s="97"/>
      <c r="G80" s="97"/>
      <c r="H80" s="97"/>
    </row>
    <row r="81" spans="1:8" ht="20">
      <c r="A81" s="502" t="str">
        <f>'Read Me First'!A1:F1</f>
        <v>Oxfordshire Track and Field League 2026</v>
      </c>
      <c r="B81" s="503"/>
      <c r="C81" s="503"/>
      <c r="D81" s="503"/>
      <c r="E81" s="503"/>
      <c r="F81" s="503"/>
      <c r="G81" s="503"/>
      <c r="H81" s="504"/>
    </row>
    <row r="82" spans="1:8" ht="18">
      <c r="A82" s="61" t="s">
        <v>12</v>
      </c>
      <c r="B82" s="62">
        <f>'Read Me First'!$C$10</f>
        <v>46250</v>
      </c>
      <c r="C82" s="96">
        <v>0.58333333333333337</v>
      </c>
      <c r="D82" s="61" t="s">
        <v>13</v>
      </c>
      <c r="E82" s="505" t="str">
        <f>$E$2</f>
        <v>Banbury</v>
      </c>
      <c r="F82" s="506"/>
      <c r="G82" s="506"/>
      <c r="H82" s="507"/>
    </row>
    <row r="83" spans="1:8" ht="18">
      <c r="A83" s="508" t="s">
        <v>41</v>
      </c>
      <c r="B83" s="508"/>
      <c r="C83" s="508"/>
      <c r="D83" s="508"/>
      <c r="E83" s="60">
        <v>1</v>
      </c>
      <c r="F83" s="60">
        <v>2</v>
      </c>
      <c r="G83" s="60">
        <v>3</v>
      </c>
      <c r="H83" s="60" t="s">
        <v>42</v>
      </c>
    </row>
    <row r="84" spans="1:8" ht="18">
      <c r="A84" s="66"/>
      <c r="B84" s="66"/>
      <c r="C84" s="66"/>
      <c r="D84" s="66"/>
      <c r="E84" s="67"/>
      <c r="F84" s="67"/>
      <c r="G84" s="67"/>
      <c r="H84" s="67"/>
    </row>
    <row r="85" spans="1:8" ht="20" customHeight="1">
      <c r="A85" s="68" t="str" cm="1">
        <f t="array" ref="A85">IFERROR(_xlfn.TEXTSPLIT(IFERROR(_xlfn.TEXTJOIN(",",TRUE,_xlfn._xlws.FILTER(BlockAllocations!$F$3:$F$20,BlockAllocations!$E$3:$E$20=BlockAllocations!$G$8)),""),,",")+0,"!")</f>
        <v>!</v>
      </c>
      <c r="B85" s="69" t="str">
        <f>IF(ISNA(VLOOKUP(A85,Declarations!B$6:C$293,2,FALSE)),"",IF(VLOOKUP(A85,Declarations!B$6:C$293,2,FALSE)="","---",VLOOKUP(A85,Declarations!B$6:C$293,2,FALSE)))</f>
        <v/>
      </c>
      <c r="C85" s="69" t="str">
        <f>IF(ISNA(VLOOKUP(A85,Declarations!B$6:F$293,5,FALSE)),"",IF(VLOOKUP(A85,Declarations!B$6:F$293,5,FALSE)="","---",VLOOKUP(A85,Declarations!B$6:F$293,5,FALSE)))</f>
        <v/>
      </c>
      <c r="D85" s="69" t="str">
        <f>IF(ISNA(VLOOKUP(A85,Declarations!B$6:F$293,4,FALSE)),"",IF(VLOOKUP(A85,Declarations!B$6:F$293,4,FALSE)="","---",VLOOKUP(A85,Declarations!B$6:F$293,4,FALSE)))</f>
        <v/>
      </c>
      <c r="E85" s="284" t="s">
        <v>161</v>
      </c>
      <c r="F85" s="284" t="s">
        <v>161</v>
      </c>
      <c r="G85" s="284" t="s">
        <v>161</v>
      </c>
      <c r="H85" s="70"/>
    </row>
    <row r="86" spans="1:8" ht="20" customHeight="1">
      <c r="A86" s="68"/>
      <c r="B86" s="69" t="str">
        <f>IF(ISNA(VLOOKUP(A86,Declarations!B$6:C$293,2,FALSE)),"",IF(VLOOKUP(A86,Declarations!B$6:C$293,2,FALSE)="","---",VLOOKUP(A86,Declarations!B$6:C$293,2,FALSE)))</f>
        <v/>
      </c>
      <c r="C86" s="69" t="str">
        <f>IF(ISNA(VLOOKUP(A86,Declarations!B$6:F$293,5,FALSE)),"",IF(VLOOKUP(A86,Declarations!B$6:F$293,5,FALSE)="","---",VLOOKUP(A86,Declarations!B$6:F$293,5,FALSE)))</f>
        <v/>
      </c>
      <c r="D86" s="69" t="str">
        <f>IF(ISNA(VLOOKUP(A86,Declarations!B$6:F$293,4,FALSE)),"",IF(VLOOKUP(A86,Declarations!B$6:F$293,4,FALSE)="","---",VLOOKUP(A86,Declarations!B$6:F$293,4,FALSE)))</f>
        <v/>
      </c>
      <c r="E86" s="284" t="s">
        <v>161</v>
      </c>
      <c r="F86" s="284" t="s">
        <v>161</v>
      </c>
      <c r="G86" s="284" t="s">
        <v>161</v>
      </c>
      <c r="H86" s="70"/>
    </row>
    <row r="87" spans="1:8" ht="20" customHeight="1">
      <c r="A87" s="68"/>
      <c r="B87" s="69" t="str">
        <f>IF(ISNA(VLOOKUP(A87,Declarations!B$6:C$293,2,FALSE)),"",IF(VLOOKUP(A87,Declarations!B$6:C$293,2,FALSE)="","---",VLOOKUP(A87,Declarations!B$6:C$293,2,FALSE)))</f>
        <v/>
      </c>
      <c r="C87" s="69" t="str">
        <f>IF(ISNA(VLOOKUP(A87,Declarations!B$6:F$293,5,FALSE)),"",IF(VLOOKUP(A87,Declarations!B$6:F$293,5,FALSE)="","---",VLOOKUP(A87,Declarations!B$6:F$293,5,FALSE)))</f>
        <v/>
      </c>
      <c r="D87" s="69" t="str">
        <f>IF(ISNA(VLOOKUP(A87,Declarations!B$6:F$293,4,FALSE)),"",IF(VLOOKUP(A87,Declarations!B$6:F$293,4,FALSE)="","---",VLOOKUP(A87,Declarations!B$6:F$293,4,FALSE)))</f>
        <v/>
      </c>
      <c r="E87" s="284" t="s">
        <v>161</v>
      </c>
      <c r="F87" s="284" t="s">
        <v>161</v>
      </c>
      <c r="G87" s="284" t="s">
        <v>161</v>
      </c>
      <c r="H87" s="70"/>
    </row>
    <row r="88" spans="1:8" ht="20" customHeight="1">
      <c r="A88" s="68"/>
      <c r="B88" s="69" t="str">
        <f>IF(ISNA(VLOOKUP(A88,Declarations!B$6:C$293,2,FALSE)),"",IF(VLOOKUP(A88,Declarations!B$6:C$293,2,FALSE)="","---",VLOOKUP(A88,Declarations!B$6:C$293,2,FALSE)))</f>
        <v/>
      </c>
      <c r="C88" s="69" t="str">
        <f>IF(ISNA(VLOOKUP(A88,Declarations!B$6:F$293,5,FALSE)),"",IF(VLOOKUP(A88,Declarations!B$6:F$293,5,FALSE)="","---",VLOOKUP(A88,Declarations!B$6:F$293,5,FALSE)))</f>
        <v/>
      </c>
      <c r="D88" s="69" t="str">
        <f>IF(ISNA(VLOOKUP(A88,Declarations!B$6:F$293,4,FALSE)),"",IF(VLOOKUP(A88,Declarations!B$6:F$293,4,FALSE)="","---",VLOOKUP(A88,Declarations!B$6:F$293,4,FALSE)))</f>
        <v/>
      </c>
      <c r="E88" s="284" t="s">
        <v>161</v>
      </c>
      <c r="F88" s="284" t="s">
        <v>161</v>
      </c>
      <c r="G88" s="284" t="s">
        <v>161</v>
      </c>
      <c r="H88" s="70"/>
    </row>
    <row r="89" spans="1:8" ht="20" customHeight="1">
      <c r="A89" s="68"/>
      <c r="B89" s="69" t="str">
        <f>IF(ISNA(VLOOKUP(A89,Declarations!B$6:C$293,2,FALSE)),"",IF(VLOOKUP(A89,Declarations!B$6:C$293,2,FALSE)="","---",VLOOKUP(A89,Declarations!B$6:C$293,2,FALSE)))</f>
        <v/>
      </c>
      <c r="C89" s="69" t="str">
        <f>IF(ISNA(VLOOKUP(A89,Declarations!B$6:F$293,5,FALSE)),"",IF(VLOOKUP(A89,Declarations!B$6:F$293,5,FALSE)="","---",VLOOKUP(A89,Declarations!B$6:F$293,5,FALSE)))</f>
        <v/>
      </c>
      <c r="D89" s="69" t="str">
        <f>IF(ISNA(VLOOKUP(A89,Declarations!B$6:F$293,4,FALSE)),"",IF(VLOOKUP(A89,Declarations!B$6:F$293,4,FALSE)="","---",VLOOKUP(A89,Declarations!B$6:F$293,4,FALSE)))</f>
        <v/>
      </c>
      <c r="E89" s="284" t="s">
        <v>161</v>
      </c>
      <c r="F89" s="284" t="s">
        <v>161</v>
      </c>
      <c r="G89" s="284" t="s">
        <v>161</v>
      </c>
      <c r="H89" s="70"/>
    </row>
    <row r="90" spans="1:8" ht="20" customHeight="1">
      <c r="A90" s="68"/>
      <c r="B90" s="69" t="str">
        <f>IF(ISNA(VLOOKUP(A90,Declarations!B$6:C$293,2,FALSE)),"",IF(VLOOKUP(A90,Declarations!B$6:C$293,2,FALSE)="","---",VLOOKUP(A90,Declarations!B$6:C$293,2,FALSE)))</f>
        <v/>
      </c>
      <c r="C90" s="69" t="str">
        <f>IF(ISNA(VLOOKUP(A90,Declarations!B$6:F$293,5,FALSE)),"",IF(VLOOKUP(A90,Declarations!B$6:F$293,5,FALSE)="","---",VLOOKUP(A90,Declarations!B$6:F$293,5,FALSE)))</f>
        <v/>
      </c>
      <c r="D90" s="69" t="str">
        <f>IF(ISNA(VLOOKUP(A90,Declarations!B$6:F$293,4,FALSE)),"",IF(VLOOKUP(A90,Declarations!B$6:F$293,4,FALSE)="","---",VLOOKUP(A90,Declarations!B$6:F$293,4,FALSE)))</f>
        <v/>
      </c>
      <c r="E90" s="284" t="s">
        <v>161</v>
      </c>
      <c r="F90" s="284" t="s">
        <v>161</v>
      </c>
      <c r="G90" s="284" t="s">
        <v>161</v>
      </c>
      <c r="H90" s="70"/>
    </row>
    <row r="91" spans="1:8" ht="20" customHeight="1">
      <c r="A91" s="68"/>
      <c r="B91" s="69" t="str">
        <f>IF(ISNA(VLOOKUP(A91,Declarations!B$6:C$293,2,FALSE)),"",IF(VLOOKUP(A91,Declarations!B$6:C$293,2,FALSE)="","---",VLOOKUP(A91,Declarations!B$6:C$293,2,FALSE)))</f>
        <v/>
      </c>
      <c r="C91" s="69" t="str">
        <f>IF(ISNA(VLOOKUP(A91,Declarations!B$6:F$293,5,FALSE)),"",IF(VLOOKUP(A91,Declarations!B$6:F$293,5,FALSE)="","---",VLOOKUP(A91,Declarations!B$6:F$293,5,FALSE)))</f>
        <v/>
      </c>
      <c r="D91" s="69" t="str">
        <f>IF(ISNA(VLOOKUP(A91,Declarations!B$6:F$293,4,FALSE)),"",IF(VLOOKUP(A91,Declarations!B$6:F$293,4,FALSE)="","---",VLOOKUP(A91,Declarations!B$6:F$293,4,FALSE)))</f>
        <v/>
      </c>
      <c r="E91" s="284" t="s">
        <v>161</v>
      </c>
      <c r="F91" s="284" t="s">
        <v>161</v>
      </c>
      <c r="G91" s="284" t="s">
        <v>161</v>
      </c>
      <c r="H91" s="70"/>
    </row>
    <row r="92" spans="1:8" ht="20" customHeight="1">
      <c r="A92" s="68"/>
      <c r="B92" s="69" t="str">
        <f>IF(ISNA(VLOOKUP(A92,Declarations!B$6:C$293,2,FALSE)),"",IF(VLOOKUP(A92,Declarations!B$6:C$293,2,FALSE)="","---",VLOOKUP(A92,Declarations!B$6:C$293,2,FALSE)))</f>
        <v/>
      </c>
      <c r="C92" s="69" t="str">
        <f>IF(ISNA(VLOOKUP(A92,Declarations!B$6:F$293,5,FALSE)),"",IF(VLOOKUP(A92,Declarations!B$6:F$293,5,FALSE)="","---",VLOOKUP(A92,Declarations!B$6:F$293,5,FALSE)))</f>
        <v/>
      </c>
      <c r="D92" s="69" t="str">
        <f>IF(ISNA(VLOOKUP(A92,Declarations!B$6:F$293,4,FALSE)),"",IF(VLOOKUP(A92,Declarations!B$6:F$293,4,FALSE)="","---",VLOOKUP(A92,Declarations!B$6:F$293,4,FALSE)))</f>
        <v/>
      </c>
      <c r="E92" s="284" t="s">
        <v>161</v>
      </c>
      <c r="F92" s="284" t="s">
        <v>161</v>
      </c>
      <c r="G92" s="284" t="s">
        <v>161</v>
      </c>
      <c r="H92" s="70"/>
    </row>
    <row r="93" spans="1:8" ht="20" customHeight="1">
      <c r="A93" s="68"/>
      <c r="B93" s="69" t="str">
        <f>IF(ISNA(VLOOKUP(A93,Declarations!B$6:C$293,2,FALSE)),"",IF(VLOOKUP(A93,Declarations!B$6:C$293,2,FALSE)="","---",VLOOKUP(A93,Declarations!B$6:C$293,2,FALSE)))</f>
        <v/>
      </c>
      <c r="C93" s="69" t="str">
        <f>IF(ISNA(VLOOKUP(A93,Declarations!B$6:F$293,5,FALSE)),"",IF(VLOOKUP(A93,Declarations!B$6:F$293,5,FALSE)="","---",VLOOKUP(A93,Declarations!B$6:F$293,5,FALSE)))</f>
        <v/>
      </c>
      <c r="D93" s="69" t="str">
        <f>IF(ISNA(VLOOKUP(A93,Declarations!B$6:F$293,4,FALSE)),"",IF(VLOOKUP(A93,Declarations!B$6:F$293,4,FALSE)="","---",VLOOKUP(A93,Declarations!B$6:F$293,4,FALSE)))</f>
        <v/>
      </c>
      <c r="E93" s="284" t="s">
        <v>161</v>
      </c>
      <c r="F93" s="284" t="s">
        <v>161</v>
      </c>
      <c r="G93" s="284" t="s">
        <v>161</v>
      </c>
      <c r="H93" s="70"/>
    </row>
    <row r="94" spans="1:8" ht="20" customHeight="1">
      <c r="A94" s="68"/>
      <c r="B94" s="69" t="str">
        <f>IF(ISNA(VLOOKUP(A94,Declarations!B$6:C$293,2,FALSE)),"",IF(VLOOKUP(A94,Declarations!B$6:C$293,2,FALSE)="","---",VLOOKUP(A94,Declarations!B$6:C$293,2,FALSE)))</f>
        <v/>
      </c>
      <c r="C94" s="69" t="str">
        <f>IF(ISNA(VLOOKUP(A94,Declarations!B$6:F$293,5,FALSE)),"",IF(VLOOKUP(A94,Declarations!B$6:F$293,5,FALSE)="","---",VLOOKUP(A94,Declarations!B$6:F$293,5,FALSE)))</f>
        <v/>
      </c>
      <c r="D94" s="69" t="str">
        <f>IF(ISNA(VLOOKUP(A94,Declarations!B$6:F$293,4,FALSE)),"",IF(VLOOKUP(A94,Declarations!B$6:F$293,4,FALSE)="","---",VLOOKUP(A94,Declarations!B$6:F$293,4,FALSE)))</f>
        <v/>
      </c>
      <c r="E94" s="284" t="s">
        <v>161</v>
      </c>
      <c r="F94" s="284" t="s">
        <v>161</v>
      </c>
      <c r="G94" s="284" t="s">
        <v>161</v>
      </c>
      <c r="H94" s="70"/>
    </row>
    <row r="95" spans="1:8" ht="20" customHeight="1">
      <c r="A95" s="68"/>
      <c r="B95" s="69" t="str">
        <f>IF(ISNA(VLOOKUP(A95,Declarations!B$6:C$293,2,FALSE)),"",IF(VLOOKUP(A95,Declarations!B$6:C$293,2,FALSE)="","---",VLOOKUP(A95,Declarations!B$6:C$293,2,FALSE)))</f>
        <v/>
      </c>
      <c r="C95" s="69" t="str">
        <f>IF(ISNA(VLOOKUP(A95,Declarations!B$6:F$293,5,FALSE)),"",IF(VLOOKUP(A95,Declarations!B$6:F$293,5,FALSE)="","---",VLOOKUP(A95,Declarations!B$6:F$293,5,FALSE)))</f>
        <v/>
      </c>
      <c r="D95" s="69" t="str">
        <f>IF(ISNA(VLOOKUP(A95,Declarations!B$6:F$293,4,FALSE)),"",IF(VLOOKUP(A95,Declarations!B$6:F$293,4,FALSE)="","---",VLOOKUP(A95,Declarations!B$6:F$293,4,FALSE)))</f>
        <v/>
      </c>
      <c r="E95" s="284" t="s">
        <v>161</v>
      </c>
      <c r="F95" s="284" t="s">
        <v>161</v>
      </c>
      <c r="G95" s="284" t="s">
        <v>161</v>
      </c>
      <c r="H95" s="70"/>
    </row>
    <row r="96" spans="1:8" ht="20" customHeight="1">
      <c r="A96" s="68"/>
      <c r="B96" s="69" t="str">
        <f>IF(ISNA(VLOOKUP(A96,Declarations!B$6:C$293,2,FALSE)),"",IF(VLOOKUP(A96,Declarations!B$6:C$293,2,FALSE)="","---",VLOOKUP(A96,Declarations!B$6:C$293,2,FALSE)))</f>
        <v/>
      </c>
      <c r="C96" s="69" t="str">
        <f>IF(ISNA(VLOOKUP(A96,Declarations!B$6:F$293,5,FALSE)),"",IF(VLOOKUP(A96,Declarations!B$6:F$293,5,FALSE)="","---",VLOOKUP(A96,Declarations!B$6:F$293,5,FALSE)))</f>
        <v/>
      </c>
      <c r="D96" s="69" t="str">
        <f>IF(ISNA(VLOOKUP(A96,Declarations!B$6:F$293,4,FALSE)),"",IF(VLOOKUP(A96,Declarations!B$6:F$293,4,FALSE)="","---",VLOOKUP(A96,Declarations!B$6:F$293,4,FALSE)))</f>
        <v/>
      </c>
      <c r="E96" s="284" t="s">
        <v>161</v>
      </c>
      <c r="F96" s="284" t="s">
        <v>161</v>
      </c>
      <c r="G96" s="284" t="s">
        <v>161</v>
      </c>
      <c r="H96" s="70"/>
    </row>
    <row r="97" spans="1:8" ht="20" customHeight="1">
      <c r="A97" s="68"/>
      <c r="B97" s="69" t="str">
        <f>IF(ISNA(VLOOKUP(A97,Declarations!B$6:C$293,2,FALSE)),"",IF(VLOOKUP(A97,Declarations!B$6:C$293,2,FALSE)="","---",VLOOKUP(A97,Declarations!B$6:C$293,2,FALSE)))</f>
        <v/>
      </c>
      <c r="C97" s="69" t="str">
        <f>IF(ISNA(VLOOKUP(A97,Declarations!B$6:F$293,5,FALSE)),"",IF(VLOOKUP(A97,Declarations!B$6:F$293,5,FALSE)="","---",VLOOKUP(A97,Declarations!B$6:F$293,5,FALSE)))</f>
        <v/>
      </c>
      <c r="D97" s="69" t="str">
        <f>IF(ISNA(VLOOKUP(A97,Declarations!B$6:F$293,4,FALSE)),"",IF(VLOOKUP(A97,Declarations!B$6:F$293,4,FALSE)="","---",VLOOKUP(A97,Declarations!B$6:F$293,4,FALSE)))</f>
        <v/>
      </c>
      <c r="E97" s="284" t="s">
        <v>161</v>
      </c>
      <c r="F97" s="284" t="s">
        <v>161</v>
      </c>
      <c r="G97" s="284" t="s">
        <v>161</v>
      </c>
      <c r="H97" s="70"/>
    </row>
    <row r="98" spans="1:8" ht="20" customHeight="1">
      <c r="A98" s="68"/>
      <c r="B98" s="69" t="str">
        <f>IF(ISNA(VLOOKUP(A98,Declarations!B$6:C$293,2,FALSE)),"",IF(VLOOKUP(A98,Declarations!B$6:C$293,2,FALSE)="","---",VLOOKUP(A98,Declarations!B$6:C$293,2,FALSE)))</f>
        <v/>
      </c>
      <c r="C98" s="69" t="str">
        <f>IF(ISNA(VLOOKUP(A98,Declarations!B$6:F$293,5,FALSE)),"",IF(VLOOKUP(A98,Declarations!B$6:F$293,5,FALSE)="","---",VLOOKUP(A98,Declarations!B$6:F$293,5,FALSE)))</f>
        <v/>
      </c>
      <c r="D98" s="69" t="str">
        <f>IF(ISNA(VLOOKUP(A98,Declarations!B$6:F$293,4,FALSE)),"",IF(VLOOKUP(A98,Declarations!B$6:F$293,4,FALSE)="","---",VLOOKUP(A98,Declarations!B$6:F$293,4,FALSE)))</f>
        <v/>
      </c>
      <c r="E98" s="284" t="s">
        <v>161</v>
      </c>
      <c r="F98" s="284" t="s">
        <v>161</v>
      </c>
      <c r="G98" s="284" t="s">
        <v>161</v>
      </c>
      <c r="H98" s="70"/>
    </row>
    <row r="99" spans="1:8" ht="20" customHeight="1">
      <c r="A99" s="68"/>
      <c r="B99" s="69" t="str">
        <f>IF(ISNA(VLOOKUP(A99,Declarations!B$6:C$293,2,FALSE)),"",IF(VLOOKUP(A99,Declarations!B$6:C$293,2,FALSE)="","---",VLOOKUP(A99,Declarations!B$6:C$293,2,FALSE)))</f>
        <v/>
      </c>
      <c r="C99" s="69" t="str">
        <f>IF(ISNA(VLOOKUP(A99,Declarations!B$6:F$293,5,FALSE)),"",IF(VLOOKUP(A99,Declarations!B$6:F$293,5,FALSE)="","---",VLOOKUP(A99,Declarations!B$6:F$293,5,FALSE)))</f>
        <v/>
      </c>
      <c r="D99" s="69" t="str">
        <f>IF(ISNA(VLOOKUP(A99,Declarations!B$6:F$293,4,FALSE)),"",IF(VLOOKUP(A99,Declarations!B$6:F$293,4,FALSE)="","---",VLOOKUP(A99,Declarations!B$6:F$293,4,FALSE)))</f>
        <v/>
      </c>
      <c r="E99" s="284" t="s">
        <v>161</v>
      </c>
      <c r="F99" s="284" t="s">
        <v>161</v>
      </c>
      <c r="G99" s="284" t="s">
        <v>161</v>
      </c>
      <c r="H99" s="70"/>
    </row>
    <row r="100" spans="1:8" ht="20" customHeight="1">
      <c r="A100" s="68"/>
      <c r="B100" s="69" t="str">
        <f>IF(ISNA(VLOOKUP(A100,Declarations!B$6:C$293,2,FALSE)),"",IF(VLOOKUP(A100,Declarations!B$6:C$293,2,FALSE)="","---",VLOOKUP(A100,Declarations!B$6:C$293,2,FALSE)))</f>
        <v/>
      </c>
      <c r="C100" s="69" t="str">
        <f>IF(ISNA(VLOOKUP(A100,Declarations!B$6:F$293,5,FALSE)),"",IF(VLOOKUP(A100,Declarations!B$6:F$293,5,FALSE)="","---",VLOOKUP(A100,Declarations!B$6:F$293,5,FALSE)))</f>
        <v/>
      </c>
      <c r="D100" s="69" t="str">
        <f>IF(ISNA(VLOOKUP(A100,Declarations!B$6:F$293,4,FALSE)),"",IF(VLOOKUP(A100,Declarations!B$6:F$293,4,FALSE)="","---",VLOOKUP(A100,Declarations!B$6:F$293,4,FALSE)))</f>
        <v/>
      </c>
      <c r="E100" s="284" t="s">
        <v>161</v>
      </c>
      <c r="F100" s="284" t="s">
        <v>161</v>
      </c>
      <c r="G100" s="284" t="s">
        <v>161</v>
      </c>
      <c r="H100" s="70"/>
    </row>
    <row r="101" spans="1:8" ht="20" customHeight="1">
      <c r="A101" s="68"/>
      <c r="B101" s="69" t="str">
        <f>IF(ISNA(VLOOKUP(A101,Declarations!B$6:C$293,2,FALSE)),"",IF(VLOOKUP(A101,Declarations!B$6:C$293,2,FALSE)="","---",VLOOKUP(A101,Declarations!B$6:C$293,2,FALSE)))</f>
        <v/>
      </c>
      <c r="C101" s="69" t="str">
        <f>IF(ISNA(VLOOKUP(A101,Declarations!B$6:F$293,5,FALSE)),"",IF(VLOOKUP(A101,Declarations!B$6:F$293,5,FALSE)="","---",VLOOKUP(A101,Declarations!B$6:F$293,5,FALSE)))</f>
        <v/>
      </c>
      <c r="D101" s="69" t="str">
        <f>IF(ISNA(VLOOKUP(A101,Declarations!B$6:F$293,4,FALSE)),"",IF(VLOOKUP(A101,Declarations!B$6:F$293,4,FALSE)="","---",VLOOKUP(A101,Declarations!B$6:F$293,4,FALSE)))</f>
        <v/>
      </c>
      <c r="E101" s="284" t="s">
        <v>161</v>
      </c>
      <c r="F101" s="284" t="s">
        <v>161</v>
      </c>
      <c r="G101" s="284" t="s">
        <v>161</v>
      </c>
      <c r="H101" s="70"/>
    </row>
    <row r="102" spans="1:8" ht="20" customHeight="1">
      <c r="A102" s="68"/>
      <c r="B102" s="69" t="str">
        <f>IF(ISNA(VLOOKUP(A102,Declarations!B$6:C$293,2,FALSE)),"",IF(VLOOKUP(A102,Declarations!B$6:C$293,2,FALSE)="","---",VLOOKUP(A102,Declarations!B$6:C$293,2,FALSE)))</f>
        <v/>
      </c>
      <c r="C102" s="69" t="str">
        <f>IF(ISNA(VLOOKUP(A102,Declarations!B$6:F$293,5,FALSE)),"",IF(VLOOKUP(A102,Declarations!B$6:F$293,5,FALSE)="","---",VLOOKUP(A102,Declarations!B$6:F$293,5,FALSE)))</f>
        <v/>
      </c>
      <c r="D102" s="69" t="str">
        <f>IF(ISNA(VLOOKUP(A102,Declarations!B$6:F$293,4,FALSE)),"",IF(VLOOKUP(A102,Declarations!B$6:F$293,4,FALSE)="","---",VLOOKUP(A102,Declarations!B$6:F$293,4,FALSE)))</f>
        <v/>
      </c>
      <c r="E102" s="284" t="s">
        <v>161</v>
      </c>
      <c r="F102" s="284" t="s">
        <v>161</v>
      </c>
      <c r="G102" s="284" t="s">
        <v>161</v>
      </c>
      <c r="H102" s="70"/>
    </row>
    <row r="103" spans="1:8" ht="20" customHeight="1">
      <c r="A103" s="68"/>
      <c r="B103" s="69" t="str">
        <f>IF(ISNA(VLOOKUP(A103,Declarations!B$6:C$293,2,FALSE)),"",IF(VLOOKUP(A103,Declarations!B$6:C$293,2,FALSE)="","---",VLOOKUP(A103,Declarations!B$6:C$293,2,FALSE)))</f>
        <v/>
      </c>
      <c r="C103" s="69" t="str">
        <f>IF(ISNA(VLOOKUP(A103,Declarations!B$6:F$293,5,FALSE)),"",IF(VLOOKUP(A103,Declarations!B$6:F$293,5,FALSE)="","---",VLOOKUP(A103,Declarations!B$6:F$293,5,FALSE)))</f>
        <v/>
      </c>
      <c r="D103" s="69" t="str">
        <f>IF(ISNA(VLOOKUP(A103,Declarations!B$6:F$293,4,FALSE)),"",IF(VLOOKUP(A103,Declarations!B$6:F$293,4,FALSE)="","---",VLOOKUP(A103,Declarations!B$6:F$293,4,FALSE)))</f>
        <v/>
      </c>
      <c r="E103" s="284" t="s">
        <v>161</v>
      </c>
      <c r="F103" s="284" t="s">
        <v>161</v>
      </c>
      <c r="G103" s="284" t="s">
        <v>161</v>
      </c>
      <c r="H103" s="70"/>
    </row>
    <row r="104" spans="1:8" ht="20" customHeight="1">
      <c r="A104" s="68"/>
      <c r="B104" s="69" t="str">
        <f>IF(ISNA(VLOOKUP(A104,Declarations!B$6:C$293,2,FALSE)),"",IF(VLOOKUP(A104,Declarations!B$6:C$293,2,FALSE)="","---",VLOOKUP(A104,Declarations!B$6:C$293,2,FALSE)))</f>
        <v/>
      </c>
      <c r="C104" s="69" t="str">
        <f>IF(ISNA(VLOOKUP(A104,Declarations!B$6:F$293,5,FALSE)),"",IF(VLOOKUP(A104,Declarations!B$6:F$293,5,FALSE)="","---",VLOOKUP(A104,Declarations!B$6:F$293,5,FALSE)))</f>
        <v/>
      </c>
      <c r="D104" s="69" t="str">
        <f>IF(ISNA(VLOOKUP(A104,Declarations!B$6:F$293,4,FALSE)),"",IF(VLOOKUP(A104,Declarations!B$6:F$293,4,FALSE)="","---",VLOOKUP(A104,Declarations!B$6:F$293,4,FALSE)))</f>
        <v/>
      </c>
      <c r="E104" s="284" t="s">
        <v>161</v>
      </c>
      <c r="F104" s="284" t="s">
        <v>161</v>
      </c>
      <c r="G104" s="284" t="s">
        <v>161</v>
      </c>
      <c r="H104" s="70"/>
    </row>
    <row r="105" spans="1:8" ht="20" customHeight="1">
      <c r="A105" s="68"/>
      <c r="B105" s="69" t="str">
        <f>IF(ISNA(VLOOKUP(A105,Declarations!B$6:C$293,2,FALSE)),"",IF(VLOOKUP(A105,Declarations!B$6:C$293,2,FALSE)="","---",VLOOKUP(A105,Declarations!B$6:C$293,2,FALSE)))</f>
        <v/>
      </c>
      <c r="C105" s="69" t="str">
        <f>IF(ISNA(VLOOKUP(A105,Declarations!B$6:F$293,5,FALSE)),"",IF(VLOOKUP(A105,Declarations!B$6:F$293,5,FALSE)="","---",VLOOKUP(A105,Declarations!B$6:F$293,5,FALSE)))</f>
        <v/>
      </c>
      <c r="D105" s="69" t="str">
        <f>IF(ISNA(VLOOKUP(A105,Declarations!B$6:F$293,4,FALSE)),"",IF(VLOOKUP(A105,Declarations!B$6:F$293,4,FALSE)="","---",VLOOKUP(A105,Declarations!B$6:F$293,4,FALSE)))</f>
        <v/>
      </c>
      <c r="E105" s="284" t="s">
        <v>161</v>
      </c>
      <c r="F105" s="284" t="s">
        <v>161</v>
      </c>
      <c r="G105" s="284" t="s">
        <v>161</v>
      </c>
      <c r="H105" s="70"/>
    </row>
    <row r="106" spans="1:8" ht="20" customHeight="1">
      <c r="A106" s="68"/>
      <c r="B106" s="69" t="str">
        <f>IF(ISNA(VLOOKUP(A106,Declarations!B$6:C$293,2,FALSE)),"",IF(VLOOKUP(A106,Declarations!B$6:C$293,2,FALSE)="","---",VLOOKUP(A106,Declarations!B$6:C$293,2,FALSE)))</f>
        <v/>
      </c>
      <c r="C106" s="69" t="str">
        <f>IF(ISNA(VLOOKUP(A106,Declarations!B$6:F$293,5,FALSE)),"",IF(VLOOKUP(A106,Declarations!B$6:F$293,5,FALSE)="","---",VLOOKUP(A106,Declarations!B$6:F$293,5,FALSE)))</f>
        <v/>
      </c>
      <c r="D106" s="69" t="str">
        <f>IF(ISNA(VLOOKUP(A106,Declarations!B$6:F$293,4,FALSE)),"",IF(VLOOKUP(A106,Declarations!B$6:F$293,4,FALSE)="","---",VLOOKUP(A106,Declarations!B$6:F$293,4,FALSE)))</f>
        <v/>
      </c>
      <c r="E106" s="284" t="s">
        <v>161</v>
      </c>
      <c r="F106" s="284" t="s">
        <v>161</v>
      </c>
      <c r="G106" s="284" t="s">
        <v>161</v>
      </c>
      <c r="H106" s="70"/>
    </row>
    <row r="107" spans="1:8" ht="20" customHeight="1">
      <c r="A107" s="68"/>
      <c r="B107" s="69" t="str">
        <f>IF(ISNA(VLOOKUP(A107,Declarations!B$6:C$293,2,FALSE)),"",IF(VLOOKUP(A107,Declarations!B$6:C$293,2,FALSE)="","---",VLOOKUP(A107,Declarations!B$6:C$293,2,FALSE)))</f>
        <v/>
      </c>
      <c r="C107" s="69" t="str">
        <f>IF(ISNA(VLOOKUP(A107,Declarations!B$6:F$293,5,FALSE)),"",IF(VLOOKUP(A107,Declarations!B$6:F$293,5,FALSE)="","---",VLOOKUP(A107,Declarations!B$6:F$293,5,FALSE)))</f>
        <v/>
      </c>
      <c r="D107" s="69" t="str">
        <f>IF(ISNA(VLOOKUP(A107,Declarations!B$6:F$293,4,FALSE)),"",IF(VLOOKUP(A107,Declarations!B$6:F$293,4,FALSE)="","---",VLOOKUP(A107,Declarations!B$6:F$293,4,FALSE)))</f>
        <v/>
      </c>
      <c r="E107" s="284" t="s">
        <v>161</v>
      </c>
      <c r="F107" s="284" t="s">
        <v>161</v>
      </c>
      <c r="G107" s="284" t="s">
        <v>161</v>
      </c>
      <c r="H107" s="70"/>
    </row>
    <row r="108" spans="1:8" ht="20" customHeight="1">
      <c r="A108" s="68"/>
      <c r="B108" s="69" t="str">
        <f>IF(ISNA(VLOOKUP(A108,Declarations!B$6:C$293,2,FALSE)),"",IF(VLOOKUP(A108,Declarations!B$6:C$293,2,FALSE)="","---",VLOOKUP(A108,Declarations!B$6:C$293,2,FALSE)))</f>
        <v/>
      </c>
      <c r="C108" s="69" t="str">
        <f>IF(ISNA(VLOOKUP(A108,Declarations!B$6:F$293,5,FALSE)),"",IF(VLOOKUP(A108,Declarations!B$6:F$293,5,FALSE)="","---",VLOOKUP(A108,Declarations!B$6:F$293,5,FALSE)))</f>
        <v/>
      </c>
      <c r="D108" s="69" t="str">
        <f>IF(ISNA(VLOOKUP(A108,Declarations!B$6:F$293,4,FALSE)),"",IF(VLOOKUP(A108,Declarations!B$6:F$293,4,FALSE)="","---",VLOOKUP(A108,Declarations!B$6:F$293,4,FALSE)))</f>
        <v/>
      </c>
      <c r="E108" s="284" t="s">
        <v>161</v>
      </c>
      <c r="F108" s="284" t="s">
        <v>161</v>
      </c>
      <c r="G108" s="284" t="s">
        <v>161</v>
      </c>
      <c r="H108" s="70"/>
    </row>
    <row r="109" spans="1:8" ht="20" customHeight="1">
      <c r="A109" s="68"/>
      <c r="B109" s="69" t="str">
        <f>IF(ISNA(VLOOKUP(A109,Declarations!B$6:C$293,2,FALSE)),"",IF(VLOOKUP(A109,Declarations!B$6:C$293,2,FALSE)="","---",VLOOKUP(A109,Declarations!B$6:C$293,2,FALSE)))</f>
        <v/>
      </c>
      <c r="C109" s="69" t="str">
        <f>IF(ISNA(VLOOKUP(A109,Declarations!B$6:F$293,5,FALSE)),"",IF(VLOOKUP(A109,Declarations!B$6:F$293,5,FALSE)="","---",VLOOKUP(A109,Declarations!B$6:F$293,5,FALSE)))</f>
        <v/>
      </c>
      <c r="D109" s="69" t="str">
        <f>IF(ISNA(VLOOKUP(A109,Declarations!B$6:F$293,4,FALSE)),"",IF(VLOOKUP(A109,Declarations!B$6:F$293,4,FALSE)="","---",VLOOKUP(A109,Declarations!B$6:F$293,4,FALSE)))</f>
        <v/>
      </c>
      <c r="E109" s="284" t="s">
        <v>161</v>
      </c>
      <c r="F109" s="284" t="s">
        <v>161</v>
      </c>
      <c r="G109" s="284" t="s">
        <v>161</v>
      </c>
      <c r="H109" s="70"/>
    </row>
    <row r="110" spans="1:8" ht="20" customHeight="1">
      <c r="A110" s="68"/>
      <c r="B110" s="69" t="str">
        <f>IF(ISNA(VLOOKUP(A110,Declarations!B$6:C$293,2,FALSE)),"",IF(VLOOKUP(A110,Declarations!B$6:C$293,2,FALSE)="","---",VLOOKUP(A110,Declarations!B$6:C$293,2,FALSE)))</f>
        <v/>
      </c>
      <c r="C110" s="69" t="str">
        <f>IF(ISNA(VLOOKUP(A110,Declarations!B$6:F$293,5,FALSE)),"",IF(VLOOKUP(A110,Declarations!B$6:F$293,5,FALSE)="","---",VLOOKUP(A110,Declarations!B$6:F$293,5,FALSE)))</f>
        <v/>
      </c>
      <c r="D110" s="69" t="str">
        <f>IF(ISNA(VLOOKUP(A110,Declarations!B$6:F$293,4,FALSE)),"",IF(VLOOKUP(A110,Declarations!B$6:F$293,4,FALSE)="","---",VLOOKUP(A110,Declarations!B$6:F$293,4,FALSE)))</f>
        <v/>
      </c>
      <c r="E110" s="284" t="s">
        <v>161</v>
      </c>
      <c r="F110" s="284" t="s">
        <v>161</v>
      </c>
      <c r="G110" s="284" t="s">
        <v>161</v>
      </c>
      <c r="H110" s="70"/>
    </row>
    <row r="111" spans="1:8" ht="20" customHeight="1">
      <c r="A111" s="68"/>
      <c r="B111" s="69" t="str">
        <f>IF(ISNA(VLOOKUP(A111,Declarations!B$6:C$293,2,FALSE)),"",IF(VLOOKUP(A111,Declarations!B$6:C$293,2,FALSE)="","---",VLOOKUP(A111,Declarations!B$6:C$293,2,FALSE)))</f>
        <v/>
      </c>
      <c r="C111" s="69" t="str">
        <f>IF(ISNA(VLOOKUP(A111,Declarations!B$6:F$293,5,FALSE)),"",IF(VLOOKUP(A111,Declarations!B$6:F$293,5,FALSE)="","---",VLOOKUP(A111,Declarations!B$6:F$293,5,FALSE)))</f>
        <v/>
      </c>
      <c r="D111" s="69" t="str">
        <f>IF(ISNA(VLOOKUP(A111,Declarations!B$6:F$293,4,FALSE)),"",IF(VLOOKUP(A111,Declarations!B$6:F$293,4,FALSE)="","---",VLOOKUP(A111,Declarations!B$6:F$293,4,FALSE)))</f>
        <v/>
      </c>
      <c r="E111" s="284" t="s">
        <v>161</v>
      </c>
      <c r="F111" s="284" t="s">
        <v>161</v>
      </c>
      <c r="G111" s="284" t="s">
        <v>161</v>
      </c>
      <c r="H111" s="70"/>
    </row>
    <row r="112" spans="1:8" ht="20" customHeight="1">
      <c r="A112" s="68"/>
      <c r="B112" s="69" t="str">
        <f>IF(ISNA(VLOOKUP(A112,Declarations!B$6:C$293,2,FALSE)),"",IF(VLOOKUP(A112,Declarations!B$6:C$293,2,FALSE)="","---",VLOOKUP(A112,Declarations!B$6:C$293,2,FALSE)))</f>
        <v/>
      </c>
      <c r="C112" s="69" t="str">
        <f>IF(ISNA(VLOOKUP(A112,Declarations!B$6:F$293,5,FALSE)),"",IF(VLOOKUP(A112,Declarations!B$6:F$293,5,FALSE)="","---",VLOOKUP(A112,Declarations!B$6:F$293,5,FALSE)))</f>
        <v/>
      </c>
      <c r="D112" s="69" t="str">
        <f>IF(ISNA(VLOOKUP(A112,Declarations!B$6:F$293,4,FALSE)),"",IF(VLOOKUP(A112,Declarations!B$6:F$293,4,FALSE)="","---",VLOOKUP(A112,Declarations!B$6:F$293,4,FALSE)))</f>
        <v/>
      </c>
      <c r="E112" s="284" t="s">
        <v>161</v>
      </c>
      <c r="F112" s="284" t="s">
        <v>161</v>
      </c>
      <c r="G112" s="284" t="s">
        <v>161</v>
      </c>
      <c r="H112" s="70"/>
    </row>
    <row r="113" spans="1:8" ht="20" customHeight="1">
      <c r="A113" s="68"/>
      <c r="B113" s="69" t="str">
        <f>IF(ISNA(VLOOKUP(A113,Declarations!B$6:C$293,2,FALSE)),"",IF(VLOOKUP(A113,Declarations!B$6:C$293,2,FALSE)="","---",VLOOKUP(A113,Declarations!B$6:C$293,2,FALSE)))</f>
        <v/>
      </c>
      <c r="C113" s="69" t="str">
        <f>IF(ISNA(VLOOKUP(A113,Declarations!B$6:F$293,5,FALSE)),"",IF(VLOOKUP(A113,Declarations!B$6:F$293,5,FALSE)="","---",VLOOKUP(A113,Declarations!B$6:F$293,5,FALSE)))</f>
        <v/>
      </c>
      <c r="D113" s="69" t="str">
        <f>IF(ISNA(VLOOKUP(A113,Declarations!B$6:F$293,4,FALSE)),"",IF(VLOOKUP(A113,Declarations!B$6:F$293,4,FALSE)="","---",VLOOKUP(A113,Declarations!B$6:F$293,4,FALSE)))</f>
        <v/>
      </c>
      <c r="E113" s="284" t="s">
        <v>161</v>
      </c>
      <c r="F113" s="284" t="s">
        <v>161</v>
      </c>
      <c r="G113" s="284" t="s">
        <v>161</v>
      </c>
      <c r="H113" s="70"/>
    </row>
    <row r="114" spans="1:8" ht="20" customHeight="1">
      <c r="A114" s="68"/>
      <c r="B114" s="69" t="str">
        <f>IF(ISNA(VLOOKUP(A114,Declarations!B$6:C$293,2,FALSE)),"",IF(VLOOKUP(A114,Declarations!B$6:C$293,2,FALSE)="","---",VLOOKUP(A114,Declarations!B$6:C$293,2,FALSE)))</f>
        <v/>
      </c>
      <c r="C114" s="69" t="str">
        <f>IF(ISNA(VLOOKUP(A114,Declarations!B$6:F$293,5,FALSE)),"",IF(VLOOKUP(A114,Declarations!B$6:F$293,5,FALSE)="","---",VLOOKUP(A114,Declarations!B$6:F$293,5,FALSE)))</f>
        <v/>
      </c>
      <c r="D114" s="69" t="str">
        <f>IF(ISNA(VLOOKUP(A114,Declarations!B$6:F$293,4,FALSE)),"",IF(VLOOKUP(A114,Declarations!B$6:F$293,4,FALSE)="","---",VLOOKUP(A114,Declarations!B$6:F$293,4,FALSE)))</f>
        <v/>
      </c>
      <c r="E114" s="284" t="s">
        <v>161</v>
      </c>
      <c r="F114" s="284" t="s">
        <v>161</v>
      </c>
      <c r="G114" s="284" t="s">
        <v>161</v>
      </c>
      <c r="H114" s="70"/>
    </row>
    <row r="115" spans="1:8">
      <c r="A115" s="71"/>
      <c r="B115" s="72"/>
      <c r="C115" s="72"/>
      <c r="D115" s="72"/>
      <c r="E115" s="73"/>
      <c r="F115" s="73"/>
      <c r="G115" s="73"/>
      <c r="H115" s="73"/>
    </row>
    <row r="116" spans="1:8">
      <c r="A116" s="71"/>
      <c r="B116" s="510" t="s">
        <v>92</v>
      </c>
      <c r="C116" s="511"/>
      <c r="D116" s="72"/>
      <c r="E116" s="509" t="s">
        <v>93</v>
      </c>
      <c r="F116" s="509"/>
      <c r="G116" s="501" t="s">
        <v>43</v>
      </c>
      <c r="H116" s="501"/>
    </row>
    <row r="117" spans="1:8" ht="16" customHeight="1">
      <c r="A117" s="71"/>
      <c r="B117" s="512"/>
      <c r="C117" s="513"/>
      <c r="D117" s="72"/>
      <c r="E117" s="501"/>
      <c r="F117" s="501"/>
      <c r="G117" s="501"/>
      <c r="H117" s="501"/>
    </row>
    <row r="118" spans="1:8">
      <c r="A118" s="71"/>
      <c r="B118" s="512"/>
      <c r="C118" s="513"/>
      <c r="D118" s="72"/>
      <c r="E118" s="501"/>
      <c r="F118" s="501"/>
      <c r="G118" s="501"/>
      <c r="H118" s="501"/>
    </row>
    <row r="119" spans="1:8">
      <c r="A119" s="71"/>
      <c r="B119" s="514"/>
      <c r="C119" s="515"/>
      <c r="D119" s="72"/>
      <c r="E119" s="501"/>
      <c r="F119" s="501"/>
      <c r="G119" s="501"/>
      <c r="H119" s="501"/>
    </row>
    <row r="120" spans="1:8" ht="8" customHeight="1">
      <c r="A120" s="71"/>
      <c r="B120" s="72"/>
      <c r="C120" s="72"/>
      <c r="D120" s="72"/>
      <c r="E120" s="97"/>
      <c r="F120" s="97"/>
      <c r="G120" s="97"/>
      <c r="H120" s="97"/>
    </row>
    <row r="121" spans="1:8" ht="20">
      <c r="A121" s="502" t="str">
        <f>'Read Me First'!A1:F1</f>
        <v>Oxfordshire Track and Field League 2026</v>
      </c>
      <c r="B121" s="503"/>
      <c r="C121" s="503"/>
      <c r="D121" s="503"/>
      <c r="E121" s="503"/>
      <c r="F121" s="503"/>
      <c r="G121" s="503"/>
      <c r="H121" s="504"/>
    </row>
    <row r="122" spans="1:8" ht="18">
      <c r="A122" s="61" t="s">
        <v>12</v>
      </c>
      <c r="B122" s="62">
        <f>'Read Me First'!$C$10</f>
        <v>46250</v>
      </c>
      <c r="C122" s="96">
        <v>0.625</v>
      </c>
      <c r="D122" s="61" t="s">
        <v>13</v>
      </c>
      <c r="E122" s="505" t="str">
        <f>$E$2</f>
        <v>Banbury</v>
      </c>
      <c r="F122" s="506"/>
      <c r="G122" s="506"/>
      <c r="H122" s="507"/>
    </row>
    <row r="123" spans="1:8" ht="18">
      <c r="A123" s="508" t="s">
        <v>44</v>
      </c>
      <c r="B123" s="508"/>
      <c r="C123" s="508"/>
      <c r="D123" s="508"/>
      <c r="E123" s="60">
        <v>1</v>
      </c>
      <c r="F123" s="60">
        <v>2</v>
      </c>
      <c r="G123" s="60">
        <v>3</v>
      </c>
      <c r="H123" s="60" t="s">
        <v>42</v>
      </c>
    </row>
    <row r="124" spans="1:8" ht="18">
      <c r="A124" s="66"/>
      <c r="B124" s="66"/>
      <c r="C124" s="66"/>
      <c r="D124" s="66"/>
      <c r="E124" s="67"/>
      <c r="F124" s="67"/>
      <c r="G124" s="67"/>
      <c r="H124" s="67"/>
    </row>
    <row r="125" spans="1:8" ht="20" customHeight="1">
      <c r="A125" s="68" t="str" cm="1">
        <f t="array" ref="A125">IFERROR(_xlfn.TEXTSPLIT(IFERROR(_xlfn.TEXTJOIN(",",TRUE,_xlfn._xlws.FILTER(BlockAllocations!$F$3:$F$20,BlockAllocations!$E$3:$E$20=BlockAllocations!$G$9)),""),,",")+0,"!")</f>
        <v>!</v>
      </c>
      <c r="B125" s="69" t="str">
        <f>IF(ISNA(VLOOKUP(A125,Declarations!B$6:C$293,2,FALSE)),"",IF(VLOOKUP(A125,Declarations!B$6:C$293,2,FALSE)="","---",VLOOKUP(A125,Declarations!B$6:C$293,2,FALSE)))</f>
        <v/>
      </c>
      <c r="C125" s="69" t="str">
        <f>IF(ISNA(VLOOKUP(A125,Declarations!B$6:F$293,5,FALSE)),"",IF(VLOOKUP(A125,Declarations!B$6:F$293,5,FALSE)="","---",VLOOKUP(A125,Declarations!B$6:F$293,5,FALSE)))</f>
        <v/>
      </c>
      <c r="D125" s="69" t="str">
        <f>IF(ISNA(VLOOKUP(A125,Declarations!B$6:F$293,4,FALSE)),"",IF(VLOOKUP(A125,Declarations!B$6:F$293,4,FALSE)="","---",VLOOKUP(A125,Declarations!B$6:F$293,4,FALSE)))</f>
        <v/>
      </c>
      <c r="E125" s="284" t="s">
        <v>161</v>
      </c>
      <c r="F125" s="284" t="s">
        <v>161</v>
      </c>
      <c r="G125" s="284" t="s">
        <v>161</v>
      </c>
      <c r="H125" s="70"/>
    </row>
    <row r="126" spans="1:8" ht="20" customHeight="1">
      <c r="A126" s="68"/>
      <c r="B126" s="69" t="str">
        <f>IF(ISNA(VLOOKUP(A126,Declarations!B$6:C$293,2,FALSE)),"",IF(VLOOKUP(A126,Declarations!B$6:C$293,2,FALSE)="","---",VLOOKUP(A126,Declarations!B$6:C$293,2,FALSE)))</f>
        <v/>
      </c>
      <c r="C126" s="69" t="str">
        <f>IF(ISNA(VLOOKUP(A126,Declarations!B$6:F$293,5,FALSE)),"",IF(VLOOKUP(A126,Declarations!B$6:F$293,5,FALSE)="","---",VLOOKUP(A126,Declarations!B$6:F$293,5,FALSE)))</f>
        <v/>
      </c>
      <c r="D126" s="69" t="str">
        <f>IF(ISNA(VLOOKUP(A126,Declarations!B$6:F$293,4,FALSE)),"",IF(VLOOKUP(A126,Declarations!B$6:F$293,4,FALSE)="","---",VLOOKUP(A126,Declarations!B$6:F$293,4,FALSE)))</f>
        <v/>
      </c>
      <c r="E126" s="284" t="s">
        <v>161</v>
      </c>
      <c r="F126" s="284" t="s">
        <v>161</v>
      </c>
      <c r="G126" s="284" t="s">
        <v>161</v>
      </c>
      <c r="H126" s="70"/>
    </row>
    <row r="127" spans="1:8" ht="20" customHeight="1">
      <c r="A127" s="68"/>
      <c r="B127" s="69" t="str">
        <f>IF(ISNA(VLOOKUP(A127,Declarations!B$6:C$293,2,FALSE)),"",IF(VLOOKUP(A127,Declarations!B$6:C$293,2,FALSE)="","---",VLOOKUP(A127,Declarations!B$6:C$293,2,FALSE)))</f>
        <v/>
      </c>
      <c r="C127" s="69" t="str">
        <f>IF(ISNA(VLOOKUP(A127,Declarations!B$6:F$293,5,FALSE)),"",IF(VLOOKUP(A127,Declarations!B$6:F$293,5,FALSE)="","---",VLOOKUP(A127,Declarations!B$6:F$293,5,FALSE)))</f>
        <v/>
      </c>
      <c r="D127" s="69" t="str">
        <f>IF(ISNA(VLOOKUP(A127,Declarations!B$6:F$293,4,FALSE)),"",IF(VLOOKUP(A127,Declarations!B$6:F$293,4,FALSE)="","---",VLOOKUP(A127,Declarations!B$6:F$293,4,FALSE)))</f>
        <v/>
      </c>
      <c r="E127" s="284" t="s">
        <v>161</v>
      </c>
      <c r="F127" s="284" t="s">
        <v>161</v>
      </c>
      <c r="G127" s="284" t="s">
        <v>161</v>
      </c>
      <c r="H127" s="70"/>
    </row>
    <row r="128" spans="1:8" ht="20" customHeight="1">
      <c r="A128" s="68"/>
      <c r="B128" s="69" t="str">
        <f>IF(ISNA(VLOOKUP(A128,Declarations!B$6:C$293,2,FALSE)),"",IF(VLOOKUP(A128,Declarations!B$6:C$293,2,FALSE)="","---",VLOOKUP(A128,Declarations!B$6:C$293,2,FALSE)))</f>
        <v/>
      </c>
      <c r="C128" s="69" t="str">
        <f>IF(ISNA(VLOOKUP(A128,Declarations!B$6:F$293,5,FALSE)),"",IF(VLOOKUP(A128,Declarations!B$6:F$293,5,FALSE)="","---",VLOOKUP(A128,Declarations!B$6:F$293,5,FALSE)))</f>
        <v/>
      </c>
      <c r="D128" s="69" t="str">
        <f>IF(ISNA(VLOOKUP(A128,Declarations!B$6:F$293,4,FALSE)),"",IF(VLOOKUP(A128,Declarations!B$6:F$293,4,FALSE)="","---",VLOOKUP(A128,Declarations!B$6:F$293,4,FALSE)))</f>
        <v/>
      </c>
      <c r="E128" s="284" t="s">
        <v>161</v>
      </c>
      <c r="F128" s="284" t="s">
        <v>161</v>
      </c>
      <c r="G128" s="284" t="s">
        <v>161</v>
      </c>
      <c r="H128" s="70"/>
    </row>
    <row r="129" spans="1:8" ht="20" customHeight="1">
      <c r="A129" s="68"/>
      <c r="B129" s="69" t="str">
        <f>IF(ISNA(VLOOKUP(A129,Declarations!B$6:C$293,2,FALSE)),"",IF(VLOOKUP(A129,Declarations!B$6:C$293,2,FALSE)="","---",VLOOKUP(A129,Declarations!B$6:C$293,2,FALSE)))</f>
        <v/>
      </c>
      <c r="C129" s="69" t="str">
        <f>IF(ISNA(VLOOKUP(A129,Declarations!B$6:F$293,5,FALSE)),"",IF(VLOOKUP(A129,Declarations!B$6:F$293,5,FALSE)="","---",VLOOKUP(A129,Declarations!B$6:F$293,5,FALSE)))</f>
        <v/>
      </c>
      <c r="D129" s="69" t="str">
        <f>IF(ISNA(VLOOKUP(A129,Declarations!B$6:F$293,4,FALSE)),"",IF(VLOOKUP(A129,Declarations!B$6:F$293,4,FALSE)="","---",VLOOKUP(A129,Declarations!B$6:F$293,4,FALSE)))</f>
        <v/>
      </c>
      <c r="E129" s="284" t="s">
        <v>161</v>
      </c>
      <c r="F129" s="284" t="s">
        <v>161</v>
      </c>
      <c r="G129" s="284" t="s">
        <v>161</v>
      </c>
      <c r="H129" s="70"/>
    </row>
    <row r="130" spans="1:8" ht="20" customHeight="1">
      <c r="A130" s="68"/>
      <c r="B130" s="69" t="str">
        <f>IF(ISNA(VLOOKUP(A130,Declarations!B$6:C$293,2,FALSE)),"",IF(VLOOKUP(A130,Declarations!B$6:C$293,2,FALSE)="","---",VLOOKUP(A130,Declarations!B$6:C$293,2,FALSE)))</f>
        <v/>
      </c>
      <c r="C130" s="69" t="str">
        <f>IF(ISNA(VLOOKUP(A130,Declarations!B$6:F$293,5,FALSE)),"",IF(VLOOKUP(A130,Declarations!B$6:F$293,5,FALSE)="","---",VLOOKUP(A130,Declarations!B$6:F$293,5,FALSE)))</f>
        <v/>
      </c>
      <c r="D130" s="69" t="str">
        <f>IF(ISNA(VLOOKUP(A130,Declarations!B$6:F$293,4,FALSE)),"",IF(VLOOKUP(A130,Declarations!B$6:F$293,4,FALSE)="","---",VLOOKUP(A130,Declarations!B$6:F$293,4,FALSE)))</f>
        <v/>
      </c>
      <c r="E130" s="284" t="s">
        <v>161</v>
      </c>
      <c r="F130" s="284" t="s">
        <v>161</v>
      </c>
      <c r="G130" s="284" t="s">
        <v>161</v>
      </c>
      <c r="H130" s="70"/>
    </row>
    <row r="131" spans="1:8" ht="20" customHeight="1">
      <c r="A131" s="68"/>
      <c r="B131" s="69" t="str">
        <f>IF(ISNA(VLOOKUP(A131,Declarations!B$6:C$293,2,FALSE)),"",IF(VLOOKUP(A131,Declarations!B$6:C$293,2,FALSE)="","---",VLOOKUP(A131,Declarations!B$6:C$293,2,FALSE)))</f>
        <v/>
      </c>
      <c r="C131" s="69" t="str">
        <f>IF(ISNA(VLOOKUP(A131,Declarations!B$6:F$293,5,FALSE)),"",IF(VLOOKUP(A131,Declarations!B$6:F$293,5,FALSE)="","---",VLOOKUP(A131,Declarations!B$6:F$293,5,FALSE)))</f>
        <v/>
      </c>
      <c r="D131" s="69" t="str">
        <f>IF(ISNA(VLOOKUP(A131,Declarations!B$6:F$293,4,FALSE)),"",IF(VLOOKUP(A131,Declarations!B$6:F$293,4,FALSE)="","---",VLOOKUP(A131,Declarations!B$6:F$293,4,FALSE)))</f>
        <v/>
      </c>
      <c r="E131" s="284" t="s">
        <v>161</v>
      </c>
      <c r="F131" s="284" t="s">
        <v>161</v>
      </c>
      <c r="G131" s="284" t="s">
        <v>161</v>
      </c>
      <c r="H131" s="70"/>
    </row>
    <row r="132" spans="1:8" ht="20" customHeight="1">
      <c r="A132" s="68"/>
      <c r="B132" s="69" t="str">
        <f>IF(ISNA(VLOOKUP(A132,Declarations!B$6:C$293,2,FALSE)),"",IF(VLOOKUP(A132,Declarations!B$6:C$293,2,FALSE)="","---",VLOOKUP(A132,Declarations!B$6:C$293,2,FALSE)))</f>
        <v/>
      </c>
      <c r="C132" s="69" t="str">
        <f>IF(ISNA(VLOOKUP(A132,Declarations!B$6:F$293,5,FALSE)),"",IF(VLOOKUP(A132,Declarations!B$6:F$293,5,FALSE)="","---",VLOOKUP(A132,Declarations!B$6:F$293,5,FALSE)))</f>
        <v/>
      </c>
      <c r="D132" s="69" t="str">
        <f>IF(ISNA(VLOOKUP(A132,Declarations!B$6:F$293,4,FALSE)),"",IF(VLOOKUP(A132,Declarations!B$6:F$293,4,FALSE)="","---",VLOOKUP(A132,Declarations!B$6:F$293,4,FALSE)))</f>
        <v/>
      </c>
      <c r="E132" s="284" t="s">
        <v>161</v>
      </c>
      <c r="F132" s="284" t="s">
        <v>161</v>
      </c>
      <c r="G132" s="284" t="s">
        <v>161</v>
      </c>
      <c r="H132" s="70"/>
    </row>
    <row r="133" spans="1:8" ht="20" customHeight="1">
      <c r="A133" s="68"/>
      <c r="B133" s="69" t="str">
        <f>IF(ISNA(VLOOKUP(A133,Declarations!B$6:C$293,2,FALSE)),"",IF(VLOOKUP(A133,Declarations!B$6:C$293,2,FALSE)="","---",VLOOKUP(A133,Declarations!B$6:C$293,2,FALSE)))</f>
        <v/>
      </c>
      <c r="C133" s="69" t="str">
        <f>IF(ISNA(VLOOKUP(A133,Declarations!B$6:F$293,5,FALSE)),"",IF(VLOOKUP(A133,Declarations!B$6:F$293,5,FALSE)="","---",VLOOKUP(A133,Declarations!B$6:F$293,5,FALSE)))</f>
        <v/>
      </c>
      <c r="D133" s="69" t="str">
        <f>IF(ISNA(VLOOKUP(A133,Declarations!B$6:F$293,4,FALSE)),"",IF(VLOOKUP(A133,Declarations!B$6:F$293,4,FALSE)="","---",VLOOKUP(A133,Declarations!B$6:F$293,4,FALSE)))</f>
        <v/>
      </c>
      <c r="E133" s="284" t="s">
        <v>161</v>
      </c>
      <c r="F133" s="284" t="s">
        <v>161</v>
      </c>
      <c r="G133" s="284" t="s">
        <v>161</v>
      </c>
      <c r="H133" s="70"/>
    </row>
    <row r="134" spans="1:8" ht="20" customHeight="1">
      <c r="A134" s="68"/>
      <c r="B134" s="69" t="str">
        <f>IF(ISNA(VLOOKUP(A134,Declarations!B$6:C$293,2,FALSE)),"",IF(VLOOKUP(A134,Declarations!B$6:C$293,2,FALSE)="","---",VLOOKUP(A134,Declarations!B$6:C$293,2,FALSE)))</f>
        <v/>
      </c>
      <c r="C134" s="69" t="str">
        <f>IF(ISNA(VLOOKUP(A134,Declarations!B$6:F$293,5,FALSE)),"",IF(VLOOKUP(A134,Declarations!B$6:F$293,5,FALSE)="","---",VLOOKUP(A134,Declarations!B$6:F$293,5,FALSE)))</f>
        <v/>
      </c>
      <c r="D134" s="69" t="str">
        <f>IF(ISNA(VLOOKUP(A134,Declarations!B$6:F$293,4,FALSE)),"",IF(VLOOKUP(A134,Declarations!B$6:F$293,4,FALSE)="","---",VLOOKUP(A134,Declarations!B$6:F$293,4,FALSE)))</f>
        <v/>
      </c>
      <c r="E134" s="284" t="s">
        <v>161</v>
      </c>
      <c r="F134" s="284" t="s">
        <v>161</v>
      </c>
      <c r="G134" s="284" t="s">
        <v>161</v>
      </c>
      <c r="H134" s="70"/>
    </row>
    <row r="135" spans="1:8" ht="20" customHeight="1">
      <c r="A135" s="68"/>
      <c r="B135" s="69" t="str">
        <f>IF(ISNA(VLOOKUP(A135,Declarations!B$6:C$293,2,FALSE)),"",IF(VLOOKUP(A135,Declarations!B$6:C$293,2,FALSE)="","---",VLOOKUP(A135,Declarations!B$6:C$293,2,FALSE)))</f>
        <v/>
      </c>
      <c r="C135" s="69" t="str">
        <f>IF(ISNA(VLOOKUP(A135,Declarations!B$6:F$293,5,FALSE)),"",IF(VLOOKUP(A135,Declarations!B$6:F$293,5,FALSE)="","---",VLOOKUP(A135,Declarations!B$6:F$293,5,FALSE)))</f>
        <v/>
      </c>
      <c r="D135" s="69" t="str">
        <f>IF(ISNA(VLOOKUP(A135,Declarations!B$6:F$293,4,FALSE)),"",IF(VLOOKUP(A135,Declarations!B$6:F$293,4,FALSE)="","---",VLOOKUP(A135,Declarations!B$6:F$293,4,FALSE)))</f>
        <v/>
      </c>
      <c r="E135" s="284" t="s">
        <v>161</v>
      </c>
      <c r="F135" s="284" t="s">
        <v>161</v>
      </c>
      <c r="G135" s="284" t="s">
        <v>161</v>
      </c>
      <c r="H135" s="70"/>
    </row>
    <row r="136" spans="1:8" ht="20" customHeight="1">
      <c r="A136" s="68"/>
      <c r="B136" s="69" t="str">
        <f>IF(ISNA(VLOOKUP(A136,Declarations!B$6:C$293,2,FALSE)),"",IF(VLOOKUP(A136,Declarations!B$6:C$293,2,FALSE)="","---",VLOOKUP(A136,Declarations!B$6:C$293,2,FALSE)))</f>
        <v/>
      </c>
      <c r="C136" s="69" t="str">
        <f>IF(ISNA(VLOOKUP(A136,Declarations!B$6:F$293,5,FALSE)),"",IF(VLOOKUP(A136,Declarations!B$6:F$293,5,FALSE)="","---",VLOOKUP(A136,Declarations!B$6:F$293,5,FALSE)))</f>
        <v/>
      </c>
      <c r="D136" s="69" t="str">
        <f>IF(ISNA(VLOOKUP(A136,Declarations!B$6:F$293,4,FALSE)),"",IF(VLOOKUP(A136,Declarations!B$6:F$293,4,FALSE)="","---",VLOOKUP(A136,Declarations!B$6:F$293,4,FALSE)))</f>
        <v/>
      </c>
      <c r="E136" s="284" t="s">
        <v>161</v>
      </c>
      <c r="F136" s="284" t="s">
        <v>161</v>
      </c>
      <c r="G136" s="284" t="s">
        <v>161</v>
      </c>
      <c r="H136" s="70"/>
    </row>
    <row r="137" spans="1:8" ht="20" customHeight="1">
      <c r="A137" s="68"/>
      <c r="B137" s="69" t="str">
        <f>IF(ISNA(VLOOKUP(A137,Declarations!B$6:C$293,2,FALSE)),"",IF(VLOOKUP(A137,Declarations!B$6:C$293,2,FALSE)="","---",VLOOKUP(A137,Declarations!B$6:C$293,2,FALSE)))</f>
        <v/>
      </c>
      <c r="C137" s="69" t="str">
        <f>IF(ISNA(VLOOKUP(A137,Declarations!B$6:F$293,5,FALSE)),"",IF(VLOOKUP(A137,Declarations!B$6:F$293,5,FALSE)="","---",VLOOKUP(A137,Declarations!B$6:F$293,5,FALSE)))</f>
        <v/>
      </c>
      <c r="D137" s="69" t="str">
        <f>IF(ISNA(VLOOKUP(A137,Declarations!B$6:F$293,4,FALSE)),"",IF(VLOOKUP(A137,Declarations!B$6:F$293,4,FALSE)="","---",VLOOKUP(A137,Declarations!B$6:F$293,4,FALSE)))</f>
        <v/>
      </c>
      <c r="E137" s="284" t="s">
        <v>161</v>
      </c>
      <c r="F137" s="284" t="s">
        <v>161</v>
      </c>
      <c r="G137" s="284" t="s">
        <v>161</v>
      </c>
      <c r="H137" s="70"/>
    </row>
    <row r="138" spans="1:8" ht="20" customHeight="1">
      <c r="A138" s="68"/>
      <c r="B138" s="69" t="str">
        <f>IF(ISNA(VLOOKUP(A138,Declarations!B$6:C$293,2,FALSE)),"",IF(VLOOKUP(A138,Declarations!B$6:C$293,2,FALSE)="","---",VLOOKUP(A138,Declarations!B$6:C$293,2,FALSE)))</f>
        <v/>
      </c>
      <c r="C138" s="69" t="str">
        <f>IF(ISNA(VLOOKUP(A138,Declarations!B$6:F$293,5,FALSE)),"",IF(VLOOKUP(A138,Declarations!B$6:F$293,5,FALSE)="","---",VLOOKUP(A138,Declarations!B$6:F$293,5,FALSE)))</f>
        <v/>
      </c>
      <c r="D138" s="69" t="str">
        <f>IF(ISNA(VLOOKUP(A138,Declarations!B$6:F$293,4,FALSE)),"",IF(VLOOKUP(A138,Declarations!B$6:F$293,4,FALSE)="","---",VLOOKUP(A138,Declarations!B$6:F$293,4,FALSE)))</f>
        <v/>
      </c>
      <c r="E138" s="284" t="s">
        <v>161</v>
      </c>
      <c r="F138" s="284" t="s">
        <v>161</v>
      </c>
      <c r="G138" s="284" t="s">
        <v>161</v>
      </c>
      <c r="H138" s="70"/>
    </row>
    <row r="139" spans="1:8" ht="20" customHeight="1">
      <c r="A139" s="68"/>
      <c r="B139" s="69" t="str">
        <f>IF(ISNA(VLOOKUP(A139,Declarations!B$6:C$293,2,FALSE)),"",IF(VLOOKUP(A139,Declarations!B$6:C$293,2,FALSE)="","---",VLOOKUP(A139,Declarations!B$6:C$293,2,FALSE)))</f>
        <v/>
      </c>
      <c r="C139" s="69" t="str">
        <f>IF(ISNA(VLOOKUP(A139,Declarations!B$6:F$293,5,FALSE)),"",IF(VLOOKUP(A139,Declarations!B$6:F$293,5,FALSE)="","---",VLOOKUP(A139,Declarations!B$6:F$293,5,FALSE)))</f>
        <v/>
      </c>
      <c r="D139" s="69" t="str">
        <f>IF(ISNA(VLOOKUP(A139,Declarations!B$6:F$293,4,FALSE)),"",IF(VLOOKUP(A139,Declarations!B$6:F$293,4,FALSE)="","---",VLOOKUP(A139,Declarations!B$6:F$293,4,FALSE)))</f>
        <v/>
      </c>
      <c r="E139" s="284" t="s">
        <v>161</v>
      </c>
      <c r="F139" s="284" t="s">
        <v>161</v>
      </c>
      <c r="G139" s="284" t="s">
        <v>161</v>
      </c>
      <c r="H139" s="70"/>
    </row>
    <row r="140" spans="1:8" ht="20" customHeight="1">
      <c r="A140" s="68"/>
      <c r="B140" s="69" t="str">
        <f>IF(ISNA(VLOOKUP(A140,Declarations!B$6:C$293,2,FALSE)),"",IF(VLOOKUP(A140,Declarations!B$6:C$293,2,FALSE)="","---",VLOOKUP(A140,Declarations!B$6:C$293,2,FALSE)))</f>
        <v/>
      </c>
      <c r="C140" s="69" t="str">
        <f>IF(ISNA(VLOOKUP(A140,Declarations!B$6:F$293,5,FALSE)),"",IF(VLOOKUP(A140,Declarations!B$6:F$293,5,FALSE)="","---",VLOOKUP(A140,Declarations!B$6:F$293,5,FALSE)))</f>
        <v/>
      </c>
      <c r="D140" s="69" t="str">
        <f>IF(ISNA(VLOOKUP(A140,Declarations!B$6:F$293,4,FALSE)),"",IF(VLOOKUP(A140,Declarations!B$6:F$293,4,FALSE)="","---",VLOOKUP(A140,Declarations!B$6:F$293,4,FALSE)))</f>
        <v/>
      </c>
      <c r="E140" s="284" t="s">
        <v>161</v>
      </c>
      <c r="F140" s="284" t="s">
        <v>161</v>
      </c>
      <c r="G140" s="284" t="s">
        <v>161</v>
      </c>
      <c r="H140" s="70"/>
    </row>
    <row r="141" spans="1:8" ht="20" customHeight="1">
      <c r="A141" s="68"/>
      <c r="B141" s="69" t="str">
        <f>IF(ISNA(VLOOKUP(A141,Declarations!B$6:C$293,2,FALSE)),"",IF(VLOOKUP(A141,Declarations!B$6:C$293,2,FALSE)="","---",VLOOKUP(A141,Declarations!B$6:C$293,2,FALSE)))</f>
        <v/>
      </c>
      <c r="C141" s="69" t="str">
        <f>IF(ISNA(VLOOKUP(A141,Declarations!B$6:F$293,5,FALSE)),"",IF(VLOOKUP(A141,Declarations!B$6:F$293,5,FALSE)="","---",VLOOKUP(A141,Declarations!B$6:F$293,5,FALSE)))</f>
        <v/>
      </c>
      <c r="D141" s="69" t="str">
        <f>IF(ISNA(VLOOKUP(A141,Declarations!B$6:F$293,4,FALSE)),"",IF(VLOOKUP(A141,Declarations!B$6:F$293,4,FALSE)="","---",VLOOKUP(A141,Declarations!B$6:F$293,4,FALSE)))</f>
        <v/>
      </c>
      <c r="E141" s="284" t="s">
        <v>161</v>
      </c>
      <c r="F141" s="284" t="s">
        <v>161</v>
      </c>
      <c r="G141" s="284" t="s">
        <v>161</v>
      </c>
      <c r="H141" s="70"/>
    </row>
    <row r="142" spans="1:8" ht="20" customHeight="1">
      <c r="A142" s="68"/>
      <c r="B142" s="69" t="str">
        <f>IF(ISNA(VLOOKUP(A142,Declarations!B$6:C$293,2,FALSE)),"",IF(VLOOKUP(A142,Declarations!B$6:C$293,2,FALSE)="","---",VLOOKUP(A142,Declarations!B$6:C$293,2,FALSE)))</f>
        <v/>
      </c>
      <c r="C142" s="69" t="str">
        <f>IF(ISNA(VLOOKUP(A142,Declarations!B$6:F$293,5,FALSE)),"",IF(VLOOKUP(A142,Declarations!B$6:F$293,5,FALSE)="","---",VLOOKUP(A142,Declarations!B$6:F$293,5,FALSE)))</f>
        <v/>
      </c>
      <c r="D142" s="69" t="str">
        <f>IF(ISNA(VLOOKUP(A142,Declarations!B$6:F$293,4,FALSE)),"",IF(VLOOKUP(A142,Declarations!B$6:F$293,4,FALSE)="","---",VLOOKUP(A142,Declarations!B$6:F$293,4,FALSE)))</f>
        <v/>
      </c>
      <c r="E142" s="284" t="s">
        <v>161</v>
      </c>
      <c r="F142" s="284" t="s">
        <v>161</v>
      </c>
      <c r="G142" s="284" t="s">
        <v>161</v>
      </c>
      <c r="H142" s="70"/>
    </row>
    <row r="143" spans="1:8" ht="20" customHeight="1">
      <c r="A143" s="68"/>
      <c r="B143" s="69" t="str">
        <f>IF(ISNA(VLOOKUP(A143,Declarations!B$6:C$293,2,FALSE)),"",IF(VLOOKUP(A143,Declarations!B$6:C$293,2,FALSE)="","---",VLOOKUP(A143,Declarations!B$6:C$293,2,FALSE)))</f>
        <v/>
      </c>
      <c r="C143" s="69" t="str">
        <f>IF(ISNA(VLOOKUP(A143,Declarations!B$6:F$293,5,FALSE)),"",IF(VLOOKUP(A143,Declarations!B$6:F$293,5,FALSE)="","---",VLOOKUP(A143,Declarations!B$6:F$293,5,FALSE)))</f>
        <v/>
      </c>
      <c r="D143" s="69" t="str">
        <f>IF(ISNA(VLOOKUP(A143,Declarations!B$6:F$293,4,FALSE)),"",IF(VLOOKUP(A143,Declarations!B$6:F$293,4,FALSE)="","---",VLOOKUP(A143,Declarations!B$6:F$293,4,FALSE)))</f>
        <v/>
      </c>
      <c r="E143" s="284" t="s">
        <v>161</v>
      </c>
      <c r="F143" s="284" t="s">
        <v>161</v>
      </c>
      <c r="G143" s="284" t="s">
        <v>161</v>
      </c>
      <c r="H143" s="70"/>
    </row>
    <row r="144" spans="1:8" ht="20" customHeight="1">
      <c r="A144" s="68"/>
      <c r="B144" s="69" t="str">
        <f>IF(ISNA(VLOOKUP(A144,Declarations!B$6:C$293,2,FALSE)),"",IF(VLOOKUP(A144,Declarations!B$6:C$293,2,FALSE)="","---",VLOOKUP(A144,Declarations!B$6:C$293,2,FALSE)))</f>
        <v/>
      </c>
      <c r="C144" s="69" t="str">
        <f>IF(ISNA(VLOOKUP(A144,Declarations!B$6:F$293,5,FALSE)),"",IF(VLOOKUP(A144,Declarations!B$6:F$293,5,FALSE)="","---",VLOOKUP(A144,Declarations!B$6:F$293,5,FALSE)))</f>
        <v/>
      </c>
      <c r="D144" s="69" t="str">
        <f>IF(ISNA(VLOOKUP(A144,Declarations!B$6:F$293,4,FALSE)),"",IF(VLOOKUP(A144,Declarations!B$6:F$293,4,FALSE)="","---",VLOOKUP(A144,Declarations!B$6:F$293,4,FALSE)))</f>
        <v/>
      </c>
      <c r="E144" s="284" t="s">
        <v>161</v>
      </c>
      <c r="F144" s="284" t="s">
        <v>161</v>
      </c>
      <c r="G144" s="284" t="s">
        <v>161</v>
      </c>
      <c r="H144" s="70"/>
    </row>
    <row r="145" spans="1:8" ht="20" customHeight="1">
      <c r="A145" s="68"/>
      <c r="B145" s="69" t="str">
        <f>IF(ISNA(VLOOKUP(A145,Declarations!B$6:C$293,2,FALSE)),"",IF(VLOOKUP(A145,Declarations!B$6:C$293,2,FALSE)="","---",VLOOKUP(A145,Declarations!B$6:C$293,2,FALSE)))</f>
        <v/>
      </c>
      <c r="C145" s="69" t="str">
        <f>IF(ISNA(VLOOKUP(A145,Declarations!B$6:F$293,5,FALSE)),"",IF(VLOOKUP(A145,Declarations!B$6:F$293,5,FALSE)="","---",VLOOKUP(A145,Declarations!B$6:F$293,5,FALSE)))</f>
        <v/>
      </c>
      <c r="D145" s="69" t="str">
        <f>IF(ISNA(VLOOKUP(A145,Declarations!B$6:F$293,4,FALSE)),"",IF(VLOOKUP(A145,Declarations!B$6:F$293,4,FALSE)="","---",VLOOKUP(A145,Declarations!B$6:F$293,4,FALSE)))</f>
        <v/>
      </c>
      <c r="E145" s="284" t="s">
        <v>161</v>
      </c>
      <c r="F145" s="284" t="s">
        <v>161</v>
      </c>
      <c r="G145" s="284" t="s">
        <v>161</v>
      </c>
      <c r="H145" s="70"/>
    </row>
    <row r="146" spans="1:8" ht="20" customHeight="1">
      <c r="A146" s="68"/>
      <c r="B146" s="69" t="str">
        <f>IF(ISNA(VLOOKUP(A146,Declarations!B$6:C$293,2,FALSE)),"",IF(VLOOKUP(A146,Declarations!B$6:C$293,2,FALSE)="","---",VLOOKUP(A146,Declarations!B$6:C$293,2,FALSE)))</f>
        <v/>
      </c>
      <c r="C146" s="69" t="str">
        <f>IF(ISNA(VLOOKUP(A146,Declarations!B$6:F$293,5,FALSE)),"",IF(VLOOKUP(A146,Declarations!B$6:F$293,5,FALSE)="","---",VLOOKUP(A146,Declarations!B$6:F$293,5,FALSE)))</f>
        <v/>
      </c>
      <c r="D146" s="69" t="str">
        <f>IF(ISNA(VLOOKUP(A146,Declarations!B$6:F$293,4,FALSE)),"",IF(VLOOKUP(A146,Declarations!B$6:F$293,4,FALSE)="","---",VLOOKUP(A146,Declarations!B$6:F$293,4,FALSE)))</f>
        <v/>
      </c>
      <c r="E146" s="284" t="s">
        <v>161</v>
      </c>
      <c r="F146" s="284" t="s">
        <v>161</v>
      </c>
      <c r="G146" s="284" t="s">
        <v>161</v>
      </c>
      <c r="H146" s="70"/>
    </row>
    <row r="147" spans="1:8" ht="20" customHeight="1">
      <c r="A147" s="68"/>
      <c r="B147" s="69" t="str">
        <f>IF(ISNA(VLOOKUP(A147,Declarations!B$6:C$293,2,FALSE)),"",IF(VLOOKUP(A147,Declarations!B$6:C$293,2,FALSE)="","---",VLOOKUP(A147,Declarations!B$6:C$293,2,FALSE)))</f>
        <v/>
      </c>
      <c r="C147" s="69" t="str">
        <f>IF(ISNA(VLOOKUP(A147,Declarations!B$6:F$293,5,FALSE)),"",IF(VLOOKUP(A147,Declarations!B$6:F$293,5,FALSE)="","---",VLOOKUP(A147,Declarations!B$6:F$293,5,FALSE)))</f>
        <v/>
      </c>
      <c r="D147" s="69" t="str">
        <f>IF(ISNA(VLOOKUP(A147,Declarations!B$6:F$293,4,FALSE)),"",IF(VLOOKUP(A147,Declarations!B$6:F$293,4,FALSE)="","---",VLOOKUP(A147,Declarations!B$6:F$293,4,FALSE)))</f>
        <v/>
      </c>
      <c r="E147" s="284" t="s">
        <v>161</v>
      </c>
      <c r="F147" s="284" t="s">
        <v>161</v>
      </c>
      <c r="G147" s="284" t="s">
        <v>161</v>
      </c>
      <c r="H147" s="70"/>
    </row>
    <row r="148" spans="1:8" ht="20" customHeight="1">
      <c r="A148" s="68"/>
      <c r="B148" s="69" t="str">
        <f>IF(ISNA(VLOOKUP(A148,Declarations!B$6:C$293,2,FALSE)),"",IF(VLOOKUP(A148,Declarations!B$6:C$293,2,FALSE)="","---",VLOOKUP(A148,Declarations!B$6:C$293,2,FALSE)))</f>
        <v/>
      </c>
      <c r="C148" s="69" t="str">
        <f>IF(ISNA(VLOOKUP(A148,Declarations!B$6:F$293,5,FALSE)),"",IF(VLOOKUP(A148,Declarations!B$6:F$293,5,FALSE)="","---",VLOOKUP(A148,Declarations!B$6:F$293,5,FALSE)))</f>
        <v/>
      </c>
      <c r="D148" s="69" t="str">
        <f>IF(ISNA(VLOOKUP(A148,Declarations!B$6:F$293,4,FALSE)),"",IF(VLOOKUP(A148,Declarations!B$6:F$293,4,FALSE)="","---",VLOOKUP(A148,Declarations!B$6:F$293,4,FALSE)))</f>
        <v/>
      </c>
      <c r="E148" s="284" t="s">
        <v>161</v>
      </c>
      <c r="F148" s="284" t="s">
        <v>161</v>
      </c>
      <c r="G148" s="284" t="s">
        <v>161</v>
      </c>
      <c r="H148" s="70"/>
    </row>
    <row r="149" spans="1:8" ht="20" customHeight="1">
      <c r="A149" s="68"/>
      <c r="B149" s="69" t="str">
        <f>IF(ISNA(VLOOKUP(A149,Declarations!B$6:C$293,2,FALSE)),"",IF(VLOOKUP(A149,Declarations!B$6:C$293,2,FALSE)="","---",VLOOKUP(A149,Declarations!B$6:C$293,2,FALSE)))</f>
        <v/>
      </c>
      <c r="C149" s="69" t="str">
        <f>IF(ISNA(VLOOKUP(A149,Declarations!B$6:F$293,5,FALSE)),"",IF(VLOOKUP(A149,Declarations!B$6:F$293,5,FALSE)="","---",VLOOKUP(A149,Declarations!B$6:F$293,5,FALSE)))</f>
        <v/>
      </c>
      <c r="D149" s="69" t="str">
        <f>IF(ISNA(VLOOKUP(A149,Declarations!B$6:F$293,4,FALSE)),"",IF(VLOOKUP(A149,Declarations!B$6:F$293,4,FALSE)="","---",VLOOKUP(A149,Declarations!B$6:F$293,4,FALSE)))</f>
        <v/>
      </c>
      <c r="E149" s="284" t="s">
        <v>161</v>
      </c>
      <c r="F149" s="284" t="s">
        <v>161</v>
      </c>
      <c r="G149" s="284" t="s">
        <v>161</v>
      </c>
      <c r="H149" s="70"/>
    </row>
    <row r="150" spans="1:8" ht="20" customHeight="1">
      <c r="A150" s="68"/>
      <c r="B150" s="69" t="str">
        <f>IF(ISNA(VLOOKUP(A150,Declarations!B$6:C$293,2,FALSE)),"",IF(VLOOKUP(A150,Declarations!B$6:C$293,2,FALSE)="","---",VLOOKUP(A150,Declarations!B$6:C$293,2,FALSE)))</f>
        <v/>
      </c>
      <c r="C150" s="69" t="str">
        <f>IF(ISNA(VLOOKUP(A150,Declarations!B$6:F$293,5,FALSE)),"",IF(VLOOKUP(A150,Declarations!B$6:F$293,5,FALSE)="","---",VLOOKUP(A150,Declarations!B$6:F$293,5,FALSE)))</f>
        <v/>
      </c>
      <c r="D150" s="69" t="str">
        <f>IF(ISNA(VLOOKUP(A150,Declarations!B$6:F$293,4,FALSE)),"",IF(VLOOKUP(A150,Declarations!B$6:F$293,4,FALSE)="","---",VLOOKUP(A150,Declarations!B$6:F$293,4,FALSE)))</f>
        <v/>
      </c>
      <c r="E150" s="284" t="s">
        <v>161</v>
      </c>
      <c r="F150" s="284" t="s">
        <v>161</v>
      </c>
      <c r="G150" s="284" t="s">
        <v>161</v>
      </c>
      <c r="H150" s="70"/>
    </row>
    <row r="151" spans="1:8" ht="20" customHeight="1">
      <c r="A151" s="68"/>
      <c r="B151" s="69" t="str">
        <f>IF(ISNA(VLOOKUP(A151,Declarations!B$6:C$293,2,FALSE)),"",IF(VLOOKUP(A151,Declarations!B$6:C$293,2,FALSE)="","---",VLOOKUP(A151,Declarations!B$6:C$293,2,FALSE)))</f>
        <v/>
      </c>
      <c r="C151" s="69" t="str">
        <f>IF(ISNA(VLOOKUP(A151,Declarations!B$6:F$293,5,FALSE)),"",IF(VLOOKUP(A151,Declarations!B$6:F$293,5,FALSE)="","---",VLOOKUP(A151,Declarations!B$6:F$293,5,FALSE)))</f>
        <v/>
      </c>
      <c r="D151" s="69" t="str">
        <f>IF(ISNA(VLOOKUP(A151,Declarations!B$6:F$293,4,FALSE)),"",IF(VLOOKUP(A151,Declarations!B$6:F$293,4,FALSE)="","---",VLOOKUP(A151,Declarations!B$6:F$293,4,FALSE)))</f>
        <v/>
      </c>
      <c r="E151" s="284" t="s">
        <v>161</v>
      </c>
      <c r="F151" s="284" t="s">
        <v>161</v>
      </c>
      <c r="G151" s="284" t="s">
        <v>161</v>
      </c>
      <c r="H151" s="70"/>
    </row>
    <row r="152" spans="1:8" ht="20" customHeight="1">
      <c r="A152" s="68"/>
      <c r="B152" s="69" t="str">
        <f>IF(ISNA(VLOOKUP(A152,Declarations!B$6:C$293,2,FALSE)),"",IF(VLOOKUP(A152,Declarations!B$6:C$293,2,FALSE)="","---",VLOOKUP(A152,Declarations!B$6:C$293,2,FALSE)))</f>
        <v/>
      </c>
      <c r="C152" s="69" t="str">
        <f>IF(ISNA(VLOOKUP(A152,Declarations!B$6:F$293,5,FALSE)),"",IF(VLOOKUP(A152,Declarations!B$6:F$293,5,FALSE)="","---",VLOOKUP(A152,Declarations!B$6:F$293,5,FALSE)))</f>
        <v/>
      </c>
      <c r="D152" s="69" t="str">
        <f>IF(ISNA(VLOOKUP(A152,Declarations!B$6:F$293,4,FALSE)),"",IF(VLOOKUP(A152,Declarations!B$6:F$293,4,FALSE)="","---",VLOOKUP(A152,Declarations!B$6:F$293,4,FALSE)))</f>
        <v/>
      </c>
      <c r="E152" s="284" t="s">
        <v>161</v>
      </c>
      <c r="F152" s="284" t="s">
        <v>161</v>
      </c>
      <c r="G152" s="284" t="s">
        <v>161</v>
      </c>
      <c r="H152" s="70"/>
    </row>
    <row r="153" spans="1:8" ht="20" customHeight="1">
      <c r="A153" s="68"/>
      <c r="B153" s="69" t="str">
        <f>IF(ISNA(VLOOKUP(A153,Declarations!B$6:C$293,2,FALSE)),"",IF(VLOOKUP(A153,Declarations!B$6:C$293,2,FALSE)="","---",VLOOKUP(A153,Declarations!B$6:C$293,2,FALSE)))</f>
        <v/>
      </c>
      <c r="C153" s="69" t="str">
        <f>IF(ISNA(VLOOKUP(A153,Declarations!B$6:F$293,5,FALSE)),"",IF(VLOOKUP(A153,Declarations!B$6:F$293,5,FALSE)="","---",VLOOKUP(A153,Declarations!B$6:F$293,5,FALSE)))</f>
        <v/>
      </c>
      <c r="D153" s="69" t="str">
        <f>IF(ISNA(VLOOKUP(A153,Declarations!B$6:F$293,4,FALSE)),"",IF(VLOOKUP(A153,Declarations!B$6:F$293,4,FALSE)="","---",VLOOKUP(A153,Declarations!B$6:F$293,4,FALSE)))</f>
        <v/>
      </c>
      <c r="E153" s="284" t="s">
        <v>161</v>
      </c>
      <c r="F153" s="284" t="s">
        <v>161</v>
      </c>
      <c r="G153" s="284" t="s">
        <v>161</v>
      </c>
      <c r="H153" s="70"/>
    </row>
    <row r="154" spans="1:8" ht="20" customHeight="1">
      <c r="A154" s="68"/>
      <c r="B154" s="69" t="str">
        <f>IF(ISNA(VLOOKUP(A154,Declarations!B$6:C$293,2,FALSE)),"",IF(VLOOKUP(A154,Declarations!B$6:C$293,2,FALSE)="","---",VLOOKUP(A154,Declarations!B$6:C$293,2,FALSE)))</f>
        <v/>
      </c>
      <c r="C154" s="69" t="str">
        <f>IF(ISNA(VLOOKUP(A154,Declarations!B$6:F$293,5,FALSE)),"",IF(VLOOKUP(A154,Declarations!B$6:F$293,5,FALSE)="","---",VLOOKUP(A154,Declarations!B$6:F$293,5,FALSE)))</f>
        <v/>
      </c>
      <c r="D154" s="69" t="str">
        <f>IF(ISNA(VLOOKUP(A154,Declarations!B$6:F$293,4,FALSE)),"",IF(VLOOKUP(A154,Declarations!B$6:F$293,4,FALSE)="","---",VLOOKUP(A154,Declarations!B$6:F$293,4,FALSE)))</f>
        <v/>
      </c>
      <c r="E154" s="284" t="s">
        <v>161</v>
      </c>
      <c r="F154" s="284" t="s">
        <v>161</v>
      </c>
      <c r="G154" s="284" t="s">
        <v>161</v>
      </c>
      <c r="H154" s="70"/>
    </row>
    <row r="155" spans="1:8">
      <c r="A155" s="71"/>
      <c r="B155" s="72"/>
      <c r="C155" s="72"/>
      <c r="D155" s="72"/>
      <c r="E155" s="73"/>
      <c r="F155" s="73"/>
      <c r="G155" s="73"/>
      <c r="H155" s="73"/>
    </row>
    <row r="156" spans="1:8">
      <c r="A156" s="71"/>
      <c r="B156" s="510" t="s">
        <v>92</v>
      </c>
      <c r="C156" s="511"/>
      <c r="D156" s="72"/>
      <c r="E156" s="509" t="s">
        <v>93</v>
      </c>
      <c r="F156" s="509"/>
      <c r="G156" s="501" t="s">
        <v>43</v>
      </c>
      <c r="H156" s="501"/>
    </row>
    <row r="157" spans="1:8" ht="16" customHeight="1">
      <c r="A157" s="71"/>
      <c r="B157" s="512"/>
      <c r="C157" s="513"/>
      <c r="D157" s="72"/>
      <c r="E157" s="501"/>
      <c r="F157" s="501"/>
      <c r="G157" s="501"/>
      <c r="H157" s="501"/>
    </row>
    <row r="158" spans="1:8">
      <c r="A158" s="71"/>
      <c r="B158" s="512"/>
      <c r="C158" s="513"/>
      <c r="D158" s="72"/>
      <c r="E158" s="501"/>
      <c r="F158" s="501"/>
      <c r="G158" s="501"/>
      <c r="H158" s="501"/>
    </row>
    <row r="159" spans="1:8">
      <c r="A159" s="71"/>
      <c r="B159" s="514"/>
      <c r="C159" s="515"/>
      <c r="D159" s="72"/>
      <c r="E159" s="501"/>
      <c r="F159" s="501"/>
      <c r="G159" s="501"/>
      <c r="H159" s="501"/>
    </row>
    <row r="160" spans="1:8" ht="8" customHeight="1">
      <c r="A160" s="71"/>
      <c r="B160" s="72"/>
      <c r="C160" s="72"/>
      <c r="D160" s="72"/>
      <c r="E160" s="97"/>
      <c r="F160" s="97"/>
      <c r="G160" s="97"/>
      <c r="H160" s="97"/>
    </row>
    <row r="161" spans="1:8" ht="20">
      <c r="A161" s="502" t="str">
        <f>'Read Me First'!A1:F1</f>
        <v>Oxfordshire Track and Field League 2026</v>
      </c>
      <c r="B161" s="503"/>
      <c r="C161" s="503"/>
      <c r="D161" s="503"/>
      <c r="E161" s="503"/>
      <c r="F161" s="503"/>
      <c r="G161" s="503"/>
      <c r="H161" s="504"/>
    </row>
    <row r="162" spans="1:8" ht="18">
      <c r="A162" s="61" t="s">
        <v>12</v>
      </c>
      <c r="B162" s="62">
        <f>'Read Me First'!$C$10</f>
        <v>46250</v>
      </c>
      <c r="C162" s="96">
        <v>0.47916666666666669</v>
      </c>
      <c r="D162" s="61" t="s">
        <v>13</v>
      </c>
      <c r="E162" s="505" t="str">
        <f>$E$2</f>
        <v>Banbury</v>
      </c>
      <c r="F162" s="506"/>
      <c r="G162" s="506"/>
      <c r="H162" s="507"/>
    </row>
    <row r="163" spans="1:8" ht="18">
      <c r="A163" s="508" t="s">
        <v>45</v>
      </c>
      <c r="B163" s="508"/>
      <c r="C163" s="508"/>
      <c r="D163" s="508"/>
      <c r="E163" s="60">
        <v>1</v>
      </c>
      <c r="F163" s="60">
        <v>2</v>
      </c>
      <c r="G163" s="60">
        <v>3</v>
      </c>
      <c r="H163" s="60" t="s">
        <v>42</v>
      </c>
    </row>
    <row r="164" spans="1:8" ht="18">
      <c r="A164" s="66"/>
      <c r="B164" s="66"/>
      <c r="C164" s="66"/>
      <c r="D164" s="66"/>
      <c r="E164" s="67"/>
      <c r="F164" s="67"/>
      <c r="G164" s="67"/>
      <c r="H164" s="67"/>
    </row>
    <row r="165" spans="1:8" ht="20" customHeight="1">
      <c r="A165" s="68" t="str" cm="1">
        <f t="array" ref="A165">IFERROR(_xlfn.TEXTSPLIT(IFERROR(_xlfn.TEXTJOIN(",",TRUE,_xlfn._xlws.FILTER(BlockAllocations!$F$3:$F$20,BlockAllocations!$E$3:$E$20=BlockAllocations!$G$10)),""),,",")+0,"!")</f>
        <v>!</v>
      </c>
      <c r="B165" s="69" t="str">
        <f>IF(ISNA(VLOOKUP(A165,Declarations!B$6:C$293,2,FALSE)),"",IF(VLOOKUP(A165,Declarations!B$6:C$293,2,FALSE)="","---",VLOOKUP(A165,Declarations!B$6:C$293,2,FALSE)))</f>
        <v/>
      </c>
      <c r="C165" s="69" t="str">
        <f>IF(ISNA(VLOOKUP(A165,Declarations!B$6:F$293,5,FALSE)),"",IF(VLOOKUP(A165,Declarations!B$6:F$293,5,FALSE)="","---",VLOOKUP(A165,Declarations!B$6:F$293,5,FALSE)))</f>
        <v/>
      </c>
      <c r="D165" s="69" t="str">
        <f>IF(ISNA(VLOOKUP(A165,Declarations!B$6:F$293,4,FALSE)),"",IF(VLOOKUP(A165,Declarations!B$6:F$293,4,FALSE)="","---",VLOOKUP(A165,Declarations!B$6:F$293,4,FALSE)))</f>
        <v/>
      </c>
      <c r="E165" s="284" t="s">
        <v>161</v>
      </c>
      <c r="F165" s="284" t="s">
        <v>161</v>
      </c>
      <c r="G165" s="284" t="s">
        <v>161</v>
      </c>
      <c r="H165" s="70"/>
    </row>
    <row r="166" spans="1:8" ht="20" customHeight="1">
      <c r="A166" s="68"/>
      <c r="B166" s="69" t="str">
        <f>IF(ISNA(VLOOKUP(A166,Declarations!B$6:C$293,2,FALSE)),"",IF(VLOOKUP(A166,Declarations!B$6:C$293,2,FALSE)="","---",VLOOKUP(A166,Declarations!B$6:C$293,2,FALSE)))</f>
        <v/>
      </c>
      <c r="C166" s="69" t="str">
        <f>IF(ISNA(VLOOKUP(A166,Declarations!B$6:F$293,5,FALSE)),"",IF(VLOOKUP(A166,Declarations!B$6:F$293,5,FALSE)="","---",VLOOKUP(A166,Declarations!B$6:F$293,5,FALSE)))</f>
        <v/>
      </c>
      <c r="D166" s="69" t="str">
        <f>IF(ISNA(VLOOKUP(A166,Declarations!B$6:F$293,4,FALSE)),"",IF(VLOOKUP(A166,Declarations!B$6:F$293,4,FALSE)="","---",VLOOKUP(A166,Declarations!B$6:F$293,4,FALSE)))</f>
        <v/>
      </c>
      <c r="E166" s="284" t="s">
        <v>161</v>
      </c>
      <c r="F166" s="284" t="s">
        <v>161</v>
      </c>
      <c r="G166" s="284" t="s">
        <v>161</v>
      </c>
      <c r="H166" s="70"/>
    </row>
    <row r="167" spans="1:8" ht="20" customHeight="1">
      <c r="A167" s="68"/>
      <c r="B167" s="69" t="str">
        <f>IF(ISNA(VLOOKUP(A167,Declarations!B$6:C$293,2,FALSE)),"",IF(VLOOKUP(A167,Declarations!B$6:C$293,2,FALSE)="","---",VLOOKUP(A167,Declarations!B$6:C$293,2,FALSE)))</f>
        <v/>
      </c>
      <c r="C167" s="69" t="str">
        <f>IF(ISNA(VLOOKUP(A167,Declarations!B$6:F$293,5,FALSE)),"",IF(VLOOKUP(A167,Declarations!B$6:F$293,5,FALSE)="","---",VLOOKUP(A167,Declarations!B$6:F$293,5,FALSE)))</f>
        <v/>
      </c>
      <c r="D167" s="69" t="str">
        <f>IF(ISNA(VLOOKUP(A167,Declarations!B$6:F$293,4,FALSE)),"",IF(VLOOKUP(A167,Declarations!B$6:F$293,4,FALSE)="","---",VLOOKUP(A167,Declarations!B$6:F$293,4,FALSE)))</f>
        <v/>
      </c>
      <c r="E167" s="284" t="s">
        <v>161</v>
      </c>
      <c r="F167" s="284" t="s">
        <v>161</v>
      </c>
      <c r="G167" s="284" t="s">
        <v>161</v>
      </c>
      <c r="H167" s="70"/>
    </row>
    <row r="168" spans="1:8" ht="20" customHeight="1">
      <c r="A168" s="68"/>
      <c r="B168" s="69" t="str">
        <f>IF(ISNA(VLOOKUP(A168,Declarations!B$6:C$293,2,FALSE)),"",IF(VLOOKUP(A168,Declarations!B$6:C$293,2,FALSE)="","---",VLOOKUP(A168,Declarations!B$6:C$293,2,FALSE)))</f>
        <v/>
      </c>
      <c r="C168" s="69" t="str">
        <f>IF(ISNA(VLOOKUP(A168,Declarations!B$6:F$293,5,FALSE)),"",IF(VLOOKUP(A168,Declarations!B$6:F$293,5,FALSE)="","---",VLOOKUP(A168,Declarations!B$6:F$293,5,FALSE)))</f>
        <v/>
      </c>
      <c r="D168" s="69" t="str">
        <f>IF(ISNA(VLOOKUP(A168,Declarations!B$6:F$293,4,FALSE)),"",IF(VLOOKUP(A168,Declarations!B$6:F$293,4,FALSE)="","---",VLOOKUP(A168,Declarations!B$6:F$293,4,FALSE)))</f>
        <v/>
      </c>
      <c r="E168" s="284" t="s">
        <v>161</v>
      </c>
      <c r="F168" s="284" t="s">
        <v>161</v>
      </c>
      <c r="G168" s="284" t="s">
        <v>161</v>
      </c>
      <c r="H168" s="70"/>
    </row>
    <row r="169" spans="1:8" ht="20" customHeight="1">
      <c r="A169" s="68"/>
      <c r="B169" s="69" t="str">
        <f>IF(ISNA(VLOOKUP(A169,Declarations!B$6:C$293,2,FALSE)),"",IF(VLOOKUP(A169,Declarations!B$6:C$293,2,FALSE)="","---",VLOOKUP(A169,Declarations!B$6:C$293,2,FALSE)))</f>
        <v/>
      </c>
      <c r="C169" s="69" t="str">
        <f>IF(ISNA(VLOOKUP(A169,Declarations!B$6:F$293,5,FALSE)),"",IF(VLOOKUP(A169,Declarations!B$6:F$293,5,FALSE)="","---",VLOOKUP(A169,Declarations!B$6:F$293,5,FALSE)))</f>
        <v/>
      </c>
      <c r="D169" s="69" t="str">
        <f>IF(ISNA(VLOOKUP(A169,Declarations!B$6:F$293,4,FALSE)),"",IF(VLOOKUP(A169,Declarations!B$6:F$293,4,FALSE)="","---",VLOOKUP(A169,Declarations!B$6:F$293,4,FALSE)))</f>
        <v/>
      </c>
      <c r="E169" s="284" t="s">
        <v>161</v>
      </c>
      <c r="F169" s="284" t="s">
        <v>161</v>
      </c>
      <c r="G169" s="284" t="s">
        <v>161</v>
      </c>
      <c r="H169" s="70"/>
    </row>
    <row r="170" spans="1:8" ht="20" customHeight="1">
      <c r="A170" s="68"/>
      <c r="B170" s="69" t="str">
        <f>IF(ISNA(VLOOKUP(A170,Declarations!B$6:C$293,2,FALSE)),"",IF(VLOOKUP(A170,Declarations!B$6:C$293,2,FALSE)="","---",VLOOKUP(A170,Declarations!B$6:C$293,2,FALSE)))</f>
        <v/>
      </c>
      <c r="C170" s="69" t="str">
        <f>IF(ISNA(VLOOKUP(A170,Declarations!B$6:F$293,5,FALSE)),"",IF(VLOOKUP(A170,Declarations!B$6:F$293,5,FALSE)="","---",VLOOKUP(A170,Declarations!B$6:F$293,5,FALSE)))</f>
        <v/>
      </c>
      <c r="D170" s="69" t="str">
        <f>IF(ISNA(VLOOKUP(A170,Declarations!B$6:F$293,4,FALSE)),"",IF(VLOOKUP(A170,Declarations!B$6:F$293,4,FALSE)="","---",VLOOKUP(A170,Declarations!B$6:F$293,4,FALSE)))</f>
        <v/>
      </c>
      <c r="E170" s="284" t="s">
        <v>161</v>
      </c>
      <c r="F170" s="284" t="s">
        <v>161</v>
      </c>
      <c r="G170" s="284" t="s">
        <v>161</v>
      </c>
      <c r="H170" s="70"/>
    </row>
    <row r="171" spans="1:8" ht="20" customHeight="1">
      <c r="A171" s="68"/>
      <c r="B171" s="69" t="str">
        <f>IF(ISNA(VLOOKUP(A171,Declarations!B$6:C$293,2,FALSE)),"",IF(VLOOKUP(A171,Declarations!B$6:C$293,2,FALSE)="","---",VLOOKUP(A171,Declarations!B$6:C$293,2,FALSE)))</f>
        <v/>
      </c>
      <c r="C171" s="69" t="str">
        <f>IF(ISNA(VLOOKUP(A171,Declarations!B$6:F$293,5,FALSE)),"",IF(VLOOKUP(A171,Declarations!B$6:F$293,5,FALSE)="","---",VLOOKUP(A171,Declarations!B$6:F$293,5,FALSE)))</f>
        <v/>
      </c>
      <c r="D171" s="69" t="str">
        <f>IF(ISNA(VLOOKUP(A171,Declarations!B$6:F$293,4,FALSE)),"",IF(VLOOKUP(A171,Declarations!B$6:F$293,4,FALSE)="","---",VLOOKUP(A171,Declarations!B$6:F$293,4,FALSE)))</f>
        <v/>
      </c>
      <c r="E171" s="284" t="s">
        <v>161</v>
      </c>
      <c r="F171" s="284" t="s">
        <v>161</v>
      </c>
      <c r="G171" s="284" t="s">
        <v>161</v>
      </c>
      <c r="H171" s="70"/>
    </row>
    <row r="172" spans="1:8" ht="20" customHeight="1">
      <c r="A172" s="68"/>
      <c r="B172" s="69" t="str">
        <f>IF(ISNA(VLOOKUP(A172,Declarations!B$6:C$293,2,FALSE)),"",IF(VLOOKUP(A172,Declarations!B$6:C$293,2,FALSE)="","---",VLOOKUP(A172,Declarations!B$6:C$293,2,FALSE)))</f>
        <v/>
      </c>
      <c r="C172" s="69" t="str">
        <f>IF(ISNA(VLOOKUP(A172,Declarations!B$6:F$293,5,FALSE)),"",IF(VLOOKUP(A172,Declarations!B$6:F$293,5,FALSE)="","---",VLOOKUP(A172,Declarations!B$6:F$293,5,FALSE)))</f>
        <v/>
      </c>
      <c r="D172" s="69" t="str">
        <f>IF(ISNA(VLOOKUP(A172,Declarations!B$6:F$293,4,FALSE)),"",IF(VLOOKUP(A172,Declarations!B$6:F$293,4,FALSE)="","---",VLOOKUP(A172,Declarations!B$6:F$293,4,FALSE)))</f>
        <v/>
      </c>
      <c r="E172" s="284" t="s">
        <v>161</v>
      </c>
      <c r="F172" s="284" t="s">
        <v>161</v>
      </c>
      <c r="G172" s="284" t="s">
        <v>161</v>
      </c>
      <c r="H172" s="70"/>
    </row>
    <row r="173" spans="1:8" ht="20" customHeight="1">
      <c r="A173" s="68"/>
      <c r="B173" s="69" t="str">
        <f>IF(ISNA(VLOOKUP(A173,Declarations!B$6:C$293,2,FALSE)),"",IF(VLOOKUP(A173,Declarations!B$6:C$293,2,FALSE)="","---",VLOOKUP(A173,Declarations!B$6:C$293,2,FALSE)))</f>
        <v/>
      </c>
      <c r="C173" s="69" t="str">
        <f>IF(ISNA(VLOOKUP(A173,Declarations!B$6:F$293,5,FALSE)),"",IF(VLOOKUP(A173,Declarations!B$6:F$293,5,FALSE)="","---",VLOOKUP(A173,Declarations!B$6:F$293,5,FALSE)))</f>
        <v/>
      </c>
      <c r="D173" s="69" t="str">
        <f>IF(ISNA(VLOOKUP(A173,Declarations!B$6:F$293,4,FALSE)),"",IF(VLOOKUP(A173,Declarations!B$6:F$293,4,FALSE)="","---",VLOOKUP(A173,Declarations!B$6:F$293,4,FALSE)))</f>
        <v/>
      </c>
      <c r="E173" s="284" t="s">
        <v>161</v>
      </c>
      <c r="F173" s="284" t="s">
        <v>161</v>
      </c>
      <c r="G173" s="284" t="s">
        <v>161</v>
      </c>
      <c r="H173" s="70"/>
    </row>
    <row r="174" spans="1:8" ht="20" customHeight="1">
      <c r="A174" s="68"/>
      <c r="B174" s="69" t="str">
        <f>IF(ISNA(VLOOKUP(A174,Declarations!B$6:C$293,2,FALSE)),"",IF(VLOOKUP(A174,Declarations!B$6:C$293,2,FALSE)="","---",VLOOKUP(A174,Declarations!B$6:C$293,2,FALSE)))</f>
        <v/>
      </c>
      <c r="C174" s="69" t="str">
        <f>IF(ISNA(VLOOKUP(A174,Declarations!B$6:F$293,5,FALSE)),"",IF(VLOOKUP(A174,Declarations!B$6:F$293,5,FALSE)="","---",VLOOKUP(A174,Declarations!B$6:F$293,5,FALSE)))</f>
        <v/>
      </c>
      <c r="D174" s="69" t="str">
        <f>IF(ISNA(VLOOKUP(A174,Declarations!B$6:F$293,4,FALSE)),"",IF(VLOOKUP(A174,Declarations!B$6:F$293,4,FALSE)="","---",VLOOKUP(A174,Declarations!B$6:F$293,4,FALSE)))</f>
        <v/>
      </c>
      <c r="E174" s="284" t="s">
        <v>161</v>
      </c>
      <c r="F174" s="284" t="s">
        <v>161</v>
      </c>
      <c r="G174" s="284" t="s">
        <v>161</v>
      </c>
      <c r="H174" s="70"/>
    </row>
    <row r="175" spans="1:8" ht="20" customHeight="1">
      <c r="A175" s="68"/>
      <c r="B175" s="69" t="str">
        <f>IF(ISNA(VLOOKUP(A175,Declarations!B$6:C$293,2,FALSE)),"",IF(VLOOKUP(A175,Declarations!B$6:C$293,2,FALSE)="","---",VLOOKUP(A175,Declarations!B$6:C$293,2,FALSE)))</f>
        <v/>
      </c>
      <c r="C175" s="69" t="str">
        <f>IF(ISNA(VLOOKUP(A175,Declarations!B$6:F$293,5,FALSE)),"",IF(VLOOKUP(A175,Declarations!B$6:F$293,5,FALSE)="","---",VLOOKUP(A175,Declarations!B$6:F$293,5,FALSE)))</f>
        <v/>
      </c>
      <c r="D175" s="69" t="str">
        <f>IF(ISNA(VLOOKUP(A175,Declarations!B$6:F$293,4,FALSE)),"",IF(VLOOKUP(A175,Declarations!B$6:F$293,4,FALSE)="","---",VLOOKUP(A175,Declarations!B$6:F$293,4,FALSE)))</f>
        <v/>
      </c>
      <c r="E175" s="284" t="s">
        <v>161</v>
      </c>
      <c r="F175" s="284" t="s">
        <v>161</v>
      </c>
      <c r="G175" s="284" t="s">
        <v>161</v>
      </c>
      <c r="H175" s="70"/>
    </row>
    <row r="176" spans="1:8" ht="20" customHeight="1">
      <c r="A176" s="68"/>
      <c r="B176" s="69" t="str">
        <f>IF(ISNA(VLOOKUP(A176,Declarations!B$6:C$293,2,FALSE)),"",IF(VLOOKUP(A176,Declarations!B$6:C$293,2,FALSE)="","---",VLOOKUP(A176,Declarations!B$6:C$293,2,FALSE)))</f>
        <v/>
      </c>
      <c r="C176" s="69" t="str">
        <f>IF(ISNA(VLOOKUP(A176,Declarations!B$6:F$293,5,FALSE)),"",IF(VLOOKUP(A176,Declarations!B$6:F$293,5,FALSE)="","---",VLOOKUP(A176,Declarations!B$6:F$293,5,FALSE)))</f>
        <v/>
      </c>
      <c r="D176" s="69" t="str">
        <f>IF(ISNA(VLOOKUP(A176,Declarations!B$6:F$293,4,FALSE)),"",IF(VLOOKUP(A176,Declarations!B$6:F$293,4,FALSE)="","---",VLOOKUP(A176,Declarations!B$6:F$293,4,FALSE)))</f>
        <v/>
      </c>
      <c r="E176" s="284" t="s">
        <v>161</v>
      </c>
      <c r="F176" s="284" t="s">
        <v>161</v>
      </c>
      <c r="G176" s="284" t="s">
        <v>161</v>
      </c>
      <c r="H176" s="70"/>
    </row>
    <row r="177" spans="1:8" ht="20" customHeight="1">
      <c r="A177" s="68"/>
      <c r="B177" s="69" t="str">
        <f>IF(ISNA(VLOOKUP(A177,Declarations!B$6:C$293,2,FALSE)),"",IF(VLOOKUP(A177,Declarations!B$6:C$293,2,FALSE)="","---",VLOOKUP(A177,Declarations!B$6:C$293,2,FALSE)))</f>
        <v/>
      </c>
      <c r="C177" s="69" t="str">
        <f>IF(ISNA(VLOOKUP(A177,Declarations!B$6:F$293,5,FALSE)),"",IF(VLOOKUP(A177,Declarations!B$6:F$293,5,FALSE)="","---",VLOOKUP(A177,Declarations!B$6:F$293,5,FALSE)))</f>
        <v/>
      </c>
      <c r="D177" s="69" t="str">
        <f>IF(ISNA(VLOOKUP(A177,Declarations!B$6:F$293,4,FALSE)),"",IF(VLOOKUP(A177,Declarations!B$6:F$293,4,FALSE)="","---",VLOOKUP(A177,Declarations!B$6:F$293,4,FALSE)))</f>
        <v/>
      </c>
      <c r="E177" s="284" t="s">
        <v>161</v>
      </c>
      <c r="F177" s="284" t="s">
        <v>161</v>
      </c>
      <c r="G177" s="284" t="s">
        <v>161</v>
      </c>
      <c r="H177" s="70"/>
    </row>
    <row r="178" spans="1:8" ht="20" customHeight="1">
      <c r="A178" s="68"/>
      <c r="B178" s="69" t="str">
        <f>IF(ISNA(VLOOKUP(A178,Declarations!B$6:C$293,2,FALSE)),"",IF(VLOOKUP(A178,Declarations!B$6:C$293,2,FALSE)="","---",VLOOKUP(A178,Declarations!B$6:C$293,2,FALSE)))</f>
        <v/>
      </c>
      <c r="C178" s="69" t="str">
        <f>IF(ISNA(VLOOKUP(A178,Declarations!B$6:F$293,5,FALSE)),"",IF(VLOOKUP(A178,Declarations!B$6:F$293,5,FALSE)="","---",VLOOKUP(A178,Declarations!B$6:F$293,5,FALSE)))</f>
        <v/>
      </c>
      <c r="D178" s="69" t="str">
        <f>IF(ISNA(VLOOKUP(A178,Declarations!B$6:F$293,4,FALSE)),"",IF(VLOOKUP(A178,Declarations!B$6:F$293,4,FALSE)="","---",VLOOKUP(A178,Declarations!B$6:F$293,4,FALSE)))</f>
        <v/>
      </c>
      <c r="E178" s="284" t="s">
        <v>161</v>
      </c>
      <c r="F178" s="284" t="s">
        <v>161</v>
      </c>
      <c r="G178" s="284" t="s">
        <v>161</v>
      </c>
      <c r="H178" s="70"/>
    </row>
    <row r="179" spans="1:8" ht="20" customHeight="1">
      <c r="A179" s="68"/>
      <c r="B179" s="69" t="str">
        <f>IF(ISNA(VLOOKUP(A179,Declarations!B$6:C$293,2,FALSE)),"",IF(VLOOKUP(A179,Declarations!B$6:C$293,2,FALSE)="","---",VLOOKUP(A179,Declarations!B$6:C$293,2,FALSE)))</f>
        <v/>
      </c>
      <c r="C179" s="69" t="str">
        <f>IF(ISNA(VLOOKUP(A179,Declarations!B$6:F$293,5,FALSE)),"",IF(VLOOKUP(A179,Declarations!B$6:F$293,5,FALSE)="","---",VLOOKUP(A179,Declarations!B$6:F$293,5,FALSE)))</f>
        <v/>
      </c>
      <c r="D179" s="69" t="str">
        <f>IF(ISNA(VLOOKUP(A179,Declarations!B$6:F$293,4,FALSE)),"",IF(VLOOKUP(A179,Declarations!B$6:F$293,4,FALSE)="","---",VLOOKUP(A179,Declarations!B$6:F$293,4,FALSE)))</f>
        <v/>
      </c>
      <c r="E179" s="284" t="s">
        <v>161</v>
      </c>
      <c r="F179" s="284" t="s">
        <v>161</v>
      </c>
      <c r="G179" s="284" t="s">
        <v>161</v>
      </c>
      <c r="H179" s="70"/>
    </row>
    <row r="180" spans="1:8" ht="20" customHeight="1">
      <c r="A180" s="68"/>
      <c r="B180" s="69" t="str">
        <f>IF(ISNA(VLOOKUP(A180,Declarations!B$6:C$293,2,FALSE)),"",IF(VLOOKUP(A180,Declarations!B$6:C$293,2,FALSE)="","---",VLOOKUP(A180,Declarations!B$6:C$293,2,FALSE)))</f>
        <v/>
      </c>
      <c r="C180" s="69" t="str">
        <f>IF(ISNA(VLOOKUP(A180,Declarations!B$6:F$293,5,FALSE)),"",IF(VLOOKUP(A180,Declarations!B$6:F$293,5,FALSE)="","---",VLOOKUP(A180,Declarations!B$6:F$293,5,FALSE)))</f>
        <v/>
      </c>
      <c r="D180" s="69" t="str">
        <f>IF(ISNA(VLOOKUP(A180,Declarations!B$6:F$293,4,FALSE)),"",IF(VLOOKUP(A180,Declarations!B$6:F$293,4,FALSE)="","---",VLOOKUP(A180,Declarations!B$6:F$293,4,FALSE)))</f>
        <v/>
      </c>
      <c r="E180" s="284" t="s">
        <v>161</v>
      </c>
      <c r="F180" s="284" t="s">
        <v>161</v>
      </c>
      <c r="G180" s="284" t="s">
        <v>161</v>
      </c>
      <c r="H180" s="70"/>
    </row>
    <row r="181" spans="1:8" ht="20" customHeight="1">
      <c r="A181" s="68"/>
      <c r="B181" s="69" t="str">
        <f>IF(ISNA(VLOOKUP(A181,Declarations!B$6:C$293,2,FALSE)),"",IF(VLOOKUP(A181,Declarations!B$6:C$293,2,FALSE)="","---",VLOOKUP(A181,Declarations!B$6:C$293,2,FALSE)))</f>
        <v/>
      </c>
      <c r="C181" s="69" t="str">
        <f>IF(ISNA(VLOOKUP(A181,Declarations!B$6:F$293,5,FALSE)),"",IF(VLOOKUP(A181,Declarations!B$6:F$293,5,FALSE)="","---",VLOOKUP(A181,Declarations!B$6:F$293,5,FALSE)))</f>
        <v/>
      </c>
      <c r="D181" s="69" t="str">
        <f>IF(ISNA(VLOOKUP(A181,Declarations!B$6:F$293,4,FALSE)),"",IF(VLOOKUP(A181,Declarations!B$6:F$293,4,FALSE)="","---",VLOOKUP(A181,Declarations!B$6:F$293,4,FALSE)))</f>
        <v/>
      </c>
      <c r="E181" s="284" t="s">
        <v>161</v>
      </c>
      <c r="F181" s="284" t="s">
        <v>161</v>
      </c>
      <c r="G181" s="284" t="s">
        <v>161</v>
      </c>
      <c r="H181" s="70"/>
    </row>
    <row r="182" spans="1:8" ht="20" customHeight="1">
      <c r="A182" s="68"/>
      <c r="B182" s="69" t="str">
        <f>IF(ISNA(VLOOKUP(A182,Declarations!B$6:C$293,2,FALSE)),"",IF(VLOOKUP(A182,Declarations!B$6:C$293,2,FALSE)="","---",VLOOKUP(A182,Declarations!B$6:C$293,2,FALSE)))</f>
        <v/>
      </c>
      <c r="C182" s="69" t="str">
        <f>IF(ISNA(VLOOKUP(A182,Declarations!B$6:F$293,5,FALSE)),"",IF(VLOOKUP(A182,Declarations!B$6:F$293,5,FALSE)="","---",VLOOKUP(A182,Declarations!B$6:F$293,5,FALSE)))</f>
        <v/>
      </c>
      <c r="D182" s="69" t="str">
        <f>IF(ISNA(VLOOKUP(A182,Declarations!B$6:F$293,4,FALSE)),"",IF(VLOOKUP(A182,Declarations!B$6:F$293,4,FALSE)="","---",VLOOKUP(A182,Declarations!B$6:F$293,4,FALSE)))</f>
        <v/>
      </c>
      <c r="E182" s="284" t="s">
        <v>161</v>
      </c>
      <c r="F182" s="284" t="s">
        <v>161</v>
      </c>
      <c r="G182" s="284" t="s">
        <v>161</v>
      </c>
      <c r="H182" s="70"/>
    </row>
    <row r="183" spans="1:8" ht="20" customHeight="1">
      <c r="A183" s="68"/>
      <c r="B183" s="69" t="str">
        <f>IF(ISNA(VLOOKUP(A183,Declarations!B$6:C$293,2,FALSE)),"",IF(VLOOKUP(A183,Declarations!B$6:C$293,2,FALSE)="","---",VLOOKUP(A183,Declarations!B$6:C$293,2,FALSE)))</f>
        <v/>
      </c>
      <c r="C183" s="69" t="str">
        <f>IF(ISNA(VLOOKUP(A183,Declarations!B$6:F$293,5,FALSE)),"",IF(VLOOKUP(A183,Declarations!B$6:F$293,5,FALSE)="","---",VLOOKUP(A183,Declarations!B$6:F$293,5,FALSE)))</f>
        <v/>
      </c>
      <c r="D183" s="69" t="str">
        <f>IF(ISNA(VLOOKUP(A183,Declarations!B$6:F$293,4,FALSE)),"",IF(VLOOKUP(A183,Declarations!B$6:F$293,4,FALSE)="","---",VLOOKUP(A183,Declarations!B$6:F$293,4,FALSE)))</f>
        <v/>
      </c>
      <c r="E183" s="284" t="s">
        <v>161</v>
      </c>
      <c r="F183" s="284" t="s">
        <v>161</v>
      </c>
      <c r="G183" s="284" t="s">
        <v>161</v>
      </c>
      <c r="H183" s="70"/>
    </row>
    <row r="184" spans="1:8" ht="20" customHeight="1">
      <c r="A184" s="68"/>
      <c r="B184" s="69" t="str">
        <f>IF(ISNA(VLOOKUP(A184,Declarations!B$6:C$293,2,FALSE)),"",IF(VLOOKUP(A184,Declarations!B$6:C$293,2,FALSE)="","---",VLOOKUP(A184,Declarations!B$6:C$293,2,FALSE)))</f>
        <v/>
      </c>
      <c r="C184" s="69" t="str">
        <f>IF(ISNA(VLOOKUP(A184,Declarations!B$6:F$293,5,FALSE)),"",IF(VLOOKUP(A184,Declarations!B$6:F$293,5,FALSE)="","---",VLOOKUP(A184,Declarations!B$6:F$293,5,FALSE)))</f>
        <v/>
      </c>
      <c r="D184" s="69" t="str">
        <f>IF(ISNA(VLOOKUP(A184,Declarations!B$6:F$293,4,FALSE)),"",IF(VLOOKUP(A184,Declarations!B$6:F$293,4,FALSE)="","---",VLOOKUP(A184,Declarations!B$6:F$293,4,FALSE)))</f>
        <v/>
      </c>
      <c r="E184" s="284" t="s">
        <v>161</v>
      </c>
      <c r="F184" s="284" t="s">
        <v>161</v>
      </c>
      <c r="G184" s="284" t="s">
        <v>161</v>
      </c>
      <c r="H184" s="70"/>
    </row>
    <row r="185" spans="1:8" ht="20" customHeight="1">
      <c r="A185" s="68"/>
      <c r="B185" s="69" t="str">
        <f>IF(ISNA(VLOOKUP(A185,Declarations!B$6:C$293,2,FALSE)),"",IF(VLOOKUP(A185,Declarations!B$6:C$293,2,FALSE)="","---",VLOOKUP(A185,Declarations!B$6:C$293,2,FALSE)))</f>
        <v/>
      </c>
      <c r="C185" s="69" t="str">
        <f>IF(ISNA(VLOOKUP(A185,Declarations!B$6:F$293,5,FALSE)),"",IF(VLOOKUP(A185,Declarations!B$6:F$293,5,FALSE)="","---",VLOOKUP(A185,Declarations!B$6:F$293,5,FALSE)))</f>
        <v/>
      </c>
      <c r="D185" s="69" t="str">
        <f>IF(ISNA(VLOOKUP(A185,Declarations!B$6:F$293,4,FALSE)),"",IF(VLOOKUP(A185,Declarations!B$6:F$293,4,FALSE)="","---",VLOOKUP(A185,Declarations!B$6:F$293,4,FALSE)))</f>
        <v/>
      </c>
      <c r="E185" s="284" t="s">
        <v>161</v>
      </c>
      <c r="F185" s="284" t="s">
        <v>161</v>
      </c>
      <c r="G185" s="284" t="s">
        <v>161</v>
      </c>
      <c r="H185" s="70"/>
    </row>
    <row r="186" spans="1:8" ht="20" customHeight="1">
      <c r="A186" s="68"/>
      <c r="B186" s="69" t="str">
        <f>IF(ISNA(VLOOKUP(A186,Declarations!B$6:C$293,2,FALSE)),"",IF(VLOOKUP(A186,Declarations!B$6:C$293,2,FALSE)="","---",VLOOKUP(A186,Declarations!B$6:C$293,2,FALSE)))</f>
        <v/>
      </c>
      <c r="C186" s="69" t="str">
        <f>IF(ISNA(VLOOKUP(A186,Declarations!B$6:F$293,5,FALSE)),"",IF(VLOOKUP(A186,Declarations!B$6:F$293,5,FALSE)="","---",VLOOKUP(A186,Declarations!B$6:F$293,5,FALSE)))</f>
        <v/>
      </c>
      <c r="D186" s="69" t="str">
        <f>IF(ISNA(VLOOKUP(A186,Declarations!B$6:F$293,4,FALSE)),"",IF(VLOOKUP(A186,Declarations!B$6:F$293,4,FALSE)="","---",VLOOKUP(A186,Declarations!B$6:F$293,4,FALSE)))</f>
        <v/>
      </c>
      <c r="E186" s="284" t="s">
        <v>161</v>
      </c>
      <c r="F186" s="284" t="s">
        <v>161</v>
      </c>
      <c r="G186" s="284" t="s">
        <v>161</v>
      </c>
      <c r="H186" s="70"/>
    </row>
    <row r="187" spans="1:8" ht="20" customHeight="1">
      <c r="A187" s="68"/>
      <c r="B187" s="69" t="str">
        <f>IF(ISNA(VLOOKUP(A187,Declarations!B$6:C$293,2,FALSE)),"",IF(VLOOKUP(A187,Declarations!B$6:C$293,2,FALSE)="","---",VLOOKUP(A187,Declarations!B$6:C$293,2,FALSE)))</f>
        <v/>
      </c>
      <c r="C187" s="69" t="str">
        <f>IF(ISNA(VLOOKUP(A187,Declarations!B$6:F$293,5,FALSE)),"",IF(VLOOKUP(A187,Declarations!B$6:F$293,5,FALSE)="","---",VLOOKUP(A187,Declarations!B$6:F$293,5,FALSE)))</f>
        <v/>
      </c>
      <c r="D187" s="69" t="str">
        <f>IF(ISNA(VLOOKUP(A187,Declarations!B$6:F$293,4,FALSE)),"",IF(VLOOKUP(A187,Declarations!B$6:F$293,4,FALSE)="","---",VLOOKUP(A187,Declarations!B$6:F$293,4,FALSE)))</f>
        <v/>
      </c>
      <c r="E187" s="284" t="s">
        <v>161</v>
      </c>
      <c r="F187" s="284" t="s">
        <v>161</v>
      </c>
      <c r="G187" s="284" t="s">
        <v>161</v>
      </c>
      <c r="H187" s="70"/>
    </row>
    <row r="188" spans="1:8" ht="20" customHeight="1">
      <c r="A188" s="68"/>
      <c r="B188" s="69" t="str">
        <f>IF(ISNA(VLOOKUP(A188,Declarations!B$6:C$293,2,FALSE)),"",IF(VLOOKUP(A188,Declarations!B$6:C$293,2,FALSE)="","---",VLOOKUP(A188,Declarations!B$6:C$293,2,FALSE)))</f>
        <v/>
      </c>
      <c r="C188" s="69" t="str">
        <f>IF(ISNA(VLOOKUP(A188,Declarations!B$6:F$293,5,FALSE)),"",IF(VLOOKUP(A188,Declarations!B$6:F$293,5,FALSE)="","---",VLOOKUP(A188,Declarations!B$6:F$293,5,FALSE)))</f>
        <v/>
      </c>
      <c r="D188" s="69" t="str">
        <f>IF(ISNA(VLOOKUP(A188,Declarations!B$6:F$293,4,FALSE)),"",IF(VLOOKUP(A188,Declarations!B$6:F$293,4,FALSE)="","---",VLOOKUP(A188,Declarations!B$6:F$293,4,FALSE)))</f>
        <v/>
      </c>
      <c r="E188" s="284" t="s">
        <v>161</v>
      </c>
      <c r="F188" s="284" t="s">
        <v>161</v>
      </c>
      <c r="G188" s="284" t="s">
        <v>161</v>
      </c>
      <c r="H188" s="70"/>
    </row>
    <row r="189" spans="1:8" ht="20" customHeight="1">
      <c r="A189" s="68"/>
      <c r="B189" s="69" t="str">
        <f>IF(ISNA(VLOOKUP(A189,Declarations!B$6:C$293,2,FALSE)),"",IF(VLOOKUP(A189,Declarations!B$6:C$293,2,FALSE)="","---",VLOOKUP(A189,Declarations!B$6:C$293,2,FALSE)))</f>
        <v/>
      </c>
      <c r="C189" s="69" t="str">
        <f>IF(ISNA(VLOOKUP(A189,Declarations!B$6:F$293,5,FALSE)),"",IF(VLOOKUP(A189,Declarations!B$6:F$293,5,FALSE)="","---",VLOOKUP(A189,Declarations!B$6:F$293,5,FALSE)))</f>
        <v/>
      </c>
      <c r="D189" s="69" t="str">
        <f>IF(ISNA(VLOOKUP(A189,Declarations!B$6:F$293,4,FALSE)),"",IF(VLOOKUP(A189,Declarations!B$6:F$293,4,FALSE)="","---",VLOOKUP(A189,Declarations!B$6:F$293,4,FALSE)))</f>
        <v/>
      </c>
      <c r="E189" s="284" t="s">
        <v>161</v>
      </c>
      <c r="F189" s="284" t="s">
        <v>161</v>
      </c>
      <c r="G189" s="284" t="s">
        <v>161</v>
      </c>
      <c r="H189" s="70"/>
    </row>
    <row r="190" spans="1:8" ht="20" customHeight="1">
      <c r="A190" s="68"/>
      <c r="B190" s="69" t="str">
        <f>IF(ISNA(VLOOKUP(A190,Declarations!B$6:C$293,2,FALSE)),"",IF(VLOOKUP(A190,Declarations!B$6:C$293,2,FALSE)="","---",VLOOKUP(A190,Declarations!B$6:C$293,2,FALSE)))</f>
        <v/>
      </c>
      <c r="C190" s="69" t="str">
        <f>IF(ISNA(VLOOKUP(A190,Declarations!B$6:F$293,5,FALSE)),"",IF(VLOOKUP(A190,Declarations!B$6:F$293,5,FALSE)="","---",VLOOKUP(A190,Declarations!B$6:F$293,5,FALSE)))</f>
        <v/>
      </c>
      <c r="D190" s="69" t="str">
        <f>IF(ISNA(VLOOKUP(A190,Declarations!B$6:F$293,4,FALSE)),"",IF(VLOOKUP(A190,Declarations!B$6:F$293,4,FALSE)="","---",VLOOKUP(A190,Declarations!B$6:F$293,4,FALSE)))</f>
        <v/>
      </c>
      <c r="E190" s="284" t="s">
        <v>161</v>
      </c>
      <c r="F190" s="284" t="s">
        <v>161</v>
      </c>
      <c r="G190" s="284" t="s">
        <v>161</v>
      </c>
      <c r="H190" s="70"/>
    </row>
    <row r="191" spans="1:8" ht="20" customHeight="1">
      <c r="A191" s="68"/>
      <c r="B191" s="69" t="str">
        <f>IF(ISNA(VLOOKUP(A191,Declarations!B$6:C$293,2,FALSE)),"",IF(VLOOKUP(A191,Declarations!B$6:C$293,2,FALSE)="","---",VLOOKUP(A191,Declarations!B$6:C$293,2,FALSE)))</f>
        <v/>
      </c>
      <c r="C191" s="69" t="str">
        <f>IF(ISNA(VLOOKUP(A191,Declarations!B$6:F$293,5,FALSE)),"",IF(VLOOKUP(A191,Declarations!B$6:F$293,5,FALSE)="","---",VLOOKUP(A191,Declarations!B$6:F$293,5,FALSE)))</f>
        <v/>
      </c>
      <c r="D191" s="69" t="str">
        <f>IF(ISNA(VLOOKUP(A191,Declarations!B$6:F$293,4,FALSE)),"",IF(VLOOKUP(A191,Declarations!B$6:F$293,4,FALSE)="","---",VLOOKUP(A191,Declarations!B$6:F$293,4,FALSE)))</f>
        <v/>
      </c>
      <c r="E191" s="284" t="s">
        <v>161</v>
      </c>
      <c r="F191" s="284" t="s">
        <v>161</v>
      </c>
      <c r="G191" s="284" t="s">
        <v>161</v>
      </c>
      <c r="H191" s="70"/>
    </row>
    <row r="192" spans="1:8" ht="20" customHeight="1">
      <c r="A192" s="68"/>
      <c r="B192" s="69" t="str">
        <f>IF(ISNA(VLOOKUP(A192,Declarations!B$6:C$293,2,FALSE)),"",IF(VLOOKUP(A192,Declarations!B$6:C$293,2,FALSE)="","---",VLOOKUP(A192,Declarations!B$6:C$293,2,FALSE)))</f>
        <v/>
      </c>
      <c r="C192" s="69" t="str">
        <f>IF(ISNA(VLOOKUP(A192,Declarations!B$6:F$293,5,FALSE)),"",IF(VLOOKUP(A192,Declarations!B$6:F$293,5,FALSE)="","---",VLOOKUP(A192,Declarations!B$6:F$293,5,FALSE)))</f>
        <v/>
      </c>
      <c r="D192" s="69" t="str">
        <f>IF(ISNA(VLOOKUP(A192,Declarations!B$6:F$293,4,FALSE)),"",IF(VLOOKUP(A192,Declarations!B$6:F$293,4,FALSE)="","---",VLOOKUP(A192,Declarations!B$6:F$293,4,FALSE)))</f>
        <v/>
      </c>
      <c r="E192" s="284" t="s">
        <v>161</v>
      </c>
      <c r="F192" s="284" t="s">
        <v>161</v>
      </c>
      <c r="G192" s="284" t="s">
        <v>161</v>
      </c>
      <c r="H192" s="70"/>
    </row>
    <row r="193" spans="1:8" ht="20" customHeight="1">
      <c r="A193" s="68"/>
      <c r="B193" s="69" t="str">
        <f>IF(ISNA(VLOOKUP(A193,Declarations!B$6:C$293,2,FALSE)),"",IF(VLOOKUP(A193,Declarations!B$6:C$293,2,FALSE)="","---",VLOOKUP(A193,Declarations!B$6:C$293,2,FALSE)))</f>
        <v/>
      </c>
      <c r="C193" s="69" t="str">
        <f>IF(ISNA(VLOOKUP(A193,Declarations!B$6:F$293,5,FALSE)),"",IF(VLOOKUP(A193,Declarations!B$6:F$293,5,FALSE)="","---",VLOOKUP(A193,Declarations!B$6:F$293,5,FALSE)))</f>
        <v/>
      </c>
      <c r="D193" s="69" t="str">
        <f>IF(ISNA(VLOOKUP(A193,Declarations!B$6:F$293,4,FALSE)),"",IF(VLOOKUP(A193,Declarations!B$6:F$293,4,FALSE)="","---",VLOOKUP(A193,Declarations!B$6:F$293,4,FALSE)))</f>
        <v/>
      </c>
      <c r="E193" s="284" t="s">
        <v>161</v>
      </c>
      <c r="F193" s="284" t="s">
        <v>161</v>
      </c>
      <c r="G193" s="284" t="s">
        <v>161</v>
      </c>
      <c r="H193" s="70"/>
    </row>
    <row r="194" spans="1:8" ht="20" customHeight="1">
      <c r="A194" s="68"/>
      <c r="B194" s="69" t="str">
        <f>IF(ISNA(VLOOKUP(A194,Declarations!B$6:C$293,2,FALSE)),"",IF(VLOOKUP(A194,Declarations!B$6:C$293,2,FALSE)="","---",VLOOKUP(A194,Declarations!B$6:C$293,2,FALSE)))</f>
        <v/>
      </c>
      <c r="C194" s="69" t="str">
        <f>IF(ISNA(VLOOKUP(A194,Declarations!B$6:F$293,5,FALSE)),"",IF(VLOOKUP(A194,Declarations!B$6:F$293,5,FALSE)="","---",VLOOKUP(A194,Declarations!B$6:F$293,5,FALSE)))</f>
        <v/>
      </c>
      <c r="D194" s="69" t="str">
        <f>IF(ISNA(VLOOKUP(A194,Declarations!B$6:F$293,4,FALSE)),"",IF(VLOOKUP(A194,Declarations!B$6:F$293,4,FALSE)="","---",VLOOKUP(A194,Declarations!B$6:F$293,4,FALSE)))</f>
        <v/>
      </c>
      <c r="E194" s="284" t="s">
        <v>161</v>
      </c>
      <c r="F194" s="284" t="s">
        <v>161</v>
      </c>
      <c r="G194" s="284" t="s">
        <v>161</v>
      </c>
      <c r="H194" s="70"/>
    </row>
    <row r="195" spans="1:8">
      <c r="A195" s="71"/>
      <c r="B195" s="72"/>
      <c r="C195" s="72"/>
      <c r="D195" s="72"/>
      <c r="E195" s="73"/>
      <c r="F195" s="73"/>
      <c r="G195" s="73"/>
      <c r="H195" s="73"/>
    </row>
    <row r="196" spans="1:8">
      <c r="A196" s="71"/>
      <c r="B196" s="510" t="s">
        <v>92</v>
      </c>
      <c r="C196" s="511"/>
      <c r="D196" s="72"/>
      <c r="E196" s="509" t="s">
        <v>93</v>
      </c>
      <c r="F196" s="509"/>
      <c r="G196" s="501" t="s">
        <v>43</v>
      </c>
      <c r="H196" s="501"/>
    </row>
    <row r="197" spans="1:8" ht="16" customHeight="1">
      <c r="A197" s="71"/>
      <c r="B197" s="512"/>
      <c r="C197" s="513"/>
      <c r="D197" s="72"/>
      <c r="E197" s="501"/>
      <c r="F197" s="501"/>
      <c r="G197" s="501"/>
      <c r="H197" s="501"/>
    </row>
    <row r="198" spans="1:8">
      <c r="A198" s="71"/>
      <c r="B198" s="512"/>
      <c r="C198" s="513"/>
      <c r="D198" s="72"/>
      <c r="E198" s="501"/>
      <c r="F198" s="501"/>
      <c r="G198" s="501"/>
      <c r="H198" s="501"/>
    </row>
    <row r="199" spans="1:8">
      <c r="A199" s="71"/>
      <c r="B199" s="514"/>
      <c r="C199" s="515"/>
      <c r="D199" s="72"/>
      <c r="E199" s="501"/>
      <c r="F199" s="501"/>
      <c r="G199" s="501"/>
      <c r="H199" s="501"/>
    </row>
    <row r="200" spans="1:8" ht="8" customHeight="1">
      <c r="A200" s="71"/>
      <c r="B200" s="72"/>
      <c r="C200" s="72"/>
      <c r="D200" s="72"/>
      <c r="E200" s="97"/>
      <c r="F200" s="97"/>
      <c r="G200" s="97"/>
      <c r="H200" s="97"/>
    </row>
    <row r="201" spans="1:8" ht="20">
      <c r="A201" s="502" t="str">
        <f>'Read Me First'!A1:F1</f>
        <v>Oxfordshire Track and Field League 2026</v>
      </c>
      <c r="B201" s="503"/>
      <c r="C201" s="503"/>
      <c r="D201" s="503"/>
      <c r="E201" s="503"/>
      <c r="F201" s="503"/>
      <c r="G201" s="503"/>
      <c r="H201" s="504"/>
    </row>
    <row r="202" spans="1:8" ht="18">
      <c r="A202" s="61" t="s">
        <v>12</v>
      </c>
      <c r="B202" s="62">
        <f>'Read Me First'!$C$10</f>
        <v>46250</v>
      </c>
      <c r="C202" s="96">
        <v>0.52083333333333337</v>
      </c>
      <c r="D202" s="61" t="s">
        <v>13</v>
      </c>
      <c r="E202" s="505" t="str">
        <f>$E$2</f>
        <v>Banbury</v>
      </c>
      <c r="F202" s="506"/>
      <c r="G202" s="506"/>
      <c r="H202" s="507"/>
    </row>
    <row r="203" spans="1:8" ht="18">
      <c r="A203" s="508" t="s">
        <v>46</v>
      </c>
      <c r="B203" s="508"/>
      <c r="C203" s="508"/>
      <c r="D203" s="508"/>
      <c r="E203" s="60">
        <v>1</v>
      </c>
      <c r="F203" s="60">
        <v>2</v>
      </c>
      <c r="G203" s="60">
        <v>3</v>
      </c>
      <c r="H203" s="60" t="s">
        <v>42</v>
      </c>
    </row>
    <row r="204" spans="1:8" ht="18">
      <c r="A204" s="66"/>
      <c r="B204" s="66"/>
      <c r="C204" s="66"/>
      <c r="D204" s="66"/>
      <c r="E204" s="67"/>
      <c r="F204" s="67"/>
      <c r="G204" s="67"/>
      <c r="H204" s="67"/>
    </row>
    <row r="205" spans="1:8" ht="20" customHeight="1">
      <c r="A205" s="68" t="str" cm="1">
        <f t="array" ref="A205">IFERROR(_xlfn.TEXTSPLIT(IFERROR(_xlfn.TEXTJOIN(",",TRUE,_xlfn._xlws.FILTER(BlockAllocations!$F$3:$F$20,BlockAllocations!$E$3:$E$20=BlockAllocations!$G$11)),""),,",")+0,"!")</f>
        <v>!</v>
      </c>
      <c r="B205" s="69" t="str">
        <f>IF(ISNA(VLOOKUP(A205,Declarations!B$6:C$293,2,FALSE)),"",IF(VLOOKUP(A205,Declarations!B$6:C$293,2,FALSE)="","---",VLOOKUP(A205,Declarations!B$6:C$293,2,FALSE)))</f>
        <v/>
      </c>
      <c r="C205" s="69" t="str">
        <f>IF(ISNA(VLOOKUP(A205,Declarations!B$6:F$293,5,FALSE)),"",IF(VLOOKUP(A205,Declarations!B$6:F$293,5,FALSE)="","---",VLOOKUP(A205,Declarations!B$6:F$293,5,FALSE)))</f>
        <v/>
      </c>
      <c r="D205" s="69" t="str">
        <f>IF(ISNA(VLOOKUP(A205,Declarations!B$6:F$293,4,FALSE)),"",IF(VLOOKUP(A205,Declarations!B$6:F$293,4,FALSE)="","---",VLOOKUP(A205,Declarations!B$6:F$293,4,FALSE)))</f>
        <v/>
      </c>
      <c r="E205" s="284" t="s">
        <v>161</v>
      </c>
      <c r="F205" s="284" t="s">
        <v>161</v>
      </c>
      <c r="G205" s="284" t="s">
        <v>161</v>
      </c>
      <c r="H205" s="70"/>
    </row>
    <row r="206" spans="1:8" ht="20" customHeight="1">
      <c r="A206" s="68"/>
      <c r="B206" s="69" t="str">
        <f>IF(ISNA(VLOOKUP(A206,Declarations!B$6:C$293,2,FALSE)),"",IF(VLOOKUP(A206,Declarations!B$6:C$293,2,FALSE)="","---",VLOOKUP(A206,Declarations!B$6:C$293,2,FALSE)))</f>
        <v/>
      </c>
      <c r="C206" s="69" t="str">
        <f>IF(ISNA(VLOOKUP(A206,Declarations!B$6:F$293,5,FALSE)),"",IF(VLOOKUP(A206,Declarations!B$6:F$293,5,FALSE)="","---",VLOOKUP(A206,Declarations!B$6:F$293,5,FALSE)))</f>
        <v/>
      </c>
      <c r="D206" s="69" t="str">
        <f>IF(ISNA(VLOOKUP(A206,Declarations!B$6:F$293,4,FALSE)),"",IF(VLOOKUP(A206,Declarations!B$6:F$293,4,FALSE)="","---",VLOOKUP(A206,Declarations!B$6:F$293,4,FALSE)))</f>
        <v/>
      </c>
      <c r="E206" s="284" t="s">
        <v>161</v>
      </c>
      <c r="F206" s="284" t="s">
        <v>161</v>
      </c>
      <c r="G206" s="284" t="s">
        <v>161</v>
      </c>
      <c r="H206" s="70"/>
    </row>
    <row r="207" spans="1:8" ht="20" customHeight="1">
      <c r="A207" s="68"/>
      <c r="B207" s="69" t="str">
        <f>IF(ISNA(VLOOKUP(A207,Declarations!B$6:C$293,2,FALSE)),"",IF(VLOOKUP(A207,Declarations!B$6:C$293,2,FALSE)="","---",VLOOKUP(A207,Declarations!B$6:C$293,2,FALSE)))</f>
        <v/>
      </c>
      <c r="C207" s="69" t="str">
        <f>IF(ISNA(VLOOKUP(A207,Declarations!B$6:F$293,5,FALSE)),"",IF(VLOOKUP(A207,Declarations!B$6:F$293,5,FALSE)="","---",VLOOKUP(A207,Declarations!B$6:F$293,5,FALSE)))</f>
        <v/>
      </c>
      <c r="D207" s="69" t="str">
        <f>IF(ISNA(VLOOKUP(A207,Declarations!B$6:F$293,4,FALSE)),"",IF(VLOOKUP(A207,Declarations!B$6:F$293,4,FALSE)="","---",VLOOKUP(A207,Declarations!B$6:F$293,4,FALSE)))</f>
        <v/>
      </c>
      <c r="E207" s="284" t="s">
        <v>161</v>
      </c>
      <c r="F207" s="284" t="s">
        <v>161</v>
      </c>
      <c r="G207" s="284" t="s">
        <v>161</v>
      </c>
      <c r="H207" s="70"/>
    </row>
    <row r="208" spans="1:8" ht="20" customHeight="1">
      <c r="A208" s="68"/>
      <c r="B208" s="69" t="str">
        <f>IF(ISNA(VLOOKUP(A208,Declarations!B$6:C$293,2,FALSE)),"",IF(VLOOKUP(A208,Declarations!B$6:C$293,2,FALSE)="","---",VLOOKUP(A208,Declarations!B$6:C$293,2,FALSE)))</f>
        <v/>
      </c>
      <c r="C208" s="69" t="str">
        <f>IF(ISNA(VLOOKUP(A208,Declarations!B$6:F$293,5,FALSE)),"",IF(VLOOKUP(A208,Declarations!B$6:F$293,5,FALSE)="","---",VLOOKUP(A208,Declarations!B$6:F$293,5,FALSE)))</f>
        <v/>
      </c>
      <c r="D208" s="69" t="str">
        <f>IF(ISNA(VLOOKUP(A208,Declarations!B$6:F$293,4,FALSE)),"",IF(VLOOKUP(A208,Declarations!B$6:F$293,4,FALSE)="","---",VLOOKUP(A208,Declarations!B$6:F$293,4,FALSE)))</f>
        <v/>
      </c>
      <c r="E208" s="284" t="s">
        <v>161</v>
      </c>
      <c r="F208" s="284" t="s">
        <v>161</v>
      </c>
      <c r="G208" s="284" t="s">
        <v>161</v>
      </c>
      <c r="H208" s="70"/>
    </row>
    <row r="209" spans="1:8" ht="20" customHeight="1">
      <c r="A209" s="68"/>
      <c r="B209" s="69" t="str">
        <f>IF(ISNA(VLOOKUP(A209,Declarations!B$6:C$293,2,FALSE)),"",IF(VLOOKUP(A209,Declarations!B$6:C$293,2,FALSE)="","---",VLOOKUP(A209,Declarations!B$6:C$293,2,FALSE)))</f>
        <v/>
      </c>
      <c r="C209" s="69" t="str">
        <f>IF(ISNA(VLOOKUP(A209,Declarations!B$6:F$293,5,FALSE)),"",IF(VLOOKUP(A209,Declarations!B$6:F$293,5,FALSE)="","---",VLOOKUP(A209,Declarations!B$6:F$293,5,FALSE)))</f>
        <v/>
      </c>
      <c r="D209" s="69" t="str">
        <f>IF(ISNA(VLOOKUP(A209,Declarations!B$6:F$293,4,FALSE)),"",IF(VLOOKUP(A209,Declarations!B$6:F$293,4,FALSE)="","---",VLOOKUP(A209,Declarations!B$6:F$293,4,FALSE)))</f>
        <v/>
      </c>
      <c r="E209" s="284" t="s">
        <v>161</v>
      </c>
      <c r="F209" s="284" t="s">
        <v>161</v>
      </c>
      <c r="G209" s="284" t="s">
        <v>161</v>
      </c>
      <c r="H209" s="70"/>
    </row>
    <row r="210" spans="1:8" ht="20" customHeight="1">
      <c r="A210" s="68"/>
      <c r="B210" s="69" t="str">
        <f>IF(ISNA(VLOOKUP(A210,Declarations!B$6:C$293,2,FALSE)),"",IF(VLOOKUP(A210,Declarations!B$6:C$293,2,FALSE)="","---",VLOOKUP(A210,Declarations!B$6:C$293,2,FALSE)))</f>
        <v/>
      </c>
      <c r="C210" s="69" t="str">
        <f>IF(ISNA(VLOOKUP(A210,Declarations!B$6:F$293,5,FALSE)),"",IF(VLOOKUP(A210,Declarations!B$6:F$293,5,FALSE)="","---",VLOOKUP(A210,Declarations!B$6:F$293,5,FALSE)))</f>
        <v/>
      </c>
      <c r="D210" s="69" t="str">
        <f>IF(ISNA(VLOOKUP(A210,Declarations!B$6:F$293,4,FALSE)),"",IF(VLOOKUP(A210,Declarations!B$6:F$293,4,FALSE)="","---",VLOOKUP(A210,Declarations!B$6:F$293,4,FALSE)))</f>
        <v/>
      </c>
      <c r="E210" s="284" t="s">
        <v>161</v>
      </c>
      <c r="F210" s="284" t="s">
        <v>161</v>
      </c>
      <c r="G210" s="284" t="s">
        <v>161</v>
      </c>
      <c r="H210" s="70"/>
    </row>
    <row r="211" spans="1:8" ht="20" customHeight="1">
      <c r="A211" s="68"/>
      <c r="B211" s="69" t="str">
        <f>IF(ISNA(VLOOKUP(A211,Declarations!B$6:C$293,2,FALSE)),"",IF(VLOOKUP(A211,Declarations!B$6:C$293,2,FALSE)="","---",VLOOKUP(A211,Declarations!B$6:C$293,2,FALSE)))</f>
        <v/>
      </c>
      <c r="C211" s="69" t="str">
        <f>IF(ISNA(VLOOKUP(A211,Declarations!B$6:F$293,5,FALSE)),"",IF(VLOOKUP(A211,Declarations!B$6:F$293,5,FALSE)="","---",VLOOKUP(A211,Declarations!B$6:F$293,5,FALSE)))</f>
        <v/>
      </c>
      <c r="D211" s="69" t="str">
        <f>IF(ISNA(VLOOKUP(A211,Declarations!B$6:F$293,4,FALSE)),"",IF(VLOOKUP(A211,Declarations!B$6:F$293,4,FALSE)="","---",VLOOKUP(A211,Declarations!B$6:F$293,4,FALSE)))</f>
        <v/>
      </c>
      <c r="E211" s="284" t="s">
        <v>161</v>
      </c>
      <c r="F211" s="284" t="s">
        <v>161</v>
      </c>
      <c r="G211" s="284" t="s">
        <v>161</v>
      </c>
      <c r="H211" s="70"/>
    </row>
    <row r="212" spans="1:8" ht="20" customHeight="1">
      <c r="A212" s="68"/>
      <c r="B212" s="69" t="str">
        <f>IF(ISNA(VLOOKUP(A212,Declarations!B$6:C$293,2,FALSE)),"",IF(VLOOKUP(A212,Declarations!B$6:C$293,2,FALSE)="","---",VLOOKUP(A212,Declarations!B$6:C$293,2,FALSE)))</f>
        <v/>
      </c>
      <c r="C212" s="69" t="str">
        <f>IF(ISNA(VLOOKUP(A212,Declarations!B$6:F$293,5,FALSE)),"",IF(VLOOKUP(A212,Declarations!B$6:F$293,5,FALSE)="","---",VLOOKUP(A212,Declarations!B$6:F$293,5,FALSE)))</f>
        <v/>
      </c>
      <c r="D212" s="69" t="str">
        <f>IF(ISNA(VLOOKUP(A212,Declarations!B$6:F$293,4,FALSE)),"",IF(VLOOKUP(A212,Declarations!B$6:F$293,4,FALSE)="","---",VLOOKUP(A212,Declarations!B$6:F$293,4,FALSE)))</f>
        <v/>
      </c>
      <c r="E212" s="284" t="s">
        <v>161</v>
      </c>
      <c r="F212" s="284" t="s">
        <v>161</v>
      </c>
      <c r="G212" s="284" t="s">
        <v>161</v>
      </c>
      <c r="H212" s="70"/>
    </row>
    <row r="213" spans="1:8" ht="20" customHeight="1">
      <c r="A213" s="68"/>
      <c r="B213" s="69" t="str">
        <f>IF(ISNA(VLOOKUP(A213,Declarations!B$6:C$293,2,FALSE)),"",IF(VLOOKUP(A213,Declarations!B$6:C$293,2,FALSE)="","---",VLOOKUP(A213,Declarations!B$6:C$293,2,FALSE)))</f>
        <v/>
      </c>
      <c r="C213" s="69" t="str">
        <f>IF(ISNA(VLOOKUP(A213,Declarations!B$6:F$293,5,FALSE)),"",IF(VLOOKUP(A213,Declarations!B$6:F$293,5,FALSE)="","---",VLOOKUP(A213,Declarations!B$6:F$293,5,FALSE)))</f>
        <v/>
      </c>
      <c r="D213" s="69" t="str">
        <f>IF(ISNA(VLOOKUP(A213,Declarations!B$6:F$293,4,FALSE)),"",IF(VLOOKUP(A213,Declarations!B$6:F$293,4,FALSE)="","---",VLOOKUP(A213,Declarations!B$6:F$293,4,FALSE)))</f>
        <v/>
      </c>
      <c r="E213" s="284" t="s">
        <v>161</v>
      </c>
      <c r="F213" s="284" t="s">
        <v>161</v>
      </c>
      <c r="G213" s="284" t="s">
        <v>161</v>
      </c>
      <c r="H213" s="70"/>
    </row>
    <row r="214" spans="1:8" ht="20" customHeight="1">
      <c r="A214" s="68"/>
      <c r="B214" s="69" t="str">
        <f>IF(ISNA(VLOOKUP(A214,Declarations!B$6:C$293,2,FALSE)),"",IF(VLOOKUP(A214,Declarations!B$6:C$293,2,FALSE)="","---",VLOOKUP(A214,Declarations!B$6:C$293,2,FALSE)))</f>
        <v/>
      </c>
      <c r="C214" s="69" t="str">
        <f>IF(ISNA(VLOOKUP(A214,Declarations!B$6:F$293,5,FALSE)),"",IF(VLOOKUP(A214,Declarations!B$6:F$293,5,FALSE)="","---",VLOOKUP(A214,Declarations!B$6:F$293,5,FALSE)))</f>
        <v/>
      </c>
      <c r="D214" s="69" t="str">
        <f>IF(ISNA(VLOOKUP(A214,Declarations!B$6:F$293,4,FALSE)),"",IF(VLOOKUP(A214,Declarations!B$6:F$293,4,FALSE)="","---",VLOOKUP(A214,Declarations!B$6:F$293,4,FALSE)))</f>
        <v/>
      </c>
      <c r="E214" s="284" t="s">
        <v>161</v>
      </c>
      <c r="F214" s="284" t="s">
        <v>161</v>
      </c>
      <c r="G214" s="284" t="s">
        <v>161</v>
      </c>
      <c r="H214" s="70"/>
    </row>
    <row r="215" spans="1:8" ht="20" customHeight="1">
      <c r="A215" s="68"/>
      <c r="B215" s="69" t="str">
        <f>IF(ISNA(VLOOKUP(A215,Declarations!B$6:C$293,2,FALSE)),"",IF(VLOOKUP(A215,Declarations!B$6:C$293,2,FALSE)="","---",VLOOKUP(A215,Declarations!B$6:C$293,2,FALSE)))</f>
        <v/>
      </c>
      <c r="C215" s="69" t="str">
        <f>IF(ISNA(VLOOKUP(A215,Declarations!B$6:F$293,5,FALSE)),"",IF(VLOOKUP(A215,Declarations!B$6:F$293,5,FALSE)="","---",VLOOKUP(A215,Declarations!B$6:F$293,5,FALSE)))</f>
        <v/>
      </c>
      <c r="D215" s="69" t="str">
        <f>IF(ISNA(VLOOKUP(A215,Declarations!B$6:F$293,4,FALSE)),"",IF(VLOOKUP(A215,Declarations!B$6:F$293,4,FALSE)="","---",VLOOKUP(A215,Declarations!B$6:F$293,4,FALSE)))</f>
        <v/>
      </c>
      <c r="E215" s="284" t="s">
        <v>161</v>
      </c>
      <c r="F215" s="284" t="s">
        <v>161</v>
      </c>
      <c r="G215" s="284" t="s">
        <v>161</v>
      </c>
      <c r="H215" s="70"/>
    </row>
    <row r="216" spans="1:8" ht="20" customHeight="1">
      <c r="A216" s="68"/>
      <c r="B216" s="69" t="str">
        <f>IF(ISNA(VLOOKUP(A216,Declarations!B$6:C$293,2,FALSE)),"",IF(VLOOKUP(A216,Declarations!B$6:C$293,2,FALSE)="","---",VLOOKUP(A216,Declarations!B$6:C$293,2,FALSE)))</f>
        <v/>
      </c>
      <c r="C216" s="69" t="str">
        <f>IF(ISNA(VLOOKUP(A216,Declarations!B$6:F$293,5,FALSE)),"",IF(VLOOKUP(A216,Declarations!B$6:F$293,5,FALSE)="","---",VLOOKUP(A216,Declarations!B$6:F$293,5,FALSE)))</f>
        <v/>
      </c>
      <c r="D216" s="69" t="str">
        <f>IF(ISNA(VLOOKUP(A216,Declarations!B$6:F$293,4,FALSE)),"",IF(VLOOKUP(A216,Declarations!B$6:F$293,4,FALSE)="","---",VLOOKUP(A216,Declarations!B$6:F$293,4,FALSE)))</f>
        <v/>
      </c>
      <c r="E216" s="284" t="s">
        <v>161</v>
      </c>
      <c r="F216" s="284" t="s">
        <v>161</v>
      </c>
      <c r="G216" s="284" t="s">
        <v>161</v>
      </c>
      <c r="H216" s="70"/>
    </row>
    <row r="217" spans="1:8" ht="20" customHeight="1">
      <c r="A217" s="68"/>
      <c r="B217" s="69" t="str">
        <f>IF(ISNA(VLOOKUP(A217,Declarations!B$6:C$293,2,FALSE)),"",IF(VLOOKUP(A217,Declarations!B$6:C$293,2,FALSE)="","---",VLOOKUP(A217,Declarations!B$6:C$293,2,FALSE)))</f>
        <v/>
      </c>
      <c r="C217" s="69" t="str">
        <f>IF(ISNA(VLOOKUP(A217,Declarations!B$6:F$293,5,FALSE)),"",IF(VLOOKUP(A217,Declarations!B$6:F$293,5,FALSE)="","---",VLOOKUP(A217,Declarations!B$6:F$293,5,FALSE)))</f>
        <v/>
      </c>
      <c r="D217" s="69" t="str">
        <f>IF(ISNA(VLOOKUP(A217,Declarations!B$6:F$293,4,FALSE)),"",IF(VLOOKUP(A217,Declarations!B$6:F$293,4,FALSE)="","---",VLOOKUP(A217,Declarations!B$6:F$293,4,FALSE)))</f>
        <v/>
      </c>
      <c r="E217" s="284" t="s">
        <v>161</v>
      </c>
      <c r="F217" s="284" t="s">
        <v>161</v>
      </c>
      <c r="G217" s="284" t="s">
        <v>161</v>
      </c>
      <c r="H217" s="70"/>
    </row>
    <row r="218" spans="1:8" ht="20" customHeight="1">
      <c r="A218" s="68"/>
      <c r="B218" s="69" t="str">
        <f>IF(ISNA(VLOOKUP(A218,Declarations!B$6:C$293,2,FALSE)),"",IF(VLOOKUP(A218,Declarations!B$6:C$293,2,FALSE)="","---",VLOOKUP(A218,Declarations!B$6:C$293,2,FALSE)))</f>
        <v/>
      </c>
      <c r="C218" s="69" t="str">
        <f>IF(ISNA(VLOOKUP(A218,Declarations!B$6:F$293,5,FALSE)),"",IF(VLOOKUP(A218,Declarations!B$6:F$293,5,FALSE)="","---",VLOOKUP(A218,Declarations!B$6:F$293,5,FALSE)))</f>
        <v/>
      </c>
      <c r="D218" s="69" t="str">
        <f>IF(ISNA(VLOOKUP(A218,Declarations!B$6:F$293,4,FALSE)),"",IF(VLOOKUP(A218,Declarations!B$6:F$293,4,FALSE)="","---",VLOOKUP(A218,Declarations!B$6:F$293,4,FALSE)))</f>
        <v/>
      </c>
      <c r="E218" s="284" t="s">
        <v>161</v>
      </c>
      <c r="F218" s="284" t="s">
        <v>161</v>
      </c>
      <c r="G218" s="284" t="s">
        <v>161</v>
      </c>
      <c r="H218" s="70"/>
    </row>
    <row r="219" spans="1:8" ht="20" customHeight="1">
      <c r="A219" s="68"/>
      <c r="B219" s="69" t="str">
        <f>IF(ISNA(VLOOKUP(A219,Declarations!B$6:C$293,2,FALSE)),"",IF(VLOOKUP(A219,Declarations!B$6:C$293,2,FALSE)="","---",VLOOKUP(A219,Declarations!B$6:C$293,2,FALSE)))</f>
        <v/>
      </c>
      <c r="C219" s="69" t="str">
        <f>IF(ISNA(VLOOKUP(A219,Declarations!B$6:F$293,5,FALSE)),"",IF(VLOOKUP(A219,Declarations!B$6:F$293,5,FALSE)="","---",VLOOKUP(A219,Declarations!B$6:F$293,5,FALSE)))</f>
        <v/>
      </c>
      <c r="D219" s="69" t="str">
        <f>IF(ISNA(VLOOKUP(A219,Declarations!B$6:F$293,4,FALSE)),"",IF(VLOOKUP(A219,Declarations!B$6:F$293,4,FALSE)="","---",VLOOKUP(A219,Declarations!B$6:F$293,4,FALSE)))</f>
        <v/>
      </c>
      <c r="E219" s="284" t="s">
        <v>161</v>
      </c>
      <c r="F219" s="284" t="s">
        <v>161</v>
      </c>
      <c r="G219" s="284" t="s">
        <v>161</v>
      </c>
      <c r="H219" s="70"/>
    </row>
    <row r="220" spans="1:8" ht="20" customHeight="1">
      <c r="A220" s="68"/>
      <c r="B220" s="69" t="str">
        <f>IF(ISNA(VLOOKUP(A220,Declarations!B$6:C$293,2,FALSE)),"",IF(VLOOKUP(A220,Declarations!B$6:C$293,2,FALSE)="","---",VLOOKUP(A220,Declarations!B$6:C$293,2,FALSE)))</f>
        <v/>
      </c>
      <c r="C220" s="69" t="str">
        <f>IF(ISNA(VLOOKUP(A220,Declarations!B$6:F$293,5,FALSE)),"",IF(VLOOKUP(A220,Declarations!B$6:F$293,5,FALSE)="","---",VLOOKUP(A220,Declarations!B$6:F$293,5,FALSE)))</f>
        <v/>
      </c>
      <c r="D220" s="69" t="str">
        <f>IF(ISNA(VLOOKUP(A220,Declarations!B$6:F$293,4,FALSE)),"",IF(VLOOKUP(A220,Declarations!B$6:F$293,4,FALSE)="","---",VLOOKUP(A220,Declarations!B$6:F$293,4,FALSE)))</f>
        <v/>
      </c>
      <c r="E220" s="284" t="s">
        <v>161</v>
      </c>
      <c r="F220" s="284" t="s">
        <v>161</v>
      </c>
      <c r="G220" s="284" t="s">
        <v>161</v>
      </c>
      <c r="H220" s="70"/>
    </row>
    <row r="221" spans="1:8" ht="20" customHeight="1">
      <c r="A221" s="68"/>
      <c r="B221" s="69" t="str">
        <f>IF(ISNA(VLOOKUP(A221,Declarations!B$6:C$293,2,FALSE)),"",IF(VLOOKUP(A221,Declarations!B$6:C$293,2,FALSE)="","---",VLOOKUP(A221,Declarations!B$6:C$293,2,FALSE)))</f>
        <v/>
      </c>
      <c r="C221" s="69" t="str">
        <f>IF(ISNA(VLOOKUP(A221,Declarations!B$6:F$293,5,FALSE)),"",IF(VLOOKUP(A221,Declarations!B$6:F$293,5,FALSE)="","---",VLOOKUP(A221,Declarations!B$6:F$293,5,FALSE)))</f>
        <v/>
      </c>
      <c r="D221" s="69" t="str">
        <f>IF(ISNA(VLOOKUP(A221,Declarations!B$6:F$293,4,FALSE)),"",IF(VLOOKUP(A221,Declarations!B$6:F$293,4,FALSE)="","---",VLOOKUP(A221,Declarations!B$6:F$293,4,FALSE)))</f>
        <v/>
      </c>
      <c r="E221" s="284" t="s">
        <v>161</v>
      </c>
      <c r="F221" s="284" t="s">
        <v>161</v>
      </c>
      <c r="G221" s="284" t="s">
        <v>161</v>
      </c>
      <c r="H221" s="70"/>
    </row>
    <row r="222" spans="1:8" ht="20" customHeight="1">
      <c r="A222" s="68"/>
      <c r="B222" s="69" t="str">
        <f>IF(ISNA(VLOOKUP(A222,Declarations!B$6:C$293,2,FALSE)),"",IF(VLOOKUP(A222,Declarations!B$6:C$293,2,FALSE)="","---",VLOOKUP(A222,Declarations!B$6:C$293,2,FALSE)))</f>
        <v/>
      </c>
      <c r="C222" s="69" t="str">
        <f>IF(ISNA(VLOOKUP(A222,Declarations!B$6:F$293,5,FALSE)),"",IF(VLOOKUP(A222,Declarations!B$6:F$293,5,FALSE)="","---",VLOOKUP(A222,Declarations!B$6:F$293,5,FALSE)))</f>
        <v/>
      </c>
      <c r="D222" s="69" t="str">
        <f>IF(ISNA(VLOOKUP(A222,Declarations!B$6:F$293,4,FALSE)),"",IF(VLOOKUP(A222,Declarations!B$6:F$293,4,FALSE)="","---",VLOOKUP(A222,Declarations!B$6:F$293,4,FALSE)))</f>
        <v/>
      </c>
      <c r="E222" s="284" t="s">
        <v>161</v>
      </c>
      <c r="F222" s="284" t="s">
        <v>161</v>
      </c>
      <c r="G222" s="284" t="s">
        <v>161</v>
      </c>
      <c r="H222" s="70"/>
    </row>
    <row r="223" spans="1:8" ht="20" customHeight="1">
      <c r="A223" s="68"/>
      <c r="B223" s="69" t="str">
        <f>IF(ISNA(VLOOKUP(A223,Declarations!B$6:C$293,2,FALSE)),"",IF(VLOOKUP(A223,Declarations!B$6:C$293,2,FALSE)="","---",VLOOKUP(A223,Declarations!B$6:C$293,2,FALSE)))</f>
        <v/>
      </c>
      <c r="C223" s="69" t="str">
        <f>IF(ISNA(VLOOKUP(A223,Declarations!B$6:F$293,5,FALSE)),"",IF(VLOOKUP(A223,Declarations!B$6:F$293,5,FALSE)="","---",VLOOKUP(A223,Declarations!B$6:F$293,5,FALSE)))</f>
        <v/>
      </c>
      <c r="D223" s="69" t="str">
        <f>IF(ISNA(VLOOKUP(A223,Declarations!B$6:F$293,4,FALSE)),"",IF(VLOOKUP(A223,Declarations!B$6:F$293,4,FALSE)="","---",VLOOKUP(A223,Declarations!B$6:F$293,4,FALSE)))</f>
        <v/>
      </c>
      <c r="E223" s="284" t="s">
        <v>161</v>
      </c>
      <c r="F223" s="284" t="s">
        <v>161</v>
      </c>
      <c r="G223" s="284" t="s">
        <v>161</v>
      </c>
      <c r="H223" s="70"/>
    </row>
    <row r="224" spans="1:8" ht="20" customHeight="1">
      <c r="A224" s="68"/>
      <c r="B224" s="69" t="str">
        <f>IF(ISNA(VLOOKUP(A224,Declarations!B$6:C$293,2,FALSE)),"",IF(VLOOKUP(A224,Declarations!B$6:C$293,2,FALSE)="","---",VLOOKUP(A224,Declarations!B$6:C$293,2,FALSE)))</f>
        <v/>
      </c>
      <c r="C224" s="69" t="str">
        <f>IF(ISNA(VLOOKUP(A224,Declarations!B$6:F$293,5,FALSE)),"",IF(VLOOKUP(A224,Declarations!B$6:F$293,5,FALSE)="","---",VLOOKUP(A224,Declarations!B$6:F$293,5,FALSE)))</f>
        <v/>
      </c>
      <c r="D224" s="69" t="str">
        <f>IF(ISNA(VLOOKUP(A224,Declarations!B$6:F$293,4,FALSE)),"",IF(VLOOKUP(A224,Declarations!B$6:F$293,4,FALSE)="","---",VLOOKUP(A224,Declarations!B$6:F$293,4,FALSE)))</f>
        <v/>
      </c>
      <c r="E224" s="284" t="s">
        <v>161</v>
      </c>
      <c r="F224" s="284" t="s">
        <v>161</v>
      </c>
      <c r="G224" s="284" t="s">
        <v>161</v>
      </c>
      <c r="H224" s="70"/>
    </row>
    <row r="225" spans="1:8" ht="20" customHeight="1">
      <c r="A225" s="68"/>
      <c r="B225" s="69" t="str">
        <f>IF(ISNA(VLOOKUP(A225,Declarations!B$6:C$293,2,FALSE)),"",IF(VLOOKUP(A225,Declarations!B$6:C$293,2,FALSE)="","---",VLOOKUP(A225,Declarations!B$6:C$293,2,FALSE)))</f>
        <v/>
      </c>
      <c r="C225" s="69" t="str">
        <f>IF(ISNA(VLOOKUP(A225,Declarations!B$6:F$293,5,FALSE)),"",IF(VLOOKUP(A225,Declarations!B$6:F$293,5,FALSE)="","---",VLOOKUP(A225,Declarations!B$6:F$293,5,FALSE)))</f>
        <v/>
      </c>
      <c r="D225" s="69" t="str">
        <f>IF(ISNA(VLOOKUP(A225,Declarations!B$6:F$293,4,FALSE)),"",IF(VLOOKUP(A225,Declarations!B$6:F$293,4,FALSE)="","---",VLOOKUP(A225,Declarations!B$6:F$293,4,FALSE)))</f>
        <v/>
      </c>
      <c r="E225" s="284" t="s">
        <v>161</v>
      </c>
      <c r="F225" s="284" t="s">
        <v>161</v>
      </c>
      <c r="G225" s="284" t="s">
        <v>161</v>
      </c>
      <c r="H225" s="70"/>
    </row>
    <row r="226" spans="1:8" ht="20" customHeight="1">
      <c r="A226" s="68"/>
      <c r="B226" s="69" t="str">
        <f>IF(ISNA(VLOOKUP(A226,Declarations!B$6:C$293,2,FALSE)),"",IF(VLOOKUP(A226,Declarations!B$6:C$293,2,FALSE)="","---",VLOOKUP(A226,Declarations!B$6:C$293,2,FALSE)))</f>
        <v/>
      </c>
      <c r="C226" s="69" t="str">
        <f>IF(ISNA(VLOOKUP(A226,Declarations!B$6:F$293,5,FALSE)),"",IF(VLOOKUP(A226,Declarations!B$6:F$293,5,FALSE)="","---",VLOOKUP(A226,Declarations!B$6:F$293,5,FALSE)))</f>
        <v/>
      </c>
      <c r="D226" s="69" t="str">
        <f>IF(ISNA(VLOOKUP(A226,Declarations!B$6:F$293,4,FALSE)),"",IF(VLOOKUP(A226,Declarations!B$6:F$293,4,FALSE)="","---",VLOOKUP(A226,Declarations!B$6:F$293,4,FALSE)))</f>
        <v/>
      </c>
      <c r="E226" s="284" t="s">
        <v>161</v>
      </c>
      <c r="F226" s="284" t="s">
        <v>161</v>
      </c>
      <c r="G226" s="284" t="s">
        <v>161</v>
      </c>
      <c r="H226" s="70"/>
    </row>
    <row r="227" spans="1:8" ht="20" customHeight="1">
      <c r="A227" s="68"/>
      <c r="B227" s="69" t="str">
        <f>IF(ISNA(VLOOKUP(A227,Declarations!B$6:C$293,2,FALSE)),"",IF(VLOOKUP(A227,Declarations!B$6:C$293,2,FALSE)="","---",VLOOKUP(A227,Declarations!B$6:C$293,2,FALSE)))</f>
        <v/>
      </c>
      <c r="C227" s="69" t="str">
        <f>IF(ISNA(VLOOKUP(A227,Declarations!B$6:F$293,5,FALSE)),"",IF(VLOOKUP(A227,Declarations!B$6:F$293,5,FALSE)="","---",VLOOKUP(A227,Declarations!B$6:F$293,5,FALSE)))</f>
        <v/>
      </c>
      <c r="D227" s="69" t="str">
        <f>IF(ISNA(VLOOKUP(A227,Declarations!B$6:F$293,4,FALSE)),"",IF(VLOOKUP(A227,Declarations!B$6:F$293,4,FALSE)="","---",VLOOKUP(A227,Declarations!B$6:F$293,4,FALSE)))</f>
        <v/>
      </c>
      <c r="E227" s="284" t="s">
        <v>161</v>
      </c>
      <c r="F227" s="284" t="s">
        <v>161</v>
      </c>
      <c r="G227" s="284" t="s">
        <v>161</v>
      </c>
      <c r="H227" s="70"/>
    </row>
    <row r="228" spans="1:8" ht="20" customHeight="1">
      <c r="A228" s="68"/>
      <c r="B228" s="69" t="str">
        <f>IF(ISNA(VLOOKUP(A228,Declarations!B$6:C$293,2,FALSE)),"",IF(VLOOKUP(A228,Declarations!B$6:C$293,2,FALSE)="","---",VLOOKUP(A228,Declarations!B$6:C$293,2,FALSE)))</f>
        <v/>
      </c>
      <c r="C228" s="69" t="str">
        <f>IF(ISNA(VLOOKUP(A228,Declarations!B$6:F$293,5,FALSE)),"",IF(VLOOKUP(A228,Declarations!B$6:F$293,5,FALSE)="","---",VLOOKUP(A228,Declarations!B$6:F$293,5,FALSE)))</f>
        <v/>
      </c>
      <c r="D228" s="69" t="str">
        <f>IF(ISNA(VLOOKUP(A228,Declarations!B$6:F$293,4,FALSE)),"",IF(VLOOKUP(A228,Declarations!B$6:F$293,4,FALSE)="","---",VLOOKUP(A228,Declarations!B$6:F$293,4,FALSE)))</f>
        <v/>
      </c>
      <c r="E228" s="284" t="s">
        <v>161</v>
      </c>
      <c r="F228" s="284" t="s">
        <v>161</v>
      </c>
      <c r="G228" s="284" t="s">
        <v>161</v>
      </c>
      <c r="H228" s="70"/>
    </row>
    <row r="229" spans="1:8" ht="20" customHeight="1">
      <c r="A229" s="68"/>
      <c r="B229" s="69" t="str">
        <f>IF(ISNA(VLOOKUP(A229,Declarations!B$6:C$293,2,FALSE)),"",IF(VLOOKUP(A229,Declarations!B$6:C$293,2,FALSE)="","---",VLOOKUP(A229,Declarations!B$6:C$293,2,FALSE)))</f>
        <v/>
      </c>
      <c r="C229" s="69" t="str">
        <f>IF(ISNA(VLOOKUP(A229,Declarations!B$6:F$293,5,FALSE)),"",IF(VLOOKUP(A229,Declarations!B$6:F$293,5,FALSE)="","---",VLOOKUP(A229,Declarations!B$6:F$293,5,FALSE)))</f>
        <v/>
      </c>
      <c r="D229" s="69" t="str">
        <f>IF(ISNA(VLOOKUP(A229,Declarations!B$6:F$293,4,FALSE)),"",IF(VLOOKUP(A229,Declarations!B$6:F$293,4,FALSE)="","---",VLOOKUP(A229,Declarations!B$6:F$293,4,FALSE)))</f>
        <v/>
      </c>
      <c r="E229" s="284" t="s">
        <v>161</v>
      </c>
      <c r="F229" s="284" t="s">
        <v>161</v>
      </c>
      <c r="G229" s="284" t="s">
        <v>161</v>
      </c>
      <c r="H229" s="70"/>
    </row>
    <row r="230" spans="1:8" ht="20" customHeight="1">
      <c r="A230" s="68"/>
      <c r="B230" s="69" t="str">
        <f>IF(ISNA(VLOOKUP(A230,Declarations!B$6:C$293,2,FALSE)),"",IF(VLOOKUP(A230,Declarations!B$6:C$293,2,FALSE)="","---",VLOOKUP(A230,Declarations!B$6:C$293,2,FALSE)))</f>
        <v/>
      </c>
      <c r="C230" s="69" t="str">
        <f>IF(ISNA(VLOOKUP(A230,Declarations!B$6:F$293,5,FALSE)),"",IF(VLOOKUP(A230,Declarations!B$6:F$293,5,FALSE)="","---",VLOOKUP(A230,Declarations!B$6:F$293,5,FALSE)))</f>
        <v/>
      </c>
      <c r="D230" s="69" t="str">
        <f>IF(ISNA(VLOOKUP(A230,Declarations!B$6:F$293,4,FALSE)),"",IF(VLOOKUP(A230,Declarations!B$6:F$293,4,FALSE)="","---",VLOOKUP(A230,Declarations!B$6:F$293,4,FALSE)))</f>
        <v/>
      </c>
      <c r="E230" s="284" t="s">
        <v>161</v>
      </c>
      <c r="F230" s="284" t="s">
        <v>161</v>
      </c>
      <c r="G230" s="284" t="s">
        <v>161</v>
      </c>
      <c r="H230" s="70"/>
    </row>
    <row r="231" spans="1:8" ht="20" customHeight="1">
      <c r="A231" s="68"/>
      <c r="B231" s="69" t="str">
        <f>IF(ISNA(VLOOKUP(A231,Declarations!B$6:C$293,2,FALSE)),"",IF(VLOOKUP(A231,Declarations!B$6:C$293,2,FALSE)="","---",VLOOKUP(A231,Declarations!B$6:C$293,2,FALSE)))</f>
        <v/>
      </c>
      <c r="C231" s="69" t="str">
        <f>IF(ISNA(VLOOKUP(A231,Declarations!B$6:F$293,5,FALSE)),"",IF(VLOOKUP(A231,Declarations!B$6:F$293,5,FALSE)="","---",VLOOKUP(A231,Declarations!B$6:F$293,5,FALSE)))</f>
        <v/>
      </c>
      <c r="D231" s="69" t="str">
        <f>IF(ISNA(VLOOKUP(A231,Declarations!B$6:F$293,4,FALSE)),"",IF(VLOOKUP(A231,Declarations!B$6:F$293,4,FALSE)="","---",VLOOKUP(A231,Declarations!B$6:F$293,4,FALSE)))</f>
        <v/>
      </c>
      <c r="E231" s="284" t="s">
        <v>161</v>
      </c>
      <c r="F231" s="284" t="s">
        <v>161</v>
      </c>
      <c r="G231" s="284" t="s">
        <v>161</v>
      </c>
      <c r="H231" s="70"/>
    </row>
    <row r="232" spans="1:8" ht="20" customHeight="1">
      <c r="A232" s="68"/>
      <c r="B232" s="69" t="str">
        <f>IF(ISNA(VLOOKUP(A232,Declarations!B$6:C$293,2,FALSE)),"",IF(VLOOKUP(A232,Declarations!B$6:C$293,2,FALSE)="","---",VLOOKUP(A232,Declarations!B$6:C$293,2,FALSE)))</f>
        <v/>
      </c>
      <c r="C232" s="69" t="str">
        <f>IF(ISNA(VLOOKUP(A232,Declarations!B$6:F$293,5,FALSE)),"",IF(VLOOKUP(A232,Declarations!B$6:F$293,5,FALSE)="","---",VLOOKUP(A232,Declarations!B$6:F$293,5,FALSE)))</f>
        <v/>
      </c>
      <c r="D232" s="69" t="str">
        <f>IF(ISNA(VLOOKUP(A232,Declarations!B$6:F$293,4,FALSE)),"",IF(VLOOKUP(A232,Declarations!B$6:F$293,4,FALSE)="","---",VLOOKUP(A232,Declarations!B$6:F$293,4,FALSE)))</f>
        <v/>
      </c>
      <c r="E232" s="284" t="s">
        <v>161</v>
      </c>
      <c r="F232" s="284" t="s">
        <v>161</v>
      </c>
      <c r="G232" s="284" t="s">
        <v>161</v>
      </c>
      <c r="H232" s="70"/>
    </row>
    <row r="233" spans="1:8" ht="20" customHeight="1">
      <c r="A233" s="68"/>
      <c r="B233" s="69" t="str">
        <f>IF(ISNA(VLOOKUP(A233,Declarations!B$6:C$293,2,FALSE)),"",IF(VLOOKUP(A233,Declarations!B$6:C$293,2,FALSE)="","---",VLOOKUP(A233,Declarations!B$6:C$293,2,FALSE)))</f>
        <v/>
      </c>
      <c r="C233" s="69" t="str">
        <f>IF(ISNA(VLOOKUP(A233,Declarations!B$6:F$293,5,FALSE)),"",IF(VLOOKUP(A233,Declarations!B$6:F$293,5,FALSE)="","---",VLOOKUP(A233,Declarations!B$6:F$293,5,FALSE)))</f>
        <v/>
      </c>
      <c r="D233" s="69" t="str">
        <f>IF(ISNA(VLOOKUP(A233,Declarations!B$6:F$293,4,FALSE)),"",IF(VLOOKUP(A233,Declarations!B$6:F$293,4,FALSE)="","---",VLOOKUP(A233,Declarations!B$6:F$293,4,FALSE)))</f>
        <v/>
      </c>
      <c r="E233" s="284" t="s">
        <v>161</v>
      </c>
      <c r="F233" s="284" t="s">
        <v>161</v>
      </c>
      <c r="G233" s="284" t="s">
        <v>161</v>
      </c>
      <c r="H233" s="70"/>
    </row>
    <row r="234" spans="1:8" ht="20" customHeight="1">
      <c r="A234" s="68"/>
      <c r="B234" s="69" t="str">
        <f>IF(ISNA(VLOOKUP(A234,Declarations!B$6:C$293,2,FALSE)),"",IF(VLOOKUP(A234,Declarations!B$6:C$293,2,FALSE)="","---",VLOOKUP(A234,Declarations!B$6:C$293,2,FALSE)))</f>
        <v/>
      </c>
      <c r="C234" s="69" t="str">
        <f>IF(ISNA(VLOOKUP(A234,Declarations!B$6:F$293,5,FALSE)),"",IF(VLOOKUP(A234,Declarations!B$6:F$293,5,FALSE)="","---",VLOOKUP(A234,Declarations!B$6:F$293,5,FALSE)))</f>
        <v/>
      </c>
      <c r="D234" s="69" t="str">
        <f>IF(ISNA(VLOOKUP(A234,Declarations!B$6:F$293,4,FALSE)),"",IF(VLOOKUP(A234,Declarations!B$6:F$293,4,FALSE)="","---",VLOOKUP(A234,Declarations!B$6:F$293,4,FALSE)))</f>
        <v/>
      </c>
      <c r="E234" s="284" t="s">
        <v>161</v>
      </c>
      <c r="F234" s="284" t="s">
        <v>161</v>
      </c>
      <c r="G234" s="284" t="s">
        <v>161</v>
      </c>
      <c r="H234" s="70"/>
    </row>
    <row r="235" spans="1:8">
      <c r="A235" s="71"/>
      <c r="B235" s="72"/>
      <c r="C235" s="72"/>
      <c r="D235" s="72"/>
      <c r="E235" s="73"/>
      <c r="F235" s="73"/>
      <c r="G235" s="73"/>
      <c r="H235" s="73"/>
    </row>
    <row r="236" spans="1:8">
      <c r="A236" s="71"/>
      <c r="B236" s="510" t="s">
        <v>92</v>
      </c>
      <c r="C236" s="511"/>
      <c r="D236" s="72"/>
      <c r="E236" s="509" t="s">
        <v>93</v>
      </c>
      <c r="F236" s="509"/>
      <c r="G236" s="501" t="s">
        <v>43</v>
      </c>
      <c r="H236" s="501"/>
    </row>
    <row r="237" spans="1:8" ht="16" customHeight="1">
      <c r="A237" s="71"/>
      <c r="B237" s="512"/>
      <c r="C237" s="513"/>
      <c r="D237" s="72"/>
      <c r="E237" s="501"/>
      <c r="F237" s="501"/>
      <c r="G237" s="501"/>
      <c r="H237" s="501"/>
    </row>
    <row r="238" spans="1:8">
      <c r="A238" s="71"/>
      <c r="B238" s="512"/>
      <c r="C238" s="513"/>
      <c r="D238" s="72"/>
      <c r="E238" s="501"/>
      <c r="F238" s="501"/>
      <c r="G238" s="501"/>
      <c r="H238" s="501"/>
    </row>
    <row r="239" spans="1:8">
      <c r="A239" s="71"/>
      <c r="B239" s="514"/>
      <c r="C239" s="515"/>
      <c r="D239" s="72"/>
      <c r="E239" s="501"/>
      <c r="F239" s="501"/>
      <c r="G239" s="501"/>
      <c r="H239" s="501"/>
    </row>
    <row r="240" spans="1:8" ht="8" customHeight="1">
      <c r="A240" s="71"/>
      <c r="B240" s="72"/>
      <c r="C240" s="72"/>
      <c r="D240" s="72"/>
      <c r="E240" s="97"/>
      <c r="F240" s="97"/>
      <c r="G240" s="97"/>
      <c r="H240" s="97"/>
    </row>
    <row r="241" spans="1:8" ht="20">
      <c r="A241" s="502" t="str">
        <f>'Read Me First'!A1:F1</f>
        <v>Oxfordshire Track and Field League 2026</v>
      </c>
      <c r="B241" s="503"/>
      <c r="C241" s="503"/>
      <c r="D241" s="503"/>
      <c r="E241" s="503"/>
      <c r="F241" s="503"/>
      <c r="G241" s="503"/>
      <c r="H241" s="504"/>
    </row>
    <row r="242" spans="1:8" ht="18">
      <c r="A242" s="61" t="s">
        <v>12</v>
      </c>
      <c r="B242" s="62">
        <f>'Read Me First'!$C$10</f>
        <v>46250</v>
      </c>
      <c r="C242" s="63">
        <v>0.5625</v>
      </c>
      <c r="D242" s="61" t="s">
        <v>13</v>
      </c>
      <c r="E242" s="505" t="str">
        <f>$E$2</f>
        <v>Banbury</v>
      </c>
      <c r="F242" s="506"/>
      <c r="G242" s="506"/>
      <c r="H242" s="507"/>
    </row>
    <row r="243" spans="1:8" ht="18">
      <c r="A243" s="508" t="s">
        <v>47</v>
      </c>
      <c r="B243" s="508"/>
      <c r="C243" s="508"/>
      <c r="D243" s="508"/>
      <c r="E243" s="60">
        <v>1</v>
      </c>
      <c r="F243" s="60">
        <v>2</v>
      </c>
      <c r="G243" s="60">
        <v>3</v>
      </c>
      <c r="H243" s="60" t="s">
        <v>42</v>
      </c>
    </row>
    <row r="244" spans="1:8" ht="18">
      <c r="A244" s="66"/>
      <c r="B244" s="66"/>
      <c r="C244" s="66"/>
      <c r="D244" s="66"/>
      <c r="E244" s="67"/>
      <c r="F244" s="67"/>
      <c r="G244" s="67"/>
      <c r="H244" s="67"/>
    </row>
    <row r="245" spans="1:8" ht="20" customHeight="1">
      <c r="A245" s="68" t="str" cm="1">
        <f t="array" ref="A245">IFERROR(_xlfn.TEXTSPLIT(IFERROR(_xlfn.TEXTJOIN(",",TRUE,_xlfn._xlws.FILTER(BlockAllocations!$F$3:$F$20,BlockAllocations!$E$3:$E$20=BlockAllocations!$G$12)),""),,",")+0,"!")</f>
        <v>!</v>
      </c>
      <c r="B245" s="69" t="str">
        <f>IF(ISNA(VLOOKUP(A245,Declarations!B$6:C$293,2,FALSE)),"",IF(VLOOKUP(A245,Declarations!B$6:C$293,2,FALSE)="","---",VLOOKUP(A245,Declarations!B$6:C$293,2,FALSE)))</f>
        <v/>
      </c>
      <c r="C245" s="69" t="str">
        <f>IF(ISNA(VLOOKUP(A245,Declarations!B$6:F$293,5,FALSE)),"",IF(VLOOKUP(A245,Declarations!B$6:F$293,5,FALSE)="","---",VLOOKUP(A245,Declarations!B$6:F$293,5,FALSE)))</f>
        <v/>
      </c>
      <c r="D245" s="69" t="str">
        <f>IF(ISNA(VLOOKUP(A245,Declarations!B$6:F$293,4,FALSE)),"",IF(VLOOKUP(A245,Declarations!B$6:F$293,4,FALSE)="","---",VLOOKUP(A245,Declarations!B$6:F$293,4,FALSE)))</f>
        <v/>
      </c>
      <c r="E245" s="284" t="s">
        <v>161</v>
      </c>
      <c r="F245" s="284" t="s">
        <v>161</v>
      </c>
      <c r="G245" s="284" t="s">
        <v>161</v>
      </c>
      <c r="H245" s="70"/>
    </row>
    <row r="246" spans="1:8" ht="20" customHeight="1">
      <c r="A246" s="68"/>
      <c r="B246" s="69" t="str">
        <f>IF(ISNA(VLOOKUP(A246,Declarations!B$6:C$293,2,FALSE)),"",IF(VLOOKUP(A246,Declarations!B$6:C$293,2,FALSE)="","---",VLOOKUP(A246,Declarations!B$6:C$293,2,FALSE)))</f>
        <v/>
      </c>
      <c r="C246" s="69" t="str">
        <f>IF(ISNA(VLOOKUP(A246,Declarations!B$6:F$293,5,FALSE)),"",IF(VLOOKUP(A246,Declarations!B$6:F$293,5,FALSE)="","---",VLOOKUP(A246,Declarations!B$6:F$293,5,FALSE)))</f>
        <v/>
      </c>
      <c r="D246" s="69" t="str">
        <f>IF(ISNA(VLOOKUP(A246,Declarations!B$6:F$293,4,FALSE)),"",IF(VLOOKUP(A246,Declarations!B$6:F$293,4,FALSE)="","---",VLOOKUP(A246,Declarations!B$6:F$293,4,FALSE)))</f>
        <v/>
      </c>
      <c r="E246" s="284" t="s">
        <v>161</v>
      </c>
      <c r="F246" s="284" t="s">
        <v>161</v>
      </c>
      <c r="G246" s="284" t="s">
        <v>161</v>
      </c>
      <c r="H246" s="70"/>
    </row>
    <row r="247" spans="1:8" ht="20" customHeight="1">
      <c r="A247" s="68"/>
      <c r="B247" s="69" t="str">
        <f>IF(ISNA(VLOOKUP(A247,Declarations!B$6:C$293,2,FALSE)),"",IF(VLOOKUP(A247,Declarations!B$6:C$293,2,FALSE)="","---",VLOOKUP(A247,Declarations!B$6:C$293,2,FALSE)))</f>
        <v/>
      </c>
      <c r="C247" s="69" t="str">
        <f>IF(ISNA(VLOOKUP(A247,Declarations!B$6:F$293,5,FALSE)),"",IF(VLOOKUP(A247,Declarations!B$6:F$293,5,FALSE)="","---",VLOOKUP(A247,Declarations!B$6:F$293,5,FALSE)))</f>
        <v/>
      </c>
      <c r="D247" s="69" t="str">
        <f>IF(ISNA(VLOOKUP(A247,Declarations!B$6:F$293,4,FALSE)),"",IF(VLOOKUP(A247,Declarations!B$6:F$293,4,FALSE)="","---",VLOOKUP(A247,Declarations!B$6:F$293,4,FALSE)))</f>
        <v/>
      </c>
      <c r="E247" s="284" t="s">
        <v>161</v>
      </c>
      <c r="F247" s="284" t="s">
        <v>161</v>
      </c>
      <c r="G247" s="284" t="s">
        <v>161</v>
      </c>
      <c r="H247" s="70"/>
    </row>
    <row r="248" spans="1:8" ht="20" customHeight="1">
      <c r="A248" s="68"/>
      <c r="B248" s="69" t="str">
        <f>IF(ISNA(VLOOKUP(A248,Declarations!B$6:C$293,2,FALSE)),"",IF(VLOOKUP(A248,Declarations!B$6:C$293,2,FALSE)="","---",VLOOKUP(A248,Declarations!B$6:C$293,2,FALSE)))</f>
        <v/>
      </c>
      <c r="C248" s="69" t="str">
        <f>IF(ISNA(VLOOKUP(A248,Declarations!B$6:F$293,5,FALSE)),"",IF(VLOOKUP(A248,Declarations!B$6:F$293,5,FALSE)="","---",VLOOKUP(A248,Declarations!B$6:F$293,5,FALSE)))</f>
        <v/>
      </c>
      <c r="D248" s="69" t="str">
        <f>IF(ISNA(VLOOKUP(A248,Declarations!B$6:F$293,4,FALSE)),"",IF(VLOOKUP(A248,Declarations!B$6:F$293,4,FALSE)="","---",VLOOKUP(A248,Declarations!B$6:F$293,4,FALSE)))</f>
        <v/>
      </c>
      <c r="E248" s="284" t="s">
        <v>161</v>
      </c>
      <c r="F248" s="284" t="s">
        <v>161</v>
      </c>
      <c r="G248" s="284" t="s">
        <v>161</v>
      </c>
      <c r="H248" s="70"/>
    </row>
    <row r="249" spans="1:8" ht="20" customHeight="1">
      <c r="A249" s="68"/>
      <c r="B249" s="69" t="str">
        <f>IF(ISNA(VLOOKUP(A249,Declarations!B$6:C$293,2,FALSE)),"",IF(VLOOKUP(A249,Declarations!B$6:C$293,2,FALSE)="","---",VLOOKUP(A249,Declarations!B$6:C$293,2,FALSE)))</f>
        <v/>
      </c>
      <c r="C249" s="69" t="str">
        <f>IF(ISNA(VLOOKUP(A249,Declarations!B$6:F$293,5,FALSE)),"",IF(VLOOKUP(A249,Declarations!B$6:F$293,5,FALSE)="","---",VLOOKUP(A249,Declarations!B$6:F$293,5,FALSE)))</f>
        <v/>
      </c>
      <c r="D249" s="69" t="str">
        <f>IF(ISNA(VLOOKUP(A249,Declarations!B$6:F$293,4,FALSE)),"",IF(VLOOKUP(A249,Declarations!B$6:F$293,4,FALSE)="","---",VLOOKUP(A249,Declarations!B$6:F$293,4,FALSE)))</f>
        <v/>
      </c>
      <c r="E249" s="284" t="s">
        <v>161</v>
      </c>
      <c r="F249" s="284" t="s">
        <v>161</v>
      </c>
      <c r="G249" s="284" t="s">
        <v>161</v>
      </c>
      <c r="H249" s="70"/>
    </row>
    <row r="250" spans="1:8" ht="20" customHeight="1">
      <c r="A250" s="68"/>
      <c r="B250" s="69" t="str">
        <f>IF(ISNA(VLOOKUP(A250,Declarations!B$6:C$293,2,FALSE)),"",IF(VLOOKUP(A250,Declarations!B$6:C$293,2,FALSE)="","---",VLOOKUP(A250,Declarations!B$6:C$293,2,FALSE)))</f>
        <v/>
      </c>
      <c r="C250" s="69" t="str">
        <f>IF(ISNA(VLOOKUP(A250,Declarations!B$6:F$293,5,FALSE)),"",IF(VLOOKUP(A250,Declarations!B$6:F$293,5,FALSE)="","---",VLOOKUP(A250,Declarations!B$6:F$293,5,FALSE)))</f>
        <v/>
      </c>
      <c r="D250" s="69" t="str">
        <f>IF(ISNA(VLOOKUP(A250,Declarations!B$6:F$293,4,FALSE)),"",IF(VLOOKUP(A250,Declarations!B$6:F$293,4,FALSE)="","---",VLOOKUP(A250,Declarations!B$6:F$293,4,FALSE)))</f>
        <v/>
      </c>
      <c r="E250" s="284" t="s">
        <v>161</v>
      </c>
      <c r="F250" s="284" t="s">
        <v>161</v>
      </c>
      <c r="G250" s="284" t="s">
        <v>161</v>
      </c>
      <c r="H250" s="70"/>
    </row>
    <row r="251" spans="1:8" ht="20" customHeight="1">
      <c r="A251" s="68"/>
      <c r="B251" s="69" t="str">
        <f>IF(ISNA(VLOOKUP(A251,Declarations!B$6:C$293,2,FALSE)),"",IF(VLOOKUP(A251,Declarations!B$6:C$293,2,FALSE)="","---",VLOOKUP(A251,Declarations!B$6:C$293,2,FALSE)))</f>
        <v/>
      </c>
      <c r="C251" s="69" t="str">
        <f>IF(ISNA(VLOOKUP(A251,Declarations!B$6:F$293,5,FALSE)),"",IF(VLOOKUP(A251,Declarations!B$6:F$293,5,FALSE)="","---",VLOOKUP(A251,Declarations!B$6:F$293,5,FALSE)))</f>
        <v/>
      </c>
      <c r="D251" s="69" t="str">
        <f>IF(ISNA(VLOOKUP(A251,Declarations!B$6:F$293,4,FALSE)),"",IF(VLOOKUP(A251,Declarations!B$6:F$293,4,FALSE)="","---",VLOOKUP(A251,Declarations!B$6:F$293,4,FALSE)))</f>
        <v/>
      </c>
      <c r="E251" s="284" t="s">
        <v>161</v>
      </c>
      <c r="F251" s="284" t="s">
        <v>161</v>
      </c>
      <c r="G251" s="284" t="s">
        <v>161</v>
      </c>
      <c r="H251" s="70"/>
    </row>
    <row r="252" spans="1:8" ht="20" customHeight="1">
      <c r="A252" s="68"/>
      <c r="B252" s="69" t="str">
        <f>IF(ISNA(VLOOKUP(A252,Declarations!B$6:C$293,2,FALSE)),"",IF(VLOOKUP(A252,Declarations!B$6:C$293,2,FALSE)="","---",VLOOKUP(A252,Declarations!B$6:C$293,2,FALSE)))</f>
        <v/>
      </c>
      <c r="C252" s="69" t="str">
        <f>IF(ISNA(VLOOKUP(A252,Declarations!B$6:F$293,5,FALSE)),"",IF(VLOOKUP(A252,Declarations!B$6:F$293,5,FALSE)="","---",VLOOKUP(A252,Declarations!B$6:F$293,5,FALSE)))</f>
        <v/>
      </c>
      <c r="D252" s="69" t="str">
        <f>IF(ISNA(VLOOKUP(A252,Declarations!B$6:F$293,4,FALSE)),"",IF(VLOOKUP(A252,Declarations!B$6:F$293,4,FALSE)="","---",VLOOKUP(A252,Declarations!B$6:F$293,4,FALSE)))</f>
        <v/>
      </c>
      <c r="E252" s="284" t="s">
        <v>161</v>
      </c>
      <c r="F252" s="284" t="s">
        <v>161</v>
      </c>
      <c r="G252" s="284" t="s">
        <v>161</v>
      </c>
      <c r="H252" s="70"/>
    </row>
    <row r="253" spans="1:8" ht="20" customHeight="1">
      <c r="A253" s="68"/>
      <c r="B253" s="69" t="str">
        <f>IF(ISNA(VLOOKUP(A253,Declarations!B$6:C$293,2,FALSE)),"",IF(VLOOKUP(A253,Declarations!B$6:C$293,2,FALSE)="","---",VLOOKUP(A253,Declarations!B$6:C$293,2,FALSE)))</f>
        <v/>
      </c>
      <c r="C253" s="69" t="str">
        <f>IF(ISNA(VLOOKUP(A253,Declarations!B$6:F$293,5,FALSE)),"",IF(VLOOKUP(A253,Declarations!B$6:F$293,5,FALSE)="","---",VLOOKUP(A253,Declarations!B$6:F$293,5,FALSE)))</f>
        <v/>
      </c>
      <c r="D253" s="69" t="str">
        <f>IF(ISNA(VLOOKUP(A253,Declarations!B$6:F$293,4,FALSE)),"",IF(VLOOKUP(A253,Declarations!B$6:F$293,4,FALSE)="","---",VLOOKUP(A253,Declarations!B$6:F$293,4,FALSE)))</f>
        <v/>
      </c>
      <c r="E253" s="284" t="s">
        <v>161</v>
      </c>
      <c r="F253" s="284" t="s">
        <v>161</v>
      </c>
      <c r="G253" s="284" t="s">
        <v>161</v>
      </c>
      <c r="H253" s="70"/>
    </row>
    <row r="254" spans="1:8" ht="20" customHeight="1">
      <c r="A254" s="68"/>
      <c r="B254" s="69" t="str">
        <f>IF(ISNA(VLOOKUP(A254,Declarations!B$6:C$293,2,FALSE)),"",IF(VLOOKUP(A254,Declarations!B$6:C$293,2,FALSE)="","---",VLOOKUP(A254,Declarations!B$6:C$293,2,FALSE)))</f>
        <v/>
      </c>
      <c r="C254" s="69" t="str">
        <f>IF(ISNA(VLOOKUP(A254,Declarations!B$6:F$293,5,FALSE)),"",IF(VLOOKUP(A254,Declarations!B$6:F$293,5,FALSE)="","---",VLOOKUP(A254,Declarations!B$6:F$293,5,FALSE)))</f>
        <v/>
      </c>
      <c r="D254" s="69" t="str">
        <f>IF(ISNA(VLOOKUP(A254,Declarations!B$6:F$293,4,FALSE)),"",IF(VLOOKUP(A254,Declarations!B$6:F$293,4,FALSE)="","---",VLOOKUP(A254,Declarations!B$6:F$293,4,FALSE)))</f>
        <v/>
      </c>
      <c r="E254" s="284" t="s">
        <v>161</v>
      </c>
      <c r="F254" s="284" t="s">
        <v>161</v>
      </c>
      <c r="G254" s="284" t="s">
        <v>161</v>
      </c>
      <c r="H254" s="70"/>
    </row>
    <row r="255" spans="1:8" ht="20" customHeight="1">
      <c r="A255" s="68"/>
      <c r="B255" s="69" t="str">
        <f>IF(ISNA(VLOOKUP(A255,Declarations!B$6:C$293,2,FALSE)),"",IF(VLOOKUP(A255,Declarations!B$6:C$293,2,FALSE)="","---",VLOOKUP(A255,Declarations!B$6:C$293,2,FALSE)))</f>
        <v/>
      </c>
      <c r="C255" s="69" t="str">
        <f>IF(ISNA(VLOOKUP(A255,Declarations!B$6:F$293,5,FALSE)),"",IF(VLOOKUP(A255,Declarations!B$6:F$293,5,FALSE)="","---",VLOOKUP(A255,Declarations!B$6:F$293,5,FALSE)))</f>
        <v/>
      </c>
      <c r="D255" s="69" t="str">
        <f>IF(ISNA(VLOOKUP(A255,Declarations!B$6:F$293,4,FALSE)),"",IF(VLOOKUP(A255,Declarations!B$6:F$293,4,FALSE)="","---",VLOOKUP(A255,Declarations!B$6:F$293,4,FALSE)))</f>
        <v/>
      </c>
      <c r="E255" s="284" t="s">
        <v>161</v>
      </c>
      <c r="F255" s="284" t="s">
        <v>161</v>
      </c>
      <c r="G255" s="284" t="s">
        <v>161</v>
      </c>
      <c r="H255" s="70"/>
    </row>
    <row r="256" spans="1:8" ht="20" customHeight="1">
      <c r="A256" s="68"/>
      <c r="B256" s="69" t="str">
        <f>IF(ISNA(VLOOKUP(A256,Declarations!B$6:C$293,2,FALSE)),"",IF(VLOOKUP(A256,Declarations!B$6:C$293,2,FALSE)="","---",VLOOKUP(A256,Declarations!B$6:C$293,2,FALSE)))</f>
        <v/>
      </c>
      <c r="C256" s="69" t="str">
        <f>IF(ISNA(VLOOKUP(A256,Declarations!B$6:F$293,5,FALSE)),"",IF(VLOOKUP(A256,Declarations!B$6:F$293,5,FALSE)="","---",VLOOKUP(A256,Declarations!B$6:F$293,5,FALSE)))</f>
        <v/>
      </c>
      <c r="D256" s="69" t="str">
        <f>IF(ISNA(VLOOKUP(A256,Declarations!B$6:F$293,4,FALSE)),"",IF(VLOOKUP(A256,Declarations!B$6:F$293,4,FALSE)="","---",VLOOKUP(A256,Declarations!B$6:F$293,4,FALSE)))</f>
        <v/>
      </c>
      <c r="E256" s="284" t="s">
        <v>161</v>
      </c>
      <c r="F256" s="284" t="s">
        <v>161</v>
      </c>
      <c r="G256" s="284" t="s">
        <v>161</v>
      </c>
      <c r="H256" s="70"/>
    </row>
    <row r="257" spans="1:8" ht="20" customHeight="1">
      <c r="A257" s="68"/>
      <c r="B257" s="69" t="str">
        <f>IF(ISNA(VLOOKUP(A257,Declarations!B$6:C$293,2,FALSE)),"",IF(VLOOKUP(A257,Declarations!B$6:C$293,2,FALSE)="","---",VLOOKUP(A257,Declarations!B$6:C$293,2,FALSE)))</f>
        <v/>
      </c>
      <c r="C257" s="69" t="str">
        <f>IF(ISNA(VLOOKUP(A257,Declarations!B$6:F$293,5,FALSE)),"",IF(VLOOKUP(A257,Declarations!B$6:F$293,5,FALSE)="","---",VLOOKUP(A257,Declarations!B$6:F$293,5,FALSE)))</f>
        <v/>
      </c>
      <c r="D257" s="69" t="str">
        <f>IF(ISNA(VLOOKUP(A257,Declarations!B$6:F$293,4,FALSE)),"",IF(VLOOKUP(A257,Declarations!B$6:F$293,4,FALSE)="","---",VLOOKUP(A257,Declarations!B$6:F$293,4,FALSE)))</f>
        <v/>
      </c>
      <c r="E257" s="284" t="s">
        <v>161</v>
      </c>
      <c r="F257" s="284" t="s">
        <v>161</v>
      </c>
      <c r="G257" s="284" t="s">
        <v>161</v>
      </c>
      <c r="H257" s="70"/>
    </row>
    <row r="258" spans="1:8" ht="20" customHeight="1">
      <c r="A258" s="68"/>
      <c r="B258" s="69" t="str">
        <f>IF(ISNA(VLOOKUP(A258,Declarations!B$6:C$293,2,FALSE)),"",IF(VLOOKUP(A258,Declarations!B$6:C$293,2,FALSE)="","---",VLOOKUP(A258,Declarations!B$6:C$293,2,FALSE)))</f>
        <v/>
      </c>
      <c r="C258" s="69" t="str">
        <f>IF(ISNA(VLOOKUP(A258,Declarations!B$6:F$293,5,FALSE)),"",IF(VLOOKUP(A258,Declarations!B$6:F$293,5,FALSE)="","---",VLOOKUP(A258,Declarations!B$6:F$293,5,FALSE)))</f>
        <v/>
      </c>
      <c r="D258" s="69" t="str">
        <f>IF(ISNA(VLOOKUP(A258,Declarations!B$6:F$293,4,FALSE)),"",IF(VLOOKUP(A258,Declarations!B$6:F$293,4,FALSE)="","---",VLOOKUP(A258,Declarations!B$6:F$293,4,FALSE)))</f>
        <v/>
      </c>
      <c r="E258" s="284" t="s">
        <v>161</v>
      </c>
      <c r="F258" s="284" t="s">
        <v>161</v>
      </c>
      <c r="G258" s="284" t="s">
        <v>161</v>
      </c>
      <c r="H258" s="70"/>
    </row>
    <row r="259" spans="1:8" ht="20" customHeight="1">
      <c r="A259" s="68"/>
      <c r="B259" s="69" t="str">
        <f>IF(ISNA(VLOOKUP(A259,Declarations!B$6:C$293,2,FALSE)),"",IF(VLOOKUP(A259,Declarations!B$6:C$293,2,FALSE)="","---",VLOOKUP(A259,Declarations!B$6:C$293,2,FALSE)))</f>
        <v/>
      </c>
      <c r="C259" s="69" t="str">
        <f>IF(ISNA(VLOOKUP(A259,Declarations!B$6:F$293,5,FALSE)),"",IF(VLOOKUP(A259,Declarations!B$6:F$293,5,FALSE)="","---",VLOOKUP(A259,Declarations!B$6:F$293,5,FALSE)))</f>
        <v/>
      </c>
      <c r="D259" s="69" t="str">
        <f>IF(ISNA(VLOOKUP(A259,Declarations!B$6:F$293,4,FALSE)),"",IF(VLOOKUP(A259,Declarations!B$6:F$293,4,FALSE)="","---",VLOOKUP(A259,Declarations!B$6:F$293,4,FALSE)))</f>
        <v/>
      </c>
      <c r="E259" s="284" t="s">
        <v>161</v>
      </c>
      <c r="F259" s="284" t="s">
        <v>161</v>
      </c>
      <c r="G259" s="284" t="s">
        <v>161</v>
      </c>
      <c r="H259" s="70"/>
    </row>
    <row r="260" spans="1:8" ht="20" customHeight="1">
      <c r="A260" s="68"/>
      <c r="B260" s="69" t="str">
        <f>IF(ISNA(VLOOKUP(A260,Declarations!B$6:C$293,2,FALSE)),"",IF(VLOOKUP(A260,Declarations!B$6:C$293,2,FALSE)="","---",VLOOKUP(A260,Declarations!B$6:C$293,2,FALSE)))</f>
        <v/>
      </c>
      <c r="C260" s="69" t="str">
        <f>IF(ISNA(VLOOKUP(A260,Declarations!B$6:F$293,5,FALSE)),"",IF(VLOOKUP(A260,Declarations!B$6:F$293,5,FALSE)="","---",VLOOKUP(A260,Declarations!B$6:F$293,5,FALSE)))</f>
        <v/>
      </c>
      <c r="D260" s="69" t="str">
        <f>IF(ISNA(VLOOKUP(A260,Declarations!B$6:F$293,4,FALSE)),"",IF(VLOOKUP(A260,Declarations!B$6:F$293,4,FALSE)="","---",VLOOKUP(A260,Declarations!B$6:F$293,4,FALSE)))</f>
        <v/>
      </c>
      <c r="E260" s="284" t="s">
        <v>161</v>
      </c>
      <c r="F260" s="284" t="s">
        <v>161</v>
      </c>
      <c r="G260" s="284" t="s">
        <v>161</v>
      </c>
      <c r="H260" s="70"/>
    </row>
    <row r="261" spans="1:8" ht="20" customHeight="1">
      <c r="A261" s="68"/>
      <c r="B261" s="69" t="str">
        <f>IF(ISNA(VLOOKUP(A261,Declarations!B$6:C$293,2,FALSE)),"",IF(VLOOKUP(A261,Declarations!B$6:C$293,2,FALSE)="","---",VLOOKUP(A261,Declarations!B$6:C$293,2,FALSE)))</f>
        <v/>
      </c>
      <c r="C261" s="69" t="str">
        <f>IF(ISNA(VLOOKUP(A261,Declarations!B$6:F$293,5,FALSE)),"",IF(VLOOKUP(A261,Declarations!B$6:F$293,5,FALSE)="","---",VLOOKUP(A261,Declarations!B$6:F$293,5,FALSE)))</f>
        <v/>
      </c>
      <c r="D261" s="69" t="str">
        <f>IF(ISNA(VLOOKUP(A261,Declarations!B$6:F$293,4,FALSE)),"",IF(VLOOKUP(A261,Declarations!B$6:F$293,4,FALSE)="","---",VLOOKUP(A261,Declarations!B$6:F$293,4,FALSE)))</f>
        <v/>
      </c>
      <c r="E261" s="284" t="s">
        <v>161</v>
      </c>
      <c r="F261" s="284" t="s">
        <v>161</v>
      </c>
      <c r="G261" s="284" t="s">
        <v>161</v>
      </c>
      <c r="H261" s="70"/>
    </row>
    <row r="262" spans="1:8" ht="20" customHeight="1">
      <c r="A262" s="68"/>
      <c r="B262" s="69" t="str">
        <f>IF(ISNA(VLOOKUP(A262,Declarations!B$6:C$293,2,FALSE)),"",IF(VLOOKUP(A262,Declarations!B$6:C$293,2,FALSE)="","---",VLOOKUP(A262,Declarations!B$6:C$293,2,FALSE)))</f>
        <v/>
      </c>
      <c r="C262" s="69" t="str">
        <f>IF(ISNA(VLOOKUP(A262,Declarations!B$6:F$293,5,FALSE)),"",IF(VLOOKUP(A262,Declarations!B$6:F$293,5,FALSE)="","---",VLOOKUP(A262,Declarations!B$6:F$293,5,FALSE)))</f>
        <v/>
      </c>
      <c r="D262" s="69" t="str">
        <f>IF(ISNA(VLOOKUP(A262,Declarations!B$6:F$293,4,FALSE)),"",IF(VLOOKUP(A262,Declarations!B$6:F$293,4,FALSE)="","---",VLOOKUP(A262,Declarations!B$6:F$293,4,FALSE)))</f>
        <v/>
      </c>
      <c r="E262" s="284" t="s">
        <v>161</v>
      </c>
      <c r="F262" s="284" t="s">
        <v>161</v>
      </c>
      <c r="G262" s="284" t="s">
        <v>161</v>
      </c>
      <c r="H262" s="70"/>
    </row>
    <row r="263" spans="1:8" ht="20" customHeight="1">
      <c r="A263" s="68"/>
      <c r="B263" s="69" t="str">
        <f>IF(ISNA(VLOOKUP(A263,Declarations!B$6:C$293,2,FALSE)),"",IF(VLOOKUP(A263,Declarations!B$6:C$293,2,FALSE)="","---",VLOOKUP(A263,Declarations!B$6:C$293,2,FALSE)))</f>
        <v/>
      </c>
      <c r="C263" s="69" t="str">
        <f>IF(ISNA(VLOOKUP(A263,Declarations!B$6:F$293,5,FALSE)),"",IF(VLOOKUP(A263,Declarations!B$6:F$293,5,FALSE)="","---",VLOOKUP(A263,Declarations!B$6:F$293,5,FALSE)))</f>
        <v/>
      </c>
      <c r="D263" s="69" t="str">
        <f>IF(ISNA(VLOOKUP(A263,Declarations!B$6:F$293,4,FALSE)),"",IF(VLOOKUP(A263,Declarations!B$6:F$293,4,FALSE)="","---",VLOOKUP(A263,Declarations!B$6:F$293,4,FALSE)))</f>
        <v/>
      </c>
      <c r="E263" s="284" t="s">
        <v>161</v>
      </c>
      <c r="F263" s="284" t="s">
        <v>161</v>
      </c>
      <c r="G263" s="284" t="s">
        <v>161</v>
      </c>
      <c r="H263" s="70"/>
    </row>
    <row r="264" spans="1:8" ht="20" customHeight="1">
      <c r="A264" s="68"/>
      <c r="B264" s="69" t="str">
        <f>IF(ISNA(VLOOKUP(A264,Declarations!B$6:C$293,2,FALSE)),"",IF(VLOOKUP(A264,Declarations!B$6:C$293,2,FALSE)="","---",VLOOKUP(A264,Declarations!B$6:C$293,2,FALSE)))</f>
        <v/>
      </c>
      <c r="C264" s="69" t="str">
        <f>IF(ISNA(VLOOKUP(A264,Declarations!B$6:F$293,5,FALSE)),"",IF(VLOOKUP(A264,Declarations!B$6:F$293,5,FALSE)="","---",VLOOKUP(A264,Declarations!B$6:F$293,5,FALSE)))</f>
        <v/>
      </c>
      <c r="D264" s="69" t="str">
        <f>IF(ISNA(VLOOKUP(A264,Declarations!B$6:F$293,4,FALSE)),"",IF(VLOOKUP(A264,Declarations!B$6:F$293,4,FALSE)="","---",VLOOKUP(A264,Declarations!B$6:F$293,4,FALSE)))</f>
        <v/>
      </c>
      <c r="E264" s="284" t="s">
        <v>161</v>
      </c>
      <c r="F264" s="284" t="s">
        <v>161</v>
      </c>
      <c r="G264" s="284" t="s">
        <v>161</v>
      </c>
      <c r="H264" s="70"/>
    </row>
    <row r="265" spans="1:8" ht="20" customHeight="1">
      <c r="A265" s="68"/>
      <c r="B265" s="69" t="str">
        <f>IF(ISNA(VLOOKUP(A265,Declarations!B$6:C$293,2,FALSE)),"",IF(VLOOKUP(A265,Declarations!B$6:C$293,2,FALSE)="","---",VLOOKUP(A265,Declarations!B$6:C$293,2,FALSE)))</f>
        <v/>
      </c>
      <c r="C265" s="69" t="str">
        <f>IF(ISNA(VLOOKUP(A265,Declarations!B$6:F$293,5,FALSE)),"",IF(VLOOKUP(A265,Declarations!B$6:F$293,5,FALSE)="","---",VLOOKUP(A265,Declarations!B$6:F$293,5,FALSE)))</f>
        <v/>
      </c>
      <c r="D265" s="69" t="str">
        <f>IF(ISNA(VLOOKUP(A265,Declarations!B$6:F$293,4,FALSE)),"",IF(VLOOKUP(A265,Declarations!B$6:F$293,4,FALSE)="","---",VLOOKUP(A265,Declarations!B$6:F$293,4,FALSE)))</f>
        <v/>
      </c>
      <c r="E265" s="284" t="s">
        <v>161</v>
      </c>
      <c r="F265" s="284" t="s">
        <v>161</v>
      </c>
      <c r="G265" s="284" t="s">
        <v>161</v>
      </c>
      <c r="H265" s="70"/>
    </row>
    <row r="266" spans="1:8" ht="20" customHeight="1">
      <c r="A266" s="68"/>
      <c r="B266" s="69" t="str">
        <f>IF(ISNA(VLOOKUP(A266,Declarations!B$6:C$293,2,FALSE)),"",IF(VLOOKUP(A266,Declarations!B$6:C$293,2,FALSE)="","---",VLOOKUP(A266,Declarations!B$6:C$293,2,FALSE)))</f>
        <v/>
      </c>
      <c r="C266" s="69" t="str">
        <f>IF(ISNA(VLOOKUP(A266,Declarations!B$6:F$293,5,FALSE)),"",IF(VLOOKUP(A266,Declarations!B$6:F$293,5,FALSE)="","---",VLOOKUP(A266,Declarations!B$6:F$293,5,FALSE)))</f>
        <v/>
      </c>
      <c r="D266" s="69" t="str">
        <f>IF(ISNA(VLOOKUP(A266,Declarations!B$6:F$293,4,FALSE)),"",IF(VLOOKUP(A266,Declarations!B$6:F$293,4,FALSE)="","---",VLOOKUP(A266,Declarations!B$6:F$293,4,FALSE)))</f>
        <v/>
      </c>
      <c r="E266" s="284" t="s">
        <v>161</v>
      </c>
      <c r="F266" s="284" t="s">
        <v>161</v>
      </c>
      <c r="G266" s="284" t="s">
        <v>161</v>
      </c>
      <c r="H266" s="70"/>
    </row>
    <row r="267" spans="1:8" ht="20" customHeight="1">
      <c r="A267" s="68"/>
      <c r="B267" s="69" t="str">
        <f>IF(ISNA(VLOOKUP(A267,Declarations!B$6:C$293,2,FALSE)),"",IF(VLOOKUP(A267,Declarations!B$6:C$293,2,FALSE)="","---",VLOOKUP(A267,Declarations!B$6:C$293,2,FALSE)))</f>
        <v/>
      </c>
      <c r="C267" s="69" t="str">
        <f>IF(ISNA(VLOOKUP(A267,Declarations!B$6:F$293,5,FALSE)),"",IF(VLOOKUP(A267,Declarations!B$6:F$293,5,FALSE)="","---",VLOOKUP(A267,Declarations!B$6:F$293,5,FALSE)))</f>
        <v/>
      </c>
      <c r="D267" s="69" t="str">
        <f>IF(ISNA(VLOOKUP(A267,Declarations!B$6:F$293,4,FALSE)),"",IF(VLOOKUP(A267,Declarations!B$6:F$293,4,FALSE)="","---",VLOOKUP(A267,Declarations!B$6:F$293,4,FALSE)))</f>
        <v/>
      </c>
      <c r="E267" s="284" t="s">
        <v>161</v>
      </c>
      <c r="F267" s="284" t="s">
        <v>161</v>
      </c>
      <c r="G267" s="284" t="s">
        <v>161</v>
      </c>
      <c r="H267" s="70"/>
    </row>
    <row r="268" spans="1:8" ht="20" customHeight="1">
      <c r="A268" s="68"/>
      <c r="B268" s="69" t="str">
        <f>IF(ISNA(VLOOKUP(A268,Declarations!B$6:C$293,2,FALSE)),"",IF(VLOOKUP(A268,Declarations!B$6:C$293,2,FALSE)="","---",VLOOKUP(A268,Declarations!B$6:C$293,2,FALSE)))</f>
        <v/>
      </c>
      <c r="C268" s="69" t="str">
        <f>IF(ISNA(VLOOKUP(A268,Declarations!B$6:F$293,5,FALSE)),"",IF(VLOOKUP(A268,Declarations!B$6:F$293,5,FALSE)="","---",VLOOKUP(A268,Declarations!B$6:F$293,5,FALSE)))</f>
        <v/>
      </c>
      <c r="D268" s="69" t="str">
        <f>IF(ISNA(VLOOKUP(A268,Declarations!B$6:F$293,4,FALSE)),"",IF(VLOOKUP(A268,Declarations!B$6:F$293,4,FALSE)="","---",VLOOKUP(A268,Declarations!B$6:F$293,4,FALSE)))</f>
        <v/>
      </c>
      <c r="E268" s="284" t="s">
        <v>161</v>
      </c>
      <c r="F268" s="284" t="s">
        <v>161</v>
      </c>
      <c r="G268" s="284" t="s">
        <v>161</v>
      </c>
      <c r="H268" s="70"/>
    </row>
    <row r="269" spans="1:8" ht="20" customHeight="1">
      <c r="A269" s="68"/>
      <c r="B269" s="69" t="str">
        <f>IF(ISNA(VLOOKUP(A269,Declarations!B$6:C$293,2,FALSE)),"",IF(VLOOKUP(A269,Declarations!B$6:C$293,2,FALSE)="","---",VLOOKUP(A269,Declarations!B$6:C$293,2,FALSE)))</f>
        <v/>
      </c>
      <c r="C269" s="69" t="str">
        <f>IF(ISNA(VLOOKUP(A269,Declarations!B$6:F$293,5,FALSE)),"",IF(VLOOKUP(A269,Declarations!B$6:F$293,5,FALSE)="","---",VLOOKUP(A269,Declarations!B$6:F$293,5,FALSE)))</f>
        <v/>
      </c>
      <c r="D269" s="69" t="str">
        <f>IF(ISNA(VLOOKUP(A269,Declarations!B$6:F$293,4,FALSE)),"",IF(VLOOKUP(A269,Declarations!B$6:F$293,4,FALSE)="","---",VLOOKUP(A269,Declarations!B$6:F$293,4,FALSE)))</f>
        <v/>
      </c>
      <c r="E269" s="284" t="s">
        <v>161</v>
      </c>
      <c r="F269" s="284" t="s">
        <v>161</v>
      </c>
      <c r="G269" s="284" t="s">
        <v>161</v>
      </c>
      <c r="H269" s="70"/>
    </row>
    <row r="270" spans="1:8" ht="20" customHeight="1">
      <c r="A270" s="68"/>
      <c r="B270" s="69" t="str">
        <f>IF(ISNA(VLOOKUP(A270,Declarations!B$6:C$293,2,FALSE)),"",IF(VLOOKUP(A270,Declarations!B$6:C$293,2,FALSE)="","---",VLOOKUP(A270,Declarations!B$6:C$293,2,FALSE)))</f>
        <v/>
      </c>
      <c r="C270" s="69" t="str">
        <f>IF(ISNA(VLOOKUP(A270,Declarations!B$6:F$293,5,FALSE)),"",IF(VLOOKUP(A270,Declarations!B$6:F$293,5,FALSE)="","---",VLOOKUP(A270,Declarations!B$6:F$293,5,FALSE)))</f>
        <v/>
      </c>
      <c r="D270" s="69" t="str">
        <f>IF(ISNA(VLOOKUP(A270,Declarations!B$6:F$293,4,FALSE)),"",IF(VLOOKUP(A270,Declarations!B$6:F$293,4,FALSE)="","---",VLOOKUP(A270,Declarations!B$6:F$293,4,FALSE)))</f>
        <v/>
      </c>
      <c r="E270" s="284" t="s">
        <v>161</v>
      </c>
      <c r="F270" s="284" t="s">
        <v>161</v>
      </c>
      <c r="G270" s="284" t="s">
        <v>161</v>
      </c>
      <c r="H270" s="70"/>
    </row>
    <row r="271" spans="1:8" ht="20" customHeight="1">
      <c r="A271" s="68"/>
      <c r="B271" s="69" t="str">
        <f>IF(ISNA(VLOOKUP(A271,Declarations!B$6:C$293,2,FALSE)),"",IF(VLOOKUP(A271,Declarations!B$6:C$293,2,FALSE)="","---",VLOOKUP(A271,Declarations!B$6:C$293,2,FALSE)))</f>
        <v/>
      </c>
      <c r="C271" s="69" t="str">
        <f>IF(ISNA(VLOOKUP(A271,Declarations!B$6:F$293,5,FALSE)),"",IF(VLOOKUP(A271,Declarations!B$6:F$293,5,FALSE)="","---",VLOOKUP(A271,Declarations!B$6:F$293,5,FALSE)))</f>
        <v/>
      </c>
      <c r="D271" s="69" t="str">
        <f>IF(ISNA(VLOOKUP(A271,Declarations!B$6:F$293,4,FALSE)),"",IF(VLOOKUP(A271,Declarations!B$6:F$293,4,FALSE)="","---",VLOOKUP(A271,Declarations!B$6:F$293,4,FALSE)))</f>
        <v/>
      </c>
      <c r="E271" s="284" t="s">
        <v>161</v>
      </c>
      <c r="F271" s="284" t="s">
        <v>161</v>
      </c>
      <c r="G271" s="284" t="s">
        <v>161</v>
      </c>
      <c r="H271" s="70"/>
    </row>
    <row r="272" spans="1:8" ht="20" customHeight="1">
      <c r="A272" s="68"/>
      <c r="B272" s="69" t="str">
        <f>IF(ISNA(VLOOKUP(A272,Declarations!B$6:C$293,2,FALSE)),"",IF(VLOOKUP(A272,Declarations!B$6:C$293,2,FALSE)="","---",VLOOKUP(A272,Declarations!B$6:C$293,2,FALSE)))</f>
        <v/>
      </c>
      <c r="C272" s="69" t="str">
        <f>IF(ISNA(VLOOKUP(A272,Declarations!B$6:F$293,5,FALSE)),"",IF(VLOOKUP(A272,Declarations!B$6:F$293,5,FALSE)="","---",VLOOKUP(A272,Declarations!B$6:F$293,5,FALSE)))</f>
        <v/>
      </c>
      <c r="D272" s="69" t="str">
        <f>IF(ISNA(VLOOKUP(A272,Declarations!B$6:F$293,4,FALSE)),"",IF(VLOOKUP(A272,Declarations!B$6:F$293,4,FALSE)="","---",VLOOKUP(A272,Declarations!B$6:F$293,4,FALSE)))</f>
        <v/>
      </c>
      <c r="E272" s="284" t="s">
        <v>161</v>
      </c>
      <c r="F272" s="284" t="s">
        <v>161</v>
      </c>
      <c r="G272" s="284" t="s">
        <v>161</v>
      </c>
      <c r="H272" s="70"/>
    </row>
    <row r="273" spans="1:8" ht="20" customHeight="1">
      <c r="A273" s="68"/>
      <c r="B273" s="69" t="str">
        <f>IF(ISNA(VLOOKUP(A273,Declarations!B$6:C$293,2,FALSE)),"",IF(VLOOKUP(A273,Declarations!B$6:C$293,2,FALSE)="","---",VLOOKUP(A273,Declarations!B$6:C$293,2,FALSE)))</f>
        <v/>
      </c>
      <c r="C273" s="69" t="str">
        <f>IF(ISNA(VLOOKUP(A273,Declarations!B$6:F$293,5,FALSE)),"",IF(VLOOKUP(A273,Declarations!B$6:F$293,5,FALSE)="","---",VLOOKUP(A273,Declarations!B$6:F$293,5,FALSE)))</f>
        <v/>
      </c>
      <c r="D273" s="69" t="str">
        <f>IF(ISNA(VLOOKUP(A273,Declarations!B$6:F$293,4,FALSE)),"",IF(VLOOKUP(A273,Declarations!B$6:F$293,4,FALSE)="","---",VLOOKUP(A273,Declarations!B$6:F$293,4,FALSE)))</f>
        <v/>
      </c>
      <c r="E273" s="284" t="s">
        <v>161</v>
      </c>
      <c r="F273" s="284" t="s">
        <v>161</v>
      </c>
      <c r="G273" s="284" t="s">
        <v>161</v>
      </c>
      <c r="H273" s="70"/>
    </row>
    <row r="274" spans="1:8" ht="20" customHeight="1">
      <c r="A274" s="68"/>
      <c r="B274" s="69" t="str">
        <f>IF(ISNA(VLOOKUP(A274,Declarations!B$6:C$293,2,FALSE)),"",IF(VLOOKUP(A274,Declarations!B$6:C$293,2,FALSE)="","---",VLOOKUP(A274,Declarations!B$6:C$293,2,FALSE)))</f>
        <v/>
      </c>
      <c r="C274" s="69" t="str">
        <f>IF(ISNA(VLOOKUP(A274,Declarations!B$6:F$293,5,FALSE)),"",IF(VLOOKUP(A274,Declarations!B$6:F$293,5,FALSE)="","---",VLOOKUP(A274,Declarations!B$6:F$293,5,FALSE)))</f>
        <v/>
      </c>
      <c r="D274" s="69" t="str">
        <f>IF(ISNA(VLOOKUP(A274,Declarations!B$6:F$293,4,FALSE)),"",IF(VLOOKUP(A274,Declarations!B$6:F$293,4,FALSE)="","---",VLOOKUP(A274,Declarations!B$6:F$293,4,FALSE)))</f>
        <v/>
      </c>
      <c r="E274" s="284" t="s">
        <v>161</v>
      </c>
      <c r="F274" s="284" t="s">
        <v>161</v>
      </c>
      <c r="G274" s="284" t="s">
        <v>161</v>
      </c>
      <c r="H274" s="70"/>
    </row>
    <row r="275" spans="1:8">
      <c r="A275" s="71"/>
      <c r="B275" s="72"/>
      <c r="C275" s="72"/>
      <c r="D275" s="72"/>
      <c r="E275" s="73"/>
      <c r="F275" s="73"/>
      <c r="G275" s="73"/>
      <c r="H275" s="73"/>
    </row>
    <row r="276" spans="1:8">
      <c r="A276" s="71"/>
      <c r="B276" s="510" t="s">
        <v>92</v>
      </c>
      <c r="C276" s="511"/>
      <c r="D276" s="72"/>
      <c r="E276" s="509" t="s">
        <v>93</v>
      </c>
      <c r="F276" s="509"/>
      <c r="G276" s="501" t="s">
        <v>43</v>
      </c>
      <c r="H276" s="501"/>
    </row>
    <row r="277" spans="1:8" ht="16" customHeight="1">
      <c r="A277" s="71"/>
      <c r="B277" s="512"/>
      <c r="C277" s="513"/>
      <c r="D277" s="72"/>
      <c r="E277" s="501"/>
      <c r="F277" s="501"/>
      <c r="G277" s="501"/>
      <c r="H277" s="501"/>
    </row>
    <row r="278" spans="1:8">
      <c r="A278" s="71"/>
      <c r="B278" s="512"/>
      <c r="C278" s="513"/>
      <c r="D278" s="72"/>
      <c r="E278" s="501"/>
      <c r="F278" s="501"/>
      <c r="G278" s="501"/>
      <c r="H278" s="501"/>
    </row>
    <row r="279" spans="1:8">
      <c r="A279" s="71"/>
      <c r="B279" s="514"/>
      <c r="C279" s="515"/>
      <c r="D279" s="72"/>
      <c r="E279" s="501"/>
      <c r="F279" s="501"/>
      <c r="G279" s="501"/>
      <c r="H279" s="501"/>
    </row>
    <row r="280" spans="1:8" ht="8" customHeight="1">
      <c r="A280" s="71"/>
      <c r="B280" s="72"/>
      <c r="C280" s="72"/>
      <c r="D280" s="72"/>
      <c r="E280" s="97"/>
      <c r="F280" s="97"/>
      <c r="G280" s="97"/>
      <c r="H280" s="97"/>
    </row>
    <row r="281" spans="1:8" ht="20">
      <c r="A281" s="502" t="str">
        <f>'Read Me First'!A1:F1</f>
        <v>Oxfordshire Track and Field League 2026</v>
      </c>
      <c r="B281" s="503"/>
      <c r="C281" s="503"/>
      <c r="D281" s="503"/>
      <c r="E281" s="503"/>
      <c r="F281" s="503"/>
      <c r="G281" s="503"/>
      <c r="H281" s="504"/>
    </row>
    <row r="282" spans="1:8" ht="18">
      <c r="A282" s="61" t="s">
        <v>12</v>
      </c>
      <c r="B282" s="62">
        <f>'Read Me First'!$C$10</f>
        <v>46250</v>
      </c>
      <c r="C282" s="63">
        <v>0.60416666666666663</v>
      </c>
      <c r="D282" s="61" t="s">
        <v>13</v>
      </c>
      <c r="E282" s="505" t="str">
        <f>$E$2</f>
        <v>Banbury</v>
      </c>
      <c r="F282" s="506"/>
      <c r="G282" s="506"/>
      <c r="H282" s="507"/>
    </row>
    <row r="283" spans="1:8" ht="18">
      <c r="A283" s="508" t="s">
        <v>48</v>
      </c>
      <c r="B283" s="508"/>
      <c r="C283" s="508"/>
      <c r="D283" s="508"/>
      <c r="E283" s="60">
        <v>1</v>
      </c>
      <c r="F283" s="60">
        <v>2</v>
      </c>
      <c r="G283" s="60">
        <v>3</v>
      </c>
      <c r="H283" s="60" t="s">
        <v>42</v>
      </c>
    </row>
    <row r="284" spans="1:8" ht="18">
      <c r="A284" s="66"/>
      <c r="B284" s="66"/>
      <c r="C284" s="66"/>
      <c r="D284" s="66"/>
      <c r="E284" s="67"/>
      <c r="F284" s="67"/>
      <c r="G284" s="67"/>
      <c r="H284" s="67"/>
    </row>
    <row r="285" spans="1:8" ht="20" customHeight="1">
      <c r="A285" s="68" t="str" cm="1">
        <f t="array" ref="A285">IFERROR(_xlfn.TEXTSPLIT(IFERROR(_xlfn.TEXTJOIN(",",TRUE,_xlfn._xlws.FILTER(BlockAllocations!$F$3:$F$20,BlockAllocations!$E$3:$E$20=BlockAllocations!$G$13)),""),,",")+0,"!")</f>
        <v>!</v>
      </c>
      <c r="B285" s="69" t="str">
        <f>IF(ISNA(VLOOKUP(A285,Declarations!B$6:C$293,2,FALSE)),"",IF(VLOOKUP(A285,Declarations!B$6:C$293,2,FALSE)="","---",VLOOKUP(A285,Declarations!B$6:C$293,2,FALSE)))</f>
        <v/>
      </c>
      <c r="C285" s="69" t="str">
        <f>IF(ISNA(VLOOKUP(A285,Declarations!B$6:F$293,5,FALSE)),"",IF(VLOOKUP(A285,Declarations!B$6:F$293,5,FALSE)="","---",VLOOKUP(A285,Declarations!B$6:F$293,5,FALSE)))</f>
        <v/>
      </c>
      <c r="D285" s="69" t="str">
        <f>IF(ISNA(VLOOKUP(A285,Declarations!B$6:F$293,4,FALSE)),"",IF(VLOOKUP(A285,Declarations!B$6:F$293,4,FALSE)="","---",VLOOKUP(A285,Declarations!B$6:F$293,4,FALSE)))</f>
        <v/>
      </c>
      <c r="E285" s="284" t="s">
        <v>161</v>
      </c>
      <c r="F285" s="284" t="s">
        <v>161</v>
      </c>
      <c r="G285" s="284" t="s">
        <v>161</v>
      </c>
      <c r="H285" s="70"/>
    </row>
    <row r="286" spans="1:8" ht="20" customHeight="1">
      <c r="A286" s="68"/>
      <c r="B286" s="69" t="str">
        <f>IF(ISNA(VLOOKUP(A286,Declarations!B$6:C$293,2,FALSE)),"",IF(VLOOKUP(A286,Declarations!B$6:C$293,2,FALSE)="","---",VLOOKUP(A286,Declarations!B$6:C$293,2,FALSE)))</f>
        <v/>
      </c>
      <c r="C286" s="69" t="str">
        <f>IF(ISNA(VLOOKUP(A286,Declarations!B$6:F$293,5,FALSE)),"",IF(VLOOKUP(A286,Declarations!B$6:F$293,5,FALSE)="","---",VLOOKUP(A286,Declarations!B$6:F$293,5,FALSE)))</f>
        <v/>
      </c>
      <c r="D286" s="69" t="str">
        <f>IF(ISNA(VLOOKUP(A286,Declarations!B$6:F$293,4,FALSE)),"",IF(VLOOKUP(A286,Declarations!B$6:F$293,4,FALSE)="","---",VLOOKUP(A286,Declarations!B$6:F$293,4,FALSE)))</f>
        <v/>
      </c>
      <c r="E286" s="284" t="s">
        <v>161</v>
      </c>
      <c r="F286" s="284" t="s">
        <v>161</v>
      </c>
      <c r="G286" s="284" t="s">
        <v>161</v>
      </c>
      <c r="H286" s="70"/>
    </row>
    <row r="287" spans="1:8" ht="20" customHeight="1">
      <c r="A287" s="68"/>
      <c r="B287" s="69" t="str">
        <f>IF(ISNA(VLOOKUP(A287,Declarations!B$6:C$293,2,FALSE)),"",IF(VLOOKUP(A287,Declarations!B$6:C$293,2,FALSE)="","---",VLOOKUP(A287,Declarations!B$6:C$293,2,FALSE)))</f>
        <v/>
      </c>
      <c r="C287" s="69" t="str">
        <f>IF(ISNA(VLOOKUP(A287,Declarations!B$6:F$293,5,FALSE)),"",IF(VLOOKUP(A287,Declarations!B$6:F$293,5,FALSE)="","---",VLOOKUP(A287,Declarations!B$6:F$293,5,FALSE)))</f>
        <v/>
      </c>
      <c r="D287" s="69" t="str">
        <f>IF(ISNA(VLOOKUP(A287,Declarations!B$6:F$293,4,FALSE)),"",IF(VLOOKUP(A287,Declarations!B$6:F$293,4,FALSE)="","---",VLOOKUP(A287,Declarations!B$6:F$293,4,FALSE)))</f>
        <v/>
      </c>
      <c r="E287" s="284" t="s">
        <v>161</v>
      </c>
      <c r="F287" s="284" t="s">
        <v>161</v>
      </c>
      <c r="G287" s="284" t="s">
        <v>161</v>
      </c>
      <c r="H287" s="70"/>
    </row>
    <row r="288" spans="1:8" ht="20" customHeight="1">
      <c r="A288" s="68"/>
      <c r="B288" s="69" t="str">
        <f>IF(ISNA(VLOOKUP(A288,Declarations!B$6:C$293,2,FALSE)),"",IF(VLOOKUP(A288,Declarations!B$6:C$293,2,FALSE)="","---",VLOOKUP(A288,Declarations!B$6:C$293,2,FALSE)))</f>
        <v/>
      </c>
      <c r="C288" s="69" t="str">
        <f>IF(ISNA(VLOOKUP(A288,Declarations!B$6:F$293,5,FALSE)),"",IF(VLOOKUP(A288,Declarations!B$6:F$293,5,FALSE)="","---",VLOOKUP(A288,Declarations!B$6:F$293,5,FALSE)))</f>
        <v/>
      </c>
      <c r="D288" s="69" t="str">
        <f>IF(ISNA(VLOOKUP(A288,Declarations!B$6:F$293,4,FALSE)),"",IF(VLOOKUP(A288,Declarations!B$6:F$293,4,FALSE)="","---",VLOOKUP(A288,Declarations!B$6:F$293,4,FALSE)))</f>
        <v/>
      </c>
      <c r="E288" s="284" t="s">
        <v>161</v>
      </c>
      <c r="F288" s="284" t="s">
        <v>161</v>
      </c>
      <c r="G288" s="284" t="s">
        <v>161</v>
      </c>
      <c r="H288" s="70"/>
    </row>
    <row r="289" spans="1:8" ht="20" customHeight="1">
      <c r="A289" s="68"/>
      <c r="B289" s="69" t="str">
        <f>IF(ISNA(VLOOKUP(A289,Declarations!B$6:C$293,2,FALSE)),"",IF(VLOOKUP(A289,Declarations!B$6:C$293,2,FALSE)="","---",VLOOKUP(A289,Declarations!B$6:C$293,2,FALSE)))</f>
        <v/>
      </c>
      <c r="C289" s="69" t="str">
        <f>IF(ISNA(VLOOKUP(A289,Declarations!B$6:F$293,5,FALSE)),"",IF(VLOOKUP(A289,Declarations!B$6:F$293,5,FALSE)="","---",VLOOKUP(A289,Declarations!B$6:F$293,5,FALSE)))</f>
        <v/>
      </c>
      <c r="D289" s="69" t="str">
        <f>IF(ISNA(VLOOKUP(A289,Declarations!B$6:F$293,4,FALSE)),"",IF(VLOOKUP(A289,Declarations!B$6:F$293,4,FALSE)="","---",VLOOKUP(A289,Declarations!B$6:F$293,4,FALSE)))</f>
        <v/>
      </c>
      <c r="E289" s="284" t="s">
        <v>161</v>
      </c>
      <c r="F289" s="284" t="s">
        <v>161</v>
      </c>
      <c r="G289" s="284" t="s">
        <v>161</v>
      </c>
      <c r="H289" s="70"/>
    </row>
    <row r="290" spans="1:8" ht="20" customHeight="1">
      <c r="A290" s="68"/>
      <c r="B290" s="69" t="str">
        <f>IF(ISNA(VLOOKUP(A290,Declarations!B$6:C$293,2,FALSE)),"",IF(VLOOKUP(A290,Declarations!B$6:C$293,2,FALSE)="","---",VLOOKUP(A290,Declarations!B$6:C$293,2,FALSE)))</f>
        <v/>
      </c>
      <c r="C290" s="69" t="str">
        <f>IF(ISNA(VLOOKUP(A290,Declarations!B$6:F$293,5,FALSE)),"",IF(VLOOKUP(A290,Declarations!B$6:F$293,5,FALSE)="","---",VLOOKUP(A290,Declarations!B$6:F$293,5,FALSE)))</f>
        <v/>
      </c>
      <c r="D290" s="69" t="str">
        <f>IF(ISNA(VLOOKUP(A290,Declarations!B$6:F$293,4,FALSE)),"",IF(VLOOKUP(A290,Declarations!B$6:F$293,4,FALSE)="","---",VLOOKUP(A290,Declarations!B$6:F$293,4,FALSE)))</f>
        <v/>
      </c>
      <c r="E290" s="284" t="s">
        <v>161</v>
      </c>
      <c r="F290" s="284" t="s">
        <v>161</v>
      </c>
      <c r="G290" s="284" t="s">
        <v>161</v>
      </c>
      <c r="H290" s="70"/>
    </row>
    <row r="291" spans="1:8" ht="20" customHeight="1">
      <c r="A291" s="68"/>
      <c r="B291" s="69" t="str">
        <f>IF(ISNA(VLOOKUP(A291,Declarations!B$6:C$293,2,FALSE)),"",IF(VLOOKUP(A291,Declarations!B$6:C$293,2,FALSE)="","---",VLOOKUP(A291,Declarations!B$6:C$293,2,FALSE)))</f>
        <v/>
      </c>
      <c r="C291" s="69" t="str">
        <f>IF(ISNA(VLOOKUP(A291,Declarations!B$6:F$293,5,FALSE)),"",IF(VLOOKUP(A291,Declarations!B$6:F$293,5,FALSE)="","---",VLOOKUP(A291,Declarations!B$6:F$293,5,FALSE)))</f>
        <v/>
      </c>
      <c r="D291" s="69" t="str">
        <f>IF(ISNA(VLOOKUP(A291,Declarations!B$6:F$293,4,FALSE)),"",IF(VLOOKUP(A291,Declarations!B$6:F$293,4,FALSE)="","---",VLOOKUP(A291,Declarations!B$6:F$293,4,FALSE)))</f>
        <v/>
      </c>
      <c r="E291" s="284" t="s">
        <v>161</v>
      </c>
      <c r="F291" s="284" t="s">
        <v>161</v>
      </c>
      <c r="G291" s="284" t="s">
        <v>161</v>
      </c>
      <c r="H291" s="70"/>
    </row>
    <row r="292" spans="1:8" ht="20" customHeight="1">
      <c r="A292" s="68"/>
      <c r="B292" s="69" t="str">
        <f>IF(ISNA(VLOOKUP(A292,Declarations!B$6:C$293,2,FALSE)),"",IF(VLOOKUP(A292,Declarations!B$6:C$293,2,FALSE)="","---",VLOOKUP(A292,Declarations!B$6:C$293,2,FALSE)))</f>
        <v/>
      </c>
      <c r="C292" s="69" t="str">
        <f>IF(ISNA(VLOOKUP(A292,Declarations!B$6:F$293,5,FALSE)),"",IF(VLOOKUP(A292,Declarations!B$6:F$293,5,FALSE)="","---",VLOOKUP(A292,Declarations!B$6:F$293,5,FALSE)))</f>
        <v/>
      </c>
      <c r="D292" s="69" t="str">
        <f>IF(ISNA(VLOOKUP(A292,Declarations!B$6:F$293,4,FALSE)),"",IF(VLOOKUP(A292,Declarations!B$6:F$293,4,FALSE)="","---",VLOOKUP(A292,Declarations!B$6:F$293,4,FALSE)))</f>
        <v/>
      </c>
      <c r="E292" s="284" t="s">
        <v>161</v>
      </c>
      <c r="F292" s="284" t="s">
        <v>161</v>
      </c>
      <c r="G292" s="284" t="s">
        <v>161</v>
      </c>
      <c r="H292" s="70"/>
    </row>
    <row r="293" spans="1:8" ht="20" customHeight="1">
      <c r="A293" s="68"/>
      <c r="B293" s="69" t="str">
        <f>IF(ISNA(VLOOKUP(A293,Declarations!B$6:C$293,2,FALSE)),"",IF(VLOOKUP(A293,Declarations!B$6:C$293,2,FALSE)="","---",VLOOKUP(A293,Declarations!B$6:C$293,2,FALSE)))</f>
        <v/>
      </c>
      <c r="C293" s="69" t="str">
        <f>IF(ISNA(VLOOKUP(A293,Declarations!B$6:F$293,5,FALSE)),"",IF(VLOOKUP(A293,Declarations!B$6:F$293,5,FALSE)="","---",VLOOKUP(A293,Declarations!B$6:F$293,5,FALSE)))</f>
        <v/>
      </c>
      <c r="D293" s="69" t="str">
        <f>IF(ISNA(VLOOKUP(A293,Declarations!B$6:F$293,4,FALSE)),"",IF(VLOOKUP(A293,Declarations!B$6:F$293,4,FALSE)="","---",VLOOKUP(A293,Declarations!B$6:F$293,4,FALSE)))</f>
        <v/>
      </c>
      <c r="E293" s="284" t="s">
        <v>161</v>
      </c>
      <c r="F293" s="284" t="s">
        <v>161</v>
      </c>
      <c r="G293" s="284" t="s">
        <v>161</v>
      </c>
      <c r="H293" s="70"/>
    </row>
    <row r="294" spans="1:8" ht="20" customHeight="1">
      <c r="A294" s="68"/>
      <c r="B294" s="69" t="str">
        <f>IF(ISNA(VLOOKUP(A294,Declarations!B$6:C$293,2,FALSE)),"",IF(VLOOKUP(A294,Declarations!B$6:C$293,2,FALSE)="","---",VLOOKUP(A294,Declarations!B$6:C$293,2,FALSE)))</f>
        <v/>
      </c>
      <c r="C294" s="69" t="str">
        <f>IF(ISNA(VLOOKUP(A294,Declarations!B$6:F$293,5,FALSE)),"",IF(VLOOKUP(A294,Declarations!B$6:F$293,5,FALSE)="","---",VLOOKUP(A294,Declarations!B$6:F$293,5,FALSE)))</f>
        <v/>
      </c>
      <c r="D294" s="69" t="str">
        <f>IF(ISNA(VLOOKUP(A294,Declarations!B$6:F$293,4,FALSE)),"",IF(VLOOKUP(A294,Declarations!B$6:F$293,4,FALSE)="","---",VLOOKUP(A294,Declarations!B$6:F$293,4,FALSE)))</f>
        <v/>
      </c>
      <c r="E294" s="284" t="s">
        <v>161</v>
      </c>
      <c r="F294" s="284" t="s">
        <v>161</v>
      </c>
      <c r="G294" s="284" t="s">
        <v>161</v>
      </c>
      <c r="H294" s="70"/>
    </row>
    <row r="295" spans="1:8" ht="20" customHeight="1">
      <c r="A295" s="68"/>
      <c r="B295" s="69" t="str">
        <f>IF(ISNA(VLOOKUP(A295,Declarations!B$6:C$293,2,FALSE)),"",IF(VLOOKUP(A295,Declarations!B$6:C$293,2,FALSE)="","---",VLOOKUP(A295,Declarations!B$6:C$293,2,FALSE)))</f>
        <v/>
      </c>
      <c r="C295" s="69" t="str">
        <f>IF(ISNA(VLOOKUP(A295,Declarations!B$6:F$293,5,FALSE)),"",IF(VLOOKUP(A295,Declarations!B$6:F$293,5,FALSE)="","---",VLOOKUP(A295,Declarations!B$6:F$293,5,FALSE)))</f>
        <v/>
      </c>
      <c r="D295" s="69" t="str">
        <f>IF(ISNA(VLOOKUP(A295,Declarations!B$6:F$293,4,FALSE)),"",IF(VLOOKUP(A295,Declarations!B$6:F$293,4,FALSE)="","---",VLOOKUP(A295,Declarations!B$6:F$293,4,FALSE)))</f>
        <v/>
      </c>
      <c r="E295" s="284" t="s">
        <v>161</v>
      </c>
      <c r="F295" s="284" t="s">
        <v>161</v>
      </c>
      <c r="G295" s="284" t="s">
        <v>161</v>
      </c>
      <c r="H295" s="70"/>
    </row>
    <row r="296" spans="1:8" ht="20" customHeight="1">
      <c r="A296" s="68"/>
      <c r="B296" s="69" t="str">
        <f>IF(ISNA(VLOOKUP(A296,Declarations!B$6:C$293,2,FALSE)),"",IF(VLOOKUP(A296,Declarations!B$6:C$293,2,FALSE)="","---",VLOOKUP(A296,Declarations!B$6:C$293,2,FALSE)))</f>
        <v/>
      </c>
      <c r="C296" s="69" t="str">
        <f>IF(ISNA(VLOOKUP(A296,Declarations!B$6:F$293,5,FALSE)),"",IF(VLOOKUP(A296,Declarations!B$6:F$293,5,FALSE)="","---",VLOOKUP(A296,Declarations!B$6:F$293,5,FALSE)))</f>
        <v/>
      </c>
      <c r="D296" s="69" t="str">
        <f>IF(ISNA(VLOOKUP(A296,Declarations!B$6:F$293,4,FALSE)),"",IF(VLOOKUP(A296,Declarations!B$6:F$293,4,FALSE)="","---",VLOOKUP(A296,Declarations!B$6:F$293,4,FALSE)))</f>
        <v/>
      </c>
      <c r="E296" s="284" t="s">
        <v>161</v>
      </c>
      <c r="F296" s="284" t="s">
        <v>161</v>
      </c>
      <c r="G296" s="284" t="s">
        <v>161</v>
      </c>
      <c r="H296" s="70"/>
    </row>
    <row r="297" spans="1:8" ht="20" customHeight="1">
      <c r="A297" s="68"/>
      <c r="B297" s="69" t="str">
        <f>IF(ISNA(VLOOKUP(A297,Declarations!B$6:C$293,2,FALSE)),"",IF(VLOOKUP(A297,Declarations!B$6:C$293,2,FALSE)="","---",VLOOKUP(A297,Declarations!B$6:C$293,2,FALSE)))</f>
        <v/>
      </c>
      <c r="C297" s="69" t="str">
        <f>IF(ISNA(VLOOKUP(A297,Declarations!B$6:F$293,5,FALSE)),"",IF(VLOOKUP(A297,Declarations!B$6:F$293,5,FALSE)="","---",VLOOKUP(A297,Declarations!B$6:F$293,5,FALSE)))</f>
        <v/>
      </c>
      <c r="D297" s="69" t="str">
        <f>IF(ISNA(VLOOKUP(A297,Declarations!B$6:F$293,4,FALSE)),"",IF(VLOOKUP(A297,Declarations!B$6:F$293,4,FALSE)="","---",VLOOKUP(A297,Declarations!B$6:F$293,4,FALSE)))</f>
        <v/>
      </c>
      <c r="E297" s="284" t="s">
        <v>161</v>
      </c>
      <c r="F297" s="284" t="s">
        <v>161</v>
      </c>
      <c r="G297" s="284" t="s">
        <v>161</v>
      </c>
      <c r="H297" s="70"/>
    </row>
    <row r="298" spans="1:8" ht="20" customHeight="1">
      <c r="A298" s="68"/>
      <c r="B298" s="69" t="str">
        <f>IF(ISNA(VLOOKUP(A298,Declarations!B$6:C$293,2,FALSE)),"",IF(VLOOKUP(A298,Declarations!B$6:C$293,2,FALSE)="","---",VLOOKUP(A298,Declarations!B$6:C$293,2,FALSE)))</f>
        <v/>
      </c>
      <c r="C298" s="69" t="str">
        <f>IF(ISNA(VLOOKUP(A298,Declarations!B$6:F$293,5,FALSE)),"",IF(VLOOKUP(A298,Declarations!B$6:F$293,5,FALSE)="","---",VLOOKUP(A298,Declarations!B$6:F$293,5,FALSE)))</f>
        <v/>
      </c>
      <c r="D298" s="69" t="str">
        <f>IF(ISNA(VLOOKUP(A298,Declarations!B$6:F$293,4,FALSE)),"",IF(VLOOKUP(A298,Declarations!B$6:F$293,4,FALSE)="","---",VLOOKUP(A298,Declarations!B$6:F$293,4,FALSE)))</f>
        <v/>
      </c>
      <c r="E298" s="284" t="s">
        <v>161</v>
      </c>
      <c r="F298" s="284" t="s">
        <v>161</v>
      </c>
      <c r="G298" s="284" t="s">
        <v>161</v>
      </c>
      <c r="H298" s="70"/>
    </row>
    <row r="299" spans="1:8" ht="20" customHeight="1">
      <c r="A299" s="68"/>
      <c r="B299" s="69" t="str">
        <f>IF(ISNA(VLOOKUP(A299,Declarations!B$6:C$293,2,FALSE)),"",IF(VLOOKUP(A299,Declarations!B$6:C$293,2,FALSE)="","---",VLOOKUP(A299,Declarations!B$6:C$293,2,FALSE)))</f>
        <v/>
      </c>
      <c r="C299" s="69" t="str">
        <f>IF(ISNA(VLOOKUP(A299,Declarations!B$6:F$293,5,FALSE)),"",IF(VLOOKUP(A299,Declarations!B$6:F$293,5,FALSE)="","---",VLOOKUP(A299,Declarations!B$6:F$293,5,FALSE)))</f>
        <v/>
      </c>
      <c r="D299" s="69" t="str">
        <f>IF(ISNA(VLOOKUP(A299,Declarations!B$6:F$293,4,FALSE)),"",IF(VLOOKUP(A299,Declarations!B$6:F$293,4,FALSE)="","---",VLOOKUP(A299,Declarations!B$6:F$293,4,FALSE)))</f>
        <v/>
      </c>
      <c r="E299" s="284" t="s">
        <v>161</v>
      </c>
      <c r="F299" s="284" t="s">
        <v>161</v>
      </c>
      <c r="G299" s="284" t="s">
        <v>161</v>
      </c>
      <c r="H299" s="70"/>
    </row>
    <row r="300" spans="1:8" ht="20" customHeight="1">
      <c r="A300" s="68"/>
      <c r="B300" s="69" t="str">
        <f>IF(ISNA(VLOOKUP(A300,Declarations!B$6:C$293,2,FALSE)),"",IF(VLOOKUP(A300,Declarations!B$6:C$293,2,FALSE)="","---",VLOOKUP(A300,Declarations!B$6:C$293,2,FALSE)))</f>
        <v/>
      </c>
      <c r="C300" s="69" t="str">
        <f>IF(ISNA(VLOOKUP(A300,Declarations!B$6:F$293,5,FALSE)),"",IF(VLOOKUP(A300,Declarations!B$6:F$293,5,FALSE)="","---",VLOOKUP(A300,Declarations!B$6:F$293,5,FALSE)))</f>
        <v/>
      </c>
      <c r="D300" s="69" t="str">
        <f>IF(ISNA(VLOOKUP(A300,Declarations!B$6:F$293,4,FALSE)),"",IF(VLOOKUP(A300,Declarations!B$6:F$293,4,FALSE)="","---",VLOOKUP(A300,Declarations!B$6:F$293,4,FALSE)))</f>
        <v/>
      </c>
      <c r="E300" s="284" t="s">
        <v>161</v>
      </c>
      <c r="F300" s="284" t="s">
        <v>161</v>
      </c>
      <c r="G300" s="284" t="s">
        <v>161</v>
      </c>
      <c r="H300" s="70"/>
    </row>
    <row r="301" spans="1:8" ht="20" customHeight="1">
      <c r="A301" s="68"/>
      <c r="B301" s="69" t="str">
        <f>IF(ISNA(VLOOKUP(A301,Declarations!B$6:C$293,2,FALSE)),"",IF(VLOOKUP(A301,Declarations!B$6:C$293,2,FALSE)="","---",VLOOKUP(A301,Declarations!B$6:C$293,2,FALSE)))</f>
        <v/>
      </c>
      <c r="C301" s="69" t="str">
        <f>IF(ISNA(VLOOKUP(A301,Declarations!B$6:F$293,5,FALSE)),"",IF(VLOOKUP(A301,Declarations!B$6:F$293,5,FALSE)="","---",VLOOKUP(A301,Declarations!B$6:F$293,5,FALSE)))</f>
        <v/>
      </c>
      <c r="D301" s="69" t="str">
        <f>IF(ISNA(VLOOKUP(A301,Declarations!B$6:F$293,4,FALSE)),"",IF(VLOOKUP(A301,Declarations!B$6:F$293,4,FALSE)="","---",VLOOKUP(A301,Declarations!B$6:F$293,4,FALSE)))</f>
        <v/>
      </c>
      <c r="E301" s="284" t="s">
        <v>161</v>
      </c>
      <c r="F301" s="284" t="s">
        <v>161</v>
      </c>
      <c r="G301" s="284" t="s">
        <v>161</v>
      </c>
      <c r="H301" s="70"/>
    </row>
    <row r="302" spans="1:8" ht="20" customHeight="1">
      <c r="A302" s="68"/>
      <c r="B302" s="69" t="str">
        <f>IF(ISNA(VLOOKUP(A302,Declarations!B$6:C$293,2,FALSE)),"",IF(VLOOKUP(A302,Declarations!B$6:C$293,2,FALSE)="","---",VLOOKUP(A302,Declarations!B$6:C$293,2,FALSE)))</f>
        <v/>
      </c>
      <c r="C302" s="69" t="str">
        <f>IF(ISNA(VLOOKUP(A302,Declarations!B$6:F$293,5,FALSE)),"",IF(VLOOKUP(A302,Declarations!B$6:F$293,5,FALSE)="","---",VLOOKUP(A302,Declarations!B$6:F$293,5,FALSE)))</f>
        <v/>
      </c>
      <c r="D302" s="69" t="str">
        <f>IF(ISNA(VLOOKUP(A302,Declarations!B$6:F$293,4,FALSE)),"",IF(VLOOKUP(A302,Declarations!B$6:F$293,4,FALSE)="","---",VLOOKUP(A302,Declarations!B$6:F$293,4,FALSE)))</f>
        <v/>
      </c>
      <c r="E302" s="284" t="s">
        <v>161</v>
      </c>
      <c r="F302" s="284" t="s">
        <v>161</v>
      </c>
      <c r="G302" s="284" t="s">
        <v>161</v>
      </c>
      <c r="H302" s="70"/>
    </row>
    <row r="303" spans="1:8" ht="20" customHeight="1">
      <c r="A303" s="68"/>
      <c r="B303" s="69" t="str">
        <f>IF(ISNA(VLOOKUP(A303,Declarations!B$6:C$293,2,FALSE)),"",IF(VLOOKUP(A303,Declarations!B$6:C$293,2,FALSE)="","---",VLOOKUP(A303,Declarations!B$6:C$293,2,FALSE)))</f>
        <v/>
      </c>
      <c r="C303" s="69" t="str">
        <f>IF(ISNA(VLOOKUP(A303,Declarations!B$6:F$293,5,FALSE)),"",IF(VLOOKUP(A303,Declarations!B$6:F$293,5,FALSE)="","---",VLOOKUP(A303,Declarations!B$6:F$293,5,FALSE)))</f>
        <v/>
      </c>
      <c r="D303" s="69" t="str">
        <f>IF(ISNA(VLOOKUP(A303,Declarations!B$6:F$293,4,FALSE)),"",IF(VLOOKUP(A303,Declarations!B$6:F$293,4,FALSE)="","---",VLOOKUP(A303,Declarations!B$6:F$293,4,FALSE)))</f>
        <v/>
      </c>
      <c r="E303" s="284" t="s">
        <v>161</v>
      </c>
      <c r="F303" s="284" t="s">
        <v>161</v>
      </c>
      <c r="G303" s="284" t="s">
        <v>161</v>
      </c>
      <c r="H303" s="70"/>
    </row>
    <row r="304" spans="1:8" ht="20" customHeight="1">
      <c r="A304" s="68"/>
      <c r="B304" s="69" t="str">
        <f>IF(ISNA(VLOOKUP(A304,Declarations!B$6:C$293,2,FALSE)),"",IF(VLOOKUP(A304,Declarations!B$6:C$293,2,FALSE)="","---",VLOOKUP(A304,Declarations!B$6:C$293,2,FALSE)))</f>
        <v/>
      </c>
      <c r="C304" s="69" t="str">
        <f>IF(ISNA(VLOOKUP(A304,Declarations!B$6:F$293,5,FALSE)),"",IF(VLOOKUP(A304,Declarations!B$6:F$293,5,FALSE)="","---",VLOOKUP(A304,Declarations!B$6:F$293,5,FALSE)))</f>
        <v/>
      </c>
      <c r="D304" s="69" t="str">
        <f>IF(ISNA(VLOOKUP(A304,Declarations!B$6:F$293,4,FALSE)),"",IF(VLOOKUP(A304,Declarations!B$6:F$293,4,FALSE)="","---",VLOOKUP(A304,Declarations!B$6:F$293,4,FALSE)))</f>
        <v/>
      </c>
      <c r="E304" s="284" t="s">
        <v>161</v>
      </c>
      <c r="F304" s="284" t="s">
        <v>161</v>
      </c>
      <c r="G304" s="284" t="s">
        <v>161</v>
      </c>
      <c r="H304" s="70"/>
    </row>
    <row r="305" spans="1:8" ht="20" customHeight="1">
      <c r="A305" s="68"/>
      <c r="B305" s="69" t="str">
        <f>IF(ISNA(VLOOKUP(A305,Declarations!B$6:C$293,2,FALSE)),"",IF(VLOOKUP(A305,Declarations!B$6:C$293,2,FALSE)="","---",VLOOKUP(A305,Declarations!B$6:C$293,2,FALSE)))</f>
        <v/>
      </c>
      <c r="C305" s="69" t="str">
        <f>IF(ISNA(VLOOKUP(A305,Declarations!B$6:F$293,5,FALSE)),"",IF(VLOOKUP(A305,Declarations!B$6:F$293,5,FALSE)="","---",VLOOKUP(A305,Declarations!B$6:F$293,5,FALSE)))</f>
        <v/>
      </c>
      <c r="D305" s="69" t="str">
        <f>IF(ISNA(VLOOKUP(A305,Declarations!B$6:F$293,4,FALSE)),"",IF(VLOOKUP(A305,Declarations!B$6:F$293,4,FALSE)="","---",VLOOKUP(A305,Declarations!B$6:F$293,4,FALSE)))</f>
        <v/>
      </c>
      <c r="E305" s="284" t="s">
        <v>161</v>
      </c>
      <c r="F305" s="284" t="s">
        <v>161</v>
      </c>
      <c r="G305" s="284" t="s">
        <v>161</v>
      </c>
      <c r="H305" s="70"/>
    </row>
    <row r="306" spans="1:8" ht="20" customHeight="1">
      <c r="A306" s="68"/>
      <c r="B306" s="69" t="str">
        <f>IF(ISNA(VLOOKUP(A306,Declarations!B$6:C$293,2,FALSE)),"",IF(VLOOKUP(A306,Declarations!B$6:C$293,2,FALSE)="","---",VLOOKUP(A306,Declarations!B$6:C$293,2,FALSE)))</f>
        <v/>
      </c>
      <c r="C306" s="69" t="str">
        <f>IF(ISNA(VLOOKUP(A306,Declarations!B$6:F$293,5,FALSE)),"",IF(VLOOKUP(A306,Declarations!B$6:F$293,5,FALSE)="","---",VLOOKUP(A306,Declarations!B$6:F$293,5,FALSE)))</f>
        <v/>
      </c>
      <c r="D306" s="69" t="str">
        <f>IF(ISNA(VLOOKUP(A306,Declarations!B$6:F$293,4,FALSE)),"",IF(VLOOKUP(A306,Declarations!B$6:F$293,4,FALSE)="","---",VLOOKUP(A306,Declarations!B$6:F$293,4,FALSE)))</f>
        <v/>
      </c>
      <c r="E306" s="284" t="s">
        <v>161</v>
      </c>
      <c r="F306" s="284" t="s">
        <v>161</v>
      </c>
      <c r="G306" s="284" t="s">
        <v>161</v>
      </c>
      <c r="H306" s="70"/>
    </row>
    <row r="307" spans="1:8" ht="20" customHeight="1">
      <c r="A307" s="68"/>
      <c r="B307" s="69" t="str">
        <f>IF(ISNA(VLOOKUP(A307,Declarations!B$6:C$293,2,FALSE)),"",IF(VLOOKUP(A307,Declarations!B$6:C$293,2,FALSE)="","---",VLOOKUP(A307,Declarations!B$6:C$293,2,FALSE)))</f>
        <v/>
      </c>
      <c r="C307" s="69" t="str">
        <f>IF(ISNA(VLOOKUP(A307,Declarations!B$6:F$293,5,FALSE)),"",IF(VLOOKUP(A307,Declarations!B$6:F$293,5,FALSE)="","---",VLOOKUP(A307,Declarations!B$6:F$293,5,FALSE)))</f>
        <v/>
      </c>
      <c r="D307" s="69" t="str">
        <f>IF(ISNA(VLOOKUP(A307,Declarations!B$6:F$293,4,FALSE)),"",IF(VLOOKUP(A307,Declarations!B$6:F$293,4,FALSE)="","---",VLOOKUP(A307,Declarations!B$6:F$293,4,FALSE)))</f>
        <v/>
      </c>
      <c r="E307" s="284" t="s">
        <v>161</v>
      </c>
      <c r="F307" s="284" t="s">
        <v>161</v>
      </c>
      <c r="G307" s="284" t="s">
        <v>161</v>
      </c>
      <c r="H307" s="70"/>
    </row>
    <row r="308" spans="1:8" ht="20" customHeight="1">
      <c r="A308" s="68"/>
      <c r="B308" s="69" t="str">
        <f>IF(ISNA(VLOOKUP(A308,Declarations!B$6:C$293,2,FALSE)),"",IF(VLOOKUP(A308,Declarations!B$6:C$293,2,FALSE)="","---",VLOOKUP(A308,Declarations!B$6:C$293,2,FALSE)))</f>
        <v/>
      </c>
      <c r="C308" s="69" t="str">
        <f>IF(ISNA(VLOOKUP(A308,Declarations!B$6:F$293,5,FALSE)),"",IF(VLOOKUP(A308,Declarations!B$6:F$293,5,FALSE)="","---",VLOOKUP(A308,Declarations!B$6:F$293,5,FALSE)))</f>
        <v/>
      </c>
      <c r="D308" s="69" t="str">
        <f>IF(ISNA(VLOOKUP(A308,Declarations!B$6:F$293,4,FALSE)),"",IF(VLOOKUP(A308,Declarations!B$6:F$293,4,FALSE)="","---",VLOOKUP(A308,Declarations!B$6:F$293,4,FALSE)))</f>
        <v/>
      </c>
      <c r="E308" s="284" t="s">
        <v>161</v>
      </c>
      <c r="F308" s="284" t="s">
        <v>161</v>
      </c>
      <c r="G308" s="284" t="s">
        <v>161</v>
      </c>
      <c r="H308" s="70"/>
    </row>
    <row r="309" spans="1:8" ht="20" customHeight="1">
      <c r="A309" s="68"/>
      <c r="B309" s="69" t="str">
        <f>IF(ISNA(VLOOKUP(A309,Declarations!B$6:C$293,2,FALSE)),"",IF(VLOOKUP(A309,Declarations!B$6:C$293,2,FALSE)="","---",VLOOKUP(A309,Declarations!B$6:C$293,2,FALSE)))</f>
        <v/>
      </c>
      <c r="C309" s="69" t="str">
        <f>IF(ISNA(VLOOKUP(A309,Declarations!B$6:F$293,5,FALSE)),"",IF(VLOOKUP(A309,Declarations!B$6:F$293,5,FALSE)="","---",VLOOKUP(A309,Declarations!B$6:F$293,5,FALSE)))</f>
        <v/>
      </c>
      <c r="D309" s="69" t="str">
        <f>IF(ISNA(VLOOKUP(A309,Declarations!B$6:F$293,4,FALSE)),"",IF(VLOOKUP(A309,Declarations!B$6:F$293,4,FALSE)="","---",VLOOKUP(A309,Declarations!B$6:F$293,4,FALSE)))</f>
        <v/>
      </c>
      <c r="E309" s="284" t="s">
        <v>161</v>
      </c>
      <c r="F309" s="284" t="s">
        <v>161</v>
      </c>
      <c r="G309" s="284" t="s">
        <v>161</v>
      </c>
      <c r="H309" s="70"/>
    </row>
    <row r="310" spans="1:8" ht="20" customHeight="1">
      <c r="A310" s="68"/>
      <c r="B310" s="69" t="str">
        <f>IF(ISNA(VLOOKUP(A310,Declarations!B$6:C$293,2,FALSE)),"",IF(VLOOKUP(A310,Declarations!B$6:C$293,2,FALSE)="","---",VLOOKUP(A310,Declarations!B$6:C$293,2,FALSE)))</f>
        <v/>
      </c>
      <c r="C310" s="69" t="str">
        <f>IF(ISNA(VLOOKUP(A310,Declarations!B$6:F$293,5,FALSE)),"",IF(VLOOKUP(A310,Declarations!B$6:F$293,5,FALSE)="","---",VLOOKUP(A310,Declarations!B$6:F$293,5,FALSE)))</f>
        <v/>
      </c>
      <c r="D310" s="69" t="str">
        <f>IF(ISNA(VLOOKUP(A310,Declarations!B$6:F$293,4,FALSE)),"",IF(VLOOKUP(A310,Declarations!B$6:F$293,4,FALSE)="","---",VLOOKUP(A310,Declarations!B$6:F$293,4,FALSE)))</f>
        <v/>
      </c>
      <c r="E310" s="284" t="s">
        <v>161</v>
      </c>
      <c r="F310" s="284" t="s">
        <v>161</v>
      </c>
      <c r="G310" s="284" t="s">
        <v>161</v>
      </c>
      <c r="H310" s="70"/>
    </row>
    <row r="311" spans="1:8" ht="20" customHeight="1">
      <c r="A311" s="68"/>
      <c r="B311" s="69" t="str">
        <f>IF(ISNA(VLOOKUP(A311,Declarations!B$6:C$293,2,FALSE)),"",IF(VLOOKUP(A311,Declarations!B$6:C$293,2,FALSE)="","---",VLOOKUP(A311,Declarations!B$6:C$293,2,FALSE)))</f>
        <v/>
      </c>
      <c r="C311" s="69" t="str">
        <f>IF(ISNA(VLOOKUP(A311,Declarations!B$6:F$293,5,FALSE)),"",IF(VLOOKUP(A311,Declarations!B$6:F$293,5,FALSE)="","---",VLOOKUP(A311,Declarations!B$6:F$293,5,FALSE)))</f>
        <v/>
      </c>
      <c r="D311" s="69" t="str">
        <f>IF(ISNA(VLOOKUP(A311,Declarations!B$6:F$293,4,FALSE)),"",IF(VLOOKUP(A311,Declarations!B$6:F$293,4,FALSE)="","---",VLOOKUP(A311,Declarations!B$6:F$293,4,FALSE)))</f>
        <v/>
      </c>
      <c r="E311" s="284" t="s">
        <v>161</v>
      </c>
      <c r="F311" s="284" t="s">
        <v>161</v>
      </c>
      <c r="G311" s="284" t="s">
        <v>161</v>
      </c>
      <c r="H311" s="70"/>
    </row>
    <row r="312" spans="1:8" ht="20" customHeight="1">
      <c r="A312" s="68"/>
      <c r="B312" s="69" t="str">
        <f>IF(ISNA(VLOOKUP(A312,Declarations!B$6:C$293,2,FALSE)),"",IF(VLOOKUP(A312,Declarations!B$6:C$293,2,FALSE)="","---",VLOOKUP(A312,Declarations!B$6:C$293,2,FALSE)))</f>
        <v/>
      </c>
      <c r="C312" s="69" t="str">
        <f>IF(ISNA(VLOOKUP(A312,Declarations!B$6:F$293,5,FALSE)),"",IF(VLOOKUP(A312,Declarations!B$6:F$293,5,FALSE)="","---",VLOOKUP(A312,Declarations!B$6:F$293,5,FALSE)))</f>
        <v/>
      </c>
      <c r="D312" s="69" t="str">
        <f>IF(ISNA(VLOOKUP(A312,Declarations!B$6:F$293,4,FALSE)),"",IF(VLOOKUP(A312,Declarations!B$6:F$293,4,FALSE)="","---",VLOOKUP(A312,Declarations!B$6:F$293,4,FALSE)))</f>
        <v/>
      </c>
      <c r="E312" s="284" t="s">
        <v>161</v>
      </c>
      <c r="F312" s="284" t="s">
        <v>161</v>
      </c>
      <c r="G312" s="284" t="s">
        <v>161</v>
      </c>
      <c r="H312" s="70"/>
    </row>
    <row r="313" spans="1:8" ht="20" customHeight="1">
      <c r="A313" s="68"/>
      <c r="B313" s="69" t="str">
        <f>IF(ISNA(VLOOKUP(A313,Declarations!B$6:C$293,2,FALSE)),"",IF(VLOOKUP(A313,Declarations!B$6:C$293,2,FALSE)="","---",VLOOKUP(A313,Declarations!B$6:C$293,2,FALSE)))</f>
        <v/>
      </c>
      <c r="C313" s="69" t="str">
        <f>IF(ISNA(VLOOKUP(A313,Declarations!B$6:F$293,5,FALSE)),"",IF(VLOOKUP(A313,Declarations!B$6:F$293,5,FALSE)="","---",VLOOKUP(A313,Declarations!B$6:F$293,5,FALSE)))</f>
        <v/>
      </c>
      <c r="D313" s="69" t="str">
        <f>IF(ISNA(VLOOKUP(A313,Declarations!B$6:F$293,4,FALSE)),"",IF(VLOOKUP(A313,Declarations!B$6:F$293,4,FALSE)="","---",VLOOKUP(A313,Declarations!B$6:F$293,4,FALSE)))</f>
        <v/>
      </c>
      <c r="E313" s="284" t="s">
        <v>161</v>
      </c>
      <c r="F313" s="284" t="s">
        <v>161</v>
      </c>
      <c r="G313" s="284" t="s">
        <v>161</v>
      </c>
      <c r="H313" s="70"/>
    </row>
    <row r="314" spans="1:8" ht="20" customHeight="1">
      <c r="A314" s="68"/>
      <c r="B314" s="69" t="str">
        <f>IF(ISNA(VLOOKUP(A314,Declarations!B$6:C$293,2,FALSE)),"",IF(VLOOKUP(A314,Declarations!B$6:C$293,2,FALSE)="","---",VLOOKUP(A314,Declarations!B$6:C$293,2,FALSE)))</f>
        <v/>
      </c>
      <c r="C314" s="69" t="str">
        <f>IF(ISNA(VLOOKUP(A314,Declarations!B$6:F$293,5,FALSE)),"",IF(VLOOKUP(A314,Declarations!B$6:F$293,5,FALSE)="","---",VLOOKUP(A314,Declarations!B$6:F$293,5,FALSE)))</f>
        <v/>
      </c>
      <c r="D314" s="69" t="str">
        <f>IF(ISNA(VLOOKUP(A314,Declarations!B$6:F$293,4,FALSE)),"",IF(VLOOKUP(A314,Declarations!B$6:F$293,4,FALSE)="","---",VLOOKUP(A314,Declarations!B$6:F$293,4,FALSE)))</f>
        <v/>
      </c>
      <c r="E314" s="284" t="s">
        <v>161</v>
      </c>
      <c r="F314" s="284" t="s">
        <v>161</v>
      </c>
      <c r="G314" s="284" t="s">
        <v>161</v>
      </c>
      <c r="H314" s="70"/>
    </row>
    <row r="315" spans="1:8">
      <c r="A315" s="71"/>
      <c r="B315" s="72"/>
      <c r="C315" s="72"/>
      <c r="D315" s="72"/>
      <c r="E315" s="73"/>
      <c r="F315" s="73"/>
      <c r="G315" s="73"/>
      <c r="H315" s="73"/>
    </row>
    <row r="316" spans="1:8">
      <c r="A316" s="71"/>
      <c r="B316" s="510" t="s">
        <v>92</v>
      </c>
      <c r="C316" s="511"/>
      <c r="D316" s="72"/>
      <c r="E316" s="509" t="s">
        <v>93</v>
      </c>
      <c r="F316" s="509"/>
      <c r="G316" s="501" t="s">
        <v>43</v>
      </c>
      <c r="H316" s="501"/>
    </row>
    <row r="317" spans="1:8" ht="16" customHeight="1">
      <c r="A317" s="71"/>
      <c r="B317" s="512"/>
      <c r="C317" s="513"/>
      <c r="D317" s="72"/>
      <c r="E317" s="501"/>
      <c r="F317" s="501"/>
      <c r="G317" s="501"/>
      <c r="H317" s="501"/>
    </row>
    <row r="318" spans="1:8">
      <c r="A318" s="71"/>
      <c r="B318" s="512"/>
      <c r="C318" s="513"/>
      <c r="D318" s="72"/>
      <c r="E318" s="501"/>
      <c r="F318" s="501"/>
      <c r="G318" s="501"/>
      <c r="H318" s="501"/>
    </row>
    <row r="319" spans="1:8">
      <c r="A319" s="71"/>
      <c r="B319" s="514"/>
      <c r="C319" s="515"/>
      <c r="D319" s="72"/>
      <c r="E319" s="501"/>
      <c r="F319" s="501"/>
      <c r="G319" s="501"/>
      <c r="H319" s="501"/>
    </row>
    <row r="320" spans="1:8" ht="8" customHeight="1">
      <c r="A320" s="71"/>
      <c r="B320" s="72"/>
      <c r="C320" s="72"/>
      <c r="D320" s="72"/>
      <c r="E320" s="97"/>
      <c r="F320" s="97"/>
      <c r="G320" s="97"/>
      <c r="H320" s="97"/>
    </row>
    <row r="321" spans="1:8" ht="20">
      <c r="A321" s="502" t="str">
        <f>'Read Me First'!A1:F1</f>
        <v>Oxfordshire Track and Field League 2026</v>
      </c>
      <c r="B321" s="503"/>
      <c r="C321" s="503"/>
      <c r="D321" s="503"/>
      <c r="E321" s="503"/>
      <c r="F321" s="503"/>
      <c r="G321" s="503"/>
      <c r="H321" s="504"/>
    </row>
    <row r="322" spans="1:8" ht="18">
      <c r="A322" s="61" t="s">
        <v>12</v>
      </c>
      <c r="B322" s="62">
        <f>'Read Me First'!$C$10</f>
        <v>46250</v>
      </c>
      <c r="C322" s="63">
        <v>0.64583333333333337</v>
      </c>
      <c r="D322" s="61" t="s">
        <v>13</v>
      </c>
      <c r="E322" s="505" t="str">
        <f>$E$2</f>
        <v>Banbury</v>
      </c>
      <c r="F322" s="506"/>
      <c r="G322" s="506"/>
      <c r="H322" s="507"/>
    </row>
    <row r="323" spans="1:8" ht="18">
      <c r="A323" s="508" t="s">
        <v>49</v>
      </c>
      <c r="B323" s="508"/>
      <c r="C323" s="508"/>
      <c r="D323" s="508"/>
      <c r="E323" s="60">
        <v>1</v>
      </c>
      <c r="F323" s="60">
        <v>2</v>
      </c>
      <c r="G323" s="60">
        <v>3</v>
      </c>
      <c r="H323" s="60" t="s">
        <v>42</v>
      </c>
    </row>
    <row r="324" spans="1:8" ht="18">
      <c r="A324" s="66"/>
      <c r="B324" s="66"/>
      <c r="C324" s="66"/>
      <c r="D324" s="66"/>
      <c r="E324" s="67"/>
      <c r="F324" s="67"/>
      <c r="G324" s="67"/>
      <c r="H324" s="67"/>
    </row>
    <row r="325" spans="1:8" ht="20" customHeight="1">
      <c r="A325" s="68" t="str" cm="1">
        <f t="array" ref="A325">IFERROR(_xlfn.TEXTSPLIT(IFERROR(_xlfn.TEXTJOIN(",",TRUE,_xlfn._xlws.FILTER(BlockAllocations!$F$3:$F$20,BlockAllocations!$E$3:$E$20=BlockAllocations!$G$14)),""),,",")+0,"!")</f>
        <v>!</v>
      </c>
      <c r="B325" s="69" t="str">
        <f>IF(ISNA(VLOOKUP(A325,Declarations!B$6:C$293,2,FALSE)),"",IF(VLOOKUP(A325,Declarations!B$6:C$293,2,FALSE)="","---",VLOOKUP(A325,Declarations!B$6:C$293,2,FALSE)))</f>
        <v/>
      </c>
      <c r="C325" s="69" t="str">
        <f>IF(ISNA(VLOOKUP(A325,Declarations!B$6:F$293,5,FALSE)),"",IF(VLOOKUP(A325,Declarations!B$6:F$293,5,FALSE)="","---",VLOOKUP(A325,Declarations!B$6:F$293,5,FALSE)))</f>
        <v/>
      </c>
      <c r="D325" s="69" t="str">
        <f>IF(ISNA(VLOOKUP(A325,Declarations!B$6:F$293,4,FALSE)),"",IF(VLOOKUP(A325,Declarations!B$6:F$293,4,FALSE)="","---",VLOOKUP(A325,Declarations!B$6:F$293,4,FALSE)))</f>
        <v/>
      </c>
      <c r="E325" s="284" t="s">
        <v>161</v>
      </c>
      <c r="F325" s="284" t="s">
        <v>161</v>
      </c>
      <c r="G325" s="284" t="s">
        <v>161</v>
      </c>
      <c r="H325" s="70"/>
    </row>
    <row r="326" spans="1:8" ht="20" customHeight="1">
      <c r="A326" s="68"/>
      <c r="B326" s="69" t="str">
        <f>IF(ISNA(VLOOKUP(A326,Declarations!B$6:C$293,2,FALSE)),"",IF(VLOOKUP(A326,Declarations!B$6:C$293,2,FALSE)="","---",VLOOKUP(A326,Declarations!B$6:C$293,2,FALSE)))</f>
        <v/>
      </c>
      <c r="C326" s="69" t="str">
        <f>IF(ISNA(VLOOKUP(A326,Declarations!B$6:F$293,5,FALSE)),"",IF(VLOOKUP(A326,Declarations!B$6:F$293,5,FALSE)="","---",VLOOKUP(A326,Declarations!B$6:F$293,5,FALSE)))</f>
        <v/>
      </c>
      <c r="D326" s="69" t="str">
        <f>IF(ISNA(VLOOKUP(A326,Declarations!B$6:F$293,4,FALSE)),"",IF(VLOOKUP(A326,Declarations!B$6:F$293,4,FALSE)="","---",VLOOKUP(A326,Declarations!B$6:F$293,4,FALSE)))</f>
        <v/>
      </c>
      <c r="E326" s="284" t="s">
        <v>161</v>
      </c>
      <c r="F326" s="284" t="s">
        <v>161</v>
      </c>
      <c r="G326" s="284" t="s">
        <v>161</v>
      </c>
      <c r="H326" s="70"/>
    </row>
    <row r="327" spans="1:8" ht="20" customHeight="1">
      <c r="A327" s="68"/>
      <c r="B327" s="69" t="str">
        <f>IF(ISNA(VLOOKUP(A327,Declarations!B$6:C$293,2,FALSE)),"",IF(VLOOKUP(A327,Declarations!B$6:C$293,2,FALSE)="","---",VLOOKUP(A327,Declarations!B$6:C$293,2,FALSE)))</f>
        <v/>
      </c>
      <c r="C327" s="69" t="str">
        <f>IF(ISNA(VLOOKUP(A327,Declarations!B$6:F$293,5,FALSE)),"",IF(VLOOKUP(A327,Declarations!B$6:F$293,5,FALSE)="","---",VLOOKUP(A327,Declarations!B$6:F$293,5,FALSE)))</f>
        <v/>
      </c>
      <c r="D327" s="69" t="str">
        <f>IF(ISNA(VLOOKUP(A327,Declarations!B$6:F$293,4,FALSE)),"",IF(VLOOKUP(A327,Declarations!B$6:F$293,4,FALSE)="","---",VLOOKUP(A327,Declarations!B$6:F$293,4,FALSE)))</f>
        <v/>
      </c>
      <c r="E327" s="284" t="s">
        <v>161</v>
      </c>
      <c r="F327" s="284" t="s">
        <v>161</v>
      </c>
      <c r="G327" s="284" t="s">
        <v>161</v>
      </c>
      <c r="H327" s="70"/>
    </row>
    <row r="328" spans="1:8" ht="20" customHeight="1">
      <c r="A328" s="68"/>
      <c r="B328" s="69" t="str">
        <f>IF(ISNA(VLOOKUP(A328,Declarations!B$6:C$293,2,FALSE)),"",IF(VLOOKUP(A328,Declarations!B$6:C$293,2,FALSE)="","---",VLOOKUP(A328,Declarations!B$6:C$293,2,FALSE)))</f>
        <v/>
      </c>
      <c r="C328" s="69" t="str">
        <f>IF(ISNA(VLOOKUP(A328,Declarations!B$6:F$293,5,FALSE)),"",IF(VLOOKUP(A328,Declarations!B$6:F$293,5,FALSE)="","---",VLOOKUP(A328,Declarations!B$6:F$293,5,FALSE)))</f>
        <v/>
      </c>
      <c r="D328" s="69" t="str">
        <f>IF(ISNA(VLOOKUP(A328,Declarations!B$6:F$293,4,FALSE)),"",IF(VLOOKUP(A328,Declarations!B$6:F$293,4,FALSE)="","---",VLOOKUP(A328,Declarations!B$6:F$293,4,FALSE)))</f>
        <v/>
      </c>
      <c r="E328" s="284" t="s">
        <v>161</v>
      </c>
      <c r="F328" s="284" t="s">
        <v>161</v>
      </c>
      <c r="G328" s="284" t="s">
        <v>161</v>
      </c>
      <c r="H328" s="70"/>
    </row>
    <row r="329" spans="1:8" ht="20" customHeight="1">
      <c r="A329" s="68"/>
      <c r="B329" s="69" t="str">
        <f>IF(ISNA(VLOOKUP(A329,Declarations!B$6:C$293,2,FALSE)),"",IF(VLOOKUP(A329,Declarations!B$6:C$293,2,FALSE)="","---",VLOOKUP(A329,Declarations!B$6:C$293,2,FALSE)))</f>
        <v/>
      </c>
      <c r="C329" s="69" t="str">
        <f>IF(ISNA(VLOOKUP(A329,Declarations!B$6:F$293,5,FALSE)),"",IF(VLOOKUP(A329,Declarations!B$6:F$293,5,FALSE)="","---",VLOOKUP(A329,Declarations!B$6:F$293,5,FALSE)))</f>
        <v/>
      </c>
      <c r="D329" s="69" t="str">
        <f>IF(ISNA(VLOOKUP(A329,Declarations!B$6:F$293,4,FALSE)),"",IF(VLOOKUP(A329,Declarations!B$6:F$293,4,FALSE)="","---",VLOOKUP(A329,Declarations!B$6:F$293,4,FALSE)))</f>
        <v/>
      </c>
      <c r="E329" s="284" t="s">
        <v>161</v>
      </c>
      <c r="F329" s="284" t="s">
        <v>161</v>
      </c>
      <c r="G329" s="284" t="s">
        <v>161</v>
      </c>
      <c r="H329" s="70"/>
    </row>
    <row r="330" spans="1:8" ht="20" customHeight="1">
      <c r="A330" s="68"/>
      <c r="B330" s="69" t="str">
        <f>IF(ISNA(VLOOKUP(A330,Declarations!B$6:C$293,2,FALSE)),"",IF(VLOOKUP(A330,Declarations!B$6:C$293,2,FALSE)="","---",VLOOKUP(A330,Declarations!B$6:C$293,2,FALSE)))</f>
        <v/>
      </c>
      <c r="C330" s="69" t="str">
        <f>IF(ISNA(VLOOKUP(A330,Declarations!B$6:F$293,5,FALSE)),"",IF(VLOOKUP(A330,Declarations!B$6:F$293,5,FALSE)="","---",VLOOKUP(A330,Declarations!B$6:F$293,5,FALSE)))</f>
        <v/>
      </c>
      <c r="D330" s="69" t="str">
        <f>IF(ISNA(VLOOKUP(A330,Declarations!B$6:F$293,4,FALSE)),"",IF(VLOOKUP(A330,Declarations!B$6:F$293,4,FALSE)="","---",VLOOKUP(A330,Declarations!B$6:F$293,4,FALSE)))</f>
        <v/>
      </c>
      <c r="E330" s="284" t="s">
        <v>161</v>
      </c>
      <c r="F330" s="284" t="s">
        <v>161</v>
      </c>
      <c r="G330" s="284" t="s">
        <v>161</v>
      </c>
      <c r="H330" s="70"/>
    </row>
    <row r="331" spans="1:8" ht="20" customHeight="1">
      <c r="A331" s="68"/>
      <c r="B331" s="69" t="str">
        <f>IF(ISNA(VLOOKUP(A331,Declarations!B$6:C$293,2,FALSE)),"",IF(VLOOKUP(A331,Declarations!B$6:C$293,2,FALSE)="","---",VLOOKUP(A331,Declarations!B$6:C$293,2,FALSE)))</f>
        <v/>
      </c>
      <c r="C331" s="69" t="str">
        <f>IF(ISNA(VLOOKUP(A331,Declarations!B$6:F$293,5,FALSE)),"",IF(VLOOKUP(A331,Declarations!B$6:F$293,5,FALSE)="","---",VLOOKUP(A331,Declarations!B$6:F$293,5,FALSE)))</f>
        <v/>
      </c>
      <c r="D331" s="69" t="str">
        <f>IF(ISNA(VLOOKUP(A331,Declarations!B$6:F$293,4,FALSE)),"",IF(VLOOKUP(A331,Declarations!B$6:F$293,4,FALSE)="","---",VLOOKUP(A331,Declarations!B$6:F$293,4,FALSE)))</f>
        <v/>
      </c>
      <c r="E331" s="284" t="s">
        <v>161</v>
      </c>
      <c r="F331" s="284" t="s">
        <v>161</v>
      </c>
      <c r="G331" s="284" t="s">
        <v>161</v>
      </c>
      <c r="H331" s="70"/>
    </row>
    <row r="332" spans="1:8" ht="20" customHeight="1">
      <c r="A332" s="68"/>
      <c r="B332" s="69" t="str">
        <f>IF(ISNA(VLOOKUP(A332,Declarations!B$6:C$293,2,FALSE)),"",IF(VLOOKUP(A332,Declarations!B$6:C$293,2,FALSE)="","---",VLOOKUP(A332,Declarations!B$6:C$293,2,FALSE)))</f>
        <v/>
      </c>
      <c r="C332" s="69" t="str">
        <f>IF(ISNA(VLOOKUP(A332,Declarations!B$6:F$293,5,FALSE)),"",IF(VLOOKUP(A332,Declarations!B$6:F$293,5,FALSE)="","---",VLOOKUP(A332,Declarations!B$6:F$293,5,FALSE)))</f>
        <v/>
      </c>
      <c r="D332" s="69" t="str">
        <f>IF(ISNA(VLOOKUP(A332,Declarations!B$6:F$293,4,FALSE)),"",IF(VLOOKUP(A332,Declarations!B$6:F$293,4,FALSE)="","---",VLOOKUP(A332,Declarations!B$6:F$293,4,FALSE)))</f>
        <v/>
      </c>
      <c r="E332" s="284" t="s">
        <v>161</v>
      </c>
      <c r="F332" s="284" t="s">
        <v>161</v>
      </c>
      <c r="G332" s="284" t="s">
        <v>161</v>
      </c>
      <c r="H332" s="70"/>
    </row>
    <row r="333" spans="1:8" ht="20" customHeight="1">
      <c r="A333" s="68"/>
      <c r="B333" s="69" t="str">
        <f>IF(ISNA(VLOOKUP(A333,Declarations!B$6:C$293,2,FALSE)),"",IF(VLOOKUP(A333,Declarations!B$6:C$293,2,FALSE)="","---",VLOOKUP(A333,Declarations!B$6:C$293,2,FALSE)))</f>
        <v/>
      </c>
      <c r="C333" s="69" t="str">
        <f>IF(ISNA(VLOOKUP(A333,Declarations!B$6:F$293,5,FALSE)),"",IF(VLOOKUP(A333,Declarations!B$6:F$293,5,FALSE)="","---",VLOOKUP(A333,Declarations!B$6:F$293,5,FALSE)))</f>
        <v/>
      </c>
      <c r="D333" s="69" t="str">
        <f>IF(ISNA(VLOOKUP(A333,Declarations!B$6:F$293,4,FALSE)),"",IF(VLOOKUP(A333,Declarations!B$6:F$293,4,FALSE)="","---",VLOOKUP(A333,Declarations!B$6:F$293,4,FALSE)))</f>
        <v/>
      </c>
      <c r="E333" s="284" t="s">
        <v>161</v>
      </c>
      <c r="F333" s="284" t="s">
        <v>161</v>
      </c>
      <c r="G333" s="284" t="s">
        <v>161</v>
      </c>
      <c r="H333" s="70"/>
    </row>
    <row r="334" spans="1:8" ht="20" customHeight="1">
      <c r="A334" s="68"/>
      <c r="B334" s="69" t="str">
        <f>IF(ISNA(VLOOKUP(A334,Declarations!B$6:C$293,2,FALSE)),"",IF(VLOOKUP(A334,Declarations!B$6:C$293,2,FALSE)="","---",VLOOKUP(A334,Declarations!B$6:C$293,2,FALSE)))</f>
        <v/>
      </c>
      <c r="C334" s="69" t="str">
        <f>IF(ISNA(VLOOKUP(A334,Declarations!B$6:F$293,5,FALSE)),"",IF(VLOOKUP(A334,Declarations!B$6:F$293,5,FALSE)="","---",VLOOKUP(A334,Declarations!B$6:F$293,5,FALSE)))</f>
        <v/>
      </c>
      <c r="D334" s="69" t="str">
        <f>IF(ISNA(VLOOKUP(A334,Declarations!B$6:F$293,4,FALSE)),"",IF(VLOOKUP(A334,Declarations!B$6:F$293,4,FALSE)="","---",VLOOKUP(A334,Declarations!B$6:F$293,4,FALSE)))</f>
        <v/>
      </c>
      <c r="E334" s="284" t="s">
        <v>161</v>
      </c>
      <c r="F334" s="284" t="s">
        <v>161</v>
      </c>
      <c r="G334" s="284" t="s">
        <v>161</v>
      </c>
      <c r="H334" s="70"/>
    </row>
    <row r="335" spans="1:8" ht="20" customHeight="1">
      <c r="A335" s="68"/>
      <c r="B335" s="69" t="str">
        <f>IF(ISNA(VLOOKUP(A335,Declarations!B$6:C$293,2,FALSE)),"",IF(VLOOKUP(A335,Declarations!B$6:C$293,2,FALSE)="","---",VLOOKUP(A335,Declarations!B$6:C$293,2,FALSE)))</f>
        <v/>
      </c>
      <c r="C335" s="69" t="str">
        <f>IF(ISNA(VLOOKUP(A335,Declarations!B$6:F$293,5,FALSE)),"",IF(VLOOKUP(A335,Declarations!B$6:F$293,5,FALSE)="","---",VLOOKUP(A335,Declarations!B$6:F$293,5,FALSE)))</f>
        <v/>
      </c>
      <c r="D335" s="69" t="str">
        <f>IF(ISNA(VLOOKUP(A335,Declarations!B$6:F$293,4,FALSE)),"",IF(VLOOKUP(A335,Declarations!B$6:F$293,4,FALSE)="","---",VLOOKUP(A335,Declarations!B$6:F$293,4,FALSE)))</f>
        <v/>
      </c>
      <c r="E335" s="284" t="s">
        <v>161</v>
      </c>
      <c r="F335" s="284" t="s">
        <v>161</v>
      </c>
      <c r="G335" s="284" t="s">
        <v>161</v>
      </c>
      <c r="H335" s="70"/>
    </row>
    <row r="336" spans="1:8" ht="20" customHeight="1">
      <c r="A336" s="68"/>
      <c r="B336" s="69" t="str">
        <f>IF(ISNA(VLOOKUP(A336,Declarations!B$6:C$293,2,FALSE)),"",IF(VLOOKUP(A336,Declarations!B$6:C$293,2,FALSE)="","---",VLOOKUP(A336,Declarations!B$6:C$293,2,FALSE)))</f>
        <v/>
      </c>
      <c r="C336" s="69" t="str">
        <f>IF(ISNA(VLOOKUP(A336,Declarations!B$6:F$293,5,FALSE)),"",IF(VLOOKUP(A336,Declarations!B$6:F$293,5,FALSE)="","---",VLOOKUP(A336,Declarations!B$6:F$293,5,FALSE)))</f>
        <v/>
      </c>
      <c r="D336" s="69" t="str">
        <f>IF(ISNA(VLOOKUP(A336,Declarations!B$6:F$293,4,FALSE)),"",IF(VLOOKUP(A336,Declarations!B$6:F$293,4,FALSE)="","---",VLOOKUP(A336,Declarations!B$6:F$293,4,FALSE)))</f>
        <v/>
      </c>
      <c r="E336" s="284" t="s">
        <v>161</v>
      </c>
      <c r="F336" s="284" t="s">
        <v>161</v>
      </c>
      <c r="G336" s="284" t="s">
        <v>161</v>
      </c>
      <c r="H336" s="70"/>
    </row>
    <row r="337" spans="1:8" ht="20" customHeight="1">
      <c r="A337" s="68"/>
      <c r="B337" s="69" t="str">
        <f>IF(ISNA(VLOOKUP(A337,Declarations!B$6:C$293,2,FALSE)),"",IF(VLOOKUP(A337,Declarations!B$6:C$293,2,FALSE)="","---",VLOOKUP(A337,Declarations!B$6:C$293,2,FALSE)))</f>
        <v/>
      </c>
      <c r="C337" s="69" t="str">
        <f>IF(ISNA(VLOOKUP(A337,Declarations!B$6:F$293,5,FALSE)),"",IF(VLOOKUP(A337,Declarations!B$6:F$293,5,FALSE)="","---",VLOOKUP(A337,Declarations!B$6:F$293,5,FALSE)))</f>
        <v/>
      </c>
      <c r="D337" s="69" t="str">
        <f>IF(ISNA(VLOOKUP(A337,Declarations!B$6:F$293,4,FALSE)),"",IF(VLOOKUP(A337,Declarations!B$6:F$293,4,FALSE)="","---",VLOOKUP(A337,Declarations!B$6:F$293,4,FALSE)))</f>
        <v/>
      </c>
      <c r="E337" s="284" t="s">
        <v>161</v>
      </c>
      <c r="F337" s="284" t="s">
        <v>161</v>
      </c>
      <c r="G337" s="284" t="s">
        <v>161</v>
      </c>
      <c r="H337" s="70"/>
    </row>
    <row r="338" spans="1:8" ht="20" customHeight="1">
      <c r="A338" s="68"/>
      <c r="B338" s="69" t="str">
        <f>IF(ISNA(VLOOKUP(A338,Declarations!B$6:C$293,2,FALSE)),"",IF(VLOOKUP(A338,Declarations!B$6:C$293,2,FALSE)="","---",VLOOKUP(A338,Declarations!B$6:C$293,2,FALSE)))</f>
        <v/>
      </c>
      <c r="C338" s="69" t="str">
        <f>IF(ISNA(VLOOKUP(A338,Declarations!B$6:F$293,5,FALSE)),"",IF(VLOOKUP(A338,Declarations!B$6:F$293,5,FALSE)="","---",VLOOKUP(A338,Declarations!B$6:F$293,5,FALSE)))</f>
        <v/>
      </c>
      <c r="D338" s="69" t="str">
        <f>IF(ISNA(VLOOKUP(A338,Declarations!B$6:F$293,4,FALSE)),"",IF(VLOOKUP(A338,Declarations!B$6:F$293,4,FALSE)="","---",VLOOKUP(A338,Declarations!B$6:F$293,4,FALSE)))</f>
        <v/>
      </c>
      <c r="E338" s="284" t="s">
        <v>161</v>
      </c>
      <c r="F338" s="284" t="s">
        <v>161</v>
      </c>
      <c r="G338" s="284" t="s">
        <v>161</v>
      </c>
      <c r="H338" s="70"/>
    </row>
    <row r="339" spans="1:8" ht="20" customHeight="1">
      <c r="A339" s="68"/>
      <c r="B339" s="69" t="str">
        <f>IF(ISNA(VLOOKUP(A339,Declarations!B$6:C$293,2,FALSE)),"",IF(VLOOKUP(A339,Declarations!B$6:C$293,2,FALSE)="","---",VLOOKUP(A339,Declarations!B$6:C$293,2,FALSE)))</f>
        <v/>
      </c>
      <c r="C339" s="69" t="str">
        <f>IF(ISNA(VLOOKUP(A339,Declarations!B$6:F$293,5,FALSE)),"",IF(VLOOKUP(A339,Declarations!B$6:F$293,5,FALSE)="","---",VLOOKUP(A339,Declarations!B$6:F$293,5,FALSE)))</f>
        <v/>
      </c>
      <c r="D339" s="69" t="str">
        <f>IF(ISNA(VLOOKUP(A339,Declarations!B$6:F$293,4,FALSE)),"",IF(VLOOKUP(A339,Declarations!B$6:F$293,4,FALSE)="","---",VLOOKUP(A339,Declarations!B$6:F$293,4,FALSE)))</f>
        <v/>
      </c>
      <c r="E339" s="284" t="s">
        <v>161</v>
      </c>
      <c r="F339" s="284" t="s">
        <v>161</v>
      </c>
      <c r="G339" s="284" t="s">
        <v>161</v>
      </c>
      <c r="H339" s="70"/>
    </row>
    <row r="340" spans="1:8" ht="20" customHeight="1">
      <c r="A340" s="68"/>
      <c r="B340" s="69" t="str">
        <f>IF(ISNA(VLOOKUP(A340,Declarations!B$6:C$293,2,FALSE)),"",IF(VLOOKUP(A340,Declarations!B$6:C$293,2,FALSE)="","---",VLOOKUP(A340,Declarations!B$6:C$293,2,FALSE)))</f>
        <v/>
      </c>
      <c r="C340" s="69" t="str">
        <f>IF(ISNA(VLOOKUP(A340,Declarations!B$6:F$293,5,FALSE)),"",IF(VLOOKUP(A340,Declarations!B$6:F$293,5,FALSE)="","---",VLOOKUP(A340,Declarations!B$6:F$293,5,FALSE)))</f>
        <v/>
      </c>
      <c r="D340" s="69" t="str">
        <f>IF(ISNA(VLOOKUP(A340,Declarations!B$6:F$293,4,FALSE)),"",IF(VLOOKUP(A340,Declarations!B$6:F$293,4,FALSE)="","---",VLOOKUP(A340,Declarations!B$6:F$293,4,FALSE)))</f>
        <v/>
      </c>
      <c r="E340" s="284" t="s">
        <v>161</v>
      </c>
      <c r="F340" s="284" t="s">
        <v>161</v>
      </c>
      <c r="G340" s="284" t="s">
        <v>161</v>
      </c>
      <c r="H340" s="70"/>
    </row>
    <row r="341" spans="1:8" ht="20" customHeight="1">
      <c r="A341" s="68"/>
      <c r="B341" s="69" t="str">
        <f>IF(ISNA(VLOOKUP(A341,Declarations!B$6:C$293,2,FALSE)),"",IF(VLOOKUP(A341,Declarations!B$6:C$293,2,FALSE)="","---",VLOOKUP(A341,Declarations!B$6:C$293,2,FALSE)))</f>
        <v/>
      </c>
      <c r="C341" s="69" t="str">
        <f>IF(ISNA(VLOOKUP(A341,Declarations!B$6:F$293,5,FALSE)),"",IF(VLOOKUP(A341,Declarations!B$6:F$293,5,FALSE)="","---",VLOOKUP(A341,Declarations!B$6:F$293,5,FALSE)))</f>
        <v/>
      </c>
      <c r="D341" s="69" t="str">
        <f>IF(ISNA(VLOOKUP(A341,Declarations!B$6:F$293,4,FALSE)),"",IF(VLOOKUP(A341,Declarations!B$6:F$293,4,FALSE)="","---",VLOOKUP(A341,Declarations!B$6:F$293,4,FALSE)))</f>
        <v/>
      </c>
      <c r="E341" s="284" t="s">
        <v>161</v>
      </c>
      <c r="F341" s="284" t="s">
        <v>161</v>
      </c>
      <c r="G341" s="284" t="s">
        <v>161</v>
      </c>
      <c r="H341" s="70"/>
    </row>
    <row r="342" spans="1:8" ht="20" customHeight="1">
      <c r="A342" s="68"/>
      <c r="B342" s="69" t="str">
        <f>IF(ISNA(VLOOKUP(A342,Declarations!B$6:C$293,2,FALSE)),"",IF(VLOOKUP(A342,Declarations!B$6:C$293,2,FALSE)="","---",VLOOKUP(A342,Declarations!B$6:C$293,2,FALSE)))</f>
        <v/>
      </c>
      <c r="C342" s="69" t="str">
        <f>IF(ISNA(VLOOKUP(A342,Declarations!B$6:F$293,5,FALSE)),"",IF(VLOOKUP(A342,Declarations!B$6:F$293,5,FALSE)="","---",VLOOKUP(A342,Declarations!B$6:F$293,5,FALSE)))</f>
        <v/>
      </c>
      <c r="D342" s="69" t="str">
        <f>IF(ISNA(VLOOKUP(A342,Declarations!B$6:F$293,4,FALSE)),"",IF(VLOOKUP(A342,Declarations!B$6:F$293,4,FALSE)="","---",VLOOKUP(A342,Declarations!B$6:F$293,4,FALSE)))</f>
        <v/>
      </c>
      <c r="E342" s="284" t="s">
        <v>161</v>
      </c>
      <c r="F342" s="284" t="s">
        <v>161</v>
      </c>
      <c r="G342" s="284" t="s">
        <v>161</v>
      </c>
      <c r="H342" s="70"/>
    </row>
    <row r="343" spans="1:8" ht="20" customHeight="1">
      <c r="A343" s="68"/>
      <c r="B343" s="69" t="str">
        <f>IF(ISNA(VLOOKUP(A343,Declarations!B$6:C$293,2,FALSE)),"",IF(VLOOKUP(A343,Declarations!B$6:C$293,2,FALSE)="","---",VLOOKUP(A343,Declarations!B$6:C$293,2,FALSE)))</f>
        <v/>
      </c>
      <c r="C343" s="69" t="str">
        <f>IF(ISNA(VLOOKUP(A343,Declarations!B$6:F$293,5,FALSE)),"",IF(VLOOKUP(A343,Declarations!B$6:F$293,5,FALSE)="","---",VLOOKUP(A343,Declarations!B$6:F$293,5,FALSE)))</f>
        <v/>
      </c>
      <c r="D343" s="69" t="str">
        <f>IF(ISNA(VLOOKUP(A343,Declarations!B$6:F$293,4,FALSE)),"",IF(VLOOKUP(A343,Declarations!B$6:F$293,4,FALSE)="","---",VLOOKUP(A343,Declarations!B$6:F$293,4,FALSE)))</f>
        <v/>
      </c>
      <c r="E343" s="284" t="s">
        <v>161</v>
      </c>
      <c r="F343" s="284" t="s">
        <v>161</v>
      </c>
      <c r="G343" s="284" t="s">
        <v>161</v>
      </c>
      <c r="H343" s="70"/>
    </row>
    <row r="344" spans="1:8" ht="20" customHeight="1">
      <c r="A344" s="68"/>
      <c r="B344" s="69" t="str">
        <f>IF(ISNA(VLOOKUP(A344,Declarations!B$6:C$293,2,FALSE)),"",IF(VLOOKUP(A344,Declarations!B$6:C$293,2,FALSE)="","---",VLOOKUP(A344,Declarations!B$6:C$293,2,FALSE)))</f>
        <v/>
      </c>
      <c r="C344" s="69" t="str">
        <f>IF(ISNA(VLOOKUP(A344,Declarations!B$6:F$293,5,FALSE)),"",IF(VLOOKUP(A344,Declarations!B$6:F$293,5,FALSE)="","---",VLOOKUP(A344,Declarations!B$6:F$293,5,FALSE)))</f>
        <v/>
      </c>
      <c r="D344" s="69" t="str">
        <f>IF(ISNA(VLOOKUP(A344,Declarations!B$6:F$293,4,FALSE)),"",IF(VLOOKUP(A344,Declarations!B$6:F$293,4,FALSE)="","---",VLOOKUP(A344,Declarations!B$6:F$293,4,FALSE)))</f>
        <v/>
      </c>
      <c r="E344" s="284" t="s">
        <v>161</v>
      </c>
      <c r="F344" s="284" t="s">
        <v>161</v>
      </c>
      <c r="G344" s="284" t="s">
        <v>161</v>
      </c>
      <c r="H344" s="70"/>
    </row>
    <row r="345" spans="1:8" ht="20" customHeight="1">
      <c r="A345" s="68"/>
      <c r="B345" s="69" t="str">
        <f>IF(ISNA(VLOOKUP(A345,Declarations!B$6:C$293,2,FALSE)),"",IF(VLOOKUP(A345,Declarations!B$6:C$293,2,FALSE)="","---",VLOOKUP(A345,Declarations!B$6:C$293,2,FALSE)))</f>
        <v/>
      </c>
      <c r="C345" s="69" t="str">
        <f>IF(ISNA(VLOOKUP(A345,Declarations!B$6:F$293,5,FALSE)),"",IF(VLOOKUP(A345,Declarations!B$6:F$293,5,FALSE)="","---",VLOOKUP(A345,Declarations!B$6:F$293,5,FALSE)))</f>
        <v/>
      </c>
      <c r="D345" s="69" t="str">
        <f>IF(ISNA(VLOOKUP(A345,Declarations!B$6:F$293,4,FALSE)),"",IF(VLOOKUP(A345,Declarations!B$6:F$293,4,FALSE)="","---",VLOOKUP(A345,Declarations!B$6:F$293,4,FALSE)))</f>
        <v/>
      </c>
      <c r="E345" s="284" t="s">
        <v>161</v>
      </c>
      <c r="F345" s="284" t="s">
        <v>161</v>
      </c>
      <c r="G345" s="284" t="s">
        <v>161</v>
      </c>
      <c r="H345" s="70"/>
    </row>
    <row r="346" spans="1:8" ht="20" customHeight="1">
      <c r="A346" s="68"/>
      <c r="B346" s="69" t="str">
        <f>IF(ISNA(VLOOKUP(A346,Declarations!B$6:C$293,2,FALSE)),"",IF(VLOOKUP(A346,Declarations!B$6:C$293,2,FALSE)="","---",VLOOKUP(A346,Declarations!B$6:C$293,2,FALSE)))</f>
        <v/>
      </c>
      <c r="C346" s="69" t="str">
        <f>IF(ISNA(VLOOKUP(A346,Declarations!B$6:F$293,5,FALSE)),"",IF(VLOOKUP(A346,Declarations!B$6:F$293,5,FALSE)="","---",VLOOKUP(A346,Declarations!B$6:F$293,5,FALSE)))</f>
        <v/>
      </c>
      <c r="D346" s="69" t="str">
        <f>IF(ISNA(VLOOKUP(A346,Declarations!B$6:F$293,4,FALSE)),"",IF(VLOOKUP(A346,Declarations!B$6:F$293,4,FALSE)="","---",VLOOKUP(A346,Declarations!B$6:F$293,4,FALSE)))</f>
        <v/>
      </c>
      <c r="E346" s="284" t="s">
        <v>161</v>
      </c>
      <c r="F346" s="284" t="s">
        <v>161</v>
      </c>
      <c r="G346" s="284" t="s">
        <v>161</v>
      </c>
      <c r="H346" s="70"/>
    </row>
    <row r="347" spans="1:8" ht="20" customHeight="1">
      <c r="A347" s="68"/>
      <c r="B347" s="69" t="str">
        <f>IF(ISNA(VLOOKUP(A347,Declarations!B$6:C$293,2,FALSE)),"",IF(VLOOKUP(A347,Declarations!B$6:C$293,2,FALSE)="","---",VLOOKUP(A347,Declarations!B$6:C$293,2,FALSE)))</f>
        <v/>
      </c>
      <c r="C347" s="69" t="str">
        <f>IF(ISNA(VLOOKUP(A347,Declarations!B$6:F$293,5,FALSE)),"",IF(VLOOKUP(A347,Declarations!B$6:F$293,5,FALSE)="","---",VLOOKUP(A347,Declarations!B$6:F$293,5,FALSE)))</f>
        <v/>
      </c>
      <c r="D347" s="69" t="str">
        <f>IF(ISNA(VLOOKUP(A347,Declarations!B$6:F$293,4,FALSE)),"",IF(VLOOKUP(A347,Declarations!B$6:F$293,4,FALSE)="","---",VLOOKUP(A347,Declarations!B$6:F$293,4,FALSE)))</f>
        <v/>
      </c>
      <c r="E347" s="284" t="s">
        <v>161</v>
      </c>
      <c r="F347" s="284" t="s">
        <v>161</v>
      </c>
      <c r="G347" s="284" t="s">
        <v>161</v>
      </c>
      <c r="H347" s="70"/>
    </row>
    <row r="348" spans="1:8" ht="20" customHeight="1">
      <c r="A348" s="68"/>
      <c r="B348" s="69" t="str">
        <f>IF(ISNA(VLOOKUP(A348,Declarations!B$6:C$293,2,FALSE)),"",IF(VLOOKUP(A348,Declarations!B$6:C$293,2,FALSE)="","---",VLOOKUP(A348,Declarations!B$6:C$293,2,FALSE)))</f>
        <v/>
      </c>
      <c r="C348" s="69" t="str">
        <f>IF(ISNA(VLOOKUP(A348,Declarations!B$6:F$293,5,FALSE)),"",IF(VLOOKUP(A348,Declarations!B$6:F$293,5,FALSE)="","---",VLOOKUP(A348,Declarations!B$6:F$293,5,FALSE)))</f>
        <v/>
      </c>
      <c r="D348" s="69" t="str">
        <f>IF(ISNA(VLOOKUP(A348,Declarations!B$6:F$293,4,FALSE)),"",IF(VLOOKUP(A348,Declarations!B$6:F$293,4,FALSE)="","---",VLOOKUP(A348,Declarations!B$6:F$293,4,FALSE)))</f>
        <v/>
      </c>
      <c r="E348" s="284" t="s">
        <v>161</v>
      </c>
      <c r="F348" s="284" t="s">
        <v>161</v>
      </c>
      <c r="G348" s="284" t="s">
        <v>161</v>
      </c>
      <c r="H348" s="70"/>
    </row>
    <row r="349" spans="1:8" ht="20" customHeight="1">
      <c r="A349" s="68"/>
      <c r="B349" s="69" t="str">
        <f>IF(ISNA(VLOOKUP(A349,Declarations!B$6:C$293,2,FALSE)),"",IF(VLOOKUP(A349,Declarations!B$6:C$293,2,FALSE)="","---",VLOOKUP(A349,Declarations!B$6:C$293,2,FALSE)))</f>
        <v/>
      </c>
      <c r="C349" s="69" t="str">
        <f>IF(ISNA(VLOOKUP(A349,Declarations!B$6:F$293,5,FALSE)),"",IF(VLOOKUP(A349,Declarations!B$6:F$293,5,FALSE)="","---",VLOOKUP(A349,Declarations!B$6:F$293,5,FALSE)))</f>
        <v/>
      </c>
      <c r="D349" s="69" t="str">
        <f>IF(ISNA(VLOOKUP(A349,Declarations!B$6:F$293,4,FALSE)),"",IF(VLOOKUP(A349,Declarations!B$6:F$293,4,FALSE)="","---",VLOOKUP(A349,Declarations!B$6:F$293,4,FALSE)))</f>
        <v/>
      </c>
      <c r="E349" s="284" t="s">
        <v>161</v>
      </c>
      <c r="F349" s="284" t="s">
        <v>161</v>
      </c>
      <c r="G349" s="284" t="s">
        <v>161</v>
      </c>
      <c r="H349" s="70"/>
    </row>
    <row r="350" spans="1:8" ht="20" customHeight="1">
      <c r="A350" s="68"/>
      <c r="B350" s="69" t="str">
        <f>IF(ISNA(VLOOKUP(A350,Declarations!B$6:C$293,2,FALSE)),"",IF(VLOOKUP(A350,Declarations!B$6:C$293,2,FALSE)="","---",VLOOKUP(A350,Declarations!B$6:C$293,2,FALSE)))</f>
        <v/>
      </c>
      <c r="C350" s="69" t="str">
        <f>IF(ISNA(VLOOKUP(A350,Declarations!B$6:F$293,5,FALSE)),"",IF(VLOOKUP(A350,Declarations!B$6:F$293,5,FALSE)="","---",VLOOKUP(A350,Declarations!B$6:F$293,5,FALSE)))</f>
        <v/>
      </c>
      <c r="D350" s="69" t="str">
        <f>IF(ISNA(VLOOKUP(A350,Declarations!B$6:F$293,4,FALSE)),"",IF(VLOOKUP(A350,Declarations!B$6:F$293,4,FALSE)="","---",VLOOKUP(A350,Declarations!B$6:F$293,4,FALSE)))</f>
        <v/>
      </c>
      <c r="E350" s="284" t="s">
        <v>161</v>
      </c>
      <c r="F350" s="284" t="s">
        <v>161</v>
      </c>
      <c r="G350" s="284" t="s">
        <v>161</v>
      </c>
      <c r="H350" s="70"/>
    </row>
    <row r="351" spans="1:8" ht="20" customHeight="1">
      <c r="A351" s="68"/>
      <c r="B351" s="69" t="str">
        <f>IF(ISNA(VLOOKUP(A351,Declarations!B$6:C$293,2,FALSE)),"",IF(VLOOKUP(A351,Declarations!B$6:C$293,2,FALSE)="","---",VLOOKUP(A351,Declarations!B$6:C$293,2,FALSE)))</f>
        <v/>
      </c>
      <c r="C351" s="69" t="str">
        <f>IF(ISNA(VLOOKUP(A351,Declarations!B$6:F$293,5,FALSE)),"",IF(VLOOKUP(A351,Declarations!B$6:F$293,5,FALSE)="","---",VLOOKUP(A351,Declarations!B$6:F$293,5,FALSE)))</f>
        <v/>
      </c>
      <c r="D351" s="69" t="str">
        <f>IF(ISNA(VLOOKUP(A351,Declarations!B$6:F$293,4,FALSE)),"",IF(VLOOKUP(A351,Declarations!B$6:F$293,4,FALSE)="","---",VLOOKUP(A351,Declarations!B$6:F$293,4,FALSE)))</f>
        <v/>
      </c>
      <c r="E351" s="284" t="s">
        <v>161</v>
      </c>
      <c r="F351" s="284" t="s">
        <v>161</v>
      </c>
      <c r="G351" s="284" t="s">
        <v>161</v>
      </c>
      <c r="H351" s="70"/>
    </row>
    <row r="352" spans="1:8" ht="20" customHeight="1">
      <c r="A352" s="68"/>
      <c r="B352" s="69" t="str">
        <f>IF(ISNA(VLOOKUP(A352,Declarations!B$6:C$293,2,FALSE)),"",IF(VLOOKUP(A352,Declarations!B$6:C$293,2,FALSE)="","---",VLOOKUP(A352,Declarations!B$6:C$293,2,FALSE)))</f>
        <v/>
      </c>
      <c r="C352" s="69" t="str">
        <f>IF(ISNA(VLOOKUP(A352,Declarations!B$6:F$293,5,FALSE)),"",IF(VLOOKUP(A352,Declarations!B$6:F$293,5,FALSE)="","---",VLOOKUP(A352,Declarations!B$6:F$293,5,FALSE)))</f>
        <v/>
      </c>
      <c r="D352" s="69" t="str">
        <f>IF(ISNA(VLOOKUP(A352,Declarations!B$6:F$293,4,FALSE)),"",IF(VLOOKUP(A352,Declarations!B$6:F$293,4,FALSE)="","---",VLOOKUP(A352,Declarations!B$6:F$293,4,FALSE)))</f>
        <v/>
      </c>
      <c r="E352" s="284" t="s">
        <v>161</v>
      </c>
      <c r="F352" s="284" t="s">
        <v>161</v>
      </c>
      <c r="G352" s="284" t="s">
        <v>161</v>
      </c>
      <c r="H352" s="70"/>
    </row>
    <row r="353" spans="1:8" ht="20" customHeight="1">
      <c r="A353" s="68"/>
      <c r="B353" s="69" t="str">
        <f>IF(ISNA(VLOOKUP(A353,Declarations!B$6:C$293,2,FALSE)),"",IF(VLOOKUP(A353,Declarations!B$6:C$293,2,FALSE)="","---",VLOOKUP(A353,Declarations!B$6:C$293,2,FALSE)))</f>
        <v/>
      </c>
      <c r="C353" s="69" t="str">
        <f>IF(ISNA(VLOOKUP(A353,Declarations!B$6:F$293,5,FALSE)),"",IF(VLOOKUP(A353,Declarations!B$6:F$293,5,FALSE)="","---",VLOOKUP(A353,Declarations!B$6:F$293,5,FALSE)))</f>
        <v/>
      </c>
      <c r="D353" s="69" t="str">
        <f>IF(ISNA(VLOOKUP(A353,Declarations!B$6:F$293,4,FALSE)),"",IF(VLOOKUP(A353,Declarations!B$6:F$293,4,FALSE)="","---",VLOOKUP(A353,Declarations!B$6:F$293,4,FALSE)))</f>
        <v/>
      </c>
      <c r="E353" s="284" t="s">
        <v>161</v>
      </c>
      <c r="F353" s="284" t="s">
        <v>161</v>
      </c>
      <c r="G353" s="284" t="s">
        <v>161</v>
      </c>
      <c r="H353" s="70"/>
    </row>
    <row r="354" spans="1:8" ht="20" customHeight="1">
      <c r="A354" s="68"/>
      <c r="B354" s="69" t="str">
        <f>IF(ISNA(VLOOKUP(A354,Declarations!B$6:C$293,2,FALSE)),"",IF(VLOOKUP(A354,Declarations!B$6:C$293,2,FALSE)="","---",VLOOKUP(A354,Declarations!B$6:C$293,2,FALSE)))</f>
        <v/>
      </c>
      <c r="C354" s="69" t="str">
        <f>IF(ISNA(VLOOKUP(A354,Declarations!B$6:F$293,5,FALSE)),"",IF(VLOOKUP(A354,Declarations!B$6:F$293,5,FALSE)="","---",VLOOKUP(A354,Declarations!B$6:F$293,5,FALSE)))</f>
        <v/>
      </c>
      <c r="D354" s="69" t="str">
        <f>IF(ISNA(VLOOKUP(A354,Declarations!B$6:F$293,4,FALSE)),"",IF(VLOOKUP(A354,Declarations!B$6:F$293,4,FALSE)="","---",VLOOKUP(A354,Declarations!B$6:F$293,4,FALSE)))</f>
        <v/>
      </c>
      <c r="E354" s="284" t="s">
        <v>161</v>
      </c>
      <c r="F354" s="284" t="s">
        <v>161</v>
      </c>
      <c r="G354" s="284" t="s">
        <v>161</v>
      </c>
      <c r="H354" s="70"/>
    </row>
    <row r="355" spans="1:8">
      <c r="A355" s="71"/>
      <c r="B355" s="72"/>
      <c r="C355" s="72"/>
      <c r="D355" s="72"/>
      <c r="E355" s="73"/>
      <c r="F355" s="73"/>
      <c r="G355" s="73"/>
      <c r="H355" s="73"/>
    </row>
    <row r="356" spans="1:8">
      <c r="A356" s="71"/>
      <c r="B356" s="510" t="s">
        <v>92</v>
      </c>
      <c r="C356" s="511"/>
      <c r="D356" s="72"/>
      <c r="E356" s="509" t="s">
        <v>93</v>
      </c>
      <c r="F356" s="509"/>
      <c r="G356" s="501" t="s">
        <v>43</v>
      </c>
      <c r="H356" s="501"/>
    </row>
    <row r="357" spans="1:8" ht="16" customHeight="1">
      <c r="A357" s="71"/>
      <c r="B357" s="512"/>
      <c r="C357" s="513"/>
      <c r="D357" s="72"/>
      <c r="E357" s="501"/>
      <c r="F357" s="501"/>
      <c r="G357" s="501"/>
      <c r="H357" s="501"/>
    </row>
    <row r="358" spans="1:8">
      <c r="A358" s="71"/>
      <c r="B358" s="512"/>
      <c r="C358" s="513"/>
      <c r="D358" s="72"/>
      <c r="E358" s="501"/>
      <c r="F358" s="501"/>
      <c r="G358" s="501"/>
      <c r="H358" s="501"/>
    </row>
    <row r="359" spans="1:8">
      <c r="A359" s="71"/>
      <c r="B359" s="514"/>
      <c r="C359" s="515"/>
      <c r="D359" s="72"/>
      <c r="E359" s="501"/>
      <c r="F359" s="501"/>
      <c r="G359" s="501"/>
      <c r="H359" s="501"/>
    </row>
    <row r="360" spans="1:8" ht="8" customHeight="1">
      <c r="A360" s="71"/>
      <c r="B360" s="72"/>
      <c r="C360" s="72"/>
      <c r="D360" s="72"/>
      <c r="E360" s="97"/>
      <c r="F360" s="97"/>
      <c r="G360" s="97"/>
      <c r="H360" s="97"/>
    </row>
    <row r="361" spans="1:8" ht="20">
      <c r="A361" s="502" t="str">
        <f>'Read Me First'!A1:F1</f>
        <v>Oxfordshire Track and Field League 2026</v>
      </c>
      <c r="B361" s="503"/>
      <c r="C361" s="503"/>
      <c r="D361" s="503"/>
      <c r="E361" s="503"/>
      <c r="F361" s="503"/>
      <c r="G361" s="503"/>
      <c r="H361" s="504"/>
    </row>
    <row r="362" spans="1:8" ht="18">
      <c r="A362" s="61" t="s">
        <v>12</v>
      </c>
      <c r="B362" s="62">
        <f>'Read Me First'!$C$10</f>
        <v>46250</v>
      </c>
      <c r="C362" s="63">
        <v>0.45833333333333331</v>
      </c>
      <c r="D362" s="61" t="s">
        <v>13</v>
      </c>
      <c r="E362" s="505" t="str">
        <f>$E$2</f>
        <v>Banbury</v>
      </c>
      <c r="F362" s="506"/>
      <c r="G362" s="506"/>
      <c r="H362" s="507"/>
    </row>
    <row r="363" spans="1:8" ht="18">
      <c r="A363" s="508" t="s">
        <v>50</v>
      </c>
      <c r="B363" s="508"/>
      <c r="C363" s="508"/>
      <c r="D363" s="508"/>
      <c r="E363" s="60">
        <v>1</v>
      </c>
      <c r="F363" s="60">
        <v>2</v>
      </c>
      <c r="G363" s="60">
        <v>3</v>
      </c>
      <c r="H363" s="60" t="s">
        <v>42</v>
      </c>
    </row>
    <row r="364" spans="1:8" ht="18">
      <c r="A364" s="66"/>
      <c r="B364" s="66"/>
      <c r="C364" s="66"/>
      <c r="D364" s="66"/>
      <c r="E364" s="67"/>
      <c r="F364" s="67"/>
      <c r="G364" s="67"/>
      <c r="H364" s="67"/>
    </row>
    <row r="365" spans="1:8" ht="20" customHeight="1">
      <c r="A365" s="68" t="str" cm="1">
        <f t="array" ref="A365">IFERROR(_xlfn.TEXTSPLIT(IFERROR(_xlfn.TEXTJOIN(",",TRUE,_xlfn._xlws.FILTER(BlockAllocations!$F$3:$F$20,BlockAllocations!$E$3:$E$20=BlockAllocations!$G$15)),""),,",")+0,"!")</f>
        <v>!</v>
      </c>
      <c r="B365" s="69" t="str">
        <f>IF(ISNA(VLOOKUP(A365,Declarations!B$6:C$293,2,FALSE)),"",IF(VLOOKUP(A365,Declarations!B$6:C$293,2,FALSE)="","---",VLOOKUP(A365,Declarations!B$6:C$293,2,FALSE)))</f>
        <v/>
      </c>
      <c r="C365" s="69" t="str">
        <f>IF(ISNA(VLOOKUP(A365,Declarations!B$6:F$293,5,FALSE)),"",IF(VLOOKUP(A365,Declarations!B$6:F$293,5,FALSE)="","---",VLOOKUP(A365,Declarations!B$6:F$293,5,FALSE)))</f>
        <v/>
      </c>
      <c r="D365" s="69" t="str">
        <f>IF(ISNA(VLOOKUP(A365,Declarations!B$6:F$293,4,FALSE)),"",IF(VLOOKUP(A365,Declarations!B$6:F$293,4,FALSE)="","---",VLOOKUP(A365,Declarations!B$6:F$293,4,FALSE)))</f>
        <v/>
      </c>
      <c r="E365" s="284" t="s">
        <v>161</v>
      </c>
      <c r="F365" s="284" t="s">
        <v>161</v>
      </c>
      <c r="G365" s="284" t="s">
        <v>161</v>
      </c>
      <c r="H365" s="70"/>
    </row>
    <row r="366" spans="1:8" ht="20" customHeight="1">
      <c r="A366" s="68"/>
      <c r="B366" s="69" t="str">
        <f>IF(ISNA(VLOOKUP(A366,Declarations!B$6:C$293,2,FALSE)),"",IF(VLOOKUP(A366,Declarations!B$6:C$293,2,FALSE)="","---",VLOOKUP(A366,Declarations!B$6:C$293,2,FALSE)))</f>
        <v/>
      </c>
      <c r="C366" s="69" t="str">
        <f>IF(ISNA(VLOOKUP(A366,Declarations!B$6:F$293,5,FALSE)),"",IF(VLOOKUP(A366,Declarations!B$6:F$293,5,FALSE)="","---",VLOOKUP(A366,Declarations!B$6:F$293,5,FALSE)))</f>
        <v/>
      </c>
      <c r="D366" s="69" t="str">
        <f>IF(ISNA(VLOOKUP(A366,Declarations!B$6:F$293,4,FALSE)),"",IF(VLOOKUP(A366,Declarations!B$6:F$293,4,FALSE)="","---",VLOOKUP(A366,Declarations!B$6:F$293,4,FALSE)))</f>
        <v/>
      </c>
      <c r="E366" s="284" t="s">
        <v>161</v>
      </c>
      <c r="F366" s="284" t="s">
        <v>161</v>
      </c>
      <c r="G366" s="284" t="s">
        <v>161</v>
      </c>
      <c r="H366" s="70"/>
    </row>
    <row r="367" spans="1:8" ht="20" customHeight="1">
      <c r="A367" s="68"/>
      <c r="B367" s="69" t="str">
        <f>IF(ISNA(VLOOKUP(A367,Declarations!B$6:C$293,2,FALSE)),"",IF(VLOOKUP(A367,Declarations!B$6:C$293,2,FALSE)="","---",VLOOKUP(A367,Declarations!B$6:C$293,2,FALSE)))</f>
        <v/>
      </c>
      <c r="C367" s="69" t="str">
        <f>IF(ISNA(VLOOKUP(A367,Declarations!B$6:F$293,5,FALSE)),"",IF(VLOOKUP(A367,Declarations!B$6:F$293,5,FALSE)="","---",VLOOKUP(A367,Declarations!B$6:F$293,5,FALSE)))</f>
        <v/>
      </c>
      <c r="D367" s="69" t="str">
        <f>IF(ISNA(VLOOKUP(A367,Declarations!B$6:F$293,4,FALSE)),"",IF(VLOOKUP(A367,Declarations!B$6:F$293,4,FALSE)="","---",VLOOKUP(A367,Declarations!B$6:F$293,4,FALSE)))</f>
        <v/>
      </c>
      <c r="E367" s="284" t="s">
        <v>161</v>
      </c>
      <c r="F367" s="284" t="s">
        <v>161</v>
      </c>
      <c r="G367" s="284" t="s">
        <v>161</v>
      </c>
      <c r="H367" s="70"/>
    </row>
    <row r="368" spans="1:8" ht="20" customHeight="1">
      <c r="A368" s="68"/>
      <c r="B368" s="69" t="str">
        <f>IF(ISNA(VLOOKUP(A368,Declarations!B$6:C$293,2,FALSE)),"",IF(VLOOKUP(A368,Declarations!B$6:C$293,2,FALSE)="","---",VLOOKUP(A368,Declarations!B$6:C$293,2,FALSE)))</f>
        <v/>
      </c>
      <c r="C368" s="69" t="str">
        <f>IF(ISNA(VLOOKUP(A368,Declarations!B$6:F$293,5,FALSE)),"",IF(VLOOKUP(A368,Declarations!B$6:F$293,5,FALSE)="","---",VLOOKUP(A368,Declarations!B$6:F$293,5,FALSE)))</f>
        <v/>
      </c>
      <c r="D368" s="69" t="str">
        <f>IF(ISNA(VLOOKUP(A368,Declarations!B$6:F$293,4,FALSE)),"",IF(VLOOKUP(A368,Declarations!B$6:F$293,4,FALSE)="","---",VLOOKUP(A368,Declarations!B$6:F$293,4,FALSE)))</f>
        <v/>
      </c>
      <c r="E368" s="284" t="s">
        <v>161</v>
      </c>
      <c r="F368" s="284" t="s">
        <v>161</v>
      </c>
      <c r="G368" s="284" t="s">
        <v>161</v>
      </c>
      <c r="H368" s="70"/>
    </row>
    <row r="369" spans="1:8" ht="20" customHeight="1">
      <c r="A369" s="68"/>
      <c r="B369" s="69" t="str">
        <f>IF(ISNA(VLOOKUP(A369,Declarations!B$6:C$293,2,FALSE)),"",IF(VLOOKUP(A369,Declarations!B$6:C$293,2,FALSE)="","---",VLOOKUP(A369,Declarations!B$6:C$293,2,FALSE)))</f>
        <v/>
      </c>
      <c r="C369" s="69" t="str">
        <f>IF(ISNA(VLOOKUP(A369,Declarations!B$6:F$293,5,FALSE)),"",IF(VLOOKUP(A369,Declarations!B$6:F$293,5,FALSE)="","---",VLOOKUP(A369,Declarations!B$6:F$293,5,FALSE)))</f>
        <v/>
      </c>
      <c r="D369" s="69" t="str">
        <f>IF(ISNA(VLOOKUP(A369,Declarations!B$6:F$293,4,FALSE)),"",IF(VLOOKUP(A369,Declarations!B$6:F$293,4,FALSE)="","---",VLOOKUP(A369,Declarations!B$6:F$293,4,FALSE)))</f>
        <v/>
      </c>
      <c r="E369" s="284" t="s">
        <v>161</v>
      </c>
      <c r="F369" s="284" t="s">
        <v>161</v>
      </c>
      <c r="G369" s="284" t="s">
        <v>161</v>
      </c>
      <c r="H369" s="70"/>
    </row>
    <row r="370" spans="1:8" ht="20" customHeight="1">
      <c r="A370" s="68"/>
      <c r="B370" s="69" t="str">
        <f>IF(ISNA(VLOOKUP(A370,Declarations!B$6:C$293,2,FALSE)),"",IF(VLOOKUP(A370,Declarations!B$6:C$293,2,FALSE)="","---",VLOOKUP(A370,Declarations!B$6:C$293,2,FALSE)))</f>
        <v/>
      </c>
      <c r="C370" s="69" t="str">
        <f>IF(ISNA(VLOOKUP(A370,Declarations!B$6:F$293,5,FALSE)),"",IF(VLOOKUP(A370,Declarations!B$6:F$293,5,FALSE)="","---",VLOOKUP(A370,Declarations!B$6:F$293,5,FALSE)))</f>
        <v/>
      </c>
      <c r="D370" s="69" t="str">
        <f>IF(ISNA(VLOOKUP(A370,Declarations!B$6:F$293,4,FALSE)),"",IF(VLOOKUP(A370,Declarations!B$6:F$293,4,FALSE)="","---",VLOOKUP(A370,Declarations!B$6:F$293,4,FALSE)))</f>
        <v/>
      </c>
      <c r="E370" s="284" t="s">
        <v>161</v>
      </c>
      <c r="F370" s="284" t="s">
        <v>161</v>
      </c>
      <c r="G370" s="284" t="s">
        <v>161</v>
      </c>
      <c r="H370" s="70"/>
    </row>
    <row r="371" spans="1:8" ht="20" customHeight="1">
      <c r="A371" s="68"/>
      <c r="B371" s="69" t="str">
        <f>IF(ISNA(VLOOKUP(A371,Declarations!B$6:C$293,2,FALSE)),"",IF(VLOOKUP(A371,Declarations!B$6:C$293,2,FALSE)="","---",VLOOKUP(A371,Declarations!B$6:C$293,2,FALSE)))</f>
        <v/>
      </c>
      <c r="C371" s="69" t="str">
        <f>IF(ISNA(VLOOKUP(A371,Declarations!B$6:F$293,5,FALSE)),"",IF(VLOOKUP(A371,Declarations!B$6:F$293,5,FALSE)="","---",VLOOKUP(A371,Declarations!B$6:F$293,5,FALSE)))</f>
        <v/>
      </c>
      <c r="D371" s="69" t="str">
        <f>IF(ISNA(VLOOKUP(A371,Declarations!B$6:F$293,4,FALSE)),"",IF(VLOOKUP(A371,Declarations!B$6:F$293,4,FALSE)="","---",VLOOKUP(A371,Declarations!B$6:F$293,4,FALSE)))</f>
        <v/>
      </c>
      <c r="E371" s="284" t="s">
        <v>161</v>
      </c>
      <c r="F371" s="284" t="s">
        <v>161</v>
      </c>
      <c r="G371" s="284" t="s">
        <v>161</v>
      </c>
      <c r="H371" s="70"/>
    </row>
    <row r="372" spans="1:8" ht="20" customHeight="1">
      <c r="A372" s="68"/>
      <c r="B372" s="69" t="str">
        <f>IF(ISNA(VLOOKUP(A372,Declarations!B$6:C$293,2,FALSE)),"",IF(VLOOKUP(A372,Declarations!B$6:C$293,2,FALSE)="","---",VLOOKUP(A372,Declarations!B$6:C$293,2,FALSE)))</f>
        <v/>
      </c>
      <c r="C372" s="69" t="str">
        <f>IF(ISNA(VLOOKUP(A372,Declarations!B$6:F$293,5,FALSE)),"",IF(VLOOKUP(A372,Declarations!B$6:F$293,5,FALSE)="","---",VLOOKUP(A372,Declarations!B$6:F$293,5,FALSE)))</f>
        <v/>
      </c>
      <c r="D372" s="69" t="str">
        <f>IF(ISNA(VLOOKUP(A372,Declarations!B$6:F$293,4,FALSE)),"",IF(VLOOKUP(A372,Declarations!B$6:F$293,4,FALSE)="","---",VLOOKUP(A372,Declarations!B$6:F$293,4,FALSE)))</f>
        <v/>
      </c>
      <c r="E372" s="284" t="s">
        <v>161</v>
      </c>
      <c r="F372" s="284" t="s">
        <v>161</v>
      </c>
      <c r="G372" s="284" t="s">
        <v>161</v>
      </c>
      <c r="H372" s="70"/>
    </row>
    <row r="373" spans="1:8" ht="20" customHeight="1">
      <c r="A373" s="68"/>
      <c r="B373" s="69" t="str">
        <f>IF(ISNA(VLOOKUP(A373,Declarations!B$6:C$293,2,FALSE)),"",IF(VLOOKUP(A373,Declarations!B$6:C$293,2,FALSE)="","---",VLOOKUP(A373,Declarations!B$6:C$293,2,FALSE)))</f>
        <v/>
      </c>
      <c r="C373" s="69" t="str">
        <f>IF(ISNA(VLOOKUP(A373,Declarations!B$6:F$293,5,FALSE)),"",IF(VLOOKUP(A373,Declarations!B$6:F$293,5,FALSE)="","---",VLOOKUP(A373,Declarations!B$6:F$293,5,FALSE)))</f>
        <v/>
      </c>
      <c r="D373" s="69" t="str">
        <f>IF(ISNA(VLOOKUP(A373,Declarations!B$6:F$293,4,FALSE)),"",IF(VLOOKUP(A373,Declarations!B$6:F$293,4,FALSE)="","---",VLOOKUP(A373,Declarations!B$6:F$293,4,FALSE)))</f>
        <v/>
      </c>
      <c r="E373" s="284" t="s">
        <v>161</v>
      </c>
      <c r="F373" s="284" t="s">
        <v>161</v>
      </c>
      <c r="G373" s="284" t="s">
        <v>161</v>
      </c>
      <c r="H373" s="70"/>
    </row>
    <row r="374" spans="1:8" ht="20" customHeight="1">
      <c r="A374" s="68"/>
      <c r="B374" s="69" t="str">
        <f>IF(ISNA(VLOOKUP(A374,Declarations!B$6:C$293,2,FALSE)),"",IF(VLOOKUP(A374,Declarations!B$6:C$293,2,FALSE)="","---",VLOOKUP(A374,Declarations!B$6:C$293,2,FALSE)))</f>
        <v/>
      </c>
      <c r="C374" s="69" t="str">
        <f>IF(ISNA(VLOOKUP(A374,Declarations!B$6:F$293,5,FALSE)),"",IF(VLOOKUP(A374,Declarations!B$6:F$293,5,FALSE)="","---",VLOOKUP(A374,Declarations!B$6:F$293,5,FALSE)))</f>
        <v/>
      </c>
      <c r="D374" s="69" t="str">
        <f>IF(ISNA(VLOOKUP(A374,Declarations!B$6:F$293,4,FALSE)),"",IF(VLOOKUP(A374,Declarations!B$6:F$293,4,FALSE)="","---",VLOOKUP(A374,Declarations!B$6:F$293,4,FALSE)))</f>
        <v/>
      </c>
      <c r="E374" s="284" t="s">
        <v>161</v>
      </c>
      <c r="F374" s="284" t="s">
        <v>161</v>
      </c>
      <c r="G374" s="284" t="s">
        <v>161</v>
      </c>
      <c r="H374" s="70"/>
    </row>
    <row r="375" spans="1:8" ht="20" customHeight="1">
      <c r="A375" s="68"/>
      <c r="B375" s="69" t="str">
        <f>IF(ISNA(VLOOKUP(A375,Declarations!B$6:C$293,2,FALSE)),"",IF(VLOOKUP(A375,Declarations!B$6:C$293,2,FALSE)="","---",VLOOKUP(A375,Declarations!B$6:C$293,2,FALSE)))</f>
        <v/>
      </c>
      <c r="C375" s="69" t="str">
        <f>IF(ISNA(VLOOKUP(A375,Declarations!B$6:F$293,5,FALSE)),"",IF(VLOOKUP(A375,Declarations!B$6:F$293,5,FALSE)="","---",VLOOKUP(A375,Declarations!B$6:F$293,5,FALSE)))</f>
        <v/>
      </c>
      <c r="D375" s="69" t="str">
        <f>IF(ISNA(VLOOKUP(A375,Declarations!B$6:F$293,4,FALSE)),"",IF(VLOOKUP(A375,Declarations!B$6:F$293,4,FALSE)="","---",VLOOKUP(A375,Declarations!B$6:F$293,4,FALSE)))</f>
        <v/>
      </c>
      <c r="E375" s="284" t="s">
        <v>161</v>
      </c>
      <c r="F375" s="284" t="s">
        <v>161</v>
      </c>
      <c r="G375" s="284" t="s">
        <v>161</v>
      </c>
      <c r="H375" s="70"/>
    </row>
    <row r="376" spans="1:8" ht="20" customHeight="1">
      <c r="A376" s="68"/>
      <c r="B376" s="69" t="str">
        <f>IF(ISNA(VLOOKUP(A376,Declarations!B$6:C$293,2,FALSE)),"",IF(VLOOKUP(A376,Declarations!B$6:C$293,2,FALSE)="","---",VLOOKUP(A376,Declarations!B$6:C$293,2,FALSE)))</f>
        <v/>
      </c>
      <c r="C376" s="69" t="str">
        <f>IF(ISNA(VLOOKUP(A376,Declarations!B$6:F$293,5,FALSE)),"",IF(VLOOKUP(A376,Declarations!B$6:F$293,5,FALSE)="","---",VLOOKUP(A376,Declarations!B$6:F$293,5,FALSE)))</f>
        <v/>
      </c>
      <c r="D376" s="69" t="str">
        <f>IF(ISNA(VLOOKUP(A376,Declarations!B$6:F$293,4,FALSE)),"",IF(VLOOKUP(A376,Declarations!B$6:F$293,4,FALSE)="","---",VLOOKUP(A376,Declarations!B$6:F$293,4,FALSE)))</f>
        <v/>
      </c>
      <c r="E376" s="284" t="s">
        <v>161</v>
      </c>
      <c r="F376" s="284" t="s">
        <v>161</v>
      </c>
      <c r="G376" s="284" t="s">
        <v>161</v>
      </c>
      <c r="H376" s="70"/>
    </row>
    <row r="377" spans="1:8" ht="20" customHeight="1">
      <c r="A377" s="68"/>
      <c r="B377" s="69" t="str">
        <f>IF(ISNA(VLOOKUP(A377,Declarations!B$6:C$293,2,FALSE)),"",IF(VLOOKUP(A377,Declarations!B$6:C$293,2,FALSE)="","---",VLOOKUP(A377,Declarations!B$6:C$293,2,FALSE)))</f>
        <v/>
      </c>
      <c r="C377" s="69" t="str">
        <f>IF(ISNA(VLOOKUP(A377,Declarations!B$6:F$293,5,FALSE)),"",IF(VLOOKUP(A377,Declarations!B$6:F$293,5,FALSE)="","---",VLOOKUP(A377,Declarations!B$6:F$293,5,FALSE)))</f>
        <v/>
      </c>
      <c r="D377" s="69" t="str">
        <f>IF(ISNA(VLOOKUP(A377,Declarations!B$6:F$293,4,FALSE)),"",IF(VLOOKUP(A377,Declarations!B$6:F$293,4,FALSE)="","---",VLOOKUP(A377,Declarations!B$6:F$293,4,FALSE)))</f>
        <v/>
      </c>
      <c r="E377" s="284" t="s">
        <v>161</v>
      </c>
      <c r="F377" s="284" t="s">
        <v>161</v>
      </c>
      <c r="G377" s="284" t="s">
        <v>161</v>
      </c>
      <c r="H377" s="70"/>
    </row>
    <row r="378" spans="1:8" ht="20" customHeight="1">
      <c r="A378" s="68"/>
      <c r="B378" s="69" t="str">
        <f>IF(ISNA(VLOOKUP(A378,Declarations!B$6:C$293,2,FALSE)),"",IF(VLOOKUP(A378,Declarations!B$6:C$293,2,FALSE)="","---",VLOOKUP(A378,Declarations!B$6:C$293,2,FALSE)))</f>
        <v/>
      </c>
      <c r="C378" s="69" t="str">
        <f>IF(ISNA(VLOOKUP(A378,Declarations!B$6:F$293,5,FALSE)),"",IF(VLOOKUP(A378,Declarations!B$6:F$293,5,FALSE)="","---",VLOOKUP(A378,Declarations!B$6:F$293,5,FALSE)))</f>
        <v/>
      </c>
      <c r="D378" s="69" t="str">
        <f>IF(ISNA(VLOOKUP(A378,Declarations!B$6:F$293,4,FALSE)),"",IF(VLOOKUP(A378,Declarations!B$6:F$293,4,FALSE)="","---",VLOOKUP(A378,Declarations!B$6:F$293,4,FALSE)))</f>
        <v/>
      </c>
      <c r="E378" s="284" t="s">
        <v>161</v>
      </c>
      <c r="F378" s="284" t="s">
        <v>161</v>
      </c>
      <c r="G378" s="284" t="s">
        <v>161</v>
      </c>
      <c r="H378" s="70"/>
    </row>
    <row r="379" spans="1:8" ht="20" customHeight="1">
      <c r="A379" s="68"/>
      <c r="B379" s="69" t="str">
        <f>IF(ISNA(VLOOKUP(A379,Declarations!B$6:C$293,2,FALSE)),"",IF(VLOOKUP(A379,Declarations!B$6:C$293,2,FALSE)="","---",VLOOKUP(A379,Declarations!B$6:C$293,2,FALSE)))</f>
        <v/>
      </c>
      <c r="C379" s="69" t="str">
        <f>IF(ISNA(VLOOKUP(A379,Declarations!B$6:F$293,5,FALSE)),"",IF(VLOOKUP(A379,Declarations!B$6:F$293,5,FALSE)="","---",VLOOKUP(A379,Declarations!B$6:F$293,5,FALSE)))</f>
        <v/>
      </c>
      <c r="D379" s="69" t="str">
        <f>IF(ISNA(VLOOKUP(A379,Declarations!B$6:F$293,4,FALSE)),"",IF(VLOOKUP(A379,Declarations!B$6:F$293,4,FALSE)="","---",VLOOKUP(A379,Declarations!B$6:F$293,4,FALSE)))</f>
        <v/>
      </c>
      <c r="E379" s="284" t="s">
        <v>161</v>
      </c>
      <c r="F379" s="284" t="s">
        <v>161</v>
      </c>
      <c r="G379" s="284" t="s">
        <v>161</v>
      </c>
      <c r="H379" s="70"/>
    </row>
    <row r="380" spans="1:8" ht="20" customHeight="1">
      <c r="A380" s="68"/>
      <c r="B380" s="69" t="str">
        <f>IF(ISNA(VLOOKUP(A380,Declarations!B$6:C$293,2,FALSE)),"",IF(VLOOKUP(A380,Declarations!B$6:C$293,2,FALSE)="","---",VLOOKUP(A380,Declarations!B$6:C$293,2,FALSE)))</f>
        <v/>
      </c>
      <c r="C380" s="69" t="str">
        <f>IF(ISNA(VLOOKUP(A380,Declarations!B$6:F$293,5,FALSE)),"",IF(VLOOKUP(A380,Declarations!B$6:F$293,5,FALSE)="","---",VLOOKUP(A380,Declarations!B$6:F$293,5,FALSE)))</f>
        <v/>
      </c>
      <c r="D380" s="69" t="str">
        <f>IF(ISNA(VLOOKUP(A380,Declarations!B$6:F$293,4,FALSE)),"",IF(VLOOKUP(A380,Declarations!B$6:F$293,4,FALSE)="","---",VLOOKUP(A380,Declarations!B$6:F$293,4,FALSE)))</f>
        <v/>
      </c>
      <c r="E380" s="284" t="s">
        <v>161</v>
      </c>
      <c r="F380" s="284" t="s">
        <v>161</v>
      </c>
      <c r="G380" s="284" t="s">
        <v>161</v>
      </c>
      <c r="H380" s="70"/>
    </row>
    <row r="381" spans="1:8" ht="20" customHeight="1">
      <c r="A381" s="68"/>
      <c r="B381" s="69" t="str">
        <f>IF(ISNA(VLOOKUP(A381,Declarations!B$6:C$293,2,FALSE)),"",IF(VLOOKUP(A381,Declarations!B$6:C$293,2,FALSE)="","---",VLOOKUP(A381,Declarations!B$6:C$293,2,FALSE)))</f>
        <v/>
      </c>
      <c r="C381" s="69" t="str">
        <f>IF(ISNA(VLOOKUP(A381,Declarations!B$6:F$293,5,FALSE)),"",IF(VLOOKUP(A381,Declarations!B$6:F$293,5,FALSE)="","---",VLOOKUP(A381,Declarations!B$6:F$293,5,FALSE)))</f>
        <v/>
      </c>
      <c r="D381" s="69" t="str">
        <f>IF(ISNA(VLOOKUP(A381,Declarations!B$6:F$293,4,FALSE)),"",IF(VLOOKUP(A381,Declarations!B$6:F$293,4,FALSE)="","---",VLOOKUP(A381,Declarations!B$6:F$293,4,FALSE)))</f>
        <v/>
      </c>
      <c r="E381" s="284" t="s">
        <v>161</v>
      </c>
      <c r="F381" s="284" t="s">
        <v>161</v>
      </c>
      <c r="G381" s="284" t="s">
        <v>161</v>
      </c>
      <c r="H381" s="70"/>
    </row>
    <row r="382" spans="1:8" ht="20" customHeight="1">
      <c r="A382" s="68"/>
      <c r="B382" s="69" t="str">
        <f>IF(ISNA(VLOOKUP(A382,Declarations!B$6:C$293,2,FALSE)),"",IF(VLOOKUP(A382,Declarations!B$6:C$293,2,FALSE)="","---",VLOOKUP(A382,Declarations!B$6:C$293,2,FALSE)))</f>
        <v/>
      </c>
      <c r="C382" s="69" t="str">
        <f>IF(ISNA(VLOOKUP(A382,Declarations!B$6:F$293,5,FALSE)),"",IF(VLOOKUP(A382,Declarations!B$6:F$293,5,FALSE)="","---",VLOOKUP(A382,Declarations!B$6:F$293,5,FALSE)))</f>
        <v/>
      </c>
      <c r="D382" s="69" t="str">
        <f>IF(ISNA(VLOOKUP(A382,Declarations!B$6:F$293,4,FALSE)),"",IF(VLOOKUP(A382,Declarations!B$6:F$293,4,FALSE)="","---",VLOOKUP(A382,Declarations!B$6:F$293,4,FALSE)))</f>
        <v/>
      </c>
      <c r="E382" s="284" t="s">
        <v>161</v>
      </c>
      <c r="F382" s="284" t="s">
        <v>161</v>
      </c>
      <c r="G382" s="284" t="s">
        <v>161</v>
      </c>
      <c r="H382" s="70"/>
    </row>
    <row r="383" spans="1:8" ht="20" customHeight="1">
      <c r="A383" s="68"/>
      <c r="B383" s="69" t="str">
        <f>IF(ISNA(VLOOKUP(A383,Declarations!B$6:C$293,2,FALSE)),"",IF(VLOOKUP(A383,Declarations!B$6:C$293,2,FALSE)="","---",VLOOKUP(A383,Declarations!B$6:C$293,2,FALSE)))</f>
        <v/>
      </c>
      <c r="C383" s="69" t="str">
        <f>IF(ISNA(VLOOKUP(A383,Declarations!B$6:F$293,5,FALSE)),"",IF(VLOOKUP(A383,Declarations!B$6:F$293,5,FALSE)="","---",VLOOKUP(A383,Declarations!B$6:F$293,5,FALSE)))</f>
        <v/>
      </c>
      <c r="D383" s="69" t="str">
        <f>IF(ISNA(VLOOKUP(A383,Declarations!B$6:F$293,4,FALSE)),"",IF(VLOOKUP(A383,Declarations!B$6:F$293,4,FALSE)="","---",VLOOKUP(A383,Declarations!B$6:F$293,4,FALSE)))</f>
        <v/>
      </c>
      <c r="E383" s="284" t="s">
        <v>161</v>
      </c>
      <c r="F383" s="284" t="s">
        <v>161</v>
      </c>
      <c r="G383" s="284" t="s">
        <v>161</v>
      </c>
      <c r="H383" s="70"/>
    </row>
    <row r="384" spans="1:8" ht="20" customHeight="1">
      <c r="A384" s="68"/>
      <c r="B384" s="69" t="str">
        <f>IF(ISNA(VLOOKUP(A384,Declarations!B$6:C$293,2,FALSE)),"",IF(VLOOKUP(A384,Declarations!B$6:C$293,2,FALSE)="","---",VLOOKUP(A384,Declarations!B$6:C$293,2,FALSE)))</f>
        <v/>
      </c>
      <c r="C384" s="69" t="str">
        <f>IF(ISNA(VLOOKUP(A384,Declarations!B$6:F$293,5,FALSE)),"",IF(VLOOKUP(A384,Declarations!B$6:F$293,5,FALSE)="","---",VLOOKUP(A384,Declarations!B$6:F$293,5,FALSE)))</f>
        <v/>
      </c>
      <c r="D384" s="69" t="str">
        <f>IF(ISNA(VLOOKUP(A384,Declarations!B$6:F$293,4,FALSE)),"",IF(VLOOKUP(A384,Declarations!B$6:F$293,4,FALSE)="","---",VLOOKUP(A384,Declarations!B$6:F$293,4,FALSE)))</f>
        <v/>
      </c>
      <c r="E384" s="284" t="s">
        <v>161</v>
      </c>
      <c r="F384" s="284" t="s">
        <v>161</v>
      </c>
      <c r="G384" s="284" t="s">
        <v>161</v>
      </c>
      <c r="H384" s="70"/>
    </row>
    <row r="385" spans="1:8" ht="20" customHeight="1">
      <c r="A385" s="68"/>
      <c r="B385" s="69" t="str">
        <f>IF(ISNA(VLOOKUP(A385,Declarations!B$6:C$293,2,FALSE)),"",IF(VLOOKUP(A385,Declarations!B$6:C$293,2,FALSE)="","---",VLOOKUP(A385,Declarations!B$6:C$293,2,FALSE)))</f>
        <v/>
      </c>
      <c r="C385" s="69" t="str">
        <f>IF(ISNA(VLOOKUP(A385,Declarations!B$6:F$293,5,FALSE)),"",IF(VLOOKUP(A385,Declarations!B$6:F$293,5,FALSE)="","---",VLOOKUP(A385,Declarations!B$6:F$293,5,FALSE)))</f>
        <v/>
      </c>
      <c r="D385" s="69" t="str">
        <f>IF(ISNA(VLOOKUP(A385,Declarations!B$6:F$293,4,FALSE)),"",IF(VLOOKUP(A385,Declarations!B$6:F$293,4,FALSE)="","---",VLOOKUP(A385,Declarations!B$6:F$293,4,FALSE)))</f>
        <v/>
      </c>
      <c r="E385" s="284" t="s">
        <v>161</v>
      </c>
      <c r="F385" s="284" t="s">
        <v>161</v>
      </c>
      <c r="G385" s="284" t="s">
        <v>161</v>
      </c>
      <c r="H385" s="70"/>
    </row>
    <row r="386" spans="1:8" ht="20" customHeight="1">
      <c r="A386" s="68"/>
      <c r="B386" s="69" t="str">
        <f>IF(ISNA(VLOOKUP(A386,Declarations!B$6:C$293,2,FALSE)),"",IF(VLOOKUP(A386,Declarations!B$6:C$293,2,FALSE)="","---",VLOOKUP(A386,Declarations!B$6:C$293,2,FALSE)))</f>
        <v/>
      </c>
      <c r="C386" s="69" t="str">
        <f>IF(ISNA(VLOOKUP(A386,Declarations!B$6:F$293,5,FALSE)),"",IF(VLOOKUP(A386,Declarations!B$6:F$293,5,FALSE)="","---",VLOOKUP(A386,Declarations!B$6:F$293,5,FALSE)))</f>
        <v/>
      </c>
      <c r="D386" s="69" t="str">
        <f>IF(ISNA(VLOOKUP(A386,Declarations!B$6:F$293,4,FALSE)),"",IF(VLOOKUP(A386,Declarations!B$6:F$293,4,FALSE)="","---",VLOOKUP(A386,Declarations!B$6:F$293,4,FALSE)))</f>
        <v/>
      </c>
      <c r="E386" s="284" t="s">
        <v>161</v>
      </c>
      <c r="F386" s="284" t="s">
        <v>161</v>
      </c>
      <c r="G386" s="284" t="s">
        <v>161</v>
      </c>
      <c r="H386" s="70"/>
    </row>
    <row r="387" spans="1:8" ht="20" customHeight="1">
      <c r="A387" s="68"/>
      <c r="B387" s="69" t="str">
        <f>IF(ISNA(VLOOKUP(A387,Declarations!B$6:C$293,2,FALSE)),"",IF(VLOOKUP(A387,Declarations!B$6:C$293,2,FALSE)="","---",VLOOKUP(A387,Declarations!B$6:C$293,2,FALSE)))</f>
        <v/>
      </c>
      <c r="C387" s="69" t="str">
        <f>IF(ISNA(VLOOKUP(A387,Declarations!B$6:F$293,5,FALSE)),"",IF(VLOOKUP(A387,Declarations!B$6:F$293,5,FALSE)="","---",VLOOKUP(A387,Declarations!B$6:F$293,5,FALSE)))</f>
        <v/>
      </c>
      <c r="D387" s="69" t="str">
        <f>IF(ISNA(VLOOKUP(A387,Declarations!B$6:F$293,4,FALSE)),"",IF(VLOOKUP(A387,Declarations!B$6:F$293,4,FALSE)="","---",VLOOKUP(A387,Declarations!B$6:F$293,4,FALSE)))</f>
        <v/>
      </c>
      <c r="E387" s="284" t="s">
        <v>161</v>
      </c>
      <c r="F387" s="284" t="s">
        <v>161</v>
      </c>
      <c r="G387" s="284" t="s">
        <v>161</v>
      </c>
      <c r="H387" s="70"/>
    </row>
    <row r="388" spans="1:8" ht="20" customHeight="1">
      <c r="A388" s="68"/>
      <c r="B388" s="69" t="str">
        <f>IF(ISNA(VLOOKUP(A388,Declarations!B$6:C$293,2,FALSE)),"",IF(VLOOKUP(A388,Declarations!B$6:C$293,2,FALSE)="","---",VLOOKUP(A388,Declarations!B$6:C$293,2,FALSE)))</f>
        <v/>
      </c>
      <c r="C388" s="69" t="str">
        <f>IF(ISNA(VLOOKUP(A388,Declarations!B$6:F$293,5,FALSE)),"",IF(VLOOKUP(A388,Declarations!B$6:F$293,5,FALSE)="","---",VLOOKUP(A388,Declarations!B$6:F$293,5,FALSE)))</f>
        <v/>
      </c>
      <c r="D388" s="69" t="str">
        <f>IF(ISNA(VLOOKUP(A388,Declarations!B$6:F$293,4,FALSE)),"",IF(VLOOKUP(A388,Declarations!B$6:F$293,4,FALSE)="","---",VLOOKUP(A388,Declarations!B$6:F$293,4,FALSE)))</f>
        <v/>
      </c>
      <c r="E388" s="284" t="s">
        <v>161</v>
      </c>
      <c r="F388" s="284" t="s">
        <v>161</v>
      </c>
      <c r="G388" s="284" t="s">
        <v>161</v>
      </c>
      <c r="H388" s="70"/>
    </row>
    <row r="389" spans="1:8" ht="20" customHeight="1">
      <c r="A389" s="68"/>
      <c r="B389" s="69" t="str">
        <f>IF(ISNA(VLOOKUP(A389,Declarations!B$6:C$293,2,FALSE)),"",IF(VLOOKUP(A389,Declarations!B$6:C$293,2,FALSE)="","---",VLOOKUP(A389,Declarations!B$6:C$293,2,FALSE)))</f>
        <v/>
      </c>
      <c r="C389" s="69" t="str">
        <f>IF(ISNA(VLOOKUP(A389,Declarations!B$6:F$293,5,FALSE)),"",IF(VLOOKUP(A389,Declarations!B$6:F$293,5,FALSE)="","---",VLOOKUP(A389,Declarations!B$6:F$293,5,FALSE)))</f>
        <v/>
      </c>
      <c r="D389" s="69" t="str">
        <f>IF(ISNA(VLOOKUP(A389,Declarations!B$6:F$293,4,FALSE)),"",IF(VLOOKUP(A389,Declarations!B$6:F$293,4,FALSE)="","---",VLOOKUP(A389,Declarations!B$6:F$293,4,FALSE)))</f>
        <v/>
      </c>
      <c r="E389" s="284" t="s">
        <v>161</v>
      </c>
      <c r="F389" s="284" t="s">
        <v>161</v>
      </c>
      <c r="G389" s="284" t="s">
        <v>161</v>
      </c>
      <c r="H389" s="70"/>
    </row>
    <row r="390" spans="1:8" ht="20" customHeight="1">
      <c r="A390" s="68"/>
      <c r="B390" s="69" t="str">
        <f>IF(ISNA(VLOOKUP(A390,Declarations!B$6:C$293,2,FALSE)),"",IF(VLOOKUP(A390,Declarations!B$6:C$293,2,FALSE)="","---",VLOOKUP(A390,Declarations!B$6:C$293,2,FALSE)))</f>
        <v/>
      </c>
      <c r="C390" s="69" t="str">
        <f>IF(ISNA(VLOOKUP(A390,Declarations!B$6:F$293,5,FALSE)),"",IF(VLOOKUP(A390,Declarations!B$6:F$293,5,FALSE)="","---",VLOOKUP(A390,Declarations!B$6:F$293,5,FALSE)))</f>
        <v/>
      </c>
      <c r="D390" s="69" t="str">
        <f>IF(ISNA(VLOOKUP(A390,Declarations!B$6:F$293,4,FALSE)),"",IF(VLOOKUP(A390,Declarations!B$6:F$293,4,FALSE)="","---",VLOOKUP(A390,Declarations!B$6:F$293,4,FALSE)))</f>
        <v/>
      </c>
      <c r="E390" s="284" t="s">
        <v>161</v>
      </c>
      <c r="F390" s="284" t="s">
        <v>161</v>
      </c>
      <c r="G390" s="284" t="s">
        <v>161</v>
      </c>
      <c r="H390" s="70"/>
    </row>
    <row r="391" spans="1:8" ht="20" customHeight="1">
      <c r="A391" s="68"/>
      <c r="B391" s="69" t="str">
        <f>IF(ISNA(VLOOKUP(A391,Declarations!B$6:C$293,2,FALSE)),"",IF(VLOOKUP(A391,Declarations!B$6:C$293,2,FALSE)="","---",VLOOKUP(A391,Declarations!B$6:C$293,2,FALSE)))</f>
        <v/>
      </c>
      <c r="C391" s="69" t="str">
        <f>IF(ISNA(VLOOKUP(A391,Declarations!B$6:F$293,5,FALSE)),"",IF(VLOOKUP(A391,Declarations!B$6:F$293,5,FALSE)="","---",VLOOKUP(A391,Declarations!B$6:F$293,5,FALSE)))</f>
        <v/>
      </c>
      <c r="D391" s="69" t="str">
        <f>IF(ISNA(VLOOKUP(A391,Declarations!B$6:F$293,4,FALSE)),"",IF(VLOOKUP(A391,Declarations!B$6:F$293,4,FALSE)="","---",VLOOKUP(A391,Declarations!B$6:F$293,4,FALSE)))</f>
        <v/>
      </c>
      <c r="E391" s="284" t="s">
        <v>161</v>
      </c>
      <c r="F391" s="284" t="s">
        <v>161</v>
      </c>
      <c r="G391" s="284" t="s">
        <v>161</v>
      </c>
      <c r="H391" s="70"/>
    </row>
    <row r="392" spans="1:8" ht="20" customHeight="1">
      <c r="A392" s="68"/>
      <c r="B392" s="69" t="str">
        <f>IF(ISNA(VLOOKUP(A392,Declarations!B$6:C$293,2,FALSE)),"",IF(VLOOKUP(A392,Declarations!B$6:C$293,2,FALSE)="","---",VLOOKUP(A392,Declarations!B$6:C$293,2,FALSE)))</f>
        <v/>
      </c>
      <c r="C392" s="69" t="str">
        <f>IF(ISNA(VLOOKUP(A392,Declarations!B$6:F$293,5,FALSE)),"",IF(VLOOKUP(A392,Declarations!B$6:F$293,5,FALSE)="","---",VLOOKUP(A392,Declarations!B$6:F$293,5,FALSE)))</f>
        <v/>
      </c>
      <c r="D392" s="69" t="str">
        <f>IF(ISNA(VLOOKUP(A392,Declarations!B$6:F$293,4,FALSE)),"",IF(VLOOKUP(A392,Declarations!B$6:F$293,4,FALSE)="","---",VLOOKUP(A392,Declarations!B$6:F$293,4,FALSE)))</f>
        <v/>
      </c>
      <c r="E392" s="284" t="s">
        <v>161</v>
      </c>
      <c r="F392" s="284" t="s">
        <v>161</v>
      </c>
      <c r="G392" s="284" t="s">
        <v>161</v>
      </c>
      <c r="H392" s="70"/>
    </row>
    <row r="393" spans="1:8" ht="20" customHeight="1">
      <c r="A393" s="68"/>
      <c r="B393" s="69" t="str">
        <f>IF(ISNA(VLOOKUP(A393,Declarations!B$6:C$293,2,FALSE)),"",IF(VLOOKUP(A393,Declarations!B$6:C$293,2,FALSE)="","---",VLOOKUP(A393,Declarations!B$6:C$293,2,FALSE)))</f>
        <v/>
      </c>
      <c r="C393" s="69" t="str">
        <f>IF(ISNA(VLOOKUP(A393,Declarations!B$6:F$293,5,FALSE)),"",IF(VLOOKUP(A393,Declarations!B$6:F$293,5,FALSE)="","---",VLOOKUP(A393,Declarations!B$6:F$293,5,FALSE)))</f>
        <v/>
      </c>
      <c r="D393" s="69" t="str">
        <f>IF(ISNA(VLOOKUP(A393,Declarations!B$6:F$293,4,FALSE)),"",IF(VLOOKUP(A393,Declarations!B$6:F$293,4,FALSE)="","---",VLOOKUP(A393,Declarations!B$6:F$293,4,FALSE)))</f>
        <v/>
      </c>
      <c r="E393" s="284" t="s">
        <v>161</v>
      </c>
      <c r="F393" s="284" t="s">
        <v>161</v>
      </c>
      <c r="G393" s="284" t="s">
        <v>161</v>
      </c>
      <c r="H393" s="70"/>
    </row>
    <row r="394" spans="1:8" ht="20" customHeight="1">
      <c r="A394" s="68"/>
      <c r="B394" s="69" t="str">
        <f>IF(ISNA(VLOOKUP(A394,Declarations!B$6:C$293,2,FALSE)),"",IF(VLOOKUP(A394,Declarations!B$6:C$293,2,FALSE)="","---",VLOOKUP(A394,Declarations!B$6:C$293,2,FALSE)))</f>
        <v/>
      </c>
      <c r="C394" s="69" t="str">
        <f>IF(ISNA(VLOOKUP(A394,Declarations!B$6:F$293,5,FALSE)),"",IF(VLOOKUP(A394,Declarations!B$6:F$293,5,FALSE)="","---",VLOOKUP(A394,Declarations!B$6:F$293,5,FALSE)))</f>
        <v/>
      </c>
      <c r="D394" s="69" t="str">
        <f>IF(ISNA(VLOOKUP(A394,Declarations!B$6:F$293,4,FALSE)),"",IF(VLOOKUP(A394,Declarations!B$6:F$293,4,FALSE)="","---",VLOOKUP(A394,Declarations!B$6:F$293,4,FALSE)))</f>
        <v/>
      </c>
      <c r="E394" s="284" t="s">
        <v>161</v>
      </c>
      <c r="F394" s="284" t="s">
        <v>161</v>
      </c>
      <c r="G394" s="284" t="s">
        <v>161</v>
      </c>
      <c r="H394" s="70"/>
    </row>
    <row r="395" spans="1:8">
      <c r="A395" s="71"/>
      <c r="B395" s="72"/>
      <c r="C395" s="72"/>
      <c r="D395" s="72"/>
      <c r="E395" s="73"/>
      <c r="F395" s="73"/>
      <c r="G395" s="73"/>
      <c r="H395" s="73"/>
    </row>
    <row r="396" spans="1:8">
      <c r="A396" s="71"/>
      <c r="B396" s="510" t="s">
        <v>92</v>
      </c>
      <c r="C396" s="511"/>
      <c r="D396" s="72"/>
      <c r="E396" s="509" t="s">
        <v>93</v>
      </c>
      <c r="F396" s="509"/>
      <c r="G396" s="501" t="s">
        <v>43</v>
      </c>
      <c r="H396" s="501"/>
    </row>
    <row r="397" spans="1:8" ht="16" customHeight="1">
      <c r="A397" s="71"/>
      <c r="B397" s="512"/>
      <c r="C397" s="513"/>
      <c r="D397" s="72"/>
      <c r="E397" s="501"/>
      <c r="F397" s="501"/>
      <c r="G397" s="501"/>
      <c r="H397" s="501"/>
    </row>
    <row r="398" spans="1:8">
      <c r="A398" s="71"/>
      <c r="B398" s="512"/>
      <c r="C398" s="513"/>
      <c r="D398" s="72"/>
      <c r="E398" s="501"/>
      <c r="F398" s="501"/>
      <c r="G398" s="501"/>
      <c r="H398" s="501"/>
    </row>
    <row r="399" spans="1:8">
      <c r="A399" s="71"/>
      <c r="B399" s="514"/>
      <c r="C399" s="515"/>
      <c r="D399" s="72"/>
      <c r="E399" s="501"/>
      <c r="F399" s="501"/>
      <c r="G399" s="501"/>
      <c r="H399" s="501"/>
    </row>
    <row r="400" spans="1:8" ht="8" customHeight="1">
      <c r="A400" s="71"/>
      <c r="B400" s="72"/>
      <c r="C400" s="72"/>
      <c r="D400" s="72"/>
      <c r="E400" s="73"/>
      <c r="F400" s="73"/>
      <c r="G400" s="73"/>
      <c r="H400" s="73"/>
    </row>
    <row r="401" spans="1:8" ht="20">
      <c r="A401" s="502" t="str">
        <f>'Read Me First'!A1:F1</f>
        <v>Oxfordshire Track and Field League 2026</v>
      </c>
      <c r="B401" s="503"/>
      <c r="C401" s="503"/>
      <c r="D401" s="503"/>
      <c r="E401" s="503"/>
      <c r="F401" s="503"/>
      <c r="G401" s="503"/>
      <c r="H401" s="504"/>
    </row>
    <row r="402" spans="1:8" ht="18">
      <c r="A402" s="61" t="s">
        <v>12</v>
      </c>
      <c r="B402" s="62">
        <f>'Read Me First'!$C$10</f>
        <v>46250</v>
      </c>
      <c r="C402" s="77">
        <v>0.64583333333333337</v>
      </c>
      <c r="D402" s="61" t="s">
        <v>13</v>
      </c>
      <c r="E402" s="505" t="str">
        <f>$E$2</f>
        <v>Banbury</v>
      </c>
      <c r="F402" s="506"/>
      <c r="G402" s="506"/>
      <c r="H402" s="507"/>
    </row>
    <row r="403" spans="1:8" ht="18">
      <c r="A403" s="508" t="s">
        <v>210</v>
      </c>
      <c r="B403" s="508"/>
      <c r="C403" s="508"/>
      <c r="D403" s="508"/>
      <c r="E403" s="60">
        <v>1</v>
      </c>
      <c r="F403" s="60">
        <v>2</v>
      </c>
      <c r="G403" s="60">
        <v>3</v>
      </c>
      <c r="H403" s="60" t="s">
        <v>42</v>
      </c>
    </row>
    <row r="404" spans="1:8" ht="18">
      <c r="A404" s="66"/>
      <c r="B404" s="66"/>
      <c r="C404" s="66"/>
      <c r="D404" s="66"/>
      <c r="E404" s="67"/>
      <c r="F404" s="67"/>
      <c r="G404" s="67"/>
      <c r="H404" s="67"/>
    </row>
    <row r="405" spans="1:8" ht="20" customHeight="1">
      <c r="A405" s="68" t="str" cm="1">
        <f t="array" ref="A405">IFERROR(_xlfn.TEXTSPLIT(IFERROR(_xlfn.TEXTJOIN(",",TRUE,_xlfn._xlws.FILTER(BlockAllocations!$F$3:$F$20,BlockAllocations!$E$3:$E$20=BlockAllocations!$G$5)),""),,",")+0,"!")</f>
        <v>!</v>
      </c>
      <c r="B405" s="69" t="str">
        <f>IF(ISNA(VLOOKUP(A405,Declarations!B$6:C$293,2,FALSE)),"",IF(VLOOKUP(A405,Declarations!B$6:C$293,2,FALSE)="","---",VLOOKUP(A405,Declarations!B$6:C$293,2,FALSE)))</f>
        <v/>
      </c>
      <c r="C405" s="69" t="str">
        <f>IF(ISNA(VLOOKUP(A405,Declarations!B$6:F$293,5,FALSE)),"",IF(VLOOKUP(A405,Declarations!B$6:F$293,5,FALSE)="","---",VLOOKUP(A405,Declarations!B$6:F$293,5,FALSE)))</f>
        <v/>
      </c>
      <c r="D405" s="69" t="str">
        <f>IF(ISNA(VLOOKUP(A405,Declarations!B$6:F$293,4,FALSE)),"",IF(VLOOKUP(A405,Declarations!B$6:F$293,4,FALSE)="","---",VLOOKUP(A405,Declarations!B$6:F$293,4,FALSE)))</f>
        <v/>
      </c>
      <c r="E405" s="68"/>
      <c r="F405" s="70"/>
      <c r="G405" s="281" t="s">
        <v>149</v>
      </c>
      <c r="H405" s="70"/>
    </row>
    <row r="406" spans="1:8" ht="20" customHeight="1">
      <c r="A406" s="68"/>
      <c r="B406" s="69" t="str">
        <f>IF(ISNA(VLOOKUP(A406,Declarations!B$6:C$293,2,FALSE)),"",IF(VLOOKUP(A406,Declarations!B$6:C$293,2,FALSE)="","---",VLOOKUP(A406,Declarations!B$6:C$293,2,FALSE)))</f>
        <v/>
      </c>
      <c r="C406" s="69" t="str">
        <f>IF(ISNA(VLOOKUP(A406,Declarations!B$6:F$293,5,FALSE)),"",IF(VLOOKUP(A406,Declarations!B$6:F$293,5,FALSE)="","---",VLOOKUP(A406,Declarations!B$6:F$293,5,FALSE)))</f>
        <v/>
      </c>
      <c r="D406" s="69" t="str">
        <f>IF(ISNA(VLOOKUP(A406,Declarations!B$6:F$293,4,FALSE)),"",IF(VLOOKUP(A406,Declarations!B$6:F$293,4,FALSE)="","---",VLOOKUP(A406,Declarations!B$6:F$293,4,FALSE)))</f>
        <v/>
      </c>
      <c r="E406" s="68"/>
      <c r="F406" s="70"/>
      <c r="G406" s="281" t="s">
        <v>149</v>
      </c>
      <c r="H406" s="70"/>
    </row>
    <row r="407" spans="1:8" ht="20" customHeight="1">
      <c r="A407" s="68"/>
      <c r="B407" s="69" t="str">
        <f>IF(ISNA(VLOOKUP(A407,Declarations!B$6:C$293,2,FALSE)),"",IF(VLOOKUP(A407,Declarations!B$6:C$293,2,FALSE)="","---",VLOOKUP(A407,Declarations!B$6:C$293,2,FALSE)))</f>
        <v/>
      </c>
      <c r="C407" s="69" t="str">
        <f>IF(ISNA(VLOOKUP(A407,Declarations!B$6:F$293,5,FALSE)),"",IF(VLOOKUP(A407,Declarations!B$6:F$293,5,FALSE)="","---",VLOOKUP(A407,Declarations!B$6:F$293,5,FALSE)))</f>
        <v/>
      </c>
      <c r="D407" s="69" t="str">
        <f>IF(ISNA(VLOOKUP(A407,Declarations!B$6:F$293,4,FALSE)),"",IF(VLOOKUP(A407,Declarations!B$6:F$293,4,FALSE)="","---",VLOOKUP(A407,Declarations!B$6:F$293,4,FALSE)))</f>
        <v/>
      </c>
      <c r="E407" s="68"/>
      <c r="F407" s="70"/>
      <c r="G407" s="281" t="s">
        <v>149</v>
      </c>
      <c r="H407" s="70"/>
    </row>
    <row r="408" spans="1:8" ht="20" customHeight="1">
      <c r="A408" s="68"/>
      <c r="B408" s="69" t="str">
        <f>IF(ISNA(VLOOKUP(A408,Declarations!B$6:C$293,2,FALSE)),"",IF(VLOOKUP(A408,Declarations!B$6:C$293,2,FALSE)="","---",VLOOKUP(A408,Declarations!B$6:C$293,2,FALSE)))</f>
        <v/>
      </c>
      <c r="C408" s="69" t="str">
        <f>IF(ISNA(VLOOKUP(A408,Declarations!B$6:F$293,5,FALSE)),"",IF(VLOOKUP(A408,Declarations!B$6:F$293,5,FALSE)="","---",VLOOKUP(A408,Declarations!B$6:F$293,5,FALSE)))</f>
        <v/>
      </c>
      <c r="D408" s="69" t="str">
        <f>IF(ISNA(VLOOKUP(A408,Declarations!B$6:F$293,4,FALSE)),"",IF(VLOOKUP(A408,Declarations!B$6:F$293,4,FALSE)="","---",VLOOKUP(A408,Declarations!B$6:F$293,4,FALSE)))</f>
        <v/>
      </c>
      <c r="E408" s="68"/>
      <c r="F408" s="70"/>
      <c r="G408" s="281" t="s">
        <v>149</v>
      </c>
      <c r="H408" s="70"/>
    </row>
    <row r="409" spans="1:8" ht="20" customHeight="1">
      <c r="A409" s="68"/>
      <c r="B409" s="69" t="str">
        <f>IF(ISNA(VLOOKUP(A409,Declarations!B$6:C$293,2,FALSE)),"",IF(VLOOKUP(A409,Declarations!B$6:C$293,2,FALSE)="","---",VLOOKUP(A409,Declarations!B$6:C$293,2,FALSE)))</f>
        <v/>
      </c>
      <c r="C409" s="69" t="str">
        <f>IF(ISNA(VLOOKUP(A409,Declarations!B$6:F$293,5,FALSE)),"",IF(VLOOKUP(A409,Declarations!B$6:F$293,5,FALSE)="","---",VLOOKUP(A409,Declarations!B$6:F$293,5,FALSE)))</f>
        <v/>
      </c>
      <c r="D409" s="69" t="str">
        <f>IF(ISNA(VLOOKUP(A409,Declarations!B$6:F$293,4,FALSE)),"",IF(VLOOKUP(A409,Declarations!B$6:F$293,4,FALSE)="","---",VLOOKUP(A409,Declarations!B$6:F$293,4,FALSE)))</f>
        <v/>
      </c>
      <c r="E409" s="68"/>
      <c r="F409" s="70"/>
      <c r="G409" s="281" t="s">
        <v>149</v>
      </c>
      <c r="H409" s="70"/>
    </row>
    <row r="410" spans="1:8" ht="20" customHeight="1">
      <c r="A410" s="68"/>
      <c r="B410" s="69" t="str">
        <f>IF(ISNA(VLOOKUP(A410,Declarations!B$6:C$293,2,FALSE)),"",IF(VLOOKUP(A410,Declarations!B$6:C$293,2,FALSE)="","---",VLOOKUP(A410,Declarations!B$6:C$293,2,FALSE)))</f>
        <v/>
      </c>
      <c r="C410" s="69" t="str">
        <f>IF(ISNA(VLOOKUP(A410,Declarations!B$6:F$293,5,FALSE)),"",IF(VLOOKUP(A410,Declarations!B$6:F$293,5,FALSE)="","---",VLOOKUP(A410,Declarations!B$6:F$293,5,FALSE)))</f>
        <v/>
      </c>
      <c r="D410" s="69" t="str">
        <f>IF(ISNA(VLOOKUP(A410,Declarations!B$6:F$293,4,FALSE)),"",IF(VLOOKUP(A410,Declarations!B$6:F$293,4,FALSE)="","---",VLOOKUP(A410,Declarations!B$6:F$293,4,FALSE)))</f>
        <v/>
      </c>
      <c r="E410" s="68"/>
      <c r="F410" s="70"/>
      <c r="G410" s="281" t="s">
        <v>149</v>
      </c>
      <c r="H410" s="70"/>
    </row>
    <row r="411" spans="1:8" ht="20" customHeight="1">
      <c r="A411" s="68"/>
      <c r="B411" s="69" t="str">
        <f>IF(ISNA(VLOOKUP(A411,Declarations!B$6:C$293,2,FALSE)),"",IF(VLOOKUP(A411,Declarations!B$6:C$293,2,FALSE)="","---",VLOOKUP(A411,Declarations!B$6:C$293,2,FALSE)))</f>
        <v/>
      </c>
      <c r="C411" s="69" t="str">
        <f>IF(ISNA(VLOOKUP(A411,Declarations!B$6:F$293,5,FALSE)),"",IF(VLOOKUP(A411,Declarations!B$6:F$293,5,FALSE)="","---",VLOOKUP(A411,Declarations!B$6:F$293,5,FALSE)))</f>
        <v/>
      </c>
      <c r="D411" s="69" t="str">
        <f>IF(ISNA(VLOOKUP(A411,Declarations!B$6:F$293,4,FALSE)),"",IF(VLOOKUP(A411,Declarations!B$6:F$293,4,FALSE)="","---",VLOOKUP(A411,Declarations!B$6:F$293,4,FALSE)))</f>
        <v/>
      </c>
      <c r="E411" s="68"/>
      <c r="F411" s="70"/>
      <c r="G411" s="281" t="s">
        <v>149</v>
      </c>
      <c r="H411" s="70"/>
    </row>
    <row r="412" spans="1:8" ht="20" customHeight="1">
      <c r="A412" s="68"/>
      <c r="B412" s="69" t="str">
        <f>IF(ISNA(VLOOKUP(A412,Declarations!B$6:C$293,2,FALSE)),"",IF(VLOOKUP(A412,Declarations!B$6:C$293,2,FALSE)="","---",VLOOKUP(A412,Declarations!B$6:C$293,2,FALSE)))</f>
        <v/>
      </c>
      <c r="C412" s="69" t="str">
        <f>IF(ISNA(VLOOKUP(A412,Declarations!B$6:F$293,5,FALSE)),"",IF(VLOOKUP(A412,Declarations!B$6:F$293,5,FALSE)="","---",VLOOKUP(A412,Declarations!B$6:F$293,5,FALSE)))</f>
        <v/>
      </c>
      <c r="D412" s="69" t="str">
        <f>IF(ISNA(VLOOKUP(A412,Declarations!B$6:F$293,4,FALSE)),"",IF(VLOOKUP(A412,Declarations!B$6:F$293,4,FALSE)="","---",VLOOKUP(A412,Declarations!B$6:F$293,4,FALSE)))</f>
        <v/>
      </c>
      <c r="E412" s="68"/>
      <c r="F412" s="70"/>
      <c r="G412" s="281" t="s">
        <v>149</v>
      </c>
      <c r="H412" s="70"/>
    </row>
    <row r="413" spans="1:8" ht="20" customHeight="1">
      <c r="A413" s="68"/>
      <c r="B413" s="69" t="str">
        <f>IF(ISNA(VLOOKUP(A413,Declarations!B$6:C$293,2,FALSE)),"",IF(VLOOKUP(A413,Declarations!B$6:C$293,2,FALSE)="","---",VLOOKUP(A413,Declarations!B$6:C$293,2,FALSE)))</f>
        <v/>
      </c>
      <c r="C413" s="69" t="str">
        <f>IF(ISNA(VLOOKUP(A413,Declarations!B$6:F$293,5,FALSE)),"",IF(VLOOKUP(A413,Declarations!B$6:F$293,5,FALSE)="","---",VLOOKUP(A413,Declarations!B$6:F$293,5,FALSE)))</f>
        <v/>
      </c>
      <c r="D413" s="69" t="str">
        <f>IF(ISNA(VLOOKUP(A413,Declarations!B$6:F$293,4,FALSE)),"",IF(VLOOKUP(A413,Declarations!B$6:F$293,4,FALSE)="","---",VLOOKUP(A413,Declarations!B$6:F$293,4,FALSE)))</f>
        <v/>
      </c>
      <c r="E413" s="68"/>
      <c r="F413" s="70"/>
      <c r="G413" s="281" t="s">
        <v>149</v>
      </c>
      <c r="H413" s="70"/>
    </row>
    <row r="414" spans="1:8" ht="20" customHeight="1">
      <c r="A414" s="68"/>
      <c r="B414" s="69" t="str">
        <f>IF(ISNA(VLOOKUP(A414,Declarations!B$6:C$293,2,FALSE)),"",IF(VLOOKUP(A414,Declarations!B$6:C$293,2,FALSE)="","---",VLOOKUP(A414,Declarations!B$6:C$293,2,FALSE)))</f>
        <v/>
      </c>
      <c r="C414" s="69" t="str">
        <f>IF(ISNA(VLOOKUP(A414,Declarations!B$6:F$293,5,FALSE)),"",IF(VLOOKUP(A414,Declarations!B$6:F$293,5,FALSE)="","---",VLOOKUP(A414,Declarations!B$6:F$293,5,FALSE)))</f>
        <v/>
      </c>
      <c r="D414" s="69" t="str">
        <f>IF(ISNA(VLOOKUP(A414,Declarations!B$6:F$293,4,FALSE)),"",IF(VLOOKUP(A414,Declarations!B$6:F$293,4,FALSE)="","---",VLOOKUP(A414,Declarations!B$6:F$293,4,FALSE)))</f>
        <v/>
      </c>
      <c r="E414" s="68"/>
      <c r="F414" s="70"/>
      <c r="G414" s="281" t="s">
        <v>149</v>
      </c>
      <c r="H414" s="70"/>
    </row>
    <row r="415" spans="1:8" ht="20" customHeight="1">
      <c r="A415" s="68"/>
      <c r="B415" s="69" t="str">
        <f>IF(ISNA(VLOOKUP(A415,Declarations!B$6:C$293,2,FALSE)),"",IF(VLOOKUP(A415,Declarations!B$6:C$293,2,FALSE)="","---",VLOOKUP(A415,Declarations!B$6:C$293,2,FALSE)))</f>
        <v/>
      </c>
      <c r="C415" s="69" t="str">
        <f>IF(ISNA(VLOOKUP(A415,Declarations!B$6:F$293,5,FALSE)),"",IF(VLOOKUP(A415,Declarations!B$6:F$293,5,FALSE)="","---",VLOOKUP(A415,Declarations!B$6:F$293,5,FALSE)))</f>
        <v/>
      </c>
      <c r="D415" s="69" t="str">
        <f>IF(ISNA(VLOOKUP(A415,Declarations!B$6:F$293,4,FALSE)),"",IF(VLOOKUP(A415,Declarations!B$6:F$293,4,FALSE)="","---",VLOOKUP(A415,Declarations!B$6:F$293,4,FALSE)))</f>
        <v/>
      </c>
      <c r="E415" s="68"/>
      <c r="F415" s="70"/>
      <c r="G415" s="281" t="s">
        <v>149</v>
      </c>
      <c r="H415" s="70"/>
    </row>
    <row r="416" spans="1:8" ht="20" customHeight="1">
      <c r="A416" s="68"/>
      <c r="B416" s="69" t="str">
        <f>IF(ISNA(VLOOKUP(A416,Declarations!B$6:C$293,2,FALSE)),"",IF(VLOOKUP(A416,Declarations!B$6:C$293,2,FALSE)="","---",VLOOKUP(A416,Declarations!B$6:C$293,2,FALSE)))</f>
        <v/>
      </c>
      <c r="C416" s="69" t="str">
        <f>IF(ISNA(VLOOKUP(A416,Declarations!B$6:F$293,5,FALSE)),"",IF(VLOOKUP(A416,Declarations!B$6:F$293,5,FALSE)="","---",VLOOKUP(A416,Declarations!B$6:F$293,5,FALSE)))</f>
        <v/>
      </c>
      <c r="D416" s="69" t="str">
        <f>IF(ISNA(VLOOKUP(A416,Declarations!B$6:F$293,4,FALSE)),"",IF(VLOOKUP(A416,Declarations!B$6:F$293,4,FALSE)="","---",VLOOKUP(A416,Declarations!B$6:F$293,4,FALSE)))</f>
        <v/>
      </c>
      <c r="E416" s="68"/>
      <c r="F416" s="70"/>
      <c r="G416" s="281" t="s">
        <v>149</v>
      </c>
      <c r="H416" s="70"/>
    </row>
    <row r="417" spans="1:8" ht="20" customHeight="1">
      <c r="A417" s="68"/>
      <c r="B417" s="69" t="str">
        <f>IF(ISNA(VLOOKUP(A417,Declarations!B$6:C$293,2,FALSE)),"",IF(VLOOKUP(A417,Declarations!B$6:C$293,2,FALSE)="","---",VLOOKUP(A417,Declarations!B$6:C$293,2,FALSE)))</f>
        <v/>
      </c>
      <c r="C417" s="69" t="str">
        <f>IF(ISNA(VLOOKUP(A417,Declarations!B$6:F$293,5,FALSE)),"",IF(VLOOKUP(A417,Declarations!B$6:F$293,5,FALSE)="","---",VLOOKUP(A417,Declarations!B$6:F$293,5,FALSE)))</f>
        <v/>
      </c>
      <c r="D417" s="69" t="str">
        <f>IF(ISNA(VLOOKUP(A417,Declarations!B$6:F$293,4,FALSE)),"",IF(VLOOKUP(A417,Declarations!B$6:F$293,4,FALSE)="","---",VLOOKUP(A417,Declarations!B$6:F$293,4,FALSE)))</f>
        <v/>
      </c>
      <c r="E417" s="68"/>
      <c r="F417" s="70"/>
      <c r="G417" s="281" t="s">
        <v>149</v>
      </c>
      <c r="H417" s="70"/>
    </row>
    <row r="418" spans="1:8" ht="20" customHeight="1">
      <c r="A418" s="68"/>
      <c r="B418" s="69" t="str">
        <f>IF(ISNA(VLOOKUP(A418,Declarations!B$6:C$293,2,FALSE)),"",IF(VLOOKUP(A418,Declarations!B$6:C$293,2,FALSE)="","---",VLOOKUP(A418,Declarations!B$6:C$293,2,FALSE)))</f>
        <v/>
      </c>
      <c r="C418" s="69" t="str">
        <f>IF(ISNA(VLOOKUP(A418,Declarations!B$6:F$293,5,FALSE)),"",IF(VLOOKUP(A418,Declarations!B$6:F$293,5,FALSE)="","---",VLOOKUP(A418,Declarations!B$6:F$293,5,FALSE)))</f>
        <v/>
      </c>
      <c r="D418" s="69" t="str">
        <f>IF(ISNA(VLOOKUP(A418,Declarations!B$6:F$293,4,FALSE)),"",IF(VLOOKUP(A418,Declarations!B$6:F$293,4,FALSE)="","---",VLOOKUP(A418,Declarations!B$6:F$293,4,FALSE)))</f>
        <v/>
      </c>
      <c r="E418" s="68"/>
      <c r="F418" s="70"/>
      <c r="G418" s="281" t="s">
        <v>149</v>
      </c>
      <c r="H418" s="70"/>
    </row>
    <row r="419" spans="1:8" ht="20" customHeight="1">
      <c r="A419" s="68"/>
      <c r="B419" s="69" t="str">
        <f>IF(ISNA(VLOOKUP(A419,Declarations!B$6:C$293,2,FALSE)),"",IF(VLOOKUP(A419,Declarations!B$6:C$293,2,FALSE)="","---",VLOOKUP(A419,Declarations!B$6:C$293,2,FALSE)))</f>
        <v/>
      </c>
      <c r="C419" s="69" t="str">
        <f>IF(ISNA(VLOOKUP(A419,Declarations!B$6:F$293,5,FALSE)),"",IF(VLOOKUP(A419,Declarations!B$6:F$293,5,FALSE)="","---",VLOOKUP(A419,Declarations!B$6:F$293,5,FALSE)))</f>
        <v/>
      </c>
      <c r="D419" s="69" t="str">
        <f>IF(ISNA(VLOOKUP(A419,Declarations!B$6:F$293,4,FALSE)),"",IF(VLOOKUP(A419,Declarations!B$6:F$293,4,FALSE)="","---",VLOOKUP(A419,Declarations!B$6:F$293,4,FALSE)))</f>
        <v/>
      </c>
      <c r="E419" s="68"/>
      <c r="F419" s="70"/>
      <c r="G419" s="281" t="s">
        <v>149</v>
      </c>
      <c r="H419" s="70"/>
    </row>
    <row r="420" spans="1:8" ht="20" customHeight="1">
      <c r="A420" s="68"/>
      <c r="B420" s="69" t="str">
        <f>IF(ISNA(VLOOKUP(A420,Declarations!B$6:C$293,2,FALSE)),"",IF(VLOOKUP(A420,Declarations!B$6:C$293,2,FALSE)="","---",VLOOKUP(A420,Declarations!B$6:C$293,2,FALSE)))</f>
        <v/>
      </c>
      <c r="C420" s="69" t="str">
        <f>IF(ISNA(VLOOKUP(A420,Declarations!B$6:F$293,5,FALSE)),"",IF(VLOOKUP(A420,Declarations!B$6:F$293,5,FALSE)="","---",VLOOKUP(A420,Declarations!B$6:F$293,5,FALSE)))</f>
        <v/>
      </c>
      <c r="D420" s="69" t="str">
        <f>IF(ISNA(VLOOKUP(A420,Declarations!B$6:F$293,4,FALSE)),"",IF(VLOOKUP(A420,Declarations!B$6:F$293,4,FALSE)="","---",VLOOKUP(A420,Declarations!B$6:F$293,4,FALSE)))</f>
        <v/>
      </c>
      <c r="E420" s="68"/>
      <c r="F420" s="70"/>
      <c r="G420" s="281" t="s">
        <v>149</v>
      </c>
      <c r="H420" s="70"/>
    </row>
    <row r="421" spans="1:8" ht="20" customHeight="1">
      <c r="A421" s="68"/>
      <c r="B421" s="69" t="str">
        <f>IF(ISNA(VLOOKUP(A421,Declarations!B$6:C$293,2,FALSE)),"",IF(VLOOKUP(A421,Declarations!B$6:C$293,2,FALSE)="","---",VLOOKUP(A421,Declarations!B$6:C$293,2,FALSE)))</f>
        <v/>
      </c>
      <c r="C421" s="69" t="str">
        <f>IF(ISNA(VLOOKUP(A421,Declarations!B$6:F$293,5,FALSE)),"",IF(VLOOKUP(A421,Declarations!B$6:F$293,5,FALSE)="","---",VLOOKUP(A421,Declarations!B$6:F$293,5,FALSE)))</f>
        <v/>
      </c>
      <c r="D421" s="69" t="str">
        <f>IF(ISNA(VLOOKUP(A421,Declarations!B$6:F$293,4,FALSE)),"",IF(VLOOKUP(A421,Declarations!B$6:F$293,4,FALSE)="","---",VLOOKUP(A421,Declarations!B$6:F$293,4,FALSE)))</f>
        <v/>
      </c>
      <c r="E421" s="70"/>
      <c r="F421" s="70"/>
      <c r="G421" s="281" t="s">
        <v>149</v>
      </c>
      <c r="H421" s="70"/>
    </row>
    <row r="422" spans="1:8" ht="20" customHeight="1">
      <c r="A422" s="68"/>
      <c r="B422" s="69" t="str">
        <f>IF(ISNA(VLOOKUP(A422,Declarations!B$6:C$293,2,FALSE)),"",IF(VLOOKUP(A422,Declarations!B$6:C$293,2,FALSE)="","---",VLOOKUP(A422,Declarations!B$6:C$293,2,FALSE)))</f>
        <v/>
      </c>
      <c r="C422" s="69" t="str">
        <f>IF(ISNA(VLOOKUP(A422,Declarations!B$6:F$293,5,FALSE)),"",IF(VLOOKUP(A422,Declarations!B$6:F$293,5,FALSE)="","---",VLOOKUP(A422,Declarations!B$6:F$293,5,FALSE)))</f>
        <v/>
      </c>
      <c r="D422" s="69" t="str">
        <f>IF(ISNA(VLOOKUP(A422,Declarations!B$6:F$293,4,FALSE)),"",IF(VLOOKUP(A422,Declarations!B$6:F$293,4,FALSE)="","---",VLOOKUP(A422,Declarations!B$6:F$293,4,FALSE)))</f>
        <v/>
      </c>
      <c r="E422" s="70"/>
      <c r="F422" s="70"/>
      <c r="G422" s="281" t="s">
        <v>149</v>
      </c>
      <c r="H422" s="70"/>
    </row>
    <row r="423" spans="1:8" ht="20" customHeight="1">
      <c r="A423" s="68"/>
      <c r="B423" s="69" t="str">
        <f>IF(ISNA(VLOOKUP(A423,Declarations!B$6:C$293,2,FALSE)),"",IF(VLOOKUP(A423,Declarations!B$6:C$293,2,FALSE)="","---",VLOOKUP(A423,Declarations!B$6:C$293,2,FALSE)))</f>
        <v/>
      </c>
      <c r="C423" s="69" t="str">
        <f>IF(ISNA(VLOOKUP(A423,Declarations!B$6:F$293,5,FALSE)),"",IF(VLOOKUP(A423,Declarations!B$6:F$293,5,FALSE)="","---",VLOOKUP(A423,Declarations!B$6:F$293,5,FALSE)))</f>
        <v/>
      </c>
      <c r="D423" s="69" t="str">
        <f>IF(ISNA(VLOOKUP(A423,Declarations!B$6:F$293,4,FALSE)),"",IF(VLOOKUP(A423,Declarations!B$6:F$293,4,FALSE)="","---",VLOOKUP(A423,Declarations!B$6:F$293,4,FALSE)))</f>
        <v/>
      </c>
      <c r="E423" s="70"/>
      <c r="F423" s="70"/>
      <c r="G423" s="281" t="s">
        <v>149</v>
      </c>
      <c r="H423" s="70"/>
    </row>
    <row r="424" spans="1:8" ht="20" customHeight="1">
      <c r="A424" s="68"/>
      <c r="B424" s="69" t="str">
        <f>IF(ISNA(VLOOKUP(A424,Declarations!B$6:C$293,2,FALSE)),"",IF(VLOOKUP(A424,Declarations!B$6:C$293,2,FALSE)="","---",VLOOKUP(A424,Declarations!B$6:C$293,2,FALSE)))</f>
        <v/>
      </c>
      <c r="C424" s="69" t="str">
        <f>IF(ISNA(VLOOKUP(A424,Declarations!B$6:F$293,5,FALSE)),"",IF(VLOOKUP(A424,Declarations!B$6:F$293,5,FALSE)="","---",VLOOKUP(A424,Declarations!B$6:F$293,5,FALSE)))</f>
        <v/>
      </c>
      <c r="D424" s="69" t="str">
        <f>IF(ISNA(VLOOKUP(A424,Declarations!B$6:F$293,4,FALSE)),"",IF(VLOOKUP(A424,Declarations!B$6:F$293,4,FALSE)="","---",VLOOKUP(A424,Declarations!B$6:F$293,4,FALSE)))</f>
        <v/>
      </c>
      <c r="E424" s="70"/>
      <c r="F424" s="70"/>
      <c r="G424" s="281" t="s">
        <v>149</v>
      </c>
      <c r="H424" s="70"/>
    </row>
    <row r="425" spans="1:8" ht="20" customHeight="1">
      <c r="A425" s="68"/>
      <c r="B425" s="69" t="str">
        <f>IF(ISNA(VLOOKUP(A425,Declarations!B$6:C$293,2,FALSE)),"",IF(VLOOKUP(A425,Declarations!B$6:C$293,2,FALSE)="","---",VLOOKUP(A425,Declarations!B$6:C$293,2,FALSE)))</f>
        <v/>
      </c>
      <c r="C425" s="69" t="str">
        <f>IF(ISNA(VLOOKUP(A425,Declarations!B$6:F$293,5,FALSE)),"",IF(VLOOKUP(A425,Declarations!B$6:F$293,5,FALSE)="","---",VLOOKUP(A425,Declarations!B$6:F$293,5,FALSE)))</f>
        <v/>
      </c>
      <c r="D425" s="69" t="str">
        <f>IF(ISNA(VLOOKUP(A425,Declarations!B$6:F$293,4,FALSE)),"",IF(VLOOKUP(A425,Declarations!B$6:F$293,4,FALSE)="","---",VLOOKUP(A425,Declarations!B$6:F$293,4,FALSE)))</f>
        <v/>
      </c>
      <c r="E425" s="70"/>
      <c r="F425" s="70"/>
      <c r="G425" s="281" t="s">
        <v>149</v>
      </c>
      <c r="H425" s="70"/>
    </row>
    <row r="426" spans="1:8" ht="20" customHeight="1">
      <c r="A426" s="68"/>
      <c r="B426" s="69" t="str">
        <f>IF(ISNA(VLOOKUP(A426,Declarations!B$6:C$293,2,FALSE)),"",IF(VLOOKUP(A426,Declarations!B$6:C$293,2,FALSE)="","---",VLOOKUP(A426,Declarations!B$6:C$293,2,FALSE)))</f>
        <v/>
      </c>
      <c r="C426" s="69" t="str">
        <f>IF(ISNA(VLOOKUP(A426,Declarations!B$6:F$293,5,FALSE)),"",IF(VLOOKUP(A426,Declarations!B$6:F$293,5,FALSE)="","---",VLOOKUP(A426,Declarations!B$6:F$293,5,FALSE)))</f>
        <v/>
      </c>
      <c r="D426" s="69" t="str">
        <f>IF(ISNA(VLOOKUP(A426,Declarations!B$6:F$293,4,FALSE)),"",IF(VLOOKUP(A426,Declarations!B$6:F$293,4,FALSE)="","---",VLOOKUP(A426,Declarations!B$6:F$293,4,FALSE)))</f>
        <v/>
      </c>
      <c r="E426" s="70"/>
      <c r="F426" s="70"/>
      <c r="G426" s="281" t="s">
        <v>149</v>
      </c>
      <c r="H426" s="70"/>
    </row>
    <row r="427" spans="1:8" ht="20" customHeight="1">
      <c r="A427" s="68"/>
      <c r="B427" s="69" t="str">
        <f>IF(ISNA(VLOOKUP(A427,Declarations!B$6:C$293,2,FALSE)),"",IF(VLOOKUP(A427,Declarations!B$6:C$293,2,FALSE)="","---",VLOOKUP(A427,Declarations!B$6:C$293,2,FALSE)))</f>
        <v/>
      </c>
      <c r="C427" s="69" t="str">
        <f>IF(ISNA(VLOOKUP(A427,Declarations!B$6:F$293,5,FALSE)),"",IF(VLOOKUP(A427,Declarations!B$6:F$293,5,FALSE)="","---",VLOOKUP(A427,Declarations!B$6:F$293,5,FALSE)))</f>
        <v/>
      </c>
      <c r="D427" s="69" t="str">
        <f>IF(ISNA(VLOOKUP(A427,Declarations!B$6:F$293,4,FALSE)),"",IF(VLOOKUP(A427,Declarations!B$6:F$293,4,FALSE)="","---",VLOOKUP(A427,Declarations!B$6:F$293,4,FALSE)))</f>
        <v/>
      </c>
      <c r="E427" s="70"/>
      <c r="F427" s="70"/>
      <c r="G427" s="281" t="s">
        <v>149</v>
      </c>
      <c r="H427" s="70"/>
    </row>
    <row r="428" spans="1:8" ht="20" customHeight="1">
      <c r="A428" s="68"/>
      <c r="B428" s="69" t="str">
        <f>IF(ISNA(VLOOKUP(A428,Declarations!B$6:C$293,2,FALSE)),"",IF(VLOOKUP(A428,Declarations!B$6:C$293,2,FALSE)="","---",VLOOKUP(A428,Declarations!B$6:C$293,2,FALSE)))</f>
        <v/>
      </c>
      <c r="C428" s="69" t="str">
        <f>IF(ISNA(VLOOKUP(A428,Declarations!B$6:F$293,5,FALSE)),"",IF(VLOOKUP(A428,Declarations!B$6:F$293,5,FALSE)="","---",VLOOKUP(A428,Declarations!B$6:F$293,5,FALSE)))</f>
        <v/>
      </c>
      <c r="D428" s="69" t="str">
        <f>IF(ISNA(VLOOKUP(A428,Declarations!B$6:F$293,4,FALSE)),"",IF(VLOOKUP(A428,Declarations!B$6:F$293,4,FALSE)="","---",VLOOKUP(A428,Declarations!B$6:F$293,4,FALSE)))</f>
        <v/>
      </c>
      <c r="E428" s="70"/>
      <c r="F428" s="70"/>
      <c r="G428" s="281" t="s">
        <v>149</v>
      </c>
      <c r="H428" s="70"/>
    </row>
    <row r="429" spans="1:8" ht="20" customHeight="1">
      <c r="A429" s="68"/>
      <c r="B429" s="69" t="str">
        <f>IF(ISNA(VLOOKUP(A429,Declarations!B$6:C$293,2,FALSE)),"",IF(VLOOKUP(A429,Declarations!B$6:C$293,2,FALSE)="","---",VLOOKUP(A429,Declarations!B$6:C$293,2,FALSE)))</f>
        <v/>
      </c>
      <c r="C429" s="69" t="str">
        <f>IF(ISNA(VLOOKUP(A429,Declarations!B$6:F$293,5,FALSE)),"",IF(VLOOKUP(A429,Declarations!B$6:F$293,5,FALSE)="","---",VLOOKUP(A429,Declarations!B$6:F$293,5,FALSE)))</f>
        <v/>
      </c>
      <c r="D429" s="69" t="str">
        <f>IF(ISNA(VLOOKUP(A429,Declarations!B$6:F$293,4,FALSE)),"",IF(VLOOKUP(A429,Declarations!B$6:F$293,4,FALSE)="","---",VLOOKUP(A429,Declarations!B$6:F$293,4,FALSE)))</f>
        <v/>
      </c>
      <c r="E429" s="70"/>
      <c r="F429" s="70"/>
      <c r="G429" s="281" t="s">
        <v>149</v>
      </c>
      <c r="H429" s="70"/>
    </row>
    <row r="430" spans="1:8" ht="20" customHeight="1">
      <c r="A430" s="68"/>
      <c r="B430" s="69" t="str">
        <f>IF(ISNA(VLOOKUP(A430,Declarations!B$6:C$293,2,FALSE)),"",IF(VLOOKUP(A430,Declarations!B$6:C$293,2,FALSE)="","---",VLOOKUP(A430,Declarations!B$6:C$293,2,FALSE)))</f>
        <v/>
      </c>
      <c r="C430" s="69" t="str">
        <f>IF(ISNA(VLOOKUP(A430,Declarations!B$6:F$293,5,FALSE)),"",IF(VLOOKUP(A430,Declarations!B$6:F$293,5,FALSE)="","---",VLOOKUP(A430,Declarations!B$6:F$293,5,FALSE)))</f>
        <v/>
      </c>
      <c r="D430" s="69" t="str">
        <f>IF(ISNA(VLOOKUP(A430,Declarations!B$6:F$293,4,FALSE)),"",IF(VLOOKUP(A430,Declarations!B$6:F$293,4,FALSE)="","---",VLOOKUP(A430,Declarations!B$6:F$293,4,FALSE)))</f>
        <v/>
      </c>
      <c r="E430" s="70"/>
      <c r="F430" s="70"/>
      <c r="G430" s="281" t="s">
        <v>149</v>
      </c>
      <c r="H430" s="70"/>
    </row>
    <row r="431" spans="1:8" ht="20" customHeight="1">
      <c r="A431" s="68"/>
      <c r="B431" s="69" t="str">
        <f>IF(ISNA(VLOOKUP(A431,Declarations!B$6:C$293,2,FALSE)),"",IF(VLOOKUP(A431,Declarations!B$6:C$293,2,FALSE)="","---",VLOOKUP(A431,Declarations!B$6:C$293,2,FALSE)))</f>
        <v/>
      </c>
      <c r="C431" s="69" t="str">
        <f>IF(ISNA(VLOOKUP(A431,Declarations!B$6:F$293,5,FALSE)),"",IF(VLOOKUP(A431,Declarations!B$6:F$293,5,FALSE)="","---",VLOOKUP(A431,Declarations!B$6:F$293,5,FALSE)))</f>
        <v/>
      </c>
      <c r="D431" s="69" t="str">
        <f>IF(ISNA(VLOOKUP(A431,Declarations!B$6:F$293,4,FALSE)),"",IF(VLOOKUP(A431,Declarations!B$6:F$293,4,FALSE)="","---",VLOOKUP(A431,Declarations!B$6:F$293,4,FALSE)))</f>
        <v/>
      </c>
      <c r="E431" s="70"/>
      <c r="F431" s="70"/>
      <c r="G431" s="281" t="s">
        <v>149</v>
      </c>
      <c r="H431" s="70"/>
    </row>
    <row r="432" spans="1:8" ht="20" customHeight="1">
      <c r="A432" s="68"/>
      <c r="B432" s="69" t="str">
        <f>IF(ISNA(VLOOKUP(A432,Declarations!B$6:C$293,2,FALSE)),"",IF(VLOOKUP(A432,Declarations!B$6:C$293,2,FALSE)="","---",VLOOKUP(A432,Declarations!B$6:C$293,2,FALSE)))</f>
        <v/>
      </c>
      <c r="C432" s="69" t="str">
        <f>IF(ISNA(VLOOKUP(A432,Declarations!B$6:F$293,5,FALSE)),"",IF(VLOOKUP(A432,Declarations!B$6:F$293,5,FALSE)="","---",VLOOKUP(A432,Declarations!B$6:F$293,5,FALSE)))</f>
        <v/>
      </c>
      <c r="D432" s="69" t="str">
        <f>IF(ISNA(VLOOKUP(A432,Declarations!B$6:F$293,4,FALSE)),"",IF(VLOOKUP(A432,Declarations!B$6:F$293,4,FALSE)="","---",VLOOKUP(A432,Declarations!B$6:F$293,4,FALSE)))</f>
        <v/>
      </c>
      <c r="E432" s="70"/>
      <c r="F432" s="70"/>
      <c r="G432" s="281" t="s">
        <v>149</v>
      </c>
      <c r="H432" s="70"/>
    </row>
    <row r="433" spans="1:8" ht="20" customHeight="1">
      <c r="A433" s="68"/>
      <c r="B433" s="69" t="str">
        <f>IF(ISNA(VLOOKUP(A433,Declarations!B$6:C$293,2,FALSE)),"",IF(VLOOKUP(A433,Declarations!B$6:C$293,2,FALSE)="","---",VLOOKUP(A433,Declarations!B$6:C$293,2,FALSE)))</f>
        <v/>
      </c>
      <c r="C433" s="69" t="str">
        <f>IF(ISNA(VLOOKUP(A433,Declarations!B$6:F$293,5,FALSE)),"",IF(VLOOKUP(A433,Declarations!B$6:F$293,5,FALSE)="","---",VLOOKUP(A433,Declarations!B$6:F$293,5,FALSE)))</f>
        <v/>
      </c>
      <c r="D433" s="69" t="str">
        <f>IF(ISNA(VLOOKUP(A433,Declarations!B$6:F$293,4,FALSE)),"",IF(VLOOKUP(A433,Declarations!B$6:F$293,4,FALSE)="","---",VLOOKUP(A433,Declarations!B$6:F$293,4,FALSE)))</f>
        <v/>
      </c>
      <c r="E433" s="70"/>
      <c r="F433" s="70"/>
      <c r="G433" s="281" t="s">
        <v>149</v>
      </c>
      <c r="H433" s="70"/>
    </row>
    <row r="434" spans="1:8" ht="20" customHeight="1">
      <c r="A434" s="68"/>
      <c r="B434" s="69" t="str">
        <f>IF(ISNA(VLOOKUP(A434,Declarations!B$6:C$293,2,FALSE)),"",IF(VLOOKUP(A434,Declarations!B$6:C$293,2,FALSE)="","---",VLOOKUP(A434,Declarations!B$6:C$293,2,FALSE)))</f>
        <v/>
      </c>
      <c r="C434" s="69" t="str">
        <f>IF(ISNA(VLOOKUP(A434,Declarations!B$6:F$293,5,FALSE)),"",IF(VLOOKUP(A434,Declarations!B$6:F$293,5,FALSE)="","---",VLOOKUP(A434,Declarations!B$6:F$293,5,FALSE)))</f>
        <v/>
      </c>
      <c r="D434" s="69" t="str">
        <f>IF(ISNA(VLOOKUP(A434,Declarations!B$6:F$293,4,FALSE)),"",IF(VLOOKUP(A434,Declarations!B$6:F$293,4,FALSE)="","---",VLOOKUP(A434,Declarations!B$6:F$293,4,FALSE)))</f>
        <v/>
      </c>
      <c r="E434" s="70"/>
      <c r="F434" s="70"/>
      <c r="G434" s="281" t="s">
        <v>149</v>
      </c>
      <c r="H434" s="70"/>
    </row>
    <row r="435" spans="1:8">
      <c r="A435" s="71"/>
      <c r="B435" s="72"/>
      <c r="C435" s="72"/>
      <c r="D435" s="72"/>
      <c r="E435" s="73"/>
      <c r="F435" s="73"/>
      <c r="G435" s="73"/>
      <c r="H435" s="73"/>
    </row>
    <row r="436" spans="1:8">
      <c r="A436" s="71"/>
      <c r="B436" s="510" t="s">
        <v>213</v>
      </c>
      <c r="C436" s="511"/>
      <c r="D436" s="72"/>
      <c r="E436" s="509" t="s">
        <v>93</v>
      </c>
      <c r="F436" s="509"/>
      <c r="G436" s="501" t="s">
        <v>43</v>
      </c>
      <c r="H436" s="501"/>
    </row>
    <row r="437" spans="1:8" ht="16" customHeight="1">
      <c r="A437" s="71"/>
      <c r="B437" s="512"/>
      <c r="C437" s="513"/>
      <c r="D437" s="72"/>
      <c r="E437" s="501"/>
      <c r="F437" s="501"/>
      <c r="G437" s="501"/>
      <c r="H437" s="501"/>
    </row>
    <row r="438" spans="1:8">
      <c r="A438" s="71"/>
      <c r="B438" s="512"/>
      <c r="C438" s="513"/>
      <c r="D438" s="72"/>
      <c r="E438" s="501"/>
      <c r="F438" s="501"/>
      <c r="G438" s="501"/>
      <c r="H438" s="501"/>
    </row>
    <row r="439" spans="1:8">
      <c r="A439" s="71"/>
      <c r="B439" s="514"/>
      <c r="C439" s="515"/>
      <c r="D439" s="72"/>
      <c r="E439" s="501"/>
      <c r="F439" s="501"/>
      <c r="G439" s="501"/>
      <c r="H439" s="501"/>
    </row>
    <row r="440" spans="1:8" ht="8" customHeight="1">
      <c r="A440" s="71"/>
      <c r="B440" s="72"/>
      <c r="C440" s="72"/>
      <c r="D440" s="72"/>
      <c r="E440" s="73"/>
      <c r="F440" s="73"/>
      <c r="G440" s="73"/>
      <c r="H440" s="73"/>
    </row>
    <row r="441" spans="1:8" ht="20">
      <c r="A441" s="502" t="str">
        <f>'Read Me First'!A1:F1</f>
        <v>Oxfordshire Track and Field League 2026</v>
      </c>
      <c r="B441" s="503"/>
      <c r="C441" s="503"/>
      <c r="D441" s="503"/>
      <c r="E441" s="503"/>
      <c r="F441" s="503"/>
      <c r="G441" s="503"/>
      <c r="H441" s="504"/>
    </row>
    <row r="442" spans="1:8" ht="18">
      <c r="A442" s="61" t="s">
        <v>12</v>
      </c>
      <c r="B442" s="62">
        <f>'Read Me First'!$C$10</f>
        <v>46250</v>
      </c>
      <c r="C442" s="77">
        <v>0.45833333333333331</v>
      </c>
      <c r="D442" s="61" t="s">
        <v>13</v>
      </c>
      <c r="E442" s="505" t="str">
        <f>$E$2</f>
        <v>Banbury</v>
      </c>
      <c r="F442" s="506"/>
      <c r="G442" s="506"/>
      <c r="H442" s="507"/>
    </row>
    <row r="443" spans="1:8" ht="18">
      <c r="A443" s="508" t="s">
        <v>75</v>
      </c>
      <c r="B443" s="508"/>
      <c r="C443" s="508"/>
      <c r="D443" s="508"/>
      <c r="E443" s="60">
        <v>1</v>
      </c>
      <c r="F443" s="60">
        <v>2</v>
      </c>
      <c r="G443" s="60">
        <v>3</v>
      </c>
      <c r="H443" s="60" t="s">
        <v>42</v>
      </c>
    </row>
    <row r="444" spans="1:8" ht="18">
      <c r="A444" s="66"/>
      <c r="B444" s="66"/>
      <c r="C444" s="66"/>
      <c r="D444" s="66"/>
      <c r="E444" s="67"/>
      <c r="F444" s="67"/>
      <c r="G444" s="67"/>
      <c r="H444" s="67"/>
    </row>
    <row r="445" spans="1:8" ht="20" customHeight="1">
      <c r="A445" s="68" t="str" cm="1">
        <f t="array" ref="A445">IFERROR(_xlfn.TEXTSPLIT(IFERROR(_xlfn.TEXTJOIN(",",TRUE,_xlfn._xlws.FILTER(BlockAllocations!$F$3:$F$20,BlockAllocations!$E$3:$E$20=BlockAllocations!$G$7)),""),,",")+0,"!")</f>
        <v>!</v>
      </c>
      <c r="B445" s="69" t="str">
        <f>IF(ISNA(VLOOKUP(A445,Declarations!B$6:C$293,2,FALSE)),"",IF(VLOOKUP(A445,Declarations!B$6:C$293,2,FALSE)="","---",VLOOKUP(A445,Declarations!B$6:C$293,2,FALSE)))</f>
        <v/>
      </c>
      <c r="C445" s="69" t="str">
        <f>IF(ISNA(VLOOKUP(A445,Declarations!B$6:F$293,5,FALSE)),"",IF(VLOOKUP(A445,Declarations!B$6:F$293,5,FALSE)="","---",VLOOKUP(A445,Declarations!B$6:F$293,5,FALSE)))</f>
        <v/>
      </c>
      <c r="D445" s="69" t="str">
        <f>IF(ISNA(VLOOKUP(A445,Declarations!B$6:F$293,4,FALSE)),"",IF(VLOOKUP(A445,Declarations!B$6:F$293,4,FALSE)="","---",VLOOKUP(A445,Declarations!B$6:F$293,4,FALSE)))</f>
        <v/>
      </c>
      <c r="E445" s="68"/>
      <c r="F445" s="70"/>
      <c r="G445" s="281" t="s">
        <v>149</v>
      </c>
      <c r="H445" s="70"/>
    </row>
    <row r="446" spans="1:8" ht="20" customHeight="1">
      <c r="A446" s="68"/>
      <c r="B446" s="69" t="str">
        <f>IF(ISNA(VLOOKUP(A446,Declarations!B$6:C$293,2,FALSE)),"",IF(VLOOKUP(A446,Declarations!B$6:C$293,2,FALSE)="","---",VLOOKUP(A446,Declarations!B$6:C$293,2,FALSE)))</f>
        <v/>
      </c>
      <c r="C446" s="69" t="str">
        <f>IF(ISNA(VLOOKUP(A446,Declarations!B$6:F$293,5,FALSE)),"",IF(VLOOKUP(A446,Declarations!B$6:F$293,5,FALSE)="","---",VLOOKUP(A446,Declarations!B$6:F$293,5,FALSE)))</f>
        <v/>
      </c>
      <c r="D446" s="69" t="str">
        <f>IF(ISNA(VLOOKUP(A446,Declarations!B$6:F$293,4,FALSE)),"",IF(VLOOKUP(A446,Declarations!B$6:F$293,4,FALSE)="","---",VLOOKUP(A446,Declarations!B$6:F$293,4,FALSE)))</f>
        <v/>
      </c>
      <c r="E446" s="68"/>
      <c r="F446" s="70"/>
      <c r="G446" s="281" t="s">
        <v>149</v>
      </c>
      <c r="H446" s="70"/>
    </row>
    <row r="447" spans="1:8" ht="20" customHeight="1">
      <c r="A447" s="68"/>
      <c r="B447" s="69" t="str">
        <f>IF(ISNA(VLOOKUP(A447,Declarations!B$6:C$293,2,FALSE)),"",IF(VLOOKUP(A447,Declarations!B$6:C$293,2,FALSE)="","---",VLOOKUP(A447,Declarations!B$6:C$293,2,FALSE)))</f>
        <v/>
      </c>
      <c r="C447" s="69" t="str">
        <f>IF(ISNA(VLOOKUP(A447,Declarations!B$6:F$293,5,FALSE)),"",IF(VLOOKUP(A447,Declarations!B$6:F$293,5,FALSE)="","---",VLOOKUP(A447,Declarations!B$6:F$293,5,FALSE)))</f>
        <v/>
      </c>
      <c r="D447" s="69" t="str">
        <f>IF(ISNA(VLOOKUP(A447,Declarations!B$6:F$293,4,FALSE)),"",IF(VLOOKUP(A447,Declarations!B$6:F$293,4,FALSE)="","---",VLOOKUP(A447,Declarations!B$6:F$293,4,FALSE)))</f>
        <v/>
      </c>
      <c r="E447" s="68"/>
      <c r="F447" s="70"/>
      <c r="G447" s="281" t="s">
        <v>149</v>
      </c>
      <c r="H447" s="70"/>
    </row>
    <row r="448" spans="1:8" ht="20" customHeight="1">
      <c r="A448" s="68"/>
      <c r="B448" s="69" t="str">
        <f>IF(ISNA(VLOOKUP(A448,Declarations!B$6:C$293,2,FALSE)),"",IF(VLOOKUP(A448,Declarations!B$6:C$293,2,FALSE)="","---",VLOOKUP(A448,Declarations!B$6:C$293,2,FALSE)))</f>
        <v/>
      </c>
      <c r="C448" s="69" t="str">
        <f>IF(ISNA(VLOOKUP(A448,Declarations!B$6:F$293,5,FALSE)),"",IF(VLOOKUP(A448,Declarations!B$6:F$293,5,FALSE)="","---",VLOOKUP(A448,Declarations!B$6:F$293,5,FALSE)))</f>
        <v/>
      </c>
      <c r="D448" s="69" t="str">
        <f>IF(ISNA(VLOOKUP(A448,Declarations!B$6:F$293,4,FALSE)),"",IF(VLOOKUP(A448,Declarations!B$6:F$293,4,FALSE)="","---",VLOOKUP(A448,Declarations!B$6:F$293,4,FALSE)))</f>
        <v/>
      </c>
      <c r="E448" s="68"/>
      <c r="F448" s="70"/>
      <c r="G448" s="281" t="s">
        <v>149</v>
      </c>
      <c r="H448" s="70"/>
    </row>
    <row r="449" spans="1:8" ht="20" customHeight="1">
      <c r="A449" s="68"/>
      <c r="B449" s="69" t="str">
        <f>IF(ISNA(VLOOKUP(A449,Declarations!B$6:C$293,2,FALSE)),"",IF(VLOOKUP(A449,Declarations!B$6:C$293,2,FALSE)="","---",VLOOKUP(A449,Declarations!B$6:C$293,2,FALSE)))</f>
        <v/>
      </c>
      <c r="C449" s="69" t="str">
        <f>IF(ISNA(VLOOKUP(A449,Declarations!B$6:F$293,5,FALSE)),"",IF(VLOOKUP(A449,Declarations!B$6:F$293,5,FALSE)="","---",VLOOKUP(A449,Declarations!B$6:F$293,5,FALSE)))</f>
        <v/>
      </c>
      <c r="D449" s="69" t="str">
        <f>IF(ISNA(VLOOKUP(A449,Declarations!B$6:F$293,4,FALSE)),"",IF(VLOOKUP(A449,Declarations!B$6:F$293,4,FALSE)="","---",VLOOKUP(A449,Declarations!B$6:F$293,4,FALSE)))</f>
        <v/>
      </c>
      <c r="E449" s="68"/>
      <c r="F449" s="70"/>
      <c r="G449" s="281" t="s">
        <v>149</v>
      </c>
      <c r="H449" s="70"/>
    </row>
    <row r="450" spans="1:8" ht="20" customHeight="1">
      <c r="A450" s="68"/>
      <c r="B450" s="69" t="str">
        <f>IF(ISNA(VLOOKUP(A450,Declarations!B$6:C$293,2,FALSE)),"",IF(VLOOKUP(A450,Declarations!B$6:C$293,2,FALSE)="","---",VLOOKUP(A450,Declarations!B$6:C$293,2,FALSE)))</f>
        <v/>
      </c>
      <c r="C450" s="69" t="str">
        <f>IF(ISNA(VLOOKUP(A450,Declarations!B$6:F$293,5,FALSE)),"",IF(VLOOKUP(A450,Declarations!B$6:F$293,5,FALSE)="","---",VLOOKUP(A450,Declarations!B$6:F$293,5,FALSE)))</f>
        <v/>
      </c>
      <c r="D450" s="69" t="str">
        <f>IF(ISNA(VLOOKUP(A450,Declarations!B$6:F$293,4,FALSE)),"",IF(VLOOKUP(A450,Declarations!B$6:F$293,4,FALSE)="","---",VLOOKUP(A450,Declarations!B$6:F$293,4,FALSE)))</f>
        <v/>
      </c>
      <c r="E450" s="68"/>
      <c r="F450" s="70"/>
      <c r="G450" s="281" t="s">
        <v>149</v>
      </c>
      <c r="H450" s="70"/>
    </row>
    <row r="451" spans="1:8" ht="20" customHeight="1">
      <c r="A451" s="68"/>
      <c r="B451" s="69" t="str">
        <f>IF(ISNA(VLOOKUP(A451,Declarations!B$6:C$293,2,FALSE)),"",IF(VLOOKUP(A451,Declarations!B$6:C$293,2,FALSE)="","---",VLOOKUP(A451,Declarations!B$6:C$293,2,FALSE)))</f>
        <v/>
      </c>
      <c r="C451" s="69" t="str">
        <f>IF(ISNA(VLOOKUP(A451,Declarations!B$6:F$293,5,FALSE)),"",IF(VLOOKUP(A451,Declarations!B$6:F$293,5,FALSE)="","---",VLOOKUP(A451,Declarations!B$6:F$293,5,FALSE)))</f>
        <v/>
      </c>
      <c r="D451" s="69" t="str">
        <f>IF(ISNA(VLOOKUP(A451,Declarations!B$6:F$293,4,FALSE)),"",IF(VLOOKUP(A451,Declarations!B$6:F$293,4,FALSE)="","---",VLOOKUP(A451,Declarations!B$6:F$293,4,FALSE)))</f>
        <v/>
      </c>
      <c r="E451" s="68"/>
      <c r="F451" s="70"/>
      <c r="G451" s="281" t="s">
        <v>149</v>
      </c>
      <c r="H451" s="70"/>
    </row>
    <row r="452" spans="1:8" ht="20" customHeight="1">
      <c r="A452" s="68"/>
      <c r="B452" s="69" t="str">
        <f>IF(ISNA(VLOOKUP(A452,Declarations!B$6:C$293,2,FALSE)),"",IF(VLOOKUP(A452,Declarations!B$6:C$293,2,FALSE)="","---",VLOOKUP(A452,Declarations!B$6:C$293,2,FALSE)))</f>
        <v/>
      </c>
      <c r="C452" s="69" t="str">
        <f>IF(ISNA(VLOOKUP(A452,Declarations!B$6:F$293,5,FALSE)),"",IF(VLOOKUP(A452,Declarations!B$6:F$293,5,FALSE)="","---",VLOOKUP(A452,Declarations!B$6:F$293,5,FALSE)))</f>
        <v/>
      </c>
      <c r="D452" s="69" t="str">
        <f>IF(ISNA(VLOOKUP(A452,Declarations!B$6:F$293,4,FALSE)),"",IF(VLOOKUP(A452,Declarations!B$6:F$293,4,FALSE)="","---",VLOOKUP(A452,Declarations!B$6:F$293,4,FALSE)))</f>
        <v/>
      </c>
      <c r="E452" s="68"/>
      <c r="F452" s="70"/>
      <c r="G452" s="281" t="s">
        <v>149</v>
      </c>
      <c r="H452" s="70"/>
    </row>
    <row r="453" spans="1:8" ht="20" customHeight="1">
      <c r="A453" s="68"/>
      <c r="B453" s="69" t="str">
        <f>IF(ISNA(VLOOKUP(A453,Declarations!B$6:C$293,2,FALSE)),"",IF(VLOOKUP(A453,Declarations!B$6:C$293,2,FALSE)="","---",VLOOKUP(A453,Declarations!B$6:C$293,2,FALSE)))</f>
        <v/>
      </c>
      <c r="C453" s="69" t="str">
        <f>IF(ISNA(VLOOKUP(A453,Declarations!B$6:F$293,5,FALSE)),"",IF(VLOOKUP(A453,Declarations!B$6:F$293,5,FALSE)="","---",VLOOKUP(A453,Declarations!B$6:F$293,5,FALSE)))</f>
        <v/>
      </c>
      <c r="D453" s="69" t="str">
        <f>IF(ISNA(VLOOKUP(A453,Declarations!B$6:F$293,4,FALSE)),"",IF(VLOOKUP(A453,Declarations!B$6:F$293,4,FALSE)="","---",VLOOKUP(A453,Declarations!B$6:F$293,4,FALSE)))</f>
        <v/>
      </c>
      <c r="E453" s="68"/>
      <c r="F453" s="70"/>
      <c r="G453" s="281" t="s">
        <v>149</v>
      </c>
      <c r="H453" s="70"/>
    </row>
    <row r="454" spans="1:8" ht="20" customHeight="1">
      <c r="A454" s="68"/>
      <c r="B454" s="69" t="str">
        <f>IF(ISNA(VLOOKUP(A454,Declarations!B$6:C$293,2,FALSE)),"",IF(VLOOKUP(A454,Declarations!B$6:C$293,2,FALSE)="","---",VLOOKUP(A454,Declarations!B$6:C$293,2,FALSE)))</f>
        <v/>
      </c>
      <c r="C454" s="69" t="str">
        <f>IF(ISNA(VLOOKUP(A454,Declarations!B$6:F$293,5,FALSE)),"",IF(VLOOKUP(A454,Declarations!B$6:F$293,5,FALSE)="","---",VLOOKUP(A454,Declarations!B$6:F$293,5,FALSE)))</f>
        <v/>
      </c>
      <c r="D454" s="69" t="str">
        <f>IF(ISNA(VLOOKUP(A454,Declarations!B$6:F$293,4,FALSE)),"",IF(VLOOKUP(A454,Declarations!B$6:F$293,4,FALSE)="","---",VLOOKUP(A454,Declarations!B$6:F$293,4,FALSE)))</f>
        <v/>
      </c>
      <c r="E454" s="68"/>
      <c r="F454" s="70"/>
      <c r="G454" s="281" t="s">
        <v>149</v>
      </c>
      <c r="H454" s="70"/>
    </row>
    <row r="455" spans="1:8" ht="20" customHeight="1">
      <c r="A455" s="68"/>
      <c r="B455" s="69" t="str">
        <f>IF(ISNA(VLOOKUP(A455,Declarations!B$6:C$293,2,FALSE)),"",IF(VLOOKUP(A455,Declarations!B$6:C$293,2,FALSE)="","---",VLOOKUP(A455,Declarations!B$6:C$293,2,FALSE)))</f>
        <v/>
      </c>
      <c r="C455" s="69" t="str">
        <f>IF(ISNA(VLOOKUP(A455,Declarations!B$6:F$293,5,FALSE)),"",IF(VLOOKUP(A455,Declarations!B$6:F$293,5,FALSE)="","---",VLOOKUP(A455,Declarations!B$6:F$293,5,FALSE)))</f>
        <v/>
      </c>
      <c r="D455" s="69" t="str">
        <f>IF(ISNA(VLOOKUP(A455,Declarations!B$6:F$293,4,FALSE)),"",IF(VLOOKUP(A455,Declarations!B$6:F$293,4,FALSE)="","---",VLOOKUP(A455,Declarations!B$6:F$293,4,FALSE)))</f>
        <v/>
      </c>
      <c r="E455" s="68"/>
      <c r="F455" s="70"/>
      <c r="G455" s="281" t="s">
        <v>149</v>
      </c>
      <c r="H455" s="70"/>
    </row>
    <row r="456" spans="1:8" ht="20" customHeight="1">
      <c r="A456" s="68"/>
      <c r="B456" s="69" t="str">
        <f>IF(ISNA(VLOOKUP(A456,Declarations!B$6:C$293,2,FALSE)),"",IF(VLOOKUP(A456,Declarations!B$6:C$293,2,FALSE)="","---",VLOOKUP(A456,Declarations!B$6:C$293,2,FALSE)))</f>
        <v/>
      </c>
      <c r="C456" s="69" t="str">
        <f>IF(ISNA(VLOOKUP(A456,Declarations!B$6:F$293,5,FALSE)),"",IF(VLOOKUP(A456,Declarations!B$6:F$293,5,FALSE)="","---",VLOOKUP(A456,Declarations!B$6:F$293,5,FALSE)))</f>
        <v/>
      </c>
      <c r="D456" s="69" t="str">
        <f>IF(ISNA(VLOOKUP(A456,Declarations!B$6:F$293,4,FALSE)),"",IF(VLOOKUP(A456,Declarations!B$6:F$293,4,FALSE)="","---",VLOOKUP(A456,Declarations!B$6:F$293,4,FALSE)))</f>
        <v/>
      </c>
      <c r="E456" s="68"/>
      <c r="F456" s="70"/>
      <c r="G456" s="281" t="s">
        <v>149</v>
      </c>
      <c r="H456" s="70"/>
    </row>
    <row r="457" spans="1:8" ht="20" customHeight="1">
      <c r="A457" s="68"/>
      <c r="B457" s="69" t="str">
        <f>IF(ISNA(VLOOKUP(A457,Declarations!B$6:C$293,2,FALSE)),"",IF(VLOOKUP(A457,Declarations!B$6:C$293,2,FALSE)="","---",VLOOKUP(A457,Declarations!B$6:C$293,2,FALSE)))</f>
        <v/>
      </c>
      <c r="C457" s="69" t="str">
        <f>IF(ISNA(VLOOKUP(A457,Declarations!B$6:F$293,5,FALSE)),"",IF(VLOOKUP(A457,Declarations!B$6:F$293,5,FALSE)="","---",VLOOKUP(A457,Declarations!B$6:F$293,5,FALSE)))</f>
        <v/>
      </c>
      <c r="D457" s="69" t="str">
        <f>IF(ISNA(VLOOKUP(A457,Declarations!B$6:F$293,4,FALSE)),"",IF(VLOOKUP(A457,Declarations!B$6:F$293,4,FALSE)="","---",VLOOKUP(A457,Declarations!B$6:F$293,4,FALSE)))</f>
        <v/>
      </c>
      <c r="E457" s="68"/>
      <c r="F457" s="70"/>
      <c r="G457" s="281" t="s">
        <v>149</v>
      </c>
      <c r="H457" s="70"/>
    </row>
    <row r="458" spans="1:8" ht="20" customHeight="1">
      <c r="A458" s="68"/>
      <c r="B458" s="69" t="str">
        <f>IF(ISNA(VLOOKUP(A458,Declarations!B$6:C$293,2,FALSE)),"",IF(VLOOKUP(A458,Declarations!B$6:C$293,2,FALSE)="","---",VLOOKUP(A458,Declarations!B$6:C$293,2,FALSE)))</f>
        <v/>
      </c>
      <c r="C458" s="69" t="str">
        <f>IF(ISNA(VLOOKUP(A458,Declarations!B$6:F$293,5,FALSE)),"",IF(VLOOKUP(A458,Declarations!B$6:F$293,5,FALSE)="","---",VLOOKUP(A458,Declarations!B$6:F$293,5,FALSE)))</f>
        <v/>
      </c>
      <c r="D458" s="69" t="str">
        <f>IF(ISNA(VLOOKUP(A458,Declarations!B$6:F$293,4,FALSE)),"",IF(VLOOKUP(A458,Declarations!B$6:F$293,4,FALSE)="","---",VLOOKUP(A458,Declarations!B$6:F$293,4,FALSE)))</f>
        <v/>
      </c>
      <c r="E458" s="68"/>
      <c r="F458" s="70"/>
      <c r="G458" s="281" t="s">
        <v>149</v>
      </c>
      <c r="H458" s="70"/>
    </row>
    <row r="459" spans="1:8" ht="20" customHeight="1">
      <c r="A459" s="68"/>
      <c r="B459" s="69" t="str">
        <f>IF(ISNA(VLOOKUP(A459,Declarations!B$6:C$293,2,FALSE)),"",IF(VLOOKUP(A459,Declarations!B$6:C$293,2,FALSE)="","---",VLOOKUP(A459,Declarations!B$6:C$293,2,FALSE)))</f>
        <v/>
      </c>
      <c r="C459" s="69" t="str">
        <f>IF(ISNA(VLOOKUP(A459,Declarations!B$6:F$293,5,FALSE)),"",IF(VLOOKUP(A459,Declarations!B$6:F$293,5,FALSE)="","---",VLOOKUP(A459,Declarations!B$6:F$293,5,FALSE)))</f>
        <v/>
      </c>
      <c r="D459" s="69" t="str">
        <f>IF(ISNA(VLOOKUP(A459,Declarations!B$6:F$293,4,FALSE)),"",IF(VLOOKUP(A459,Declarations!B$6:F$293,4,FALSE)="","---",VLOOKUP(A459,Declarations!B$6:F$293,4,FALSE)))</f>
        <v/>
      </c>
      <c r="E459" s="68"/>
      <c r="F459" s="70"/>
      <c r="G459" s="281" t="s">
        <v>149</v>
      </c>
      <c r="H459" s="70"/>
    </row>
    <row r="460" spans="1:8" ht="20" customHeight="1">
      <c r="A460" s="68"/>
      <c r="B460" s="69" t="str">
        <f>IF(ISNA(VLOOKUP(A460,Declarations!B$6:C$293,2,FALSE)),"",IF(VLOOKUP(A460,Declarations!B$6:C$293,2,FALSE)="","---",VLOOKUP(A460,Declarations!B$6:C$293,2,FALSE)))</f>
        <v/>
      </c>
      <c r="C460" s="69" t="str">
        <f>IF(ISNA(VLOOKUP(A460,Declarations!B$6:F$293,5,FALSE)),"",IF(VLOOKUP(A460,Declarations!B$6:F$293,5,FALSE)="","---",VLOOKUP(A460,Declarations!B$6:F$293,5,FALSE)))</f>
        <v/>
      </c>
      <c r="D460" s="69" t="str">
        <f>IF(ISNA(VLOOKUP(A460,Declarations!B$6:F$293,4,FALSE)),"",IF(VLOOKUP(A460,Declarations!B$6:F$293,4,FALSE)="","---",VLOOKUP(A460,Declarations!B$6:F$293,4,FALSE)))</f>
        <v/>
      </c>
      <c r="E460" s="68"/>
      <c r="F460" s="70"/>
      <c r="G460" s="281" t="s">
        <v>149</v>
      </c>
      <c r="H460" s="70"/>
    </row>
    <row r="461" spans="1:8" ht="20" customHeight="1">
      <c r="A461" s="68"/>
      <c r="B461" s="69" t="str">
        <f>IF(ISNA(VLOOKUP(A461,Declarations!B$6:C$293,2,FALSE)),"",IF(VLOOKUP(A461,Declarations!B$6:C$293,2,FALSE)="","---",VLOOKUP(A461,Declarations!B$6:C$293,2,FALSE)))</f>
        <v/>
      </c>
      <c r="C461" s="69" t="str">
        <f>IF(ISNA(VLOOKUP(A461,Declarations!B$6:F$293,5,FALSE)),"",IF(VLOOKUP(A461,Declarations!B$6:F$293,5,FALSE)="","---",VLOOKUP(A461,Declarations!B$6:F$293,5,FALSE)))</f>
        <v/>
      </c>
      <c r="D461" s="69" t="str">
        <f>IF(ISNA(VLOOKUP(A461,Declarations!B$6:F$293,4,FALSE)),"",IF(VLOOKUP(A461,Declarations!B$6:F$293,4,FALSE)="","---",VLOOKUP(A461,Declarations!B$6:F$293,4,FALSE)))</f>
        <v/>
      </c>
      <c r="E461" s="70"/>
      <c r="F461" s="70"/>
      <c r="G461" s="281" t="s">
        <v>149</v>
      </c>
      <c r="H461" s="70"/>
    </row>
    <row r="462" spans="1:8" ht="20" customHeight="1">
      <c r="A462" s="68"/>
      <c r="B462" s="69" t="str">
        <f>IF(ISNA(VLOOKUP(A462,Declarations!B$6:C$293,2,FALSE)),"",IF(VLOOKUP(A462,Declarations!B$6:C$293,2,FALSE)="","---",VLOOKUP(A462,Declarations!B$6:C$293,2,FALSE)))</f>
        <v/>
      </c>
      <c r="C462" s="69" t="str">
        <f>IF(ISNA(VLOOKUP(A462,Declarations!B$6:F$293,5,FALSE)),"",IF(VLOOKUP(A462,Declarations!B$6:F$293,5,FALSE)="","---",VLOOKUP(A462,Declarations!B$6:F$293,5,FALSE)))</f>
        <v/>
      </c>
      <c r="D462" s="69" t="str">
        <f>IF(ISNA(VLOOKUP(A462,Declarations!B$6:F$293,4,FALSE)),"",IF(VLOOKUP(A462,Declarations!B$6:F$293,4,FALSE)="","---",VLOOKUP(A462,Declarations!B$6:F$293,4,FALSE)))</f>
        <v/>
      </c>
      <c r="E462" s="70"/>
      <c r="F462" s="70"/>
      <c r="G462" s="281" t="s">
        <v>149</v>
      </c>
      <c r="H462" s="70"/>
    </row>
    <row r="463" spans="1:8" ht="20" customHeight="1">
      <c r="A463" s="68"/>
      <c r="B463" s="69" t="str">
        <f>IF(ISNA(VLOOKUP(A463,Declarations!B$6:C$293,2,FALSE)),"",IF(VLOOKUP(A463,Declarations!B$6:C$293,2,FALSE)="","---",VLOOKUP(A463,Declarations!B$6:C$293,2,FALSE)))</f>
        <v/>
      </c>
      <c r="C463" s="69" t="str">
        <f>IF(ISNA(VLOOKUP(A463,Declarations!B$6:F$293,5,FALSE)),"",IF(VLOOKUP(A463,Declarations!B$6:F$293,5,FALSE)="","---",VLOOKUP(A463,Declarations!B$6:F$293,5,FALSE)))</f>
        <v/>
      </c>
      <c r="D463" s="69" t="str">
        <f>IF(ISNA(VLOOKUP(A463,Declarations!B$6:F$293,4,FALSE)),"",IF(VLOOKUP(A463,Declarations!B$6:F$293,4,FALSE)="","---",VLOOKUP(A463,Declarations!B$6:F$293,4,FALSE)))</f>
        <v/>
      </c>
      <c r="E463" s="70"/>
      <c r="F463" s="70"/>
      <c r="G463" s="281" t="s">
        <v>149</v>
      </c>
      <c r="H463" s="70"/>
    </row>
    <row r="464" spans="1:8" ht="20" customHeight="1">
      <c r="A464" s="68"/>
      <c r="B464" s="69" t="str">
        <f>IF(ISNA(VLOOKUP(A464,Declarations!B$6:C$293,2,FALSE)),"",IF(VLOOKUP(A464,Declarations!B$6:C$293,2,FALSE)="","---",VLOOKUP(A464,Declarations!B$6:C$293,2,FALSE)))</f>
        <v/>
      </c>
      <c r="C464" s="69" t="str">
        <f>IF(ISNA(VLOOKUP(A464,Declarations!B$6:F$293,5,FALSE)),"",IF(VLOOKUP(A464,Declarations!B$6:F$293,5,FALSE)="","---",VLOOKUP(A464,Declarations!B$6:F$293,5,FALSE)))</f>
        <v/>
      </c>
      <c r="D464" s="69" t="str">
        <f>IF(ISNA(VLOOKUP(A464,Declarations!B$6:F$293,4,FALSE)),"",IF(VLOOKUP(A464,Declarations!B$6:F$293,4,FALSE)="","---",VLOOKUP(A464,Declarations!B$6:F$293,4,FALSE)))</f>
        <v/>
      </c>
      <c r="E464" s="70"/>
      <c r="F464" s="70"/>
      <c r="G464" s="281" t="s">
        <v>149</v>
      </c>
      <c r="H464" s="70"/>
    </row>
    <row r="465" spans="1:8" ht="20" customHeight="1">
      <c r="A465" s="68"/>
      <c r="B465" s="69" t="str">
        <f>IF(ISNA(VLOOKUP(A465,Declarations!B$6:C$293,2,FALSE)),"",IF(VLOOKUP(A465,Declarations!B$6:C$293,2,FALSE)="","---",VLOOKUP(A465,Declarations!B$6:C$293,2,FALSE)))</f>
        <v/>
      </c>
      <c r="C465" s="69" t="str">
        <f>IF(ISNA(VLOOKUP(A465,Declarations!B$6:F$293,5,FALSE)),"",IF(VLOOKUP(A465,Declarations!B$6:F$293,5,FALSE)="","---",VLOOKUP(A465,Declarations!B$6:F$293,5,FALSE)))</f>
        <v/>
      </c>
      <c r="D465" s="69" t="str">
        <f>IF(ISNA(VLOOKUP(A465,Declarations!B$6:F$293,4,FALSE)),"",IF(VLOOKUP(A465,Declarations!B$6:F$293,4,FALSE)="","---",VLOOKUP(A465,Declarations!B$6:F$293,4,FALSE)))</f>
        <v/>
      </c>
      <c r="E465" s="70"/>
      <c r="F465" s="70"/>
      <c r="G465" s="281" t="s">
        <v>149</v>
      </c>
      <c r="H465" s="70"/>
    </row>
    <row r="466" spans="1:8" ht="20" customHeight="1">
      <c r="A466" s="68"/>
      <c r="B466" s="69" t="str">
        <f>IF(ISNA(VLOOKUP(A466,Declarations!B$6:C$293,2,FALSE)),"",IF(VLOOKUP(A466,Declarations!B$6:C$293,2,FALSE)="","---",VLOOKUP(A466,Declarations!B$6:C$293,2,FALSE)))</f>
        <v/>
      </c>
      <c r="C466" s="69" t="str">
        <f>IF(ISNA(VLOOKUP(A466,Declarations!B$6:F$293,5,FALSE)),"",IF(VLOOKUP(A466,Declarations!B$6:F$293,5,FALSE)="","---",VLOOKUP(A466,Declarations!B$6:F$293,5,FALSE)))</f>
        <v/>
      </c>
      <c r="D466" s="69" t="str">
        <f>IF(ISNA(VLOOKUP(A466,Declarations!B$6:F$293,4,FALSE)),"",IF(VLOOKUP(A466,Declarations!B$6:F$293,4,FALSE)="","---",VLOOKUP(A466,Declarations!B$6:F$293,4,FALSE)))</f>
        <v/>
      </c>
      <c r="E466" s="70"/>
      <c r="F466" s="70"/>
      <c r="G466" s="281" t="s">
        <v>149</v>
      </c>
      <c r="H466" s="70"/>
    </row>
    <row r="467" spans="1:8" ht="20" customHeight="1">
      <c r="A467" s="68"/>
      <c r="B467" s="69" t="str">
        <f>IF(ISNA(VLOOKUP(A467,Declarations!B$6:C$293,2,FALSE)),"",IF(VLOOKUP(A467,Declarations!B$6:C$293,2,FALSE)="","---",VLOOKUP(A467,Declarations!B$6:C$293,2,FALSE)))</f>
        <v/>
      </c>
      <c r="C467" s="69" t="str">
        <f>IF(ISNA(VLOOKUP(A467,Declarations!B$6:F$293,5,FALSE)),"",IF(VLOOKUP(A467,Declarations!B$6:F$293,5,FALSE)="","---",VLOOKUP(A467,Declarations!B$6:F$293,5,FALSE)))</f>
        <v/>
      </c>
      <c r="D467" s="69" t="str">
        <f>IF(ISNA(VLOOKUP(A467,Declarations!B$6:F$293,4,FALSE)),"",IF(VLOOKUP(A467,Declarations!B$6:F$293,4,FALSE)="","---",VLOOKUP(A467,Declarations!B$6:F$293,4,FALSE)))</f>
        <v/>
      </c>
      <c r="E467" s="70"/>
      <c r="F467" s="70"/>
      <c r="G467" s="281" t="s">
        <v>149</v>
      </c>
      <c r="H467" s="70"/>
    </row>
    <row r="468" spans="1:8" ht="20" customHeight="1">
      <c r="A468" s="68"/>
      <c r="B468" s="69" t="str">
        <f>IF(ISNA(VLOOKUP(A468,Declarations!B$6:C$293,2,FALSE)),"",IF(VLOOKUP(A468,Declarations!B$6:C$293,2,FALSE)="","---",VLOOKUP(A468,Declarations!B$6:C$293,2,FALSE)))</f>
        <v/>
      </c>
      <c r="C468" s="69" t="str">
        <f>IF(ISNA(VLOOKUP(A468,Declarations!B$6:F$293,5,FALSE)),"",IF(VLOOKUP(A468,Declarations!B$6:F$293,5,FALSE)="","---",VLOOKUP(A468,Declarations!B$6:F$293,5,FALSE)))</f>
        <v/>
      </c>
      <c r="D468" s="69" t="str">
        <f>IF(ISNA(VLOOKUP(A468,Declarations!B$6:F$293,4,FALSE)),"",IF(VLOOKUP(A468,Declarations!B$6:F$293,4,FALSE)="","---",VLOOKUP(A468,Declarations!B$6:F$293,4,FALSE)))</f>
        <v/>
      </c>
      <c r="E468" s="70"/>
      <c r="F468" s="70"/>
      <c r="G468" s="281" t="s">
        <v>149</v>
      </c>
      <c r="H468" s="70"/>
    </row>
    <row r="469" spans="1:8" ht="20" customHeight="1">
      <c r="A469" s="68"/>
      <c r="B469" s="69" t="str">
        <f>IF(ISNA(VLOOKUP(A469,Declarations!B$6:C$293,2,FALSE)),"",IF(VLOOKUP(A469,Declarations!B$6:C$293,2,FALSE)="","---",VLOOKUP(A469,Declarations!B$6:C$293,2,FALSE)))</f>
        <v/>
      </c>
      <c r="C469" s="69" t="str">
        <f>IF(ISNA(VLOOKUP(A469,Declarations!B$6:F$293,5,FALSE)),"",IF(VLOOKUP(A469,Declarations!B$6:F$293,5,FALSE)="","---",VLOOKUP(A469,Declarations!B$6:F$293,5,FALSE)))</f>
        <v/>
      </c>
      <c r="D469" s="69" t="str">
        <f>IF(ISNA(VLOOKUP(A469,Declarations!B$6:F$293,4,FALSE)),"",IF(VLOOKUP(A469,Declarations!B$6:F$293,4,FALSE)="","---",VLOOKUP(A469,Declarations!B$6:F$293,4,FALSE)))</f>
        <v/>
      </c>
      <c r="E469" s="70"/>
      <c r="F469" s="70"/>
      <c r="G469" s="281" t="s">
        <v>149</v>
      </c>
      <c r="H469" s="70"/>
    </row>
    <row r="470" spans="1:8" ht="20" customHeight="1">
      <c r="A470" s="68"/>
      <c r="B470" s="69" t="str">
        <f>IF(ISNA(VLOOKUP(A470,Declarations!B$6:C$293,2,FALSE)),"",IF(VLOOKUP(A470,Declarations!B$6:C$293,2,FALSE)="","---",VLOOKUP(A470,Declarations!B$6:C$293,2,FALSE)))</f>
        <v/>
      </c>
      <c r="C470" s="69" t="str">
        <f>IF(ISNA(VLOOKUP(A470,Declarations!B$6:F$293,5,FALSE)),"",IF(VLOOKUP(A470,Declarations!B$6:F$293,5,FALSE)="","---",VLOOKUP(A470,Declarations!B$6:F$293,5,FALSE)))</f>
        <v/>
      </c>
      <c r="D470" s="69" t="str">
        <f>IF(ISNA(VLOOKUP(A470,Declarations!B$6:F$293,4,FALSE)),"",IF(VLOOKUP(A470,Declarations!B$6:F$293,4,FALSE)="","---",VLOOKUP(A470,Declarations!B$6:F$293,4,FALSE)))</f>
        <v/>
      </c>
      <c r="E470" s="70"/>
      <c r="F470" s="70"/>
      <c r="G470" s="281" t="s">
        <v>149</v>
      </c>
      <c r="H470" s="70"/>
    </row>
    <row r="471" spans="1:8" ht="20" customHeight="1">
      <c r="A471" s="68"/>
      <c r="B471" s="69" t="str">
        <f>IF(ISNA(VLOOKUP(A471,Declarations!B$6:C$293,2,FALSE)),"",IF(VLOOKUP(A471,Declarations!B$6:C$293,2,FALSE)="","---",VLOOKUP(A471,Declarations!B$6:C$293,2,FALSE)))</f>
        <v/>
      </c>
      <c r="C471" s="69" t="str">
        <f>IF(ISNA(VLOOKUP(A471,Declarations!B$6:F$293,5,FALSE)),"",IF(VLOOKUP(A471,Declarations!B$6:F$293,5,FALSE)="","---",VLOOKUP(A471,Declarations!B$6:F$293,5,FALSE)))</f>
        <v/>
      </c>
      <c r="D471" s="69" t="str">
        <f>IF(ISNA(VLOOKUP(A471,Declarations!B$6:F$293,4,FALSE)),"",IF(VLOOKUP(A471,Declarations!B$6:F$293,4,FALSE)="","---",VLOOKUP(A471,Declarations!B$6:F$293,4,FALSE)))</f>
        <v/>
      </c>
      <c r="E471" s="70"/>
      <c r="F471" s="70"/>
      <c r="G471" s="281" t="s">
        <v>149</v>
      </c>
      <c r="H471" s="70"/>
    </row>
    <row r="472" spans="1:8" ht="20" customHeight="1">
      <c r="A472" s="68"/>
      <c r="B472" s="69" t="str">
        <f>IF(ISNA(VLOOKUP(A472,Declarations!B$6:C$293,2,FALSE)),"",IF(VLOOKUP(A472,Declarations!B$6:C$293,2,FALSE)="","---",VLOOKUP(A472,Declarations!B$6:C$293,2,FALSE)))</f>
        <v/>
      </c>
      <c r="C472" s="69" t="str">
        <f>IF(ISNA(VLOOKUP(A472,Declarations!B$6:F$293,5,FALSE)),"",IF(VLOOKUP(A472,Declarations!B$6:F$293,5,FALSE)="","---",VLOOKUP(A472,Declarations!B$6:F$293,5,FALSE)))</f>
        <v/>
      </c>
      <c r="D472" s="69" t="str">
        <f>IF(ISNA(VLOOKUP(A472,Declarations!B$6:F$293,4,FALSE)),"",IF(VLOOKUP(A472,Declarations!B$6:F$293,4,FALSE)="","---",VLOOKUP(A472,Declarations!B$6:F$293,4,FALSE)))</f>
        <v/>
      </c>
      <c r="E472" s="70"/>
      <c r="F472" s="70"/>
      <c r="G472" s="281" t="s">
        <v>149</v>
      </c>
      <c r="H472" s="70"/>
    </row>
    <row r="473" spans="1:8" ht="20" customHeight="1">
      <c r="A473" s="68"/>
      <c r="B473" s="69" t="str">
        <f>IF(ISNA(VLOOKUP(A473,Declarations!B$6:C$293,2,FALSE)),"",IF(VLOOKUP(A473,Declarations!B$6:C$293,2,FALSE)="","---",VLOOKUP(A473,Declarations!B$6:C$293,2,FALSE)))</f>
        <v/>
      </c>
      <c r="C473" s="69" t="str">
        <f>IF(ISNA(VLOOKUP(A473,Declarations!B$6:F$293,5,FALSE)),"",IF(VLOOKUP(A473,Declarations!B$6:F$293,5,FALSE)="","---",VLOOKUP(A473,Declarations!B$6:F$293,5,FALSE)))</f>
        <v/>
      </c>
      <c r="D473" s="69" t="str">
        <f>IF(ISNA(VLOOKUP(A473,Declarations!B$6:F$293,4,FALSE)),"",IF(VLOOKUP(A473,Declarations!B$6:F$293,4,FALSE)="","---",VLOOKUP(A473,Declarations!B$6:F$293,4,FALSE)))</f>
        <v/>
      </c>
      <c r="E473" s="70"/>
      <c r="F473" s="70"/>
      <c r="G473" s="281" t="s">
        <v>149</v>
      </c>
      <c r="H473" s="70"/>
    </row>
    <row r="474" spans="1:8" ht="20" customHeight="1">
      <c r="A474" s="68"/>
      <c r="B474" s="69" t="str">
        <f>IF(ISNA(VLOOKUP(A474,Declarations!B$6:C$293,2,FALSE)),"",IF(VLOOKUP(A474,Declarations!B$6:C$293,2,FALSE)="","---",VLOOKUP(A474,Declarations!B$6:C$293,2,FALSE)))</f>
        <v/>
      </c>
      <c r="C474" s="69" t="str">
        <f>IF(ISNA(VLOOKUP(A474,Declarations!B$6:F$293,5,FALSE)),"",IF(VLOOKUP(A474,Declarations!B$6:F$293,5,FALSE)="","---",VLOOKUP(A474,Declarations!B$6:F$293,5,FALSE)))</f>
        <v/>
      </c>
      <c r="D474" s="69" t="str">
        <f>IF(ISNA(VLOOKUP(A474,Declarations!B$6:F$293,4,FALSE)),"",IF(VLOOKUP(A474,Declarations!B$6:F$293,4,FALSE)="","---",VLOOKUP(A474,Declarations!B$6:F$293,4,FALSE)))</f>
        <v/>
      </c>
      <c r="E474" s="70"/>
      <c r="F474" s="70"/>
      <c r="G474" s="281" t="s">
        <v>149</v>
      </c>
      <c r="H474" s="70"/>
    </row>
    <row r="475" spans="1:8">
      <c r="A475" s="71"/>
      <c r="B475" s="72"/>
      <c r="C475" s="72"/>
      <c r="D475" s="72"/>
      <c r="E475" s="73"/>
      <c r="F475" s="73"/>
      <c r="G475" s="73"/>
      <c r="H475" s="73"/>
    </row>
    <row r="476" spans="1:8">
      <c r="A476" s="71"/>
      <c r="B476" s="510" t="s">
        <v>213</v>
      </c>
      <c r="C476" s="511"/>
      <c r="D476" s="72"/>
      <c r="E476" s="509" t="s">
        <v>93</v>
      </c>
      <c r="F476" s="509"/>
      <c r="G476" s="501" t="s">
        <v>43</v>
      </c>
      <c r="H476" s="501"/>
    </row>
    <row r="477" spans="1:8" ht="16" customHeight="1">
      <c r="A477" s="71"/>
      <c r="B477" s="512"/>
      <c r="C477" s="513"/>
      <c r="D477" s="72"/>
      <c r="E477" s="501"/>
      <c r="F477" s="501"/>
      <c r="G477" s="501"/>
      <c r="H477" s="501"/>
    </row>
    <row r="478" spans="1:8">
      <c r="A478" s="71"/>
      <c r="B478" s="512"/>
      <c r="C478" s="513"/>
      <c r="D478" s="72"/>
      <c r="E478" s="501"/>
      <c r="F478" s="501"/>
      <c r="G478" s="501"/>
      <c r="H478" s="501"/>
    </row>
    <row r="479" spans="1:8">
      <c r="A479" s="71"/>
      <c r="B479" s="514"/>
      <c r="C479" s="515"/>
      <c r="D479" s="72"/>
      <c r="E479" s="501"/>
      <c r="F479" s="501"/>
      <c r="G479" s="501"/>
      <c r="H479" s="501"/>
    </row>
    <row r="480" spans="1:8" ht="8" customHeight="1">
      <c r="A480" s="71"/>
      <c r="B480" s="72"/>
      <c r="C480" s="72"/>
      <c r="D480" s="72"/>
      <c r="E480" s="73"/>
      <c r="F480" s="73"/>
      <c r="G480" s="73"/>
      <c r="H480" s="73"/>
    </row>
    <row r="481" spans="1:8" ht="20">
      <c r="A481" s="502" t="str">
        <f>'Read Me First'!A1:F1</f>
        <v>Oxfordshire Track and Field League 2026</v>
      </c>
      <c r="B481" s="503"/>
      <c r="C481" s="503"/>
      <c r="D481" s="503"/>
      <c r="E481" s="503"/>
      <c r="F481" s="503"/>
      <c r="G481" s="503"/>
      <c r="H481" s="504"/>
    </row>
    <row r="482" spans="1:8" ht="18">
      <c r="A482" s="61" t="s">
        <v>12</v>
      </c>
      <c r="B482" s="62">
        <f>'Read Me First'!$C$10</f>
        <v>46250</v>
      </c>
      <c r="C482" s="77">
        <v>0.5</v>
      </c>
      <c r="D482" s="61" t="s">
        <v>13</v>
      </c>
      <c r="E482" s="505" t="str">
        <f>$E$2</f>
        <v>Banbury</v>
      </c>
      <c r="F482" s="506"/>
      <c r="G482" s="506"/>
      <c r="H482" s="507"/>
    </row>
    <row r="483" spans="1:8" ht="18">
      <c r="A483" s="508" t="s">
        <v>51</v>
      </c>
      <c r="B483" s="508"/>
      <c r="C483" s="508"/>
      <c r="D483" s="508"/>
      <c r="E483" s="60">
        <v>1</v>
      </c>
      <c r="F483" s="60">
        <v>2</v>
      </c>
      <c r="G483" s="60">
        <v>3</v>
      </c>
      <c r="H483" s="60" t="s">
        <v>42</v>
      </c>
    </row>
    <row r="484" spans="1:8" ht="18">
      <c r="A484" s="66"/>
      <c r="B484" s="66"/>
      <c r="C484" s="66"/>
      <c r="D484" s="66"/>
      <c r="E484" s="67"/>
      <c r="F484" s="67"/>
      <c r="G484" s="67"/>
      <c r="H484" s="67"/>
    </row>
    <row r="485" spans="1:8" ht="20" customHeight="1">
      <c r="A485" s="68" t="str" cm="1">
        <f t="array" ref="A485">IFERROR(_xlfn.TEXTSPLIT(IFERROR(_xlfn.TEXTJOIN(",",TRUE,_xlfn._xlws.FILTER(BlockAllocations!$F$3:$F$20,BlockAllocations!$E$3:$E$20=BlockAllocations!$G$8)),""),,",")+0,"!")</f>
        <v>!</v>
      </c>
      <c r="B485" s="69" t="str">
        <f>IF(ISNA(VLOOKUP(A485,Declarations!B$6:C$293,2,FALSE)),"",IF(VLOOKUP(A485,Declarations!B$6:C$293,2,FALSE)="","---",VLOOKUP(A485,Declarations!B$6:C$293,2,FALSE)))</f>
        <v/>
      </c>
      <c r="C485" s="69" t="str">
        <f>IF(ISNA(VLOOKUP(A485,Declarations!B$6:F$293,5,FALSE)),"",IF(VLOOKUP(A485,Declarations!B$6:F$293,5,FALSE)="","---",VLOOKUP(A485,Declarations!B$6:F$293,5,FALSE)))</f>
        <v/>
      </c>
      <c r="D485" s="69" t="str">
        <f>IF(ISNA(VLOOKUP(A485,Declarations!B$6:F$293,4,FALSE)),"",IF(VLOOKUP(A485,Declarations!B$6:F$293,4,FALSE)="","---",VLOOKUP(A485,Declarations!B$6:F$293,4,FALSE)))</f>
        <v/>
      </c>
      <c r="E485" s="68"/>
      <c r="F485" s="70"/>
      <c r="G485" s="281" t="s">
        <v>149</v>
      </c>
      <c r="H485" s="70"/>
    </row>
    <row r="486" spans="1:8" ht="20" customHeight="1">
      <c r="A486" s="68"/>
      <c r="B486" s="69" t="str">
        <f>IF(ISNA(VLOOKUP(A486,Declarations!B$6:C$293,2,FALSE)),"",IF(VLOOKUP(A486,Declarations!B$6:C$293,2,FALSE)="","---",VLOOKUP(A486,Declarations!B$6:C$293,2,FALSE)))</f>
        <v/>
      </c>
      <c r="C486" s="69" t="str">
        <f>IF(ISNA(VLOOKUP(A486,Declarations!B$6:F$293,5,FALSE)),"",IF(VLOOKUP(A486,Declarations!B$6:F$293,5,FALSE)="","---",VLOOKUP(A486,Declarations!B$6:F$293,5,FALSE)))</f>
        <v/>
      </c>
      <c r="D486" s="69" t="str">
        <f>IF(ISNA(VLOOKUP(A486,Declarations!B$6:F$293,4,FALSE)),"",IF(VLOOKUP(A486,Declarations!B$6:F$293,4,FALSE)="","---",VLOOKUP(A486,Declarations!B$6:F$293,4,FALSE)))</f>
        <v/>
      </c>
      <c r="E486" s="68"/>
      <c r="F486" s="70"/>
      <c r="G486" s="281" t="s">
        <v>149</v>
      </c>
      <c r="H486" s="70"/>
    </row>
    <row r="487" spans="1:8" ht="20" customHeight="1">
      <c r="A487" s="68"/>
      <c r="B487" s="69" t="str">
        <f>IF(ISNA(VLOOKUP(A487,Declarations!B$6:C$293,2,FALSE)),"",IF(VLOOKUP(A487,Declarations!B$6:C$293,2,FALSE)="","---",VLOOKUP(A487,Declarations!B$6:C$293,2,FALSE)))</f>
        <v/>
      </c>
      <c r="C487" s="69" t="str">
        <f>IF(ISNA(VLOOKUP(A487,Declarations!B$6:F$293,5,FALSE)),"",IF(VLOOKUP(A487,Declarations!B$6:F$293,5,FALSE)="","---",VLOOKUP(A487,Declarations!B$6:F$293,5,FALSE)))</f>
        <v/>
      </c>
      <c r="D487" s="69" t="str">
        <f>IF(ISNA(VLOOKUP(A487,Declarations!B$6:F$293,4,FALSE)),"",IF(VLOOKUP(A487,Declarations!B$6:F$293,4,FALSE)="","---",VLOOKUP(A487,Declarations!B$6:F$293,4,FALSE)))</f>
        <v/>
      </c>
      <c r="E487" s="68"/>
      <c r="F487" s="70"/>
      <c r="G487" s="281" t="s">
        <v>149</v>
      </c>
      <c r="H487" s="70"/>
    </row>
    <row r="488" spans="1:8" ht="20" customHeight="1">
      <c r="A488" s="68"/>
      <c r="B488" s="69" t="str">
        <f>IF(ISNA(VLOOKUP(A488,Declarations!B$6:C$293,2,FALSE)),"",IF(VLOOKUP(A488,Declarations!B$6:C$293,2,FALSE)="","---",VLOOKUP(A488,Declarations!B$6:C$293,2,FALSE)))</f>
        <v/>
      </c>
      <c r="C488" s="69" t="str">
        <f>IF(ISNA(VLOOKUP(A488,Declarations!B$6:F$293,5,FALSE)),"",IF(VLOOKUP(A488,Declarations!B$6:F$293,5,FALSE)="","---",VLOOKUP(A488,Declarations!B$6:F$293,5,FALSE)))</f>
        <v/>
      </c>
      <c r="D488" s="69" t="str">
        <f>IF(ISNA(VLOOKUP(A488,Declarations!B$6:F$293,4,FALSE)),"",IF(VLOOKUP(A488,Declarations!B$6:F$293,4,FALSE)="","---",VLOOKUP(A488,Declarations!B$6:F$293,4,FALSE)))</f>
        <v/>
      </c>
      <c r="E488" s="68"/>
      <c r="F488" s="70"/>
      <c r="G488" s="281" t="s">
        <v>149</v>
      </c>
      <c r="H488" s="70"/>
    </row>
    <row r="489" spans="1:8" ht="20" customHeight="1">
      <c r="A489" s="68"/>
      <c r="B489" s="69" t="str">
        <f>IF(ISNA(VLOOKUP(A489,Declarations!B$6:C$293,2,FALSE)),"",IF(VLOOKUP(A489,Declarations!B$6:C$293,2,FALSE)="","---",VLOOKUP(A489,Declarations!B$6:C$293,2,FALSE)))</f>
        <v/>
      </c>
      <c r="C489" s="69" t="str">
        <f>IF(ISNA(VLOOKUP(A489,Declarations!B$6:F$293,5,FALSE)),"",IF(VLOOKUP(A489,Declarations!B$6:F$293,5,FALSE)="","---",VLOOKUP(A489,Declarations!B$6:F$293,5,FALSE)))</f>
        <v/>
      </c>
      <c r="D489" s="69" t="str">
        <f>IF(ISNA(VLOOKUP(A489,Declarations!B$6:F$293,4,FALSE)),"",IF(VLOOKUP(A489,Declarations!B$6:F$293,4,FALSE)="","---",VLOOKUP(A489,Declarations!B$6:F$293,4,FALSE)))</f>
        <v/>
      </c>
      <c r="E489" s="68"/>
      <c r="F489" s="70"/>
      <c r="G489" s="281" t="s">
        <v>149</v>
      </c>
      <c r="H489" s="70"/>
    </row>
    <row r="490" spans="1:8" ht="20" customHeight="1">
      <c r="A490" s="68"/>
      <c r="B490" s="69" t="str">
        <f>IF(ISNA(VLOOKUP(A490,Declarations!B$6:C$293,2,FALSE)),"",IF(VLOOKUP(A490,Declarations!B$6:C$293,2,FALSE)="","---",VLOOKUP(A490,Declarations!B$6:C$293,2,FALSE)))</f>
        <v/>
      </c>
      <c r="C490" s="69" t="str">
        <f>IF(ISNA(VLOOKUP(A490,Declarations!B$6:F$293,5,FALSE)),"",IF(VLOOKUP(A490,Declarations!B$6:F$293,5,FALSE)="","---",VLOOKUP(A490,Declarations!B$6:F$293,5,FALSE)))</f>
        <v/>
      </c>
      <c r="D490" s="69" t="str">
        <f>IF(ISNA(VLOOKUP(A490,Declarations!B$6:F$293,4,FALSE)),"",IF(VLOOKUP(A490,Declarations!B$6:F$293,4,FALSE)="","---",VLOOKUP(A490,Declarations!B$6:F$293,4,FALSE)))</f>
        <v/>
      </c>
      <c r="E490" s="68"/>
      <c r="F490" s="70"/>
      <c r="G490" s="281" t="s">
        <v>149</v>
      </c>
      <c r="H490" s="70"/>
    </row>
    <row r="491" spans="1:8" ht="20" customHeight="1">
      <c r="A491" s="68"/>
      <c r="B491" s="69" t="str">
        <f>IF(ISNA(VLOOKUP(A491,Declarations!B$6:C$293,2,FALSE)),"",IF(VLOOKUP(A491,Declarations!B$6:C$293,2,FALSE)="","---",VLOOKUP(A491,Declarations!B$6:C$293,2,FALSE)))</f>
        <v/>
      </c>
      <c r="C491" s="69" t="str">
        <f>IF(ISNA(VLOOKUP(A491,Declarations!B$6:F$293,5,FALSE)),"",IF(VLOOKUP(A491,Declarations!B$6:F$293,5,FALSE)="","---",VLOOKUP(A491,Declarations!B$6:F$293,5,FALSE)))</f>
        <v/>
      </c>
      <c r="D491" s="69" t="str">
        <f>IF(ISNA(VLOOKUP(A491,Declarations!B$6:F$293,4,FALSE)),"",IF(VLOOKUP(A491,Declarations!B$6:F$293,4,FALSE)="","---",VLOOKUP(A491,Declarations!B$6:F$293,4,FALSE)))</f>
        <v/>
      </c>
      <c r="E491" s="68"/>
      <c r="F491" s="70"/>
      <c r="G491" s="281" t="s">
        <v>149</v>
      </c>
      <c r="H491" s="70"/>
    </row>
    <row r="492" spans="1:8" ht="20" customHeight="1">
      <c r="A492" s="68"/>
      <c r="B492" s="69" t="str">
        <f>IF(ISNA(VLOOKUP(A492,Declarations!B$6:C$293,2,FALSE)),"",IF(VLOOKUP(A492,Declarations!B$6:C$293,2,FALSE)="","---",VLOOKUP(A492,Declarations!B$6:C$293,2,FALSE)))</f>
        <v/>
      </c>
      <c r="C492" s="69" t="str">
        <f>IF(ISNA(VLOOKUP(A492,Declarations!B$6:F$293,5,FALSE)),"",IF(VLOOKUP(A492,Declarations!B$6:F$293,5,FALSE)="","---",VLOOKUP(A492,Declarations!B$6:F$293,5,FALSE)))</f>
        <v/>
      </c>
      <c r="D492" s="69" t="str">
        <f>IF(ISNA(VLOOKUP(A492,Declarations!B$6:F$293,4,FALSE)),"",IF(VLOOKUP(A492,Declarations!B$6:F$293,4,FALSE)="","---",VLOOKUP(A492,Declarations!B$6:F$293,4,FALSE)))</f>
        <v/>
      </c>
      <c r="E492" s="68"/>
      <c r="F492" s="70"/>
      <c r="G492" s="281" t="s">
        <v>149</v>
      </c>
      <c r="H492" s="70"/>
    </row>
    <row r="493" spans="1:8" ht="20" customHeight="1">
      <c r="A493" s="68"/>
      <c r="B493" s="69" t="str">
        <f>IF(ISNA(VLOOKUP(A493,Declarations!B$6:C$293,2,FALSE)),"",IF(VLOOKUP(A493,Declarations!B$6:C$293,2,FALSE)="","---",VLOOKUP(A493,Declarations!B$6:C$293,2,FALSE)))</f>
        <v/>
      </c>
      <c r="C493" s="69" t="str">
        <f>IF(ISNA(VLOOKUP(A493,Declarations!B$6:F$293,5,FALSE)),"",IF(VLOOKUP(A493,Declarations!B$6:F$293,5,FALSE)="","---",VLOOKUP(A493,Declarations!B$6:F$293,5,FALSE)))</f>
        <v/>
      </c>
      <c r="D493" s="69" t="str">
        <f>IF(ISNA(VLOOKUP(A493,Declarations!B$6:F$293,4,FALSE)),"",IF(VLOOKUP(A493,Declarations!B$6:F$293,4,FALSE)="","---",VLOOKUP(A493,Declarations!B$6:F$293,4,FALSE)))</f>
        <v/>
      </c>
      <c r="E493" s="68"/>
      <c r="F493" s="70"/>
      <c r="G493" s="281" t="s">
        <v>149</v>
      </c>
      <c r="H493" s="70"/>
    </row>
    <row r="494" spans="1:8" ht="20" customHeight="1">
      <c r="A494" s="68"/>
      <c r="B494" s="69" t="str">
        <f>IF(ISNA(VLOOKUP(A494,Declarations!B$6:C$293,2,FALSE)),"",IF(VLOOKUP(A494,Declarations!B$6:C$293,2,FALSE)="","---",VLOOKUP(A494,Declarations!B$6:C$293,2,FALSE)))</f>
        <v/>
      </c>
      <c r="C494" s="69" t="str">
        <f>IF(ISNA(VLOOKUP(A494,Declarations!B$6:F$293,5,FALSE)),"",IF(VLOOKUP(A494,Declarations!B$6:F$293,5,FALSE)="","---",VLOOKUP(A494,Declarations!B$6:F$293,5,FALSE)))</f>
        <v/>
      </c>
      <c r="D494" s="69" t="str">
        <f>IF(ISNA(VLOOKUP(A494,Declarations!B$6:F$293,4,FALSE)),"",IF(VLOOKUP(A494,Declarations!B$6:F$293,4,FALSE)="","---",VLOOKUP(A494,Declarations!B$6:F$293,4,FALSE)))</f>
        <v/>
      </c>
      <c r="E494" s="68"/>
      <c r="F494" s="70"/>
      <c r="G494" s="281" t="s">
        <v>149</v>
      </c>
      <c r="H494" s="70"/>
    </row>
    <row r="495" spans="1:8" ht="20" customHeight="1">
      <c r="A495" s="68"/>
      <c r="B495" s="69" t="str">
        <f>IF(ISNA(VLOOKUP(A495,Declarations!B$6:C$293,2,FALSE)),"",IF(VLOOKUP(A495,Declarations!B$6:C$293,2,FALSE)="","---",VLOOKUP(A495,Declarations!B$6:C$293,2,FALSE)))</f>
        <v/>
      </c>
      <c r="C495" s="69" t="str">
        <f>IF(ISNA(VLOOKUP(A495,Declarations!B$6:F$293,5,FALSE)),"",IF(VLOOKUP(A495,Declarations!B$6:F$293,5,FALSE)="","---",VLOOKUP(A495,Declarations!B$6:F$293,5,FALSE)))</f>
        <v/>
      </c>
      <c r="D495" s="69" t="str">
        <f>IF(ISNA(VLOOKUP(A495,Declarations!B$6:F$293,4,FALSE)),"",IF(VLOOKUP(A495,Declarations!B$6:F$293,4,FALSE)="","---",VLOOKUP(A495,Declarations!B$6:F$293,4,FALSE)))</f>
        <v/>
      </c>
      <c r="E495" s="68"/>
      <c r="F495" s="70"/>
      <c r="G495" s="281" t="s">
        <v>149</v>
      </c>
      <c r="H495" s="70"/>
    </row>
    <row r="496" spans="1:8" ht="20" customHeight="1">
      <c r="A496" s="68"/>
      <c r="B496" s="69" t="str">
        <f>IF(ISNA(VLOOKUP(A496,Declarations!B$6:C$293,2,FALSE)),"",IF(VLOOKUP(A496,Declarations!B$6:C$293,2,FALSE)="","---",VLOOKUP(A496,Declarations!B$6:C$293,2,FALSE)))</f>
        <v/>
      </c>
      <c r="C496" s="69" t="str">
        <f>IF(ISNA(VLOOKUP(A496,Declarations!B$6:F$293,5,FALSE)),"",IF(VLOOKUP(A496,Declarations!B$6:F$293,5,FALSE)="","---",VLOOKUP(A496,Declarations!B$6:F$293,5,FALSE)))</f>
        <v/>
      </c>
      <c r="D496" s="69" t="str">
        <f>IF(ISNA(VLOOKUP(A496,Declarations!B$6:F$293,4,FALSE)),"",IF(VLOOKUP(A496,Declarations!B$6:F$293,4,FALSE)="","---",VLOOKUP(A496,Declarations!B$6:F$293,4,FALSE)))</f>
        <v/>
      </c>
      <c r="E496" s="68"/>
      <c r="F496" s="70"/>
      <c r="G496" s="281" t="s">
        <v>149</v>
      </c>
      <c r="H496" s="70"/>
    </row>
    <row r="497" spans="1:8" ht="20" customHeight="1">
      <c r="A497" s="68"/>
      <c r="B497" s="69" t="str">
        <f>IF(ISNA(VLOOKUP(A497,Declarations!B$6:C$293,2,FALSE)),"",IF(VLOOKUP(A497,Declarations!B$6:C$293,2,FALSE)="","---",VLOOKUP(A497,Declarations!B$6:C$293,2,FALSE)))</f>
        <v/>
      </c>
      <c r="C497" s="69" t="str">
        <f>IF(ISNA(VLOOKUP(A497,Declarations!B$6:F$293,5,FALSE)),"",IF(VLOOKUP(A497,Declarations!B$6:F$293,5,FALSE)="","---",VLOOKUP(A497,Declarations!B$6:F$293,5,FALSE)))</f>
        <v/>
      </c>
      <c r="D497" s="69" t="str">
        <f>IF(ISNA(VLOOKUP(A497,Declarations!B$6:F$293,4,FALSE)),"",IF(VLOOKUP(A497,Declarations!B$6:F$293,4,FALSE)="","---",VLOOKUP(A497,Declarations!B$6:F$293,4,FALSE)))</f>
        <v/>
      </c>
      <c r="E497" s="68"/>
      <c r="F497" s="70"/>
      <c r="G497" s="281" t="s">
        <v>149</v>
      </c>
      <c r="H497" s="70"/>
    </row>
    <row r="498" spans="1:8" ht="20" customHeight="1">
      <c r="A498" s="68"/>
      <c r="B498" s="69" t="str">
        <f>IF(ISNA(VLOOKUP(A498,Declarations!B$6:C$293,2,FALSE)),"",IF(VLOOKUP(A498,Declarations!B$6:C$293,2,FALSE)="","---",VLOOKUP(A498,Declarations!B$6:C$293,2,FALSE)))</f>
        <v/>
      </c>
      <c r="C498" s="69" t="str">
        <f>IF(ISNA(VLOOKUP(A498,Declarations!B$6:F$293,5,FALSE)),"",IF(VLOOKUP(A498,Declarations!B$6:F$293,5,FALSE)="","---",VLOOKUP(A498,Declarations!B$6:F$293,5,FALSE)))</f>
        <v/>
      </c>
      <c r="D498" s="69" t="str">
        <f>IF(ISNA(VLOOKUP(A498,Declarations!B$6:F$293,4,FALSE)),"",IF(VLOOKUP(A498,Declarations!B$6:F$293,4,FALSE)="","---",VLOOKUP(A498,Declarations!B$6:F$293,4,FALSE)))</f>
        <v/>
      </c>
      <c r="E498" s="68"/>
      <c r="F498" s="70"/>
      <c r="G498" s="281" t="s">
        <v>149</v>
      </c>
      <c r="H498" s="70"/>
    </row>
    <row r="499" spans="1:8" ht="20" customHeight="1">
      <c r="A499" s="68"/>
      <c r="B499" s="69" t="str">
        <f>IF(ISNA(VLOOKUP(A499,Declarations!B$6:C$293,2,FALSE)),"",IF(VLOOKUP(A499,Declarations!B$6:C$293,2,FALSE)="","---",VLOOKUP(A499,Declarations!B$6:C$293,2,FALSE)))</f>
        <v/>
      </c>
      <c r="C499" s="69" t="str">
        <f>IF(ISNA(VLOOKUP(A499,Declarations!B$6:F$293,5,FALSE)),"",IF(VLOOKUP(A499,Declarations!B$6:F$293,5,FALSE)="","---",VLOOKUP(A499,Declarations!B$6:F$293,5,FALSE)))</f>
        <v/>
      </c>
      <c r="D499" s="69" t="str">
        <f>IF(ISNA(VLOOKUP(A499,Declarations!B$6:F$293,4,FALSE)),"",IF(VLOOKUP(A499,Declarations!B$6:F$293,4,FALSE)="","---",VLOOKUP(A499,Declarations!B$6:F$293,4,FALSE)))</f>
        <v/>
      </c>
      <c r="E499" s="68"/>
      <c r="F499" s="70"/>
      <c r="G499" s="281" t="s">
        <v>149</v>
      </c>
      <c r="H499" s="70"/>
    </row>
    <row r="500" spans="1:8" ht="20" customHeight="1">
      <c r="A500" s="68"/>
      <c r="B500" s="69" t="str">
        <f>IF(ISNA(VLOOKUP(A500,Declarations!B$6:C$293,2,FALSE)),"",IF(VLOOKUP(A500,Declarations!B$6:C$293,2,FALSE)="","---",VLOOKUP(A500,Declarations!B$6:C$293,2,FALSE)))</f>
        <v/>
      </c>
      <c r="C500" s="69" t="str">
        <f>IF(ISNA(VLOOKUP(A500,Declarations!B$6:F$293,5,FALSE)),"",IF(VLOOKUP(A500,Declarations!B$6:F$293,5,FALSE)="","---",VLOOKUP(A500,Declarations!B$6:F$293,5,FALSE)))</f>
        <v/>
      </c>
      <c r="D500" s="69" t="str">
        <f>IF(ISNA(VLOOKUP(A500,Declarations!B$6:F$293,4,FALSE)),"",IF(VLOOKUP(A500,Declarations!B$6:F$293,4,FALSE)="","---",VLOOKUP(A500,Declarations!B$6:F$293,4,FALSE)))</f>
        <v/>
      </c>
      <c r="E500" s="68"/>
      <c r="F500" s="70"/>
      <c r="G500" s="281" t="s">
        <v>149</v>
      </c>
      <c r="H500" s="70"/>
    </row>
    <row r="501" spans="1:8" ht="20" customHeight="1">
      <c r="A501" s="68"/>
      <c r="B501" s="69" t="str">
        <f>IF(ISNA(VLOOKUP(A501,Declarations!B$6:C$293,2,FALSE)),"",IF(VLOOKUP(A501,Declarations!B$6:C$293,2,FALSE)="","---",VLOOKUP(A501,Declarations!B$6:C$293,2,FALSE)))</f>
        <v/>
      </c>
      <c r="C501" s="69" t="str">
        <f>IF(ISNA(VLOOKUP(A501,Declarations!B$6:F$293,5,FALSE)),"",IF(VLOOKUP(A501,Declarations!B$6:F$293,5,FALSE)="","---",VLOOKUP(A501,Declarations!B$6:F$293,5,FALSE)))</f>
        <v/>
      </c>
      <c r="D501" s="69" t="str">
        <f>IF(ISNA(VLOOKUP(A501,Declarations!B$6:F$293,4,FALSE)),"",IF(VLOOKUP(A501,Declarations!B$6:F$293,4,FALSE)="","---",VLOOKUP(A501,Declarations!B$6:F$293,4,FALSE)))</f>
        <v/>
      </c>
      <c r="E501" s="70"/>
      <c r="F501" s="70"/>
      <c r="G501" s="281" t="s">
        <v>149</v>
      </c>
      <c r="H501" s="70"/>
    </row>
    <row r="502" spans="1:8" ht="20" customHeight="1">
      <c r="A502" s="68"/>
      <c r="B502" s="69" t="str">
        <f>IF(ISNA(VLOOKUP(A502,Declarations!B$6:C$293,2,FALSE)),"",IF(VLOOKUP(A502,Declarations!B$6:C$293,2,FALSE)="","---",VLOOKUP(A502,Declarations!B$6:C$293,2,FALSE)))</f>
        <v/>
      </c>
      <c r="C502" s="69" t="str">
        <f>IF(ISNA(VLOOKUP(A502,Declarations!B$6:F$293,5,FALSE)),"",IF(VLOOKUP(A502,Declarations!B$6:F$293,5,FALSE)="","---",VLOOKUP(A502,Declarations!B$6:F$293,5,FALSE)))</f>
        <v/>
      </c>
      <c r="D502" s="69" t="str">
        <f>IF(ISNA(VLOOKUP(A502,Declarations!B$6:F$293,4,FALSE)),"",IF(VLOOKUP(A502,Declarations!B$6:F$293,4,FALSE)="","---",VLOOKUP(A502,Declarations!B$6:F$293,4,FALSE)))</f>
        <v/>
      </c>
      <c r="E502" s="70"/>
      <c r="F502" s="70"/>
      <c r="G502" s="281" t="s">
        <v>149</v>
      </c>
      <c r="H502" s="70"/>
    </row>
    <row r="503" spans="1:8" ht="20" customHeight="1">
      <c r="A503" s="68"/>
      <c r="B503" s="69" t="str">
        <f>IF(ISNA(VLOOKUP(A503,Declarations!B$6:C$293,2,FALSE)),"",IF(VLOOKUP(A503,Declarations!B$6:C$293,2,FALSE)="","---",VLOOKUP(A503,Declarations!B$6:C$293,2,FALSE)))</f>
        <v/>
      </c>
      <c r="C503" s="69" t="str">
        <f>IF(ISNA(VLOOKUP(A503,Declarations!B$6:F$293,5,FALSE)),"",IF(VLOOKUP(A503,Declarations!B$6:F$293,5,FALSE)="","---",VLOOKUP(A503,Declarations!B$6:F$293,5,FALSE)))</f>
        <v/>
      </c>
      <c r="D503" s="69" t="str">
        <f>IF(ISNA(VLOOKUP(A503,Declarations!B$6:F$293,4,FALSE)),"",IF(VLOOKUP(A503,Declarations!B$6:F$293,4,FALSE)="","---",VLOOKUP(A503,Declarations!B$6:F$293,4,FALSE)))</f>
        <v/>
      </c>
      <c r="E503" s="70"/>
      <c r="F503" s="70"/>
      <c r="G503" s="281" t="s">
        <v>149</v>
      </c>
      <c r="H503" s="70"/>
    </row>
    <row r="504" spans="1:8" ht="20" customHeight="1">
      <c r="A504" s="68"/>
      <c r="B504" s="69" t="str">
        <f>IF(ISNA(VLOOKUP(A504,Declarations!B$6:C$293,2,FALSE)),"",IF(VLOOKUP(A504,Declarations!B$6:C$293,2,FALSE)="","---",VLOOKUP(A504,Declarations!B$6:C$293,2,FALSE)))</f>
        <v/>
      </c>
      <c r="C504" s="69" t="str">
        <f>IF(ISNA(VLOOKUP(A504,Declarations!B$6:F$293,5,FALSE)),"",IF(VLOOKUP(A504,Declarations!B$6:F$293,5,FALSE)="","---",VLOOKUP(A504,Declarations!B$6:F$293,5,FALSE)))</f>
        <v/>
      </c>
      <c r="D504" s="69" t="str">
        <f>IF(ISNA(VLOOKUP(A504,Declarations!B$6:F$293,4,FALSE)),"",IF(VLOOKUP(A504,Declarations!B$6:F$293,4,FALSE)="","---",VLOOKUP(A504,Declarations!B$6:F$293,4,FALSE)))</f>
        <v/>
      </c>
      <c r="E504" s="70"/>
      <c r="F504" s="70"/>
      <c r="G504" s="281" t="s">
        <v>149</v>
      </c>
      <c r="H504" s="70"/>
    </row>
    <row r="505" spans="1:8" ht="20" customHeight="1">
      <c r="A505" s="68"/>
      <c r="B505" s="69" t="str">
        <f>IF(ISNA(VLOOKUP(A505,Declarations!B$6:C$293,2,FALSE)),"",IF(VLOOKUP(A505,Declarations!B$6:C$293,2,FALSE)="","---",VLOOKUP(A505,Declarations!B$6:C$293,2,FALSE)))</f>
        <v/>
      </c>
      <c r="C505" s="69" t="str">
        <f>IF(ISNA(VLOOKUP(A505,Declarations!B$6:F$293,5,FALSE)),"",IF(VLOOKUP(A505,Declarations!B$6:F$293,5,FALSE)="","---",VLOOKUP(A505,Declarations!B$6:F$293,5,FALSE)))</f>
        <v/>
      </c>
      <c r="D505" s="69" t="str">
        <f>IF(ISNA(VLOOKUP(A505,Declarations!B$6:F$293,4,FALSE)),"",IF(VLOOKUP(A505,Declarations!B$6:F$293,4,FALSE)="","---",VLOOKUP(A505,Declarations!B$6:F$293,4,FALSE)))</f>
        <v/>
      </c>
      <c r="E505" s="70"/>
      <c r="F505" s="70"/>
      <c r="G505" s="281" t="s">
        <v>149</v>
      </c>
      <c r="H505" s="70"/>
    </row>
    <row r="506" spans="1:8" ht="20" customHeight="1">
      <c r="A506" s="68"/>
      <c r="B506" s="69" t="str">
        <f>IF(ISNA(VLOOKUP(A506,Declarations!B$6:C$293,2,FALSE)),"",IF(VLOOKUP(A506,Declarations!B$6:C$293,2,FALSE)="","---",VLOOKUP(A506,Declarations!B$6:C$293,2,FALSE)))</f>
        <v/>
      </c>
      <c r="C506" s="69" t="str">
        <f>IF(ISNA(VLOOKUP(A506,Declarations!B$6:F$293,5,FALSE)),"",IF(VLOOKUP(A506,Declarations!B$6:F$293,5,FALSE)="","---",VLOOKUP(A506,Declarations!B$6:F$293,5,FALSE)))</f>
        <v/>
      </c>
      <c r="D506" s="69" t="str">
        <f>IF(ISNA(VLOOKUP(A506,Declarations!B$6:F$293,4,FALSE)),"",IF(VLOOKUP(A506,Declarations!B$6:F$293,4,FALSE)="","---",VLOOKUP(A506,Declarations!B$6:F$293,4,FALSE)))</f>
        <v/>
      </c>
      <c r="E506" s="70"/>
      <c r="F506" s="70"/>
      <c r="G506" s="281" t="s">
        <v>149</v>
      </c>
      <c r="H506" s="70"/>
    </row>
    <row r="507" spans="1:8" ht="20" customHeight="1">
      <c r="A507" s="68"/>
      <c r="B507" s="69" t="str">
        <f>IF(ISNA(VLOOKUP(A507,Declarations!B$6:C$293,2,FALSE)),"",IF(VLOOKUP(A507,Declarations!B$6:C$293,2,FALSE)="","---",VLOOKUP(A507,Declarations!B$6:C$293,2,FALSE)))</f>
        <v/>
      </c>
      <c r="C507" s="69" t="str">
        <f>IF(ISNA(VLOOKUP(A507,Declarations!B$6:F$293,5,FALSE)),"",IF(VLOOKUP(A507,Declarations!B$6:F$293,5,FALSE)="","---",VLOOKUP(A507,Declarations!B$6:F$293,5,FALSE)))</f>
        <v/>
      </c>
      <c r="D507" s="69" t="str">
        <f>IF(ISNA(VLOOKUP(A507,Declarations!B$6:F$293,4,FALSE)),"",IF(VLOOKUP(A507,Declarations!B$6:F$293,4,FALSE)="","---",VLOOKUP(A507,Declarations!B$6:F$293,4,FALSE)))</f>
        <v/>
      </c>
      <c r="E507" s="70"/>
      <c r="F507" s="70"/>
      <c r="G507" s="281" t="s">
        <v>149</v>
      </c>
      <c r="H507" s="70"/>
    </row>
    <row r="508" spans="1:8" ht="20" customHeight="1">
      <c r="A508" s="68"/>
      <c r="B508" s="69" t="str">
        <f>IF(ISNA(VLOOKUP(A508,Declarations!B$6:C$293,2,FALSE)),"",IF(VLOOKUP(A508,Declarations!B$6:C$293,2,FALSE)="","---",VLOOKUP(A508,Declarations!B$6:C$293,2,FALSE)))</f>
        <v/>
      </c>
      <c r="C508" s="69" t="str">
        <f>IF(ISNA(VLOOKUP(A508,Declarations!B$6:F$293,5,FALSE)),"",IF(VLOOKUP(A508,Declarations!B$6:F$293,5,FALSE)="","---",VLOOKUP(A508,Declarations!B$6:F$293,5,FALSE)))</f>
        <v/>
      </c>
      <c r="D508" s="69" t="str">
        <f>IF(ISNA(VLOOKUP(A508,Declarations!B$6:F$293,4,FALSE)),"",IF(VLOOKUP(A508,Declarations!B$6:F$293,4,FALSE)="","---",VLOOKUP(A508,Declarations!B$6:F$293,4,FALSE)))</f>
        <v/>
      </c>
      <c r="E508" s="70"/>
      <c r="F508" s="70"/>
      <c r="G508" s="281" t="s">
        <v>149</v>
      </c>
      <c r="H508" s="70"/>
    </row>
    <row r="509" spans="1:8" ht="20" customHeight="1">
      <c r="A509" s="68"/>
      <c r="B509" s="69" t="str">
        <f>IF(ISNA(VLOOKUP(A509,Declarations!B$6:C$293,2,FALSE)),"",IF(VLOOKUP(A509,Declarations!B$6:C$293,2,FALSE)="","---",VLOOKUP(A509,Declarations!B$6:C$293,2,FALSE)))</f>
        <v/>
      </c>
      <c r="C509" s="69" t="str">
        <f>IF(ISNA(VLOOKUP(A509,Declarations!B$6:F$293,5,FALSE)),"",IF(VLOOKUP(A509,Declarations!B$6:F$293,5,FALSE)="","---",VLOOKUP(A509,Declarations!B$6:F$293,5,FALSE)))</f>
        <v/>
      </c>
      <c r="D509" s="69" t="str">
        <f>IF(ISNA(VLOOKUP(A509,Declarations!B$6:F$293,4,FALSE)),"",IF(VLOOKUP(A509,Declarations!B$6:F$293,4,FALSE)="","---",VLOOKUP(A509,Declarations!B$6:F$293,4,FALSE)))</f>
        <v/>
      </c>
      <c r="E509" s="70"/>
      <c r="F509" s="70"/>
      <c r="G509" s="281" t="s">
        <v>149</v>
      </c>
      <c r="H509" s="70"/>
    </row>
    <row r="510" spans="1:8" ht="20" customHeight="1">
      <c r="A510" s="68"/>
      <c r="B510" s="69" t="str">
        <f>IF(ISNA(VLOOKUP(A510,Declarations!B$6:C$293,2,FALSE)),"",IF(VLOOKUP(A510,Declarations!B$6:C$293,2,FALSE)="","---",VLOOKUP(A510,Declarations!B$6:C$293,2,FALSE)))</f>
        <v/>
      </c>
      <c r="C510" s="69" t="str">
        <f>IF(ISNA(VLOOKUP(A510,Declarations!B$6:F$293,5,FALSE)),"",IF(VLOOKUP(A510,Declarations!B$6:F$293,5,FALSE)="","---",VLOOKUP(A510,Declarations!B$6:F$293,5,FALSE)))</f>
        <v/>
      </c>
      <c r="D510" s="69" t="str">
        <f>IF(ISNA(VLOOKUP(A510,Declarations!B$6:F$293,4,FALSE)),"",IF(VLOOKUP(A510,Declarations!B$6:F$293,4,FALSE)="","---",VLOOKUP(A510,Declarations!B$6:F$293,4,FALSE)))</f>
        <v/>
      </c>
      <c r="E510" s="70"/>
      <c r="F510" s="70"/>
      <c r="G510" s="281" t="s">
        <v>149</v>
      </c>
      <c r="H510" s="70"/>
    </row>
    <row r="511" spans="1:8" ht="20" customHeight="1">
      <c r="A511" s="68"/>
      <c r="B511" s="69" t="str">
        <f>IF(ISNA(VLOOKUP(A511,Declarations!B$6:C$293,2,FALSE)),"",IF(VLOOKUP(A511,Declarations!B$6:C$293,2,FALSE)="","---",VLOOKUP(A511,Declarations!B$6:C$293,2,FALSE)))</f>
        <v/>
      </c>
      <c r="C511" s="69" t="str">
        <f>IF(ISNA(VLOOKUP(A511,Declarations!B$6:F$293,5,FALSE)),"",IF(VLOOKUP(A511,Declarations!B$6:F$293,5,FALSE)="","---",VLOOKUP(A511,Declarations!B$6:F$293,5,FALSE)))</f>
        <v/>
      </c>
      <c r="D511" s="69" t="str">
        <f>IF(ISNA(VLOOKUP(A511,Declarations!B$6:F$293,4,FALSE)),"",IF(VLOOKUP(A511,Declarations!B$6:F$293,4,FALSE)="","---",VLOOKUP(A511,Declarations!B$6:F$293,4,FALSE)))</f>
        <v/>
      </c>
      <c r="E511" s="70"/>
      <c r="F511" s="70"/>
      <c r="G511" s="281" t="s">
        <v>149</v>
      </c>
      <c r="H511" s="70"/>
    </row>
    <row r="512" spans="1:8" ht="20" customHeight="1">
      <c r="A512" s="68"/>
      <c r="B512" s="69" t="str">
        <f>IF(ISNA(VLOOKUP(A512,Declarations!B$6:C$293,2,FALSE)),"",IF(VLOOKUP(A512,Declarations!B$6:C$293,2,FALSE)="","---",VLOOKUP(A512,Declarations!B$6:C$293,2,FALSE)))</f>
        <v/>
      </c>
      <c r="C512" s="69" t="str">
        <f>IF(ISNA(VLOOKUP(A512,Declarations!B$6:F$293,5,FALSE)),"",IF(VLOOKUP(A512,Declarations!B$6:F$293,5,FALSE)="","---",VLOOKUP(A512,Declarations!B$6:F$293,5,FALSE)))</f>
        <v/>
      </c>
      <c r="D512" s="69" t="str">
        <f>IF(ISNA(VLOOKUP(A512,Declarations!B$6:F$293,4,FALSE)),"",IF(VLOOKUP(A512,Declarations!B$6:F$293,4,FALSE)="","---",VLOOKUP(A512,Declarations!B$6:F$293,4,FALSE)))</f>
        <v/>
      </c>
      <c r="E512" s="70"/>
      <c r="F512" s="70"/>
      <c r="G512" s="281" t="s">
        <v>149</v>
      </c>
      <c r="H512" s="70"/>
    </row>
    <row r="513" spans="1:8" ht="20" customHeight="1">
      <c r="A513" s="68"/>
      <c r="B513" s="69" t="str">
        <f>IF(ISNA(VLOOKUP(A513,Declarations!B$6:C$293,2,FALSE)),"",IF(VLOOKUP(A513,Declarations!B$6:C$293,2,FALSE)="","---",VLOOKUP(A513,Declarations!B$6:C$293,2,FALSE)))</f>
        <v/>
      </c>
      <c r="C513" s="69" t="str">
        <f>IF(ISNA(VLOOKUP(A513,Declarations!B$6:F$293,5,FALSE)),"",IF(VLOOKUP(A513,Declarations!B$6:F$293,5,FALSE)="","---",VLOOKUP(A513,Declarations!B$6:F$293,5,FALSE)))</f>
        <v/>
      </c>
      <c r="D513" s="69" t="str">
        <f>IF(ISNA(VLOOKUP(A513,Declarations!B$6:F$293,4,FALSE)),"",IF(VLOOKUP(A513,Declarations!B$6:F$293,4,FALSE)="","---",VLOOKUP(A513,Declarations!B$6:F$293,4,FALSE)))</f>
        <v/>
      </c>
      <c r="E513" s="70"/>
      <c r="F513" s="70"/>
      <c r="G513" s="281" t="s">
        <v>149</v>
      </c>
      <c r="H513" s="70"/>
    </row>
    <row r="514" spans="1:8" ht="20" customHeight="1">
      <c r="A514" s="68"/>
      <c r="B514" s="69" t="str">
        <f>IF(ISNA(VLOOKUP(A514,Declarations!B$6:C$293,2,FALSE)),"",IF(VLOOKUP(A514,Declarations!B$6:C$293,2,FALSE)="","---",VLOOKUP(A514,Declarations!B$6:C$293,2,FALSE)))</f>
        <v/>
      </c>
      <c r="C514" s="69" t="str">
        <f>IF(ISNA(VLOOKUP(A514,Declarations!B$6:F$293,5,FALSE)),"",IF(VLOOKUP(A514,Declarations!B$6:F$293,5,FALSE)="","---",VLOOKUP(A514,Declarations!B$6:F$293,5,FALSE)))</f>
        <v/>
      </c>
      <c r="D514" s="69" t="str">
        <f>IF(ISNA(VLOOKUP(A514,Declarations!B$6:F$293,4,FALSE)),"",IF(VLOOKUP(A514,Declarations!B$6:F$293,4,FALSE)="","---",VLOOKUP(A514,Declarations!B$6:F$293,4,FALSE)))</f>
        <v/>
      </c>
      <c r="E514" s="70"/>
      <c r="F514" s="70"/>
      <c r="G514" s="281" t="s">
        <v>149</v>
      </c>
      <c r="H514" s="70"/>
    </row>
    <row r="515" spans="1:8">
      <c r="A515" s="71"/>
      <c r="B515" s="72"/>
      <c r="C515" s="72"/>
      <c r="D515" s="72"/>
      <c r="E515" s="73"/>
      <c r="F515" s="73"/>
      <c r="G515" s="73"/>
      <c r="H515" s="73"/>
    </row>
    <row r="516" spans="1:8">
      <c r="A516" s="71"/>
      <c r="B516" s="510" t="s">
        <v>213</v>
      </c>
      <c r="C516" s="511"/>
      <c r="D516" s="72"/>
      <c r="E516" s="509" t="s">
        <v>93</v>
      </c>
      <c r="F516" s="509"/>
      <c r="G516" s="501" t="s">
        <v>43</v>
      </c>
      <c r="H516" s="501"/>
    </row>
    <row r="517" spans="1:8" ht="16" customHeight="1">
      <c r="A517" s="71"/>
      <c r="B517" s="512"/>
      <c r="C517" s="513"/>
      <c r="D517" s="72"/>
      <c r="E517" s="501"/>
      <c r="F517" s="501"/>
      <c r="G517" s="501"/>
      <c r="H517" s="501"/>
    </row>
    <row r="518" spans="1:8">
      <c r="A518" s="71"/>
      <c r="B518" s="512"/>
      <c r="C518" s="513"/>
      <c r="D518" s="72"/>
      <c r="E518" s="501"/>
      <c r="F518" s="501"/>
      <c r="G518" s="501"/>
      <c r="H518" s="501"/>
    </row>
    <row r="519" spans="1:8">
      <c r="A519" s="71"/>
      <c r="B519" s="514"/>
      <c r="C519" s="515"/>
      <c r="D519" s="72"/>
      <c r="E519" s="501"/>
      <c r="F519" s="501"/>
      <c r="G519" s="501"/>
      <c r="H519" s="501"/>
    </row>
    <row r="520" spans="1:8" ht="8" customHeight="1">
      <c r="A520" s="71"/>
      <c r="B520" s="72"/>
      <c r="C520" s="72"/>
      <c r="D520" s="72"/>
      <c r="E520" s="73"/>
      <c r="F520" s="73"/>
      <c r="G520" s="73"/>
      <c r="H520" s="73"/>
    </row>
    <row r="521" spans="1:8" ht="20">
      <c r="A521" s="502" t="str">
        <f>'Read Me First'!A1:F1</f>
        <v>Oxfordshire Track and Field League 2026</v>
      </c>
      <c r="B521" s="503"/>
      <c r="C521" s="503"/>
      <c r="D521" s="503"/>
      <c r="E521" s="503"/>
      <c r="F521" s="503"/>
      <c r="G521" s="503"/>
      <c r="H521" s="504"/>
    </row>
    <row r="522" spans="1:8" ht="18">
      <c r="A522" s="61" t="s">
        <v>12</v>
      </c>
      <c r="B522" s="62">
        <f>'Read Me First'!$C$10</f>
        <v>46250</v>
      </c>
      <c r="C522" s="77">
        <v>0.54166666666666663</v>
      </c>
      <c r="D522" s="61" t="s">
        <v>13</v>
      </c>
      <c r="E522" s="505" t="str">
        <f>$E$2</f>
        <v>Banbury</v>
      </c>
      <c r="F522" s="506"/>
      <c r="G522" s="506"/>
      <c r="H522" s="507"/>
    </row>
    <row r="523" spans="1:8" ht="18">
      <c r="A523" s="508" t="s">
        <v>52</v>
      </c>
      <c r="B523" s="508"/>
      <c r="C523" s="508"/>
      <c r="D523" s="508"/>
      <c r="E523" s="60">
        <v>1</v>
      </c>
      <c r="F523" s="60">
        <v>2</v>
      </c>
      <c r="G523" s="60">
        <v>3</v>
      </c>
      <c r="H523" s="60" t="s">
        <v>42</v>
      </c>
    </row>
    <row r="524" spans="1:8" ht="18">
      <c r="A524" s="66"/>
      <c r="B524" s="66"/>
      <c r="C524" s="66"/>
      <c r="D524" s="66"/>
      <c r="E524" s="67"/>
      <c r="F524" s="67"/>
      <c r="G524" s="67"/>
      <c r="H524" s="67"/>
    </row>
    <row r="525" spans="1:8" ht="20" customHeight="1">
      <c r="A525" s="68" t="str" cm="1">
        <f t="array" ref="A525">IFERROR(_xlfn.TEXTSPLIT(IFERROR(_xlfn.TEXTJOIN(",",TRUE,_xlfn._xlws.FILTER(BlockAllocations!$F$3:$F$20,BlockAllocations!$E$3:$E$20=BlockAllocations!$G$9)),""),,",")+0,"!")</f>
        <v>!</v>
      </c>
      <c r="B525" s="69" t="str">
        <f>IF(ISNA(VLOOKUP(A525,Declarations!B$6:C$293,2,FALSE)),"",IF(VLOOKUP(A525,Declarations!B$6:C$293,2,FALSE)="","---",VLOOKUP(A525,Declarations!B$6:C$293,2,FALSE)))</f>
        <v/>
      </c>
      <c r="C525" s="69" t="str">
        <f>IF(ISNA(VLOOKUP(A525,Declarations!B$6:F$293,5,FALSE)),"",IF(VLOOKUP(A525,Declarations!B$6:F$293,5,FALSE)="","---",VLOOKUP(A525,Declarations!B$6:F$293,5,FALSE)))</f>
        <v/>
      </c>
      <c r="D525" s="69" t="str">
        <f>IF(ISNA(VLOOKUP(A525,Declarations!B$6:F$293,4,FALSE)),"",IF(VLOOKUP(A525,Declarations!B$6:F$293,4,FALSE)="","---",VLOOKUP(A525,Declarations!B$6:F$293,4,FALSE)))</f>
        <v/>
      </c>
      <c r="E525" s="68"/>
      <c r="F525" s="70"/>
      <c r="G525" s="281" t="s">
        <v>149</v>
      </c>
      <c r="H525" s="70"/>
    </row>
    <row r="526" spans="1:8" ht="20" customHeight="1">
      <c r="A526" s="68"/>
      <c r="B526" s="69" t="str">
        <f>IF(ISNA(VLOOKUP(A526,Declarations!B$6:C$293,2,FALSE)),"",IF(VLOOKUP(A526,Declarations!B$6:C$293,2,FALSE)="","---",VLOOKUP(A526,Declarations!B$6:C$293,2,FALSE)))</f>
        <v/>
      </c>
      <c r="C526" s="69" t="str">
        <f>IF(ISNA(VLOOKUP(A526,Declarations!B$6:F$293,5,FALSE)),"",IF(VLOOKUP(A526,Declarations!B$6:F$293,5,FALSE)="","---",VLOOKUP(A526,Declarations!B$6:F$293,5,FALSE)))</f>
        <v/>
      </c>
      <c r="D526" s="69" t="str">
        <f>IF(ISNA(VLOOKUP(A526,Declarations!B$6:F$293,4,FALSE)),"",IF(VLOOKUP(A526,Declarations!B$6:F$293,4,FALSE)="","---",VLOOKUP(A526,Declarations!B$6:F$293,4,FALSE)))</f>
        <v/>
      </c>
      <c r="E526" s="68"/>
      <c r="F526" s="70"/>
      <c r="G526" s="281" t="s">
        <v>149</v>
      </c>
      <c r="H526" s="70"/>
    </row>
    <row r="527" spans="1:8" ht="20" customHeight="1">
      <c r="A527" s="68"/>
      <c r="B527" s="69" t="str">
        <f>IF(ISNA(VLOOKUP(A527,Declarations!B$6:C$293,2,FALSE)),"",IF(VLOOKUP(A527,Declarations!B$6:C$293,2,FALSE)="","---",VLOOKUP(A527,Declarations!B$6:C$293,2,FALSE)))</f>
        <v/>
      </c>
      <c r="C527" s="69" t="str">
        <f>IF(ISNA(VLOOKUP(A527,Declarations!B$6:F$293,5,FALSE)),"",IF(VLOOKUP(A527,Declarations!B$6:F$293,5,FALSE)="","---",VLOOKUP(A527,Declarations!B$6:F$293,5,FALSE)))</f>
        <v/>
      </c>
      <c r="D527" s="69" t="str">
        <f>IF(ISNA(VLOOKUP(A527,Declarations!B$6:F$293,4,FALSE)),"",IF(VLOOKUP(A527,Declarations!B$6:F$293,4,FALSE)="","---",VLOOKUP(A527,Declarations!B$6:F$293,4,FALSE)))</f>
        <v/>
      </c>
      <c r="E527" s="68"/>
      <c r="F527" s="70"/>
      <c r="G527" s="281" t="s">
        <v>149</v>
      </c>
      <c r="H527" s="70"/>
    </row>
    <row r="528" spans="1:8" ht="20" customHeight="1">
      <c r="A528" s="68"/>
      <c r="B528" s="69" t="str">
        <f>IF(ISNA(VLOOKUP(A528,Declarations!B$6:C$293,2,FALSE)),"",IF(VLOOKUP(A528,Declarations!B$6:C$293,2,FALSE)="","---",VLOOKUP(A528,Declarations!B$6:C$293,2,FALSE)))</f>
        <v/>
      </c>
      <c r="C528" s="69" t="str">
        <f>IF(ISNA(VLOOKUP(A528,Declarations!B$6:F$293,5,FALSE)),"",IF(VLOOKUP(A528,Declarations!B$6:F$293,5,FALSE)="","---",VLOOKUP(A528,Declarations!B$6:F$293,5,FALSE)))</f>
        <v/>
      </c>
      <c r="D528" s="69" t="str">
        <f>IF(ISNA(VLOOKUP(A528,Declarations!B$6:F$293,4,FALSE)),"",IF(VLOOKUP(A528,Declarations!B$6:F$293,4,FALSE)="","---",VLOOKUP(A528,Declarations!B$6:F$293,4,FALSE)))</f>
        <v/>
      </c>
      <c r="E528" s="68"/>
      <c r="F528" s="70"/>
      <c r="G528" s="281" t="s">
        <v>149</v>
      </c>
      <c r="H528" s="70"/>
    </row>
    <row r="529" spans="1:8" ht="20" customHeight="1">
      <c r="A529" s="68"/>
      <c r="B529" s="69" t="str">
        <f>IF(ISNA(VLOOKUP(A529,Declarations!B$6:C$293,2,FALSE)),"",IF(VLOOKUP(A529,Declarations!B$6:C$293,2,FALSE)="","---",VLOOKUP(A529,Declarations!B$6:C$293,2,FALSE)))</f>
        <v/>
      </c>
      <c r="C529" s="69" t="str">
        <f>IF(ISNA(VLOOKUP(A529,Declarations!B$6:F$293,5,FALSE)),"",IF(VLOOKUP(A529,Declarations!B$6:F$293,5,FALSE)="","---",VLOOKUP(A529,Declarations!B$6:F$293,5,FALSE)))</f>
        <v/>
      </c>
      <c r="D529" s="69" t="str">
        <f>IF(ISNA(VLOOKUP(A529,Declarations!B$6:F$293,4,FALSE)),"",IF(VLOOKUP(A529,Declarations!B$6:F$293,4,FALSE)="","---",VLOOKUP(A529,Declarations!B$6:F$293,4,FALSE)))</f>
        <v/>
      </c>
      <c r="E529" s="68"/>
      <c r="F529" s="70"/>
      <c r="G529" s="281" t="s">
        <v>149</v>
      </c>
      <c r="H529" s="70"/>
    </row>
    <row r="530" spans="1:8" ht="20" customHeight="1">
      <c r="A530" s="68"/>
      <c r="B530" s="69" t="str">
        <f>IF(ISNA(VLOOKUP(A530,Declarations!B$6:C$293,2,FALSE)),"",IF(VLOOKUP(A530,Declarations!B$6:C$293,2,FALSE)="","---",VLOOKUP(A530,Declarations!B$6:C$293,2,FALSE)))</f>
        <v/>
      </c>
      <c r="C530" s="69" t="str">
        <f>IF(ISNA(VLOOKUP(A530,Declarations!B$6:F$293,5,FALSE)),"",IF(VLOOKUP(A530,Declarations!B$6:F$293,5,FALSE)="","---",VLOOKUP(A530,Declarations!B$6:F$293,5,FALSE)))</f>
        <v/>
      </c>
      <c r="D530" s="69" t="str">
        <f>IF(ISNA(VLOOKUP(A530,Declarations!B$6:F$293,4,FALSE)),"",IF(VLOOKUP(A530,Declarations!B$6:F$293,4,FALSE)="","---",VLOOKUP(A530,Declarations!B$6:F$293,4,FALSE)))</f>
        <v/>
      </c>
      <c r="E530" s="68"/>
      <c r="F530" s="70"/>
      <c r="G530" s="281" t="s">
        <v>149</v>
      </c>
      <c r="H530" s="70"/>
    </row>
    <row r="531" spans="1:8" ht="20" customHeight="1">
      <c r="A531" s="68"/>
      <c r="B531" s="69" t="str">
        <f>IF(ISNA(VLOOKUP(A531,Declarations!B$6:C$293,2,FALSE)),"",IF(VLOOKUP(A531,Declarations!B$6:C$293,2,FALSE)="","---",VLOOKUP(A531,Declarations!B$6:C$293,2,FALSE)))</f>
        <v/>
      </c>
      <c r="C531" s="69" t="str">
        <f>IF(ISNA(VLOOKUP(A531,Declarations!B$6:F$293,5,FALSE)),"",IF(VLOOKUP(A531,Declarations!B$6:F$293,5,FALSE)="","---",VLOOKUP(A531,Declarations!B$6:F$293,5,FALSE)))</f>
        <v/>
      </c>
      <c r="D531" s="69" t="str">
        <f>IF(ISNA(VLOOKUP(A531,Declarations!B$6:F$293,4,FALSE)),"",IF(VLOOKUP(A531,Declarations!B$6:F$293,4,FALSE)="","---",VLOOKUP(A531,Declarations!B$6:F$293,4,FALSE)))</f>
        <v/>
      </c>
      <c r="E531" s="68"/>
      <c r="F531" s="70"/>
      <c r="G531" s="281" t="s">
        <v>149</v>
      </c>
      <c r="H531" s="70"/>
    </row>
    <row r="532" spans="1:8" ht="20" customHeight="1">
      <c r="A532" s="68"/>
      <c r="B532" s="69" t="str">
        <f>IF(ISNA(VLOOKUP(A532,Declarations!B$6:C$293,2,FALSE)),"",IF(VLOOKUP(A532,Declarations!B$6:C$293,2,FALSE)="","---",VLOOKUP(A532,Declarations!B$6:C$293,2,FALSE)))</f>
        <v/>
      </c>
      <c r="C532" s="69" t="str">
        <f>IF(ISNA(VLOOKUP(A532,Declarations!B$6:F$293,5,FALSE)),"",IF(VLOOKUP(A532,Declarations!B$6:F$293,5,FALSE)="","---",VLOOKUP(A532,Declarations!B$6:F$293,5,FALSE)))</f>
        <v/>
      </c>
      <c r="D532" s="69" t="str">
        <f>IF(ISNA(VLOOKUP(A532,Declarations!B$6:F$293,4,FALSE)),"",IF(VLOOKUP(A532,Declarations!B$6:F$293,4,FALSE)="","---",VLOOKUP(A532,Declarations!B$6:F$293,4,FALSE)))</f>
        <v/>
      </c>
      <c r="E532" s="68"/>
      <c r="F532" s="70"/>
      <c r="G532" s="281" t="s">
        <v>149</v>
      </c>
      <c r="H532" s="70"/>
    </row>
    <row r="533" spans="1:8" ht="20" customHeight="1">
      <c r="A533" s="68"/>
      <c r="B533" s="69" t="str">
        <f>IF(ISNA(VLOOKUP(A533,Declarations!B$6:C$293,2,FALSE)),"",IF(VLOOKUP(A533,Declarations!B$6:C$293,2,FALSE)="","---",VLOOKUP(A533,Declarations!B$6:C$293,2,FALSE)))</f>
        <v/>
      </c>
      <c r="C533" s="69" t="str">
        <f>IF(ISNA(VLOOKUP(A533,Declarations!B$6:F$293,5,FALSE)),"",IF(VLOOKUP(A533,Declarations!B$6:F$293,5,FALSE)="","---",VLOOKUP(A533,Declarations!B$6:F$293,5,FALSE)))</f>
        <v/>
      </c>
      <c r="D533" s="69" t="str">
        <f>IF(ISNA(VLOOKUP(A533,Declarations!B$6:F$293,4,FALSE)),"",IF(VLOOKUP(A533,Declarations!B$6:F$293,4,FALSE)="","---",VLOOKUP(A533,Declarations!B$6:F$293,4,FALSE)))</f>
        <v/>
      </c>
      <c r="E533" s="68"/>
      <c r="F533" s="70"/>
      <c r="G533" s="281" t="s">
        <v>149</v>
      </c>
      <c r="H533" s="70"/>
    </row>
    <row r="534" spans="1:8" ht="20" customHeight="1">
      <c r="A534" s="68"/>
      <c r="B534" s="69" t="str">
        <f>IF(ISNA(VLOOKUP(A534,Declarations!B$6:C$293,2,FALSE)),"",IF(VLOOKUP(A534,Declarations!B$6:C$293,2,FALSE)="","---",VLOOKUP(A534,Declarations!B$6:C$293,2,FALSE)))</f>
        <v/>
      </c>
      <c r="C534" s="69" t="str">
        <f>IF(ISNA(VLOOKUP(A534,Declarations!B$6:F$293,5,FALSE)),"",IF(VLOOKUP(A534,Declarations!B$6:F$293,5,FALSE)="","---",VLOOKUP(A534,Declarations!B$6:F$293,5,FALSE)))</f>
        <v/>
      </c>
      <c r="D534" s="69" t="str">
        <f>IF(ISNA(VLOOKUP(A534,Declarations!B$6:F$293,4,FALSE)),"",IF(VLOOKUP(A534,Declarations!B$6:F$293,4,FALSE)="","---",VLOOKUP(A534,Declarations!B$6:F$293,4,FALSE)))</f>
        <v/>
      </c>
      <c r="E534" s="68"/>
      <c r="F534" s="70"/>
      <c r="G534" s="281" t="s">
        <v>149</v>
      </c>
      <c r="H534" s="70"/>
    </row>
    <row r="535" spans="1:8" ht="20" customHeight="1">
      <c r="A535" s="68"/>
      <c r="B535" s="69" t="str">
        <f>IF(ISNA(VLOOKUP(A535,Declarations!B$6:C$293,2,FALSE)),"",IF(VLOOKUP(A535,Declarations!B$6:C$293,2,FALSE)="","---",VLOOKUP(A535,Declarations!B$6:C$293,2,FALSE)))</f>
        <v/>
      </c>
      <c r="C535" s="69" t="str">
        <f>IF(ISNA(VLOOKUP(A535,Declarations!B$6:F$293,5,FALSE)),"",IF(VLOOKUP(A535,Declarations!B$6:F$293,5,FALSE)="","---",VLOOKUP(A535,Declarations!B$6:F$293,5,FALSE)))</f>
        <v/>
      </c>
      <c r="D535" s="69" t="str">
        <f>IF(ISNA(VLOOKUP(A535,Declarations!B$6:F$293,4,FALSE)),"",IF(VLOOKUP(A535,Declarations!B$6:F$293,4,FALSE)="","---",VLOOKUP(A535,Declarations!B$6:F$293,4,FALSE)))</f>
        <v/>
      </c>
      <c r="E535" s="68"/>
      <c r="F535" s="70"/>
      <c r="G535" s="281" t="s">
        <v>149</v>
      </c>
      <c r="H535" s="70"/>
    </row>
    <row r="536" spans="1:8" ht="20" customHeight="1">
      <c r="A536" s="68"/>
      <c r="B536" s="69" t="str">
        <f>IF(ISNA(VLOOKUP(A536,Declarations!B$6:C$293,2,FALSE)),"",IF(VLOOKUP(A536,Declarations!B$6:C$293,2,FALSE)="","---",VLOOKUP(A536,Declarations!B$6:C$293,2,FALSE)))</f>
        <v/>
      </c>
      <c r="C536" s="69" t="str">
        <f>IF(ISNA(VLOOKUP(A536,Declarations!B$6:F$293,5,FALSE)),"",IF(VLOOKUP(A536,Declarations!B$6:F$293,5,FALSE)="","---",VLOOKUP(A536,Declarations!B$6:F$293,5,FALSE)))</f>
        <v/>
      </c>
      <c r="D536" s="69" t="str">
        <f>IF(ISNA(VLOOKUP(A536,Declarations!B$6:F$293,4,FALSE)),"",IF(VLOOKUP(A536,Declarations!B$6:F$293,4,FALSE)="","---",VLOOKUP(A536,Declarations!B$6:F$293,4,FALSE)))</f>
        <v/>
      </c>
      <c r="E536" s="68"/>
      <c r="F536" s="70"/>
      <c r="G536" s="281" t="s">
        <v>149</v>
      </c>
      <c r="H536" s="70"/>
    </row>
    <row r="537" spans="1:8" ht="20" customHeight="1">
      <c r="A537" s="68"/>
      <c r="B537" s="69" t="str">
        <f>IF(ISNA(VLOOKUP(A537,Declarations!B$6:C$293,2,FALSE)),"",IF(VLOOKUP(A537,Declarations!B$6:C$293,2,FALSE)="","---",VLOOKUP(A537,Declarations!B$6:C$293,2,FALSE)))</f>
        <v/>
      </c>
      <c r="C537" s="69" t="str">
        <f>IF(ISNA(VLOOKUP(A537,Declarations!B$6:F$293,5,FALSE)),"",IF(VLOOKUP(A537,Declarations!B$6:F$293,5,FALSE)="","---",VLOOKUP(A537,Declarations!B$6:F$293,5,FALSE)))</f>
        <v/>
      </c>
      <c r="D537" s="69" t="str">
        <f>IF(ISNA(VLOOKUP(A537,Declarations!B$6:F$293,4,FALSE)),"",IF(VLOOKUP(A537,Declarations!B$6:F$293,4,FALSE)="","---",VLOOKUP(A537,Declarations!B$6:F$293,4,FALSE)))</f>
        <v/>
      </c>
      <c r="E537" s="68"/>
      <c r="F537" s="70"/>
      <c r="G537" s="281" t="s">
        <v>149</v>
      </c>
      <c r="H537" s="70"/>
    </row>
    <row r="538" spans="1:8" ht="20" customHeight="1">
      <c r="A538" s="68"/>
      <c r="B538" s="69" t="str">
        <f>IF(ISNA(VLOOKUP(A538,Declarations!B$6:C$293,2,FALSE)),"",IF(VLOOKUP(A538,Declarations!B$6:C$293,2,FALSE)="","---",VLOOKUP(A538,Declarations!B$6:C$293,2,FALSE)))</f>
        <v/>
      </c>
      <c r="C538" s="69" t="str">
        <f>IF(ISNA(VLOOKUP(A538,Declarations!B$6:F$293,5,FALSE)),"",IF(VLOOKUP(A538,Declarations!B$6:F$293,5,FALSE)="","---",VLOOKUP(A538,Declarations!B$6:F$293,5,FALSE)))</f>
        <v/>
      </c>
      <c r="D538" s="69" t="str">
        <f>IF(ISNA(VLOOKUP(A538,Declarations!B$6:F$293,4,FALSE)),"",IF(VLOOKUP(A538,Declarations!B$6:F$293,4,FALSE)="","---",VLOOKUP(A538,Declarations!B$6:F$293,4,FALSE)))</f>
        <v/>
      </c>
      <c r="E538" s="68"/>
      <c r="F538" s="70"/>
      <c r="G538" s="281" t="s">
        <v>149</v>
      </c>
      <c r="H538" s="70"/>
    </row>
    <row r="539" spans="1:8" ht="20" customHeight="1">
      <c r="A539" s="68"/>
      <c r="B539" s="69" t="str">
        <f>IF(ISNA(VLOOKUP(A539,Declarations!B$6:C$293,2,FALSE)),"",IF(VLOOKUP(A539,Declarations!B$6:C$293,2,FALSE)="","---",VLOOKUP(A539,Declarations!B$6:C$293,2,FALSE)))</f>
        <v/>
      </c>
      <c r="C539" s="69" t="str">
        <f>IF(ISNA(VLOOKUP(A539,Declarations!B$6:F$293,5,FALSE)),"",IF(VLOOKUP(A539,Declarations!B$6:F$293,5,FALSE)="","---",VLOOKUP(A539,Declarations!B$6:F$293,5,FALSE)))</f>
        <v/>
      </c>
      <c r="D539" s="69" t="str">
        <f>IF(ISNA(VLOOKUP(A539,Declarations!B$6:F$293,4,FALSE)),"",IF(VLOOKUP(A539,Declarations!B$6:F$293,4,FALSE)="","---",VLOOKUP(A539,Declarations!B$6:F$293,4,FALSE)))</f>
        <v/>
      </c>
      <c r="E539" s="68"/>
      <c r="F539" s="70"/>
      <c r="G539" s="281" t="s">
        <v>149</v>
      </c>
      <c r="H539" s="70"/>
    </row>
    <row r="540" spans="1:8" ht="20" customHeight="1">
      <c r="A540" s="68"/>
      <c r="B540" s="69" t="str">
        <f>IF(ISNA(VLOOKUP(A540,Declarations!B$6:C$293,2,FALSE)),"",IF(VLOOKUP(A540,Declarations!B$6:C$293,2,FALSE)="","---",VLOOKUP(A540,Declarations!B$6:C$293,2,FALSE)))</f>
        <v/>
      </c>
      <c r="C540" s="69" t="str">
        <f>IF(ISNA(VLOOKUP(A540,Declarations!B$6:F$293,5,FALSE)),"",IF(VLOOKUP(A540,Declarations!B$6:F$293,5,FALSE)="","---",VLOOKUP(A540,Declarations!B$6:F$293,5,FALSE)))</f>
        <v/>
      </c>
      <c r="D540" s="69" t="str">
        <f>IF(ISNA(VLOOKUP(A540,Declarations!B$6:F$293,4,FALSE)),"",IF(VLOOKUP(A540,Declarations!B$6:F$293,4,FALSE)="","---",VLOOKUP(A540,Declarations!B$6:F$293,4,FALSE)))</f>
        <v/>
      </c>
      <c r="E540" s="68"/>
      <c r="F540" s="70"/>
      <c r="G540" s="281" t="s">
        <v>149</v>
      </c>
      <c r="H540" s="70"/>
    </row>
    <row r="541" spans="1:8" ht="20" customHeight="1">
      <c r="A541" s="68"/>
      <c r="B541" s="69" t="str">
        <f>IF(ISNA(VLOOKUP(A541,Declarations!B$6:C$293,2,FALSE)),"",IF(VLOOKUP(A541,Declarations!B$6:C$293,2,FALSE)="","---",VLOOKUP(A541,Declarations!B$6:C$293,2,FALSE)))</f>
        <v/>
      </c>
      <c r="C541" s="69" t="str">
        <f>IF(ISNA(VLOOKUP(A541,Declarations!B$6:F$293,5,FALSE)),"",IF(VLOOKUP(A541,Declarations!B$6:F$293,5,FALSE)="","---",VLOOKUP(A541,Declarations!B$6:F$293,5,FALSE)))</f>
        <v/>
      </c>
      <c r="D541" s="69" t="str">
        <f>IF(ISNA(VLOOKUP(A541,Declarations!B$6:F$293,4,FALSE)),"",IF(VLOOKUP(A541,Declarations!B$6:F$293,4,FALSE)="","---",VLOOKUP(A541,Declarations!B$6:F$293,4,FALSE)))</f>
        <v/>
      </c>
      <c r="E541" s="70"/>
      <c r="F541" s="70"/>
      <c r="G541" s="281" t="s">
        <v>149</v>
      </c>
      <c r="H541" s="70"/>
    </row>
    <row r="542" spans="1:8" ht="20" customHeight="1">
      <c r="A542" s="68"/>
      <c r="B542" s="69" t="str">
        <f>IF(ISNA(VLOOKUP(A542,Declarations!B$6:C$293,2,FALSE)),"",IF(VLOOKUP(A542,Declarations!B$6:C$293,2,FALSE)="","---",VLOOKUP(A542,Declarations!B$6:C$293,2,FALSE)))</f>
        <v/>
      </c>
      <c r="C542" s="69" t="str">
        <f>IF(ISNA(VLOOKUP(A542,Declarations!B$6:F$293,5,FALSE)),"",IF(VLOOKUP(A542,Declarations!B$6:F$293,5,FALSE)="","---",VLOOKUP(A542,Declarations!B$6:F$293,5,FALSE)))</f>
        <v/>
      </c>
      <c r="D542" s="69" t="str">
        <f>IF(ISNA(VLOOKUP(A542,Declarations!B$6:F$293,4,FALSE)),"",IF(VLOOKUP(A542,Declarations!B$6:F$293,4,FALSE)="","---",VLOOKUP(A542,Declarations!B$6:F$293,4,FALSE)))</f>
        <v/>
      </c>
      <c r="E542" s="70"/>
      <c r="F542" s="70"/>
      <c r="G542" s="281" t="s">
        <v>149</v>
      </c>
      <c r="H542" s="70"/>
    </row>
    <row r="543" spans="1:8" ht="20" customHeight="1">
      <c r="A543" s="68"/>
      <c r="B543" s="69" t="str">
        <f>IF(ISNA(VLOOKUP(A543,Declarations!B$6:C$293,2,FALSE)),"",IF(VLOOKUP(A543,Declarations!B$6:C$293,2,FALSE)="","---",VLOOKUP(A543,Declarations!B$6:C$293,2,FALSE)))</f>
        <v/>
      </c>
      <c r="C543" s="69" t="str">
        <f>IF(ISNA(VLOOKUP(A543,Declarations!B$6:F$293,5,FALSE)),"",IF(VLOOKUP(A543,Declarations!B$6:F$293,5,FALSE)="","---",VLOOKUP(A543,Declarations!B$6:F$293,5,FALSE)))</f>
        <v/>
      </c>
      <c r="D543" s="69" t="str">
        <f>IF(ISNA(VLOOKUP(A543,Declarations!B$6:F$293,4,FALSE)),"",IF(VLOOKUP(A543,Declarations!B$6:F$293,4,FALSE)="","---",VLOOKUP(A543,Declarations!B$6:F$293,4,FALSE)))</f>
        <v/>
      </c>
      <c r="E543" s="70"/>
      <c r="F543" s="70"/>
      <c r="G543" s="281" t="s">
        <v>149</v>
      </c>
      <c r="H543" s="70"/>
    </row>
    <row r="544" spans="1:8" ht="20" customHeight="1">
      <c r="A544" s="68"/>
      <c r="B544" s="69" t="str">
        <f>IF(ISNA(VLOOKUP(A544,Declarations!B$6:C$293,2,FALSE)),"",IF(VLOOKUP(A544,Declarations!B$6:C$293,2,FALSE)="","---",VLOOKUP(A544,Declarations!B$6:C$293,2,FALSE)))</f>
        <v/>
      </c>
      <c r="C544" s="69" t="str">
        <f>IF(ISNA(VLOOKUP(A544,Declarations!B$6:F$293,5,FALSE)),"",IF(VLOOKUP(A544,Declarations!B$6:F$293,5,FALSE)="","---",VLOOKUP(A544,Declarations!B$6:F$293,5,FALSE)))</f>
        <v/>
      </c>
      <c r="D544" s="69" t="str">
        <f>IF(ISNA(VLOOKUP(A544,Declarations!B$6:F$293,4,FALSE)),"",IF(VLOOKUP(A544,Declarations!B$6:F$293,4,FALSE)="","---",VLOOKUP(A544,Declarations!B$6:F$293,4,FALSE)))</f>
        <v/>
      </c>
      <c r="E544" s="70"/>
      <c r="F544" s="70"/>
      <c r="G544" s="281" t="s">
        <v>149</v>
      </c>
      <c r="H544" s="70"/>
    </row>
    <row r="545" spans="1:8" ht="20" customHeight="1">
      <c r="A545" s="68"/>
      <c r="B545" s="69" t="str">
        <f>IF(ISNA(VLOOKUP(A545,Declarations!B$6:C$293,2,FALSE)),"",IF(VLOOKUP(A545,Declarations!B$6:C$293,2,FALSE)="","---",VLOOKUP(A545,Declarations!B$6:C$293,2,FALSE)))</f>
        <v/>
      </c>
      <c r="C545" s="69" t="str">
        <f>IF(ISNA(VLOOKUP(A545,Declarations!B$6:F$293,5,FALSE)),"",IF(VLOOKUP(A545,Declarations!B$6:F$293,5,FALSE)="","---",VLOOKUP(A545,Declarations!B$6:F$293,5,FALSE)))</f>
        <v/>
      </c>
      <c r="D545" s="69" t="str">
        <f>IF(ISNA(VLOOKUP(A545,Declarations!B$6:F$293,4,FALSE)),"",IF(VLOOKUP(A545,Declarations!B$6:F$293,4,FALSE)="","---",VLOOKUP(A545,Declarations!B$6:F$293,4,FALSE)))</f>
        <v/>
      </c>
      <c r="E545" s="70"/>
      <c r="F545" s="70"/>
      <c r="G545" s="281" t="s">
        <v>149</v>
      </c>
      <c r="H545" s="70"/>
    </row>
    <row r="546" spans="1:8" ht="20" customHeight="1">
      <c r="A546" s="68"/>
      <c r="B546" s="69" t="str">
        <f>IF(ISNA(VLOOKUP(A546,Declarations!B$6:C$293,2,FALSE)),"",IF(VLOOKUP(A546,Declarations!B$6:C$293,2,FALSE)="","---",VLOOKUP(A546,Declarations!B$6:C$293,2,FALSE)))</f>
        <v/>
      </c>
      <c r="C546" s="69" t="str">
        <f>IF(ISNA(VLOOKUP(A546,Declarations!B$6:F$293,5,FALSE)),"",IF(VLOOKUP(A546,Declarations!B$6:F$293,5,FALSE)="","---",VLOOKUP(A546,Declarations!B$6:F$293,5,FALSE)))</f>
        <v/>
      </c>
      <c r="D546" s="69" t="str">
        <f>IF(ISNA(VLOOKUP(A546,Declarations!B$6:F$293,4,FALSE)),"",IF(VLOOKUP(A546,Declarations!B$6:F$293,4,FALSE)="","---",VLOOKUP(A546,Declarations!B$6:F$293,4,FALSE)))</f>
        <v/>
      </c>
      <c r="E546" s="70"/>
      <c r="F546" s="70"/>
      <c r="G546" s="281" t="s">
        <v>149</v>
      </c>
      <c r="H546" s="70"/>
    </row>
    <row r="547" spans="1:8" ht="20" customHeight="1">
      <c r="A547" s="68"/>
      <c r="B547" s="69" t="str">
        <f>IF(ISNA(VLOOKUP(A547,Declarations!B$6:C$293,2,FALSE)),"",IF(VLOOKUP(A547,Declarations!B$6:C$293,2,FALSE)="","---",VLOOKUP(A547,Declarations!B$6:C$293,2,FALSE)))</f>
        <v/>
      </c>
      <c r="C547" s="69" t="str">
        <f>IF(ISNA(VLOOKUP(A547,Declarations!B$6:F$293,5,FALSE)),"",IF(VLOOKUP(A547,Declarations!B$6:F$293,5,FALSE)="","---",VLOOKUP(A547,Declarations!B$6:F$293,5,FALSE)))</f>
        <v/>
      </c>
      <c r="D547" s="69" t="str">
        <f>IF(ISNA(VLOOKUP(A547,Declarations!B$6:F$293,4,FALSE)),"",IF(VLOOKUP(A547,Declarations!B$6:F$293,4,FALSE)="","---",VLOOKUP(A547,Declarations!B$6:F$293,4,FALSE)))</f>
        <v/>
      </c>
      <c r="E547" s="70"/>
      <c r="F547" s="70"/>
      <c r="G547" s="281" t="s">
        <v>149</v>
      </c>
      <c r="H547" s="70"/>
    </row>
    <row r="548" spans="1:8" ht="20" customHeight="1">
      <c r="A548" s="68"/>
      <c r="B548" s="69" t="str">
        <f>IF(ISNA(VLOOKUP(A548,Declarations!B$6:C$293,2,FALSE)),"",IF(VLOOKUP(A548,Declarations!B$6:C$293,2,FALSE)="","---",VLOOKUP(A548,Declarations!B$6:C$293,2,FALSE)))</f>
        <v/>
      </c>
      <c r="C548" s="69" t="str">
        <f>IF(ISNA(VLOOKUP(A548,Declarations!B$6:F$293,5,FALSE)),"",IF(VLOOKUP(A548,Declarations!B$6:F$293,5,FALSE)="","---",VLOOKUP(A548,Declarations!B$6:F$293,5,FALSE)))</f>
        <v/>
      </c>
      <c r="D548" s="69" t="str">
        <f>IF(ISNA(VLOOKUP(A548,Declarations!B$6:F$293,4,FALSE)),"",IF(VLOOKUP(A548,Declarations!B$6:F$293,4,FALSE)="","---",VLOOKUP(A548,Declarations!B$6:F$293,4,FALSE)))</f>
        <v/>
      </c>
      <c r="E548" s="70"/>
      <c r="F548" s="70"/>
      <c r="G548" s="281" t="s">
        <v>149</v>
      </c>
      <c r="H548" s="70"/>
    </row>
    <row r="549" spans="1:8" ht="20" customHeight="1">
      <c r="A549" s="68"/>
      <c r="B549" s="69" t="str">
        <f>IF(ISNA(VLOOKUP(A549,Declarations!B$6:C$293,2,FALSE)),"",IF(VLOOKUP(A549,Declarations!B$6:C$293,2,FALSE)="","---",VLOOKUP(A549,Declarations!B$6:C$293,2,FALSE)))</f>
        <v/>
      </c>
      <c r="C549" s="69" t="str">
        <f>IF(ISNA(VLOOKUP(A549,Declarations!B$6:F$293,5,FALSE)),"",IF(VLOOKUP(A549,Declarations!B$6:F$293,5,FALSE)="","---",VLOOKUP(A549,Declarations!B$6:F$293,5,FALSE)))</f>
        <v/>
      </c>
      <c r="D549" s="69" t="str">
        <f>IF(ISNA(VLOOKUP(A549,Declarations!B$6:F$293,4,FALSE)),"",IF(VLOOKUP(A549,Declarations!B$6:F$293,4,FALSE)="","---",VLOOKUP(A549,Declarations!B$6:F$293,4,FALSE)))</f>
        <v/>
      </c>
      <c r="E549" s="70"/>
      <c r="F549" s="70"/>
      <c r="G549" s="281" t="s">
        <v>149</v>
      </c>
      <c r="H549" s="70"/>
    </row>
    <row r="550" spans="1:8" ht="20" customHeight="1">
      <c r="A550" s="68"/>
      <c r="B550" s="69" t="str">
        <f>IF(ISNA(VLOOKUP(A550,Declarations!B$6:C$293,2,FALSE)),"",IF(VLOOKUP(A550,Declarations!B$6:C$293,2,FALSE)="","---",VLOOKUP(A550,Declarations!B$6:C$293,2,FALSE)))</f>
        <v/>
      </c>
      <c r="C550" s="69" t="str">
        <f>IF(ISNA(VLOOKUP(A550,Declarations!B$6:F$293,5,FALSE)),"",IF(VLOOKUP(A550,Declarations!B$6:F$293,5,FALSE)="","---",VLOOKUP(A550,Declarations!B$6:F$293,5,FALSE)))</f>
        <v/>
      </c>
      <c r="D550" s="69" t="str">
        <f>IF(ISNA(VLOOKUP(A550,Declarations!B$6:F$293,4,FALSE)),"",IF(VLOOKUP(A550,Declarations!B$6:F$293,4,FALSE)="","---",VLOOKUP(A550,Declarations!B$6:F$293,4,FALSE)))</f>
        <v/>
      </c>
      <c r="E550" s="70"/>
      <c r="F550" s="70"/>
      <c r="G550" s="281" t="s">
        <v>149</v>
      </c>
      <c r="H550" s="70"/>
    </row>
    <row r="551" spans="1:8" ht="20" customHeight="1">
      <c r="A551" s="68"/>
      <c r="B551" s="69" t="str">
        <f>IF(ISNA(VLOOKUP(A551,Declarations!B$6:C$293,2,FALSE)),"",IF(VLOOKUP(A551,Declarations!B$6:C$293,2,FALSE)="","---",VLOOKUP(A551,Declarations!B$6:C$293,2,FALSE)))</f>
        <v/>
      </c>
      <c r="C551" s="69" t="str">
        <f>IF(ISNA(VLOOKUP(A551,Declarations!B$6:F$293,5,FALSE)),"",IF(VLOOKUP(A551,Declarations!B$6:F$293,5,FALSE)="","---",VLOOKUP(A551,Declarations!B$6:F$293,5,FALSE)))</f>
        <v/>
      </c>
      <c r="D551" s="69" t="str">
        <f>IF(ISNA(VLOOKUP(A551,Declarations!B$6:F$293,4,FALSE)),"",IF(VLOOKUP(A551,Declarations!B$6:F$293,4,FALSE)="","---",VLOOKUP(A551,Declarations!B$6:F$293,4,FALSE)))</f>
        <v/>
      </c>
      <c r="E551" s="70"/>
      <c r="F551" s="70"/>
      <c r="G551" s="281" t="s">
        <v>149</v>
      </c>
      <c r="H551" s="70"/>
    </row>
    <row r="552" spans="1:8" ht="20" customHeight="1">
      <c r="A552" s="68"/>
      <c r="B552" s="69" t="str">
        <f>IF(ISNA(VLOOKUP(A552,Declarations!B$6:C$293,2,FALSE)),"",IF(VLOOKUP(A552,Declarations!B$6:C$293,2,FALSE)="","---",VLOOKUP(A552,Declarations!B$6:C$293,2,FALSE)))</f>
        <v/>
      </c>
      <c r="C552" s="69" t="str">
        <f>IF(ISNA(VLOOKUP(A552,Declarations!B$6:F$293,5,FALSE)),"",IF(VLOOKUP(A552,Declarations!B$6:F$293,5,FALSE)="","---",VLOOKUP(A552,Declarations!B$6:F$293,5,FALSE)))</f>
        <v/>
      </c>
      <c r="D552" s="69" t="str">
        <f>IF(ISNA(VLOOKUP(A552,Declarations!B$6:F$293,4,FALSE)),"",IF(VLOOKUP(A552,Declarations!B$6:F$293,4,FALSE)="","---",VLOOKUP(A552,Declarations!B$6:F$293,4,FALSE)))</f>
        <v/>
      </c>
      <c r="E552" s="70"/>
      <c r="F552" s="70"/>
      <c r="G552" s="281" t="s">
        <v>149</v>
      </c>
      <c r="H552" s="70"/>
    </row>
    <row r="553" spans="1:8" ht="20" customHeight="1">
      <c r="A553" s="68"/>
      <c r="B553" s="69" t="str">
        <f>IF(ISNA(VLOOKUP(A553,Declarations!B$6:C$293,2,FALSE)),"",IF(VLOOKUP(A553,Declarations!B$6:C$293,2,FALSE)="","---",VLOOKUP(A553,Declarations!B$6:C$293,2,FALSE)))</f>
        <v/>
      </c>
      <c r="C553" s="69" t="str">
        <f>IF(ISNA(VLOOKUP(A553,Declarations!B$6:F$293,5,FALSE)),"",IF(VLOOKUP(A553,Declarations!B$6:F$293,5,FALSE)="","---",VLOOKUP(A553,Declarations!B$6:F$293,5,FALSE)))</f>
        <v/>
      </c>
      <c r="D553" s="69" t="str">
        <f>IF(ISNA(VLOOKUP(A553,Declarations!B$6:F$293,4,FALSE)),"",IF(VLOOKUP(A553,Declarations!B$6:F$293,4,FALSE)="","---",VLOOKUP(A553,Declarations!B$6:F$293,4,FALSE)))</f>
        <v/>
      </c>
      <c r="E553" s="70"/>
      <c r="F553" s="70"/>
      <c r="G553" s="281" t="s">
        <v>149</v>
      </c>
      <c r="H553" s="70"/>
    </row>
    <row r="554" spans="1:8" ht="20" customHeight="1">
      <c r="A554" s="68"/>
      <c r="B554" s="69" t="str">
        <f>IF(ISNA(VLOOKUP(A554,Declarations!B$6:C$293,2,FALSE)),"",IF(VLOOKUP(A554,Declarations!B$6:C$293,2,FALSE)="","---",VLOOKUP(A554,Declarations!B$6:C$293,2,FALSE)))</f>
        <v/>
      </c>
      <c r="C554" s="69" t="str">
        <f>IF(ISNA(VLOOKUP(A554,Declarations!B$6:F$293,5,FALSE)),"",IF(VLOOKUP(A554,Declarations!B$6:F$293,5,FALSE)="","---",VLOOKUP(A554,Declarations!B$6:F$293,5,FALSE)))</f>
        <v/>
      </c>
      <c r="D554" s="69" t="str">
        <f>IF(ISNA(VLOOKUP(A554,Declarations!B$6:F$293,4,FALSE)),"",IF(VLOOKUP(A554,Declarations!B$6:F$293,4,FALSE)="","---",VLOOKUP(A554,Declarations!B$6:F$293,4,FALSE)))</f>
        <v/>
      </c>
      <c r="E554" s="70"/>
      <c r="F554" s="70"/>
      <c r="G554" s="281" t="s">
        <v>149</v>
      </c>
      <c r="H554" s="70"/>
    </row>
    <row r="555" spans="1:8">
      <c r="A555" s="71"/>
      <c r="B555" s="72"/>
      <c r="C555" s="72"/>
      <c r="D555" s="72"/>
      <c r="E555" s="73"/>
      <c r="F555" s="73"/>
      <c r="G555" s="73"/>
      <c r="H555" s="73"/>
    </row>
    <row r="556" spans="1:8">
      <c r="A556" s="71"/>
      <c r="B556" s="510" t="s">
        <v>213</v>
      </c>
      <c r="C556" s="511"/>
      <c r="D556" s="72"/>
      <c r="E556" s="509" t="s">
        <v>93</v>
      </c>
      <c r="F556" s="509"/>
      <c r="G556" s="501" t="s">
        <v>43</v>
      </c>
      <c r="H556" s="501"/>
    </row>
    <row r="557" spans="1:8" ht="16" customHeight="1">
      <c r="A557" s="71"/>
      <c r="B557" s="512"/>
      <c r="C557" s="513"/>
      <c r="D557" s="72"/>
      <c r="E557" s="501"/>
      <c r="F557" s="501"/>
      <c r="G557" s="501"/>
      <c r="H557" s="501"/>
    </row>
    <row r="558" spans="1:8">
      <c r="A558" s="71"/>
      <c r="B558" s="512"/>
      <c r="C558" s="513"/>
      <c r="D558" s="72"/>
      <c r="E558" s="501"/>
      <c r="F558" s="501"/>
      <c r="G558" s="501"/>
      <c r="H558" s="501"/>
    </row>
    <row r="559" spans="1:8">
      <c r="A559" s="71"/>
      <c r="B559" s="514"/>
      <c r="C559" s="515"/>
      <c r="D559" s="72"/>
      <c r="E559" s="501"/>
      <c r="F559" s="501"/>
      <c r="G559" s="501"/>
      <c r="H559" s="501"/>
    </row>
    <row r="560" spans="1:8" ht="8" customHeight="1">
      <c r="A560" s="71"/>
      <c r="B560" s="72"/>
      <c r="C560" s="72"/>
      <c r="D560" s="72"/>
      <c r="E560" s="73"/>
      <c r="F560" s="73"/>
      <c r="G560" s="73"/>
      <c r="H560" s="73"/>
    </row>
    <row r="561" spans="1:8" ht="20">
      <c r="A561" s="502" t="str">
        <f>'Read Me First'!A1:F1</f>
        <v>Oxfordshire Track and Field League 2026</v>
      </c>
      <c r="B561" s="503"/>
      <c r="C561" s="503"/>
      <c r="D561" s="503"/>
      <c r="E561" s="503"/>
      <c r="F561" s="503"/>
      <c r="G561" s="503"/>
      <c r="H561" s="504"/>
    </row>
    <row r="562" spans="1:8" ht="18">
      <c r="A562" s="61" t="s">
        <v>12</v>
      </c>
      <c r="B562" s="62">
        <f>'Read Me First'!$C$10</f>
        <v>46250</v>
      </c>
      <c r="C562" s="77">
        <v>0.58333333333333337</v>
      </c>
      <c r="D562" s="61" t="s">
        <v>13</v>
      </c>
      <c r="E562" s="505" t="str">
        <f>$E$2</f>
        <v>Banbury</v>
      </c>
      <c r="F562" s="506"/>
      <c r="G562" s="506"/>
      <c r="H562" s="507"/>
    </row>
    <row r="563" spans="1:8" ht="18">
      <c r="A563" s="508" t="s">
        <v>53</v>
      </c>
      <c r="B563" s="508"/>
      <c r="C563" s="508"/>
      <c r="D563" s="508"/>
      <c r="E563" s="60">
        <v>1</v>
      </c>
      <c r="F563" s="60">
        <v>2</v>
      </c>
      <c r="G563" s="60">
        <v>3</v>
      </c>
      <c r="H563" s="60" t="s">
        <v>42</v>
      </c>
    </row>
    <row r="564" spans="1:8" ht="18">
      <c r="A564" s="66"/>
      <c r="B564" s="66"/>
      <c r="C564" s="66"/>
      <c r="D564" s="66"/>
      <c r="E564" s="67"/>
      <c r="F564" s="67"/>
      <c r="G564" s="67"/>
      <c r="H564" s="67"/>
    </row>
    <row r="565" spans="1:8" ht="20" customHeight="1">
      <c r="A565" s="68" t="str" cm="1">
        <f t="array" ref="A565">IFERROR(_xlfn.TEXTSPLIT(IFERROR(_xlfn.TEXTJOIN(",",TRUE,_xlfn._xlws.FILTER(BlockAllocations!$F$3:$F$20,BlockAllocations!$E$3:$E$20=BlockAllocations!$G$10)),""),,",")+0,"!")</f>
        <v>!</v>
      </c>
      <c r="B565" s="69" t="str">
        <f>IF(ISNA(VLOOKUP(A565,Declarations!B$6:C$293,2,FALSE)),"",IF(VLOOKUP(A565,Declarations!B$6:C$293,2,FALSE)="","---",VLOOKUP(A565,Declarations!B$6:C$293,2,FALSE)))</f>
        <v/>
      </c>
      <c r="C565" s="69" t="str">
        <f>IF(ISNA(VLOOKUP(A565,Declarations!B$6:F$293,5,FALSE)),"",IF(VLOOKUP(A565,Declarations!B$6:F$293,5,FALSE)="","---",VLOOKUP(A565,Declarations!B$6:F$293,5,FALSE)))</f>
        <v/>
      </c>
      <c r="D565" s="69" t="str">
        <f>IF(ISNA(VLOOKUP(A565,Declarations!B$6:F$293,4,FALSE)),"",IF(VLOOKUP(A565,Declarations!B$6:F$293,4,FALSE)="","---",VLOOKUP(A565,Declarations!B$6:F$293,4,FALSE)))</f>
        <v/>
      </c>
      <c r="E565" s="68"/>
      <c r="F565" s="70"/>
      <c r="G565" s="281" t="s">
        <v>149</v>
      </c>
      <c r="H565" s="70"/>
    </row>
    <row r="566" spans="1:8" ht="20" customHeight="1">
      <c r="A566" s="68"/>
      <c r="B566" s="69" t="str">
        <f>IF(ISNA(VLOOKUP(A566,Declarations!B$6:C$293,2,FALSE)),"",IF(VLOOKUP(A566,Declarations!B$6:C$293,2,FALSE)="","---",VLOOKUP(A566,Declarations!B$6:C$293,2,FALSE)))</f>
        <v/>
      </c>
      <c r="C566" s="69" t="str">
        <f>IF(ISNA(VLOOKUP(A566,Declarations!B$6:F$293,5,FALSE)),"",IF(VLOOKUP(A566,Declarations!B$6:F$293,5,FALSE)="","---",VLOOKUP(A566,Declarations!B$6:F$293,5,FALSE)))</f>
        <v/>
      </c>
      <c r="D566" s="69" t="str">
        <f>IF(ISNA(VLOOKUP(A566,Declarations!B$6:F$293,4,FALSE)),"",IF(VLOOKUP(A566,Declarations!B$6:F$293,4,FALSE)="","---",VLOOKUP(A566,Declarations!B$6:F$293,4,FALSE)))</f>
        <v/>
      </c>
      <c r="E566" s="68"/>
      <c r="F566" s="70"/>
      <c r="G566" s="281" t="s">
        <v>149</v>
      </c>
      <c r="H566" s="70"/>
    </row>
    <row r="567" spans="1:8" ht="20" customHeight="1">
      <c r="A567" s="68"/>
      <c r="B567" s="69" t="str">
        <f>IF(ISNA(VLOOKUP(A567,Declarations!B$6:C$293,2,FALSE)),"",IF(VLOOKUP(A567,Declarations!B$6:C$293,2,FALSE)="","---",VLOOKUP(A567,Declarations!B$6:C$293,2,FALSE)))</f>
        <v/>
      </c>
      <c r="C567" s="69" t="str">
        <f>IF(ISNA(VLOOKUP(A567,Declarations!B$6:F$293,5,FALSE)),"",IF(VLOOKUP(A567,Declarations!B$6:F$293,5,FALSE)="","---",VLOOKUP(A567,Declarations!B$6:F$293,5,FALSE)))</f>
        <v/>
      </c>
      <c r="D567" s="69" t="str">
        <f>IF(ISNA(VLOOKUP(A567,Declarations!B$6:F$293,4,FALSE)),"",IF(VLOOKUP(A567,Declarations!B$6:F$293,4,FALSE)="","---",VLOOKUP(A567,Declarations!B$6:F$293,4,FALSE)))</f>
        <v/>
      </c>
      <c r="E567" s="68"/>
      <c r="F567" s="70"/>
      <c r="G567" s="281" t="s">
        <v>149</v>
      </c>
      <c r="H567" s="70"/>
    </row>
    <row r="568" spans="1:8" ht="20" customHeight="1">
      <c r="A568" s="68"/>
      <c r="B568" s="69" t="str">
        <f>IF(ISNA(VLOOKUP(A568,Declarations!B$6:C$293,2,FALSE)),"",IF(VLOOKUP(A568,Declarations!B$6:C$293,2,FALSE)="","---",VLOOKUP(A568,Declarations!B$6:C$293,2,FALSE)))</f>
        <v/>
      </c>
      <c r="C568" s="69" t="str">
        <f>IF(ISNA(VLOOKUP(A568,Declarations!B$6:F$293,5,FALSE)),"",IF(VLOOKUP(A568,Declarations!B$6:F$293,5,FALSE)="","---",VLOOKUP(A568,Declarations!B$6:F$293,5,FALSE)))</f>
        <v/>
      </c>
      <c r="D568" s="69" t="str">
        <f>IF(ISNA(VLOOKUP(A568,Declarations!B$6:F$293,4,FALSE)),"",IF(VLOOKUP(A568,Declarations!B$6:F$293,4,FALSE)="","---",VLOOKUP(A568,Declarations!B$6:F$293,4,FALSE)))</f>
        <v/>
      </c>
      <c r="E568" s="68"/>
      <c r="F568" s="70"/>
      <c r="G568" s="281" t="s">
        <v>149</v>
      </c>
      <c r="H568" s="70"/>
    </row>
    <row r="569" spans="1:8" ht="20" customHeight="1">
      <c r="A569" s="68"/>
      <c r="B569" s="69" t="str">
        <f>IF(ISNA(VLOOKUP(A569,Declarations!B$6:C$293,2,FALSE)),"",IF(VLOOKUP(A569,Declarations!B$6:C$293,2,FALSE)="","---",VLOOKUP(A569,Declarations!B$6:C$293,2,FALSE)))</f>
        <v/>
      </c>
      <c r="C569" s="69" t="str">
        <f>IF(ISNA(VLOOKUP(A569,Declarations!B$6:F$293,5,FALSE)),"",IF(VLOOKUP(A569,Declarations!B$6:F$293,5,FALSE)="","---",VLOOKUP(A569,Declarations!B$6:F$293,5,FALSE)))</f>
        <v/>
      </c>
      <c r="D569" s="69" t="str">
        <f>IF(ISNA(VLOOKUP(A569,Declarations!B$6:F$293,4,FALSE)),"",IF(VLOOKUP(A569,Declarations!B$6:F$293,4,FALSE)="","---",VLOOKUP(A569,Declarations!B$6:F$293,4,FALSE)))</f>
        <v/>
      </c>
      <c r="E569" s="68"/>
      <c r="F569" s="70"/>
      <c r="G569" s="281" t="s">
        <v>149</v>
      </c>
      <c r="H569" s="70"/>
    </row>
    <row r="570" spans="1:8" ht="20" customHeight="1">
      <c r="A570" s="68"/>
      <c r="B570" s="69" t="str">
        <f>IF(ISNA(VLOOKUP(A570,Declarations!B$6:C$293,2,FALSE)),"",IF(VLOOKUP(A570,Declarations!B$6:C$293,2,FALSE)="","---",VLOOKUP(A570,Declarations!B$6:C$293,2,FALSE)))</f>
        <v/>
      </c>
      <c r="C570" s="69" t="str">
        <f>IF(ISNA(VLOOKUP(A570,Declarations!B$6:F$293,5,FALSE)),"",IF(VLOOKUP(A570,Declarations!B$6:F$293,5,FALSE)="","---",VLOOKUP(A570,Declarations!B$6:F$293,5,FALSE)))</f>
        <v/>
      </c>
      <c r="D570" s="69" t="str">
        <f>IF(ISNA(VLOOKUP(A570,Declarations!B$6:F$293,4,FALSE)),"",IF(VLOOKUP(A570,Declarations!B$6:F$293,4,FALSE)="","---",VLOOKUP(A570,Declarations!B$6:F$293,4,FALSE)))</f>
        <v/>
      </c>
      <c r="E570" s="68"/>
      <c r="F570" s="70"/>
      <c r="G570" s="281" t="s">
        <v>149</v>
      </c>
      <c r="H570" s="70"/>
    </row>
    <row r="571" spans="1:8" ht="20" customHeight="1">
      <c r="A571" s="68"/>
      <c r="B571" s="69" t="str">
        <f>IF(ISNA(VLOOKUP(A571,Declarations!B$6:C$293,2,FALSE)),"",IF(VLOOKUP(A571,Declarations!B$6:C$293,2,FALSE)="","---",VLOOKUP(A571,Declarations!B$6:C$293,2,FALSE)))</f>
        <v/>
      </c>
      <c r="C571" s="69" t="str">
        <f>IF(ISNA(VLOOKUP(A571,Declarations!B$6:F$293,5,FALSE)),"",IF(VLOOKUP(A571,Declarations!B$6:F$293,5,FALSE)="","---",VLOOKUP(A571,Declarations!B$6:F$293,5,FALSE)))</f>
        <v/>
      </c>
      <c r="D571" s="69" t="str">
        <f>IF(ISNA(VLOOKUP(A571,Declarations!B$6:F$293,4,FALSE)),"",IF(VLOOKUP(A571,Declarations!B$6:F$293,4,FALSE)="","---",VLOOKUP(A571,Declarations!B$6:F$293,4,FALSE)))</f>
        <v/>
      </c>
      <c r="E571" s="68"/>
      <c r="F571" s="70"/>
      <c r="G571" s="281" t="s">
        <v>149</v>
      </c>
      <c r="H571" s="70"/>
    </row>
    <row r="572" spans="1:8" ht="20" customHeight="1">
      <c r="A572" s="68"/>
      <c r="B572" s="69" t="str">
        <f>IF(ISNA(VLOOKUP(A572,Declarations!B$6:C$293,2,FALSE)),"",IF(VLOOKUP(A572,Declarations!B$6:C$293,2,FALSE)="","---",VLOOKUP(A572,Declarations!B$6:C$293,2,FALSE)))</f>
        <v/>
      </c>
      <c r="C572" s="69" t="str">
        <f>IF(ISNA(VLOOKUP(A572,Declarations!B$6:F$293,5,FALSE)),"",IF(VLOOKUP(A572,Declarations!B$6:F$293,5,FALSE)="","---",VLOOKUP(A572,Declarations!B$6:F$293,5,FALSE)))</f>
        <v/>
      </c>
      <c r="D572" s="69" t="str">
        <f>IF(ISNA(VLOOKUP(A572,Declarations!B$6:F$293,4,FALSE)),"",IF(VLOOKUP(A572,Declarations!B$6:F$293,4,FALSE)="","---",VLOOKUP(A572,Declarations!B$6:F$293,4,FALSE)))</f>
        <v/>
      </c>
      <c r="E572" s="68"/>
      <c r="F572" s="70"/>
      <c r="G572" s="281" t="s">
        <v>149</v>
      </c>
      <c r="H572" s="70"/>
    </row>
    <row r="573" spans="1:8" ht="20" customHeight="1">
      <c r="A573" s="68"/>
      <c r="B573" s="69" t="str">
        <f>IF(ISNA(VLOOKUP(A573,Declarations!B$6:C$293,2,FALSE)),"",IF(VLOOKUP(A573,Declarations!B$6:C$293,2,FALSE)="","---",VLOOKUP(A573,Declarations!B$6:C$293,2,FALSE)))</f>
        <v/>
      </c>
      <c r="C573" s="69" t="str">
        <f>IF(ISNA(VLOOKUP(A573,Declarations!B$6:F$293,5,FALSE)),"",IF(VLOOKUP(A573,Declarations!B$6:F$293,5,FALSE)="","---",VLOOKUP(A573,Declarations!B$6:F$293,5,FALSE)))</f>
        <v/>
      </c>
      <c r="D573" s="69" t="str">
        <f>IF(ISNA(VLOOKUP(A573,Declarations!B$6:F$293,4,FALSE)),"",IF(VLOOKUP(A573,Declarations!B$6:F$293,4,FALSE)="","---",VLOOKUP(A573,Declarations!B$6:F$293,4,FALSE)))</f>
        <v/>
      </c>
      <c r="E573" s="68"/>
      <c r="F573" s="70"/>
      <c r="G573" s="281" t="s">
        <v>149</v>
      </c>
      <c r="H573" s="70"/>
    </row>
    <row r="574" spans="1:8" ht="20" customHeight="1">
      <c r="A574" s="68"/>
      <c r="B574" s="69" t="str">
        <f>IF(ISNA(VLOOKUP(A574,Declarations!B$6:C$293,2,FALSE)),"",IF(VLOOKUP(A574,Declarations!B$6:C$293,2,FALSE)="","---",VLOOKUP(A574,Declarations!B$6:C$293,2,FALSE)))</f>
        <v/>
      </c>
      <c r="C574" s="69" t="str">
        <f>IF(ISNA(VLOOKUP(A574,Declarations!B$6:F$293,5,FALSE)),"",IF(VLOOKUP(A574,Declarations!B$6:F$293,5,FALSE)="","---",VLOOKUP(A574,Declarations!B$6:F$293,5,FALSE)))</f>
        <v/>
      </c>
      <c r="D574" s="69" t="str">
        <f>IF(ISNA(VLOOKUP(A574,Declarations!B$6:F$293,4,FALSE)),"",IF(VLOOKUP(A574,Declarations!B$6:F$293,4,FALSE)="","---",VLOOKUP(A574,Declarations!B$6:F$293,4,FALSE)))</f>
        <v/>
      </c>
      <c r="E574" s="68"/>
      <c r="F574" s="70"/>
      <c r="G574" s="281" t="s">
        <v>149</v>
      </c>
      <c r="H574" s="70"/>
    </row>
    <row r="575" spans="1:8" ht="20" customHeight="1">
      <c r="A575" s="68"/>
      <c r="B575" s="69" t="str">
        <f>IF(ISNA(VLOOKUP(A575,Declarations!B$6:C$293,2,FALSE)),"",IF(VLOOKUP(A575,Declarations!B$6:C$293,2,FALSE)="","---",VLOOKUP(A575,Declarations!B$6:C$293,2,FALSE)))</f>
        <v/>
      </c>
      <c r="C575" s="69" t="str">
        <f>IF(ISNA(VLOOKUP(A575,Declarations!B$6:F$293,5,FALSE)),"",IF(VLOOKUP(A575,Declarations!B$6:F$293,5,FALSE)="","---",VLOOKUP(A575,Declarations!B$6:F$293,5,FALSE)))</f>
        <v/>
      </c>
      <c r="D575" s="69" t="str">
        <f>IF(ISNA(VLOOKUP(A575,Declarations!B$6:F$293,4,FALSE)),"",IF(VLOOKUP(A575,Declarations!B$6:F$293,4,FALSE)="","---",VLOOKUP(A575,Declarations!B$6:F$293,4,FALSE)))</f>
        <v/>
      </c>
      <c r="E575" s="68"/>
      <c r="F575" s="70"/>
      <c r="G575" s="281" t="s">
        <v>149</v>
      </c>
      <c r="H575" s="70"/>
    </row>
    <row r="576" spans="1:8" ht="20" customHeight="1">
      <c r="A576" s="68"/>
      <c r="B576" s="69" t="str">
        <f>IF(ISNA(VLOOKUP(A576,Declarations!B$6:C$293,2,FALSE)),"",IF(VLOOKUP(A576,Declarations!B$6:C$293,2,FALSE)="","---",VLOOKUP(A576,Declarations!B$6:C$293,2,FALSE)))</f>
        <v/>
      </c>
      <c r="C576" s="69" t="str">
        <f>IF(ISNA(VLOOKUP(A576,Declarations!B$6:F$293,5,FALSE)),"",IF(VLOOKUP(A576,Declarations!B$6:F$293,5,FALSE)="","---",VLOOKUP(A576,Declarations!B$6:F$293,5,FALSE)))</f>
        <v/>
      </c>
      <c r="D576" s="69" t="str">
        <f>IF(ISNA(VLOOKUP(A576,Declarations!B$6:F$293,4,FALSE)),"",IF(VLOOKUP(A576,Declarations!B$6:F$293,4,FALSE)="","---",VLOOKUP(A576,Declarations!B$6:F$293,4,FALSE)))</f>
        <v/>
      </c>
      <c r="E576" s="68"/>
      <c r="F576" s="70"/>
      <c r="G576" s="281" t="s">
        <v>149</v>
      </c>
      <c r="H576" s="70"/>
    </row>
    <row r="577" spans="1:8" ht="20" customHeight="1">
      <c r="A577" s="68"/>
      <c r="B577" s="69" t="str">
        <f>IF(ISNA(VLOOKUP(A577,Declarations!B$6:C$293,2,FALSE)),"",IF(VLOOKUP(A577,Declarations!B$6:C$293,2,FALSE)="","---",VLOOKUP(A577,Declarations!B$6:C$293,2,FALSE)))</f>
        <v/>
      </c>
      <c r="C577" s="69" t="str">
        <f>IF(ISNA(VLOOKUP(A577,Declarations!B$6:F$293,5,FALSE)),"",IF(VLOOKUP(A577,Declarations!B$6:F$293,5,FALSE)="","---",VLOOKUP(A577,Declarations!B$6:F$293,5,FALSE)))</f>
        <v/>
      </c>
      <c r="D577" s="69" t="str">
        <f>IF(ISNA(VLOOKUP(A577,Declarations!B$6:F$293,4,FALSE)),"",IF(VLOOKUP(A577,Declarations!B$6:F$293,4,FALSE)="","---",VLOOKUP(A577,Declarations!B$6:F$293,4,FALSE)))</f>
        <v/>
      </c>
      <c r="E577" s="68"/>
      <c r="F577" s="70"/>
      <c r="G577" s="281" t="s">
        <v>149</v>
      </c>
      <c r="H577" s="70"/>
    </row>
    <row r="578" spans="1:8" ht="20" customHeight="1">
      <c r="A578" s="68"/>
      <c r="B578" s="69" t="str">
        <f>IF(ISNA(VLOOKUP(A578,Declarations!B$6:C$293,2,FALSE)),"",IF(VLOOKUP(A578,Declarations!B$6:C$293,2,FALSE)="","---",VLOOKUP(A578,Declarations!B$6:C$293,2,FALSE)))</f>
        <v/>
      </c>
      <c r="C578" s="69" t="str">
        <f>IF(ISNA(VLOOKUP(A578,Declarations!B$6:F$293,5,FALSE)),"",IF(VLOOKUP(A578,Declarations!B$6:F$293,5,FALSE)="","---",VLOOKUP(A578,Declarations!B$6:F$293,5,FALSE)))</f>
        <v/>
      </c>
      <c r="D578" s="69" t="str">
        <f>IF(ISNA(VLOOKUP(A578,Declarations!B$6:F$293,4,FALSE)),"",IF(VLOOKUP(A578,Declarations!B$6:F$293,4,FALSE)="","---",VLOOKUP(A578,Declarations!B$6:F$293,4,FALSE)))</f>
        <v/>
      </c>
      <c r="E578" s="68"/>
      <c r="F578" s="70"/>
      <c r="G578" s="281" t="s">
        <v>149</v>
      </c>
      <c r="H578" s="70"/>
    </row>
    <row r="579" spans="1:8" ht="20" customHeight="1">
      <c r="A579" s="68"/>
      <c r="B579" s="69" t="str">
        <f>IF(ISNA(VLOOKUP(A579,Declarations!B$6:C$293,2,FALSE)),"",IF(VLOOKUP(A579,Declarations!B$6:C$293,2,FALSE)="","---",VLOOKUP(A579,Declarations!B$6:C$293,2,FALSE)))</f>
        <v/>
      </c>
      <c r="C579" s="69" t="str">
        <f>IF(ISNA(VLOOKUP(A579,Declarations!B$6:F$293,5,FALSE)),"",IF(VLOOKUP(A579,Declarations!B$6:F$293,5,FALSE)="","---",VLOOKUP(A579,Declarations!B$6:F$293,5,FALSE)))</f>
        <v/>
      </c>
      <c r="D579" s="69" t="str">
        <f>IF(ISNA(VLOOKUP(A579,Declarations!B$6:F$293,4,FALSE)),"",IF(VLOOKUP(A579,Declarations!B$6:F$293,4,FALSE)="","---",VLOOKUP(A579,Declarations!B$6:F$293,4,FALSE)))</f>
        <v/>
      </c>
      <c r="E579" s="68"/>
      <c r="F579" s="70"/>
      <c r="G579" s="281" t="s">
        <v>149</v>
      </c>
      <c r="H579" s="70"/>
    </row>
    <row r="580" spans="1:8" ht="20" customHeight="1">
      <c r="A580" s="68"/>
      <c r="B580" s="69" t="str">
        <f>IF(ISNA(VLOOKUP(A580,Declarations!B$6:C$293,2,FALSE)),"",IF(VLOOKUP(A580,Declarations!B$6:C$293,2,FALSE)="","---",VLOOKUP(A580,Declarations!B$6:C$293,2,FALSE)))</f>
        <v/>
      </c>
      <c r="C580" s="69" t="str">
        <f>IF(ISNA(VLOOKUP(A580,Declarations!B$6:F$293,5,FALSE)),"",IF(VLOOKUP(A580,Declarations!B$6:F$293,5,FALSE)="","---",VLOOKUP(A580,Declarations!B$6:F$293,5,FALSE)))</f>
        <v/>
      </c>
      <c r="D580" s="69" t="str">
        <f>IF(ISNA(VLOOKUP(A580,Declarations!B$6:F$293,4,FALSE)),"",IF(VLOOKUP(A580,Declarations!B$6:F$293,4,FALSE)="","---",VLOOKUP(A580,Declarations!B$6:F$293,4,FALSE)))</f>
        <v/>
      </c>
      <c r="E580" s="68"/>
      <c r="F580" s="70"/>
      <c r="G580" s="281" t="s">
        <v>149</v>
      </c>
      <c r="H580" s="70"/>
    </row>
    <row r="581" spans="1:8" ht="20" customHeight="1">
      <c r="A581" s="68"/>
      <c r="B581" s="69" t="str">
        <f>IF(ISNA(VLOOKUP(A581,Declarations!B$6:C$293,2,FALSE)),"",IF(VLOOKUP(A581,Declarations!B$6:C$293,2,FALSE)="","---",VLOOKUP(A581,Declarations!B$6:C$293,2,FALSE)))</f>
        <v/>
      </c>
      <c r="C581" s="69" t="str">
        <f>IF(ISNA(VLOOKUP(A581,Declarations!B$6:F$293,5,FALSE)),"",IF(VLOOKUP(A581,Declarations!B$6:F$293,5,FALSE)="","---",VLOOKUP(A581,Declarations!B$6:F$293,5,FALSE)))</f>
        <v/>
      </c>
      <c r="D581" s="69" t="str">
        <f>IF(ISNA(VLOOKUP(A581,Declarations!B$6:F$293,4,FALSE)),"",IF(VLOOKUP(A581,Declarations!B$6:F$293,4,FALSE)="","---",VLOOKUP(A581,Declarations!B$6:F$293,4,FALSE)))</f>
        <v/>
      </c>
      <c r="E581" s="70"/>
      <c r="F581" s="70"/>
      <c r="G581" s="281" t="s">
        <v>149</v>
      </c>
      <c r="H581" s="70"/>
    </row>
    <row r="582" spans="1:8" ht="20" customHeight="1">
      <c r="A582" s="68"/>
      <c r="B582" s="69" t="str">
        <f>IF(ISNA(VLOOKUP(A582,Declarations!B$6:C$293,2,FALSE)),"",IF(VLOOKUP(A582,Declarations!B$6:C$293,2,FALSE)="","---",VLOOKUP(A582,Declarations!B$6:C$293,2,FALSE)))</f>
        <v/>
      </c>
      <c r="C582" s="69" t="str">
        <f>IF(ISNA(VLOOKUP(A582,Declarations!B$6:F$293,5,FALSE)),"",IF(VLOOKUP(A582,Declarations!B$6:F$293,5,FALSE)="","---",VLOOKUP(A582,Declarations!B$6:F$293,5,FALSE)))</f>
        <v/>
      </c>
      <c r="D582" s="69" t="str">
        <f>IF(ISNA(VLOOKUP(A582,Declarations!B$6:F$293,4,FALSE)),"",IF(VLOOKUP(A582,Declarations!B$6:F$293,4,FALSE)="","---",VLOOKUP(A582,Declarations!B$6:F$293,4,FALSE)))</f>
        <v/>
      </c>
      <c r="E582" s="70"/>
      <c r="F582" s="70"/>
      <c r="G582" s="281" t="s">
        <v>149</v>
      </c>
      <c r="H582" s="70"/>
    </row>
    <row r="583" spans="1:8" ht="20" customHeight="1">
      <c r="A583" s="68"/>
      <c r="B583" s="69" t="str">
        <f>IF(ISNA(VLOOKUP(A583,Declarations!B$6:C$293,2,FALSE)),"",IF(VLOOKUP(A583,Declarations!B$6:C$293,2,FALSE)="","---",VLOOKUP(A583,Declarations!B$6:C$293,2,FALSE)))</f>
        <v/>
      </c>
      <c r="C583" s="69" t="str">
        <f>IF(ISNA(VLOOKUP(A583,Declarations!B$6:F$293,5,FALSE)),"",IF(VLOOKUP(A583,Declarations!B$6:F$293,5,FALSE)="","---",VLOOKUP(A583,Declarations!B$6:F$293,5,FALSE)))</f>
        <v/>
      </c>
      <c r="D583" s="69" t="str">
        <f>IF(ISNA(VLOOKUP(A583,Declarations!B$6:F$293,4,FALSE)),"",IF(VLOOKUP(A583,Declarations!B$6:F$293,4,FALSE)="","---",VLOOKUP(A583,Declarations!B$6:F$293,4,FALSE)))</f>
        <v/>
      </c>
      <c r="E583" s="70"/>
      <c r="F583" s="70"/>
      <c r="G583" s="281" t="s">
        <v>149</v>
      </c>
      <c r="H583" s="70"/>
    </row>
    <row r="584" spans="1:8" ht="20" customHeight="1">
      <c r="A584" s="68"/>
      <c r="B584" s="69" t="str">
        <f>IF(ISNA(VLOOKUP(A584,Declarations!B$6:C$293,2,FALSE)),"",IF(VLOOKUP(A584,Declarations!B$6:C$293,2,FALSE)="","---",VLOOKUP(A584,Declarations!B$6:C$293,2,FALSE)))</f>
        <v/>
      </c>
      <c r="C584" s="69" t="str">
        <f>IF(ISNA(VLOOKUP(A584,Declarations!B$6:F$293,5,FALSE)),"",IF(VLOOKUP(A584,Declarations!B$6:F$293,5,FALSE)="","---",VLOOKUP(A584,Declarations!B$6:F$293,5,FALSE)))</f>
        <v/>
      </c>
      <c r="D584" s="69" t="str">
        <f>IF(ISNA(VLOOKUP(A584,Declarations!B$6:F$293,4,FALSE)),"",IF(VLOOKUP(A584,Declarations!B$6:F$293,4,FALSE)="","---",VLOOKUP(A584,Declarations!B$6:F$293,4,FALSE)))</f>
        <v/>
      </c>
      <c r="E584" s="70"/>
      <c r="F584" s="70"/>
      <c r="G584" s="281" t="s">
        <v>149</v>
      </c>
      <c r="H584" s="70"/>
    </row>
    <row r="585" spans="1:8" ht="20" customHeight="1">
      <c r="A585" s="68"/>
      <c r="B585" s="69" t="str">
        <f>IF(ISNA(VLOOKUP(A585,Declarations!B$6:C$293,2,FALSE)),"",IF(VLOOKUP(A585,Declarations!B$6:C$293,2,FALSE)="","---",VLOOKUP(A585,Declarations!B$6:C$293,2,FALSE)))</f>
        <v/>
      </c>
      <c r="C585" s="69" t="str">
        <f>IF(ISNA(VLOOKUP(A585,Declarations!B$6:F$293,5,FALSE)),"",IF(VLOOKUP(A585,Declarations!B$6:F$293,5,FALSE)="","---",VLOOKUP(A585,Declarations!B$6:F$293,5,FALSE)))</f>
        <v/>
      </c>
      <c r="D585" s="69" t="str">
        <f>IF(ISNA(VLOOKUP(A585,Declarations!B$6:F$293,4,FALSE)),"",IF(VLOOKUP(A585,Declarations!B$6:F$293,4,FALSE)="","---",VLOOKUP(A585,Declarations!B$6:F$293,4,FALSE)))</f>
        <v/>
      </c>
      <c r="E585" s="70"/>
      <c r="F585" s="70"/>
      <c r="G585" s="281" t="s">
        <v>149</v>
      </c>
      <c r="H585" s="70"/>
    </row>
    <row r="586" spans="1:8" ht="20" customHeight="1">
      <c r="A586" s="68"/>
      <c r="B586" s="69" t="str">
        <f>IF(ISNA(VLOOKUP(A586,Declarations!B$6:C$293,2,FALSE)),"",IF(VLOOKUP(A586,Declarations!B$6:C$293,2,FALSE)="","---",VLOOKUP(A586,Declarations!B$6:C$293,2,FALSE)))</f>
        <v/>
      </c>
      <c r="C586" s="69" t="str">
        <f>IF(ISNA(VLOOKUP(A586,Declarations!B$6:F$293,5,FALSE)),"",IF(VLOOKUP(A586,Declarations!B$6:F$293,5,FALSE)="","---",VLOOKUP(A586,Declarations!B$6:F$293,5,FALSE)))</f>
        <v/>
      </c>
      <c r="D586" s="69" t="str">
        <f>IF(ISNA(VLOOKUP(A586,Declarations!B$6:F$293,4,FALSE)),"",IF(VLOOKUP(A586,Declarations!B$6:F$293,4,FALSE)="","---",VLOOKUP(A586,Declarations!B$6:F$293,4,FALSE)))</f>
        <v/>
      </c>
      <c r="E586" s="70"/>
      <c r="F586" s="70"/>
      <c r="G586" s="281" t="s">
        <v>149</v>
      </c>
      <c r="H586" s="70"/>
    </row>
    <row r="587" spans="1:8" ht="20" customHeight="1">
      <c r="A587" s="68"/>
      <c r="B587" s="69" t="str">
        <f>IF(ISNA(VLOOKUP(A587,Declarations!B$6:C$293,2,FALSE)),"",IF(VLOOKUP(A587,Declarations!B$6:C$293,2,FALSE)="","---",VLOOKUP(A587,Declarations!B$6:C$293,2,FALSE)))</f>
        <v/>
      </c>
      <c r="C587" s="69" t="str">
        <f>IF(ISNA(VLOOKUP(A587,Declarations!B$6:F$293,5,FALSE)),"",IF(VLOOKUP(A587,Declarations!B$6:F$293,5,FALSE)="","---",VLOOKUP(A587,Declarations!B$6:F$293,5,FALSE)))</f>
        <v/>
      </c>
      <c r="D587" s="69" t="str">
        <f>IF(ISNA(VLOOKUP(A587,Declarations!B$6:F$293,4,FALSE)),"",IF(VLOOKUP(A587,Declarations!B$6:F$293,4,FALSE)="","---",VLOOKUP(A587,Declarations!B$6:F$293,4,FALSE)))</f>
        <v/>
      </c>
      <c r="E587" s="70"/>
      <c r="F587" s="70"/>
      <c r="G587" s="281" t="s">
        <v>149</v>
      </c>
      <c r="H587" s="70"/>
    </row>
    <row r="588" spans="1:8" ht="20" customHeight="1">
      <c r="A588" s="68"/>
      <c r="B588" s="69" t="str">
        <f>IF(ISNA(VLOOKUP(A588,Declarations!B$6:C$293,2,FALSE)),"",IF(VLOOKUP(A588,Declarations!B$6:C$293,2,FALSE)="","---",VLOOKUP(A588,Declarations!B$6:C$293,2,FALSE)))</f>
        <v/>
      </c>
      <c r="C588" s="69" t="str">
        <f>IF(ISNA(VLOOKUP(A588,Declarations!B$6:F$293,5,FALSE)),"",IF(VLOOKUP(A588,Declarations!B$6:F$293,5,FALSE)="","---",VLOOKUP(A588,Declarations!B$6:F$293,5,FALSE)))</f>
        <v/>
      </c>
      <c r="D588" s="69" t="str">
        <f>IF(ISNA(VLOOKUP(A588,Declarations!B$6:F$293,4,FALSE)),"",IF(VLOOKUP(A588,Declarations!B$6:F$293,4,FALSE)="","---",VLOOKUP(A588,Declarations!B$6:F$293,4,FALSE)))</f>
        <v/>
      </c>
      <c r="E588" s="70"/>
      <c r="F588" s="70"/>
      <c r="G588" s="281" t="s">
        <v>149</v>
      </c>
      <c r="H588" s="70"/>
    </row>
    <row r="589" spans="1:8" ht="20" customHeight="1">
      <c r="A589" s="68"/>
      <c r="B589" s="69" t="str">
        <f>IF(ISNA(VLOOKUP(A589,Declarations!B$6:C$293,2,FALSE)),"",IF(VLOOKUP(A589,Declarations!B$6:C$293,2,FALSE)="","---",VLOOKUP(A589,Declarations!B$6:C$293,2,FALSE)))</f>
        <v/>
      </c>
      <c r="C589" s="69" t="str">
        <f>IF(ISNA(VLOOKUP(A589,Declarations!B$6:F$293,5,FALSE)),"",IF(VLOOKUP(A589,Declarations!B$6:F$293,5,FALSE)="","---",VLOOKUP(A589,Declarations!B$6:F$293,5,FALSE)))</f>
        <v/>
      </c>
      <c r="D589" s="69" t="str">
        <f>IF(ISNA(VLOOKUP(A589,Declarations!B$6:F$293,4,FALSE)),"",IF(VLOOKUP(A589,Declarations!B$6:F$293,4,FALSE)="","---",VLOOKUP(A589,Declarations!B$6:F$293,4,FALSE)))</f>
        <v/>
      </c>
      <c r="E589" s="70"/>
      <c r="F589" s="70"/>
      <c r="G589" s="281" t="s">
        <v>149</v>
      </c>
      <c r="H589" s="70"/>
    </row>
    <row r="590" spans="1:8" ht="20" customHeight="1">
      <c r="A590" s="68"/>
      <c r="B590" s="69" t="str">
        <f>IF(ISNA(VLOOKUP(A590,Declarations!B$6:C$293,2,FALSE)),"",IF(VLOOKUP(A590,Declarations!B$6:C$293,2,FALSE)="","---",VLOOKUP(A590,Declarations!B$6:C$293,2,FALSE)))</f>
        <v/>
      </c>
      <c r="C590" s="69" t="str">
        <f>IF(ISNA(VLOOKUP(A590,Declarations!B$6:F$293,5,FALSE)),"",IF(VLOOKUP(A590,Declarations!B$6:F$293,5,FALSE)="","---",VLOOKUP(A590,Declarations!B$6:F$293,5,FALSE)))</f>
        <v/>
      </c>
      <c r="D590" s="69" t="str">
        <f>IF(ISNA(VLOOKUP(A590,Declarations!B$6:F$293,4,FALSE)),"",IF(VLOOKUP(A590,Declarations!B$6:F$293,4,FALSE)="","---",VLOOKUP(A590,Declarations!B$6:F$293,4,FALSE)))</f>
        <v/>
      </c>
      <c r="E590" s="70"/>
      <c r="F590" s="70"/>
      <c r="G590" s="281" t="s">
        <v>149</v>
      </c>
      <c r="H590" s="70"/>
    </row>
    <row r="591" spans="1:8" ht="20" customHeight="1">
      <c r="A591" s="68"/>
      <c r="B591" s="69" t="str">
        <f>IF(ISNA(VLOOKUP(A591,Declarations!B$6:C$293,2,FALSE)),"",IF(VLOOKUP(A591,Declarations!B$6:C$293,2,FALSE)="","---",VLOOKUP(A591,Declarations!B$6:C$293,2,FALSE)))</f>
        <v/>
      </c>
      <c r="C591" s="69" t="str">
        <f>IF(ISNA(VLOOKUP(A591,Declarations!B$6:F$293,5,FALSE)),"",IF(VLOOKUP(A591,Declarations!B$6:F$293,5,FALSE)="","---",VLOOKUP(A591,Declarations!B$6:F$293,5,FALSE)))</f>
        <v/>
      </c>
      <c r="D591" s="69" t="str">
        <f>IF(ISNA(VLOOKUP(A591,Declarations!B$6:F$293,4,FALSE)),"",IF(VLOOKUP(A591,Declarations!B$6:F$293,4,FALSE)="","---",VLOOKUP(A591,Declarations!B$6:F$293,4,FALSE)))</f>
        <v/>
      </c>
      <c r="E591" s="70"/>
      <c r="F591" s="70"/>
      <c r="G591" s="281" t="s">
        <v>149</v>
      </c>
      <c r="H591" s="70"/>
    </row>
    <row r="592" spans="1:8" ht="20" customHeight="1">
      <c r="A592" s="68"/>
      <c r="B592" s="69" t="str">
        <f>IF(ISNA(VLOOKUP(A592,Declarations!B$6:C$293,2,FALSE)),"",IF(VLOOKUP(A592,Declarations!B$6:C$293,2,FALSE)="","---",VLOOKUP(A592,Declarations!B$6:C$293,2,FALSE)))</f>
        <v/>
      </c>
      <c r="C592" s="69" t="str">
        <f>IF(ISNA(VLOOKUP(A592,Declarations!B$6:F$293,5,FALSE)),"",IF(VLOOKUP(A592,Declarations!B$6:F$293,5,FALSE)="","---",VLOOKUP(A592,Declarations!B$6:F$293,5,FALSE)))</f>
        <v/>
      </c>
      <c r="D592" s="69" t="str">
        <f>IF(ISNA(VLOOKUP(A592,Declarations!B$6:F$293,4,FALSE)),"",IF(VLOOKUP(A592,Declarations!B$6:F$293,4,FALSE)="","---",VLOOKUP(A592,Declarations!B$6:F$293,4,FALSE)))</f>
        <v/>
      </c>
      <c r="E592" s="70"/>
      <c r="F592" s="70"/>
      <c r="G592" s="281" t="s">
        <v>149</v>
      </c>
      <c r="H592" s="70"/>
    </row>
    <row r="593" spans="1:8" ht="20" customHeight="1">
      <c r="A593" s="68"/>
      <c r="B593" s="69" t="str">
        <f>IF(ISNA(VLOOKUP(A593,Declarations!B$6:C$293,2,FALSE)),"",IF(VLOOKUP(A593,Declarations!B$6:C$293,2,FALSE)="","---",VLOOKUP(A593,Declarations!B$6:C$293,2,FALSE)))</f>
        <v/>
      </c>
      <c r="C593" s="69" t="str">
        <f>IF(ISNA(VLOOKUP(A593,Declarations!B$6:F$293,5,FALSE)),"",IF(VLOOKUP(A593,Declarations!B$6:F$293,5,FALSE)="","---",VLOOKUP(A593,Declarations!B$6:F$293,5,FALSE)))</f>
        <v/>
      </c>
      <c r="D593" s="69" t="str">
        <f>IF(ISNA(VLOOKUP(A593,Declarations!B$6:F$293,4,FALSE)),"",IF(VLOOKUP(A593,Declarations!B$6:F$293,4,FALSE)="","---",VLOOKUP(A593,Declarations!B$6:F$293,4,FALSE)))</f>
        <v/>
      </c>
      <c r="E593" s="70"/>
      <c r="F593" s="70"/>
      <c r="G593" s="281" t="s">
        <v>149</v>
      </c>
      <c r="H593" s="70"/>
    </row>
    <row r="594" spans="1:8" ht="20" customHeight="1">
      <c r="A594" s="68"/>
      <c r="B594" s="69" t="str">
        <f>IF(ISNA(VLOOKUP(A594,Declarations!B$6:C$293,2,FALSE)),"",IF(VLOOKUP(A594,Declarations!B$6:C$293,2,FALSE)="","---",VLOOKUP(A594,Declarations!B$6:C$293,2,FALSE)))</f>
        <v/>
      </c>
      <c r="C594" s="69" t="str">
        <f>IF(ISNA(VLOOKUP(A594,Declarations!B$6:F$293,5,FALSE)),"",IF(VLOOKUP(A594,Declarations!B$6:F$293,5,FALSE)="","---",VLOOKUP(A594,Declarations!B$6:F$293,5,FALSE)))</f>
        <v/>
      </c>
      <c r="D594" s="69" t="str">
        <f>IF(ISNA(VLOOKUP(A594,Declarations!B$6:F$293,4,FALSE)),"",IF(VLOOKUP(A594,Declarations!B$6:F$293,4,FALSE)="","---",VLOOKUP(A594,Declarations!B$6:F$293,4,FALSE)))</f>
        <v/>
      </c>
      <c r="E594" s="70"/>
      <c r="F594" s="70"/>
      <c r="G594" s="281" t="s">
        <v>149</v>
      </c>
      <c r="H594" s="70"/>
    </row>
    <row r="595" spans="1:8">
      <c r="A595" s="71"/>
      <c r="B595" s="72"/>
      <c r="C595" s="72"/>
      <c r="D595" s="72"/>
      <c r="E595" s="73"/>
      <c r="F595" s="73"/>
      <c r="G595" s="73"/>
      <c r="H595" s="73"/>
    </row>
    <row r="596" spans="1:8">
      <c r="A596" s="71"/>
      <c r="B596" s="510" t="s">
        <v>213</v>
      </c>
      <c r="C596" s="511"/>
      <c r="D596" s="72"/>
      <c r="E596" s="509" t="s">
        <v>93</v>
      </c>
      <c r="F596" s="509"/>
      <c r="G596" s="501" t="s">
        <v>43</v>
      </c>
      <c r="H596" s="501"/>
    </row>
    <row r="597" spans="1:8" ht="16" customHeight="1">
      <c r="A597" s="71"/>
      <c r="B597" s="512"/>
      <c r="C597" s="513"/>
      <c r="D597" s="72"/>
      <c r="E597" s="501"/>
      <c r="F597" s="501"/>
      <c r="G597" s="501"/>
      <c r="H597" s="501"/>
    </row>
    <row r="598" spans="1:8">
      <c r="A598" s="71"/>
      <c r="B598" s="512"/>
      <c r="C598" s="513"/>
      <c r="D598" s="72"/>
      <c r="E598" s="501"/>
      <c r="F598" s="501"/>
      <c r="G598" s="501"/>
      <c r="H598" s="501"/>
    </row>
    <row r="599" spans="1:8">
      <c r="A599" s="71"/>
      <c r="B599" s="514"/>
      <c r="C599" s="515"/>
      <c r="D599" s="72"/>
      <c r="E599" s="501"/>
      <c r="F599" s="501"/>
      <c r="G599" s="501"/>
      <c r="H599" s="501"/>
    </row>
    <row r="600" spans="1:8" ht="8" customHeight="1">
      <c r="A600" s="71"/>
      <c r="B600" s="72"/>
      <c r="C600" s="72"/>
      <c r="D600" s="72"/>
      <c r="E600" s="73"/>
      <c r="F600" s="73"/>
      <c r="G600" s="73"/>
      <c r="H600" s="73"/>
    </row>
    <row r="601" spans="1:8" ht="20">
      <c r="A601" s="502" t="str">
        <f>'Read Me First'!A1:F1</f>
        <v>Oxfordshire Track and Field League 2026</v>
      </c>
      <c r="B601" s="503"/>
      <c r="C601" s="503"/>
      <c r="D601" s="503"/>
      <c r="E601" s="503"/>
      <c r="F601" s="503"/>
      <c r="G601" s="503"/>
      <c r="H601" s="504"/>
    </row>
    <row r="602" spans="1:8" ht="18">
      <c r="A602" s="61" t="s">
        <v>12</v>
      </c>
      <c r="B602" s="62">
        <f>'Read Me First'!$C$10</f>
        <v>46250</v>
      </c>
      <c r="C602" s="77">
        <v>0.4375</v>
      </c>
      <c r="D602" s="61" t="s">
        <v>13</v>
      </c>
      <c r="E602" s="505" t="str">
        <f>$E$2</f>
        <v>Banbury</v>
      </c>
      <c r="F602" s="506"/>
      <c r="G602" s="506"/>
      <c r="H602" s="507"/>
    </row>
    <row r="603" spans="1:8" ht="18">
      <c r="A603" s="508" t="s">
        <v>54</v>
      </c>
      <c r="B603" s="508"/>
      <c r="C603" s="508"/>
      <c r="D603" s="508"/>
      <c r="E603" s="60">
        <v>1</v>
      </c>
      <c r="F603" s="60">
        <v>2</v>
      </c>
      <c r="G603" s="60">
        <v>3</v>
      </c>
      <c r="H603" s="60" t="s">
        <v>42</v>
      </c>
    </row>
    <row r="604" spans="1:8" ht="18">
      <c r="A604" s="66"/>
      <c r="B604" s="66"/>
      <c r="C604" s="66"/>
      <c r="D604" s="66"/>
      <c r="E604" s="67"/>
      <c r="F604" s="67"/>
      <c r="G604" s="67"/>
      <c r="H604" s="67"/>
    </row>
    <row r="605" spans="1:8" ht="20" customHeight="1">
      <c r="A605" s="68" t="str" cm="1">
        <f t="array" ref="A605">IFERROR(_xlfn.TEXTSPLIT(IFERROR(_xlfn.TEXTJOIN(",",TRUE,_xlfn._xlws.FILTER(BlockAllocations!$F$3:$F$20,BlockAllocations!$E$3:$E$20=BlockAllocations!$G$11)),""),,",")+0,"!")</f>
        <v>!</v>
      </c>
      <c r="B605" s="69" t="str">
        <f>IF(ISNA(VLOOKUP(A605,Declarations!B$6:C$293,2,FALSE)),"",IF(VLOOKUP(A605,Declarations!B$6:C$293,2,FALSE)="","---",VLOOKUP(A605,Declarations!B$6:C$293,2,FALSE)))</f>
        <v/>
      </c>
      <c r="C605" s="69" t="str">
        <f>IF(ISNA(VLOOKUP(A605,Declarations!B$6:F$293,5,FALSE)),"",IF(VLOOKUP(A605,Declarations!B$6:F$293,5,FALSE)="","---",VLOOKUP(A605,Declarations!B$6:F$293,5,FALSE)))</f>
        <v/>
      </c>
      <c r="D605" s="69" t="str">
        <f>IF(ISNA(VLOOKUP(A605,Declarations!B$6:F$293,4,FALSE)),"",IF(VLOOKUP(A605,Declarations!B$6:F$293,4,FALSE)="","---",VLOOKUP(A605,Declarations!B$6:F$293,4,FALSE)))</f>
        <v/>
      </c>
      <c r="E605" s="68"/>
      <c r="F605" s="70"/>
      <c r="G605" s="281" t="s">
        <v>149</v>
      </c>
      <c r="H605" s="70"/>
    </row>
    <row r="606" spans="1:8" ht="20" customHeight="1">
      <c r="A606" s="68"/>
      <c r="B606" s="69" t="str">
        <f>IF(ISNA(VLOOKUP(A606,Declarations!B$6:C$293,2,FALSE)),"",IF(VLOOKUP(A606,Declarations!B$6:C$293,2,FALSE)="","---",VLOOKUP(A606,Declarations!B$6:C$293,2,FALSE)))</f>
        <v/>
      </c>
      <c r="C606" s="69" t="str">
        <f>IF(ISNA(VLOOKUP(A606,Declarations!B$6:F$293,5,FALSE)),"",IF(VLOOKUP(A606,Declarations!B$6:F$293,5,FALSE)="","---",VLOOKUP(A606,Declarations!B$6:F$293,5,FALSE)))</f>
        <v/>
      </c>
      <c r="D606" s="69" t="str">
        <f>IF(ISNA(VLOOKUP(A606,Declarations!B$6:F$293,4,FALSE)),"",IF(VLOOKUP(A606,Declarations!B$6:F$293,4,FALSE)="","---",VLOOKUP(A606,Declarations!B$6:F$293,4,FALSE)))</f>
        <v/>
      </c>
      <c r="E606" s="68"/>
      <c r="F606" s="70"/>
      <c r="G606" s="281" t="s">
        <v>149</v>
      </c>
      <c r="H606" s="70"/>
    </row>
    <row r="607" spans="1:8" ht="20" customHeight="1">
      <c r="A607" s="68"/>
      <c r="B607" s="69" t="str">
        <f>IF(ISNA(VLOOKUP(A607,Declarations!B$6:C$293,2,FALSE)),"",IF(VLOOKUP(A607,Declarations!B$6:C$293,2,FALSE)="","---",VLOOKUP(A607,Declarations!B$6:C$293,2,FALSE)))</f>
        <v/>
      </c>
      <c r="C607" s="69" t="str">
        <f>IF(ISNA(VLOOKUP(A607,Declarations!B$6:F$293,5,FALSE)),"",IF(VLOOKUP(A607,Declarations!B$6:F$293,5,FALSE)="","---",VLOOKUP(A607,Declarations!B$6:F$293,5,FALSE)))</f>
        <v/>
      </c>
      <c r="D607" s="69" t="str">
        <f>IF(ISNA(VLOOKUP(A607,Declarations!B$6:F$293,4,FALSE)),"",IF(VLOOKUP(A607,Declarations!B$6:F$293,4,FALSE)="","---",VLOOKUP(A607,Declarations!B$6:F$293,4,FALSE)))</f>
        <v/>
      </c>
      <c r="E607" s="68"/>
      <c r="F607" s="70"/>
      <c r="G607" s="281" t="s">
        <v>149</v>
      </c>
      <c r="H607" s="70"/>
    </row>
    <row r="608" spans="1:8" ht="20" customHeight="1">
      <c r="A608" s="68"/>
      <c r="B608" s="69" t="str">
        <f>IF(ISNA(VLOOKUP(A608,Declarations!B$6:C$293,2,FALSE)),"",IF(VLOOKUP(A608,Declarations!B$6:C$293,2,FALSE)="","---",VLOOKUP(A608,Declarations!B$6:C$293,2,FALSE)))</f>
        <v/>
      </c>
      <c r="C608" s="69" t="str">
        <f>IF(ISNA(VLOOKUP(A608,Declarations!B$6:F$293,5,FALSE)),"",IF(VLOOKUP(A608,Declarations!B$6:F$293,5,FALSE)="","---",VLOOKUP(A608,Declarations!B$6:F$293,5,FALSE)))</f>
        <v/>
      </c>
      <c r="D608" s="69" t="str">
        <f>IF(ISNA(VLOOKUP(A608,Declarations!B$6:F$293,4,FALSE)),"",IF(VLOOKUP(A608,Declarations!B$6:F$293,4,FALSE)="","---",VLOOKUP(A608,Declarations!B$6:F$293,4,FALSE)))</f>
        <v/>
      </c>
      <c r="E608" s="68"/>
      <c r="F608" s="70"/>
      <c r="G608" s="281" t="s">
        <v>149</v>
      </c>
      <c r="H608" s="70"/>
    </row>
    <row r="609" spans="1:8" ht="20" customHeight="1">
      <c r="A609" s="68"/>
      <c r="B609" s="69" t="str">
        <f>IF(ISNA(VLOOKUP(A609,Declarations!B$6:C$293,2,FALSE)),"",IF(VLOOKUP(A609,Declarations!B$6:C$293,2,FALSE)="","---",VLOOKUP(A609,Declarations!B$6:C$293,2,FALSE)))</f>
        <v/>
      </c>
      <c r="C609" s="69" t="str">
        <f>IF(ISNA(VLOOKUP(A609,Declarations!B$6:F$293,5,FALSE)),"",IF(VLOOKUP(A609,Declarations!B$6:F$293,5,FALSE)="","---",VLOOKUP(A609,Declarations!B$6:F$293,5,FALSE)))</f>
        <v/>
      </c>
      <c r="D609" s="69" t="str">
        <f>IF(ISNA(VLOOKUP(A609,Declarations!B$6:F$293,4,FALSE)),"",IF(VLOOKUP(A609,Declarations!B$6:F$293,4,FALSE)="","---",VLOOKUP(A609,Declarations!B$6:F$293,4,FALSE)))</f>
        <v/>
      </c>
      <c r="E609" s="68"/>
      <c r="F609" s="70"/>
      <c r="G609" s="281" t="s">
        <v>149</v>
      </c>
      <c r="H609" s="70"/>
    </row>
    <row r="610" spans="1:8" ht="20" customHeight="1">
      <c r="A610" s="68"/>
      <c r="B610" s="69" t="str">
        <f>IF(ISNA(VLOOKUP(A610,Declarations!B$6:C$293,2,FALSE)),"",IF(VLOOKUP(A610,Declarations!B$6:C$293,2,FALSE)="","---",VLOOKUP(A610,Declarations!B$6:C$293,2,FALSE)))</f>
        <v/>
      </c>
      <c r="C610" s="69" t="str">
        <f>IF(ISNA(VLOOKUP(A610,Declarations!B$6:F$293,5,FALSE)),"",IF(VLOOKUP(A610,Declarations!B$6:F$293,5,FALSE)="","---",VLOOKUP(A610,Declarations!B$6:F$293,5,FALSE)))</f>
        <v/>
      </c>
      <c r="D610" s="69" t="str">
        <f>IF(ISNA(VLOOKUP(A610,Declarations!B$6:F$293,4,FALSE)),"",IF(VLOOKUP(A610,Declarations!B$6:F$293,4,FALSE)="","---",VLOOKUP(A610,Declarations!B$6:F$293,4,FALSE)))</f>
        <v/>
      </c>
      <c r="E610" s="68"/>
      <c r="F610" s="70"/>
      <c r="G610" s="281" t="s">
        <v>149</v>
      </c>
      <c r="H610" s="70"/>
    </row>
    <row r="611" spans="1:8" ht="20" customHeight="1">
      <c r="A611" s="68"/>
      <c r="B611" s="69" t="str">
        <f>IF(ISNA(VLOOKUP(A611,Declarations!B$6:C$293,2,FALSE)),"",IF(VLOOKUP(A611,Declarations!B$6:C$293,2,FALSE)="","---",VLOOKUP(A611,Declarations!B$6:C$293,2,FALSE)))</f>
        <v/>
      </c>
      <c r="C611" s="69" t="str">
        <f>IF(ISNA(VLOOKUP(A611,Declarations!B$6:F$293,5,FALSE)),"",IF(VLOOKUP(A611,Declarations!B$6:F$293,5,FALSE)="","---",VLOOKUP(A611,Declarations!B$6:F$293,5,FALSE)))</f>
        <v/>
      </c>
      <c r="D611" s="69" t="str">
        <f>IF(ISNA(VLOOKUP(A611,Declarations!B$6:F$293,4,FALSE)),"",IF(VLOOKUP(A611,Declarations!B$6:F$293,4,FALSE)="","---",VLOOKUP(A611,Declarations!B$6:F$293,4,FALSE)))</f>
        <v/>
      </c>
      <c r="E611" s="68"/>
      <c r="F611" s="70"/>
      <c r="G611" s="281" t="s">
        <v>149</v>
      </c>
      <c r="H611" s="70"/>
    </row>
    <row r="612" spans="1:8" ht="20" customHeight="1">
      <c r="A612" s="68"/>
      <c r="B612" s="69" t="str">
        <f>IF(ISNA(VLOOKUP(A612,Declarations!B$6:C$293,2,FALSE)),"",IF(VLOOKUP(A612,Declarations!B$6:C$293,2,FALSE)="","---",VLOOKUP(A612,Declarations!B$6:C$293,2,FALSE)))</f>
        <v/>
      </c>
      <c r="C612" s="69" t="str">
        <f>IF(ISNA(VLOOKUP(A612,Declarations!B$6:F$293,5,FALSE)),"",IF(VLOOKUP(A612,Declarations!B$6:F$293,5,FALSE)="","---",VLOOKUP(A612,Declarations!B$6:F$293,5,FALSE)))</f>
        <v/>
      </c>
      <c r="D612" s="69" t="str">
        <f>IF(ISNA(VLOOKUP(A612,Declarations!B$6:F$293,4,FALSE)),"",IF(VLOOKUP(A612,Declarations!B$6:F$293,4,FALSE)="","---",VLOOKUP(A612,Declarations!B$6:F$293,4,FALSE)))</f>
        <v/>
      </c>
      <c r="E612" s="68"/>
      <c r="F612" s="70"/>
      <c r="G612" s="281" t="s">
        <v>149</v>
      </c>
      <c r="H612" s="70"/>
    </row>
    <row r="613" spans="1:8" ht="20" customHeight="1">
      <c r="A613" s="68"/>
      <c r="B613" s="69" t="str">
        <f>IF(ISNA(VLOOKUP(A613,Declarations!B$6:C$293,2,FALSE)),"",IF(VLOOKUP(A613,Declarations!B$6:C$293,2,FALSE)="","---",VLOOKUP(A613,Declarations!B$6:C$293,2,FALSE)))</f>
        <v/>
      </c>
      <c r="C613" s="69" t="str">
        <f>IF(ISNA(VLOOKUP(A613,Declarations!B$6:F$293,5,FALSE)),"",IF(VLOOKUP(A613,Declarations!B$6:F$293,5,FALSE)="","---",VLOOKUP(A613,Declarations!B$6:F$293,5,FALSE)))</f>
        <v/>
      </c>
      <c r="D613" s="69" t="str">
        <f>IF(ISNA(VLOOKUP(A613,Declarations!B$6:F$293,4,FALSE)),"",IF(VLOOKUP(A613,Declarations!B$6:F$293,4,FALSE)="","---",VLOOKUP(A613,Declarations!B$6:F$293,4,FALSE)))</f>
        <v/>
      </c>
      <c r="E613" s="68"/>
      <c r="F613" s="70"/>
      <c r="G613" s="281" t="s">
        <v>149</v>
      </c>
      <c r="H613" s="70"/>
    </row>
    <row r="614" spans="1:8" ht="20" customHeight="1">
      <c r="A614" s="68"/>
      <c r="B614" s="69" t="str">
        <f>IF(ISNA(VLOOKUP(A614,Declarations!B$6:C$293,2,FALSE)),"",IF(VLOOKUP(A614,Declarations!B$6:C$293,2,FALSE)="","---",VLOOKUP(A614,Declarations!B$6:C$293,2,FALSE)))</f>
        <v/>
      </c>
      <c r="C614" s="69" t="str">
        <f>IF(ISNA(VLOOKUP(A614,Declarations!B$6:F$293,5,FALSE)),"",IF(VLOOKUP(A614,Declarations!B$6:F$293,5,FALSE)="","---",VLOOKUP(A614,Declarations!B$6:F$293,5,FALSE)))</f>
        <v/>
      </c>
      <c r="D614" s="69" t="str">
        <f>IF(ISNA(VLOOKUP(A614,Declarations!B$6:F$293,4,FALSE)),"",IF(VLOOKUP(A614,Declarations!B$6:F$293,4,FALSE)="","---",VLOOKUP(A614,Declarations!B$6:F$293,4,FALSE)))</f>
        <v/>
      </c>
      <c r="E614" s="68"/>
      <c r="F614" s="70"/>
      <c r="G614" s="281" t="s">
        <v>149</v>
      </c>
      <c r="H614" s="70"/>
    </row>
    <row r="615" spans="1:8" ht="20" customHeight="1">
      <c r="A615" s="68"/>
      <c r="B615" s="69" t="str">
        <f>IF(ISNA(VLOOKUP(A615,Declarations!B$6:C$293,2,FALSE)),"",IF(VLOOKUP(A615,Declarations!B$6:C$293,2,FALSE)="","---",VLOOKUP(A615,Declarations!B$6:C$293,2,FALSE)))</f>
        <v/>
      </c>
      <c r="C615" s="69" t="str">
        <f>IF(ISNA(VLOOKUP(A615,Declarations!B$6:F$293,5,FALSE)),"",IF(VLOOKUP(A615,Declarations!B$6:F$293,5,FALSE)="","---",VLOOKUP(A615,Declarations!B$6:F$293,5,FALSE)))</f>
        <v/>
      </c>
      <c r="D615" s="69" t="str">
        <f>IF(ISNA(VLOOKUP(A615,Declarations!B$6:F$293,4,FALSE)),"",IF(VLOOKUP(A615,Declarations!B$6:F$293,4,FALSE)="","---",VLOOKUP(A615,Declarations!B$6:F$293,4,FALSE)))</f>
        <v/>
      </c>
      <c r="E615" s="68"/>
      <c r="F615" s="70"/>
      <c r="G615" s="281" t="s">
        <v>149</v>
      </c>
      <c r="H615" s="70"/>
    </row>
    <row r="616" spans="1:8" ht="20" customHeight="1">
      <c r="A616" s="68"/>
      <c r="B616" s="69" t="str">
        <f>IF(ISNA(VLOOKUP(A616,Declarations!B$6:C$293,2,FALSE)),"",IF(VLOOKUP(A616,Declarations!B$6:C$293,2,FALSE)="","---",VLOOKUP(A616,Declarations!B$6:C$293,2,FALSE)))</f>
        <v/>
      </c>
      <c r="C616" s="69" t="str">
        <f>IF(ISNA(VLOOKUP(A616,Declarations!B$6:F$293,5,FALSE)),"",IF(VLOOKUP(A616,Declarations!B$6:F$293,5,FALSE)="","---",VLOOKUP(A616,Declarations!B$6:F$293,5,FALSE)))</f>
        <v/>
      </c>
      <c r="D616" s="69" t="str">
        <f>IF(ISNA(VLOOKUP(A616,Declarations!B$6:F$293,4,FALSE)),"",IF(VLOOKUP(A616,Declarations!B$6:F$293,4,FALSE)="","---",VLOOKUP(A616,Declarations!B$6:F$293,4,FALSE)))</f>
        <v/>
      </c>
      <c r="E616" s="68"/>
      <c r="F616" s="70"/>
      <c r="G616" s="281" t="s">
        <v>149</v>
      </c>
      <c r="H616" s="70"/>
    </row>
    <row r="617" spans="1:8" ht="20" customHeight="1">
      <c r="A617" s="68"/>
      <c r="B617" s="69" t="str">
        <f>IF(ISNA(VLOOKUP(A617,Declarations!B$6:C$293,2,FALSE)),"",IF(VLOOKUP(A617,Declarations!B$6:C$293,2,FALSE)="","---",VLOOKUP(A617,Declarations!B$6:C$293,2,FALSE)))</f>
        <v/>
      </c>
      <c r="C617" s="69" t="str">
        <f>IF(ISNA(VLOOKUP(A617,Declarations!B$6:F$293,5,FALSE)),"",IF(VLOOKUP(A617,Declarations!B$6:F$293,5,FALSE)="","---",VLOOKUP(A617,Declarations!B$6:F$293,5,FALSE)))</f>
        <v/>
      </c>
      <c r="D617" s="69" t="str">
        <f>IF(ISNA(VLOOKUP(A617,Declarations!B$6:F$293,4,FALSE)),"",IF(VLOOKUP(A617,Declarations!B$6:F$293,4,FALSE)="","---",VLOOKUP(A617,Declarations!B$6:F$293,4,FALSE)))</f>
        <v/>
      </c>
      <c r="E617" s="68"/>
      <c r="F617" s="70"/>
      <c r="G617" s="281" t="s">
        <v>149</v>
      </c>
      <c r="H617" s="70"/>
    </row>
    <row r="618" spans="1:8" ht="20" customHeight="1">
      <c r="A618" s="68"/>
      <c r="B618" s="69" t="str">
        <f>IF(ISNA(VLOOKUP(A618,Declarations!B$6:C$293,2,FALSE)),"",IF(VLOOKUP(A618,Declarations!B$6:C$293,2,FALSE)="","---",VLOOKUP(A618,Declarations!B$6:C$293,2,FALSE)))</f>
        <v/>
      </c>
      <c r="C618" s="69" t="str">
        <f>IF(ISNA(VLOOKUP(A618,Declarations!B$6:F$293,5,FALSE)),"",IF(VLOOKUP(A618,Declarations!B$6:F$293,5,FALSE)="","---",VLOOKUP(A618,Declarations!B$6:F$293,5,FALSE)))</f>
        <v/>
      </c>
      <c r="D618" s="69" t="str">
        <f>IF(ISNA(VLOOKUP(A618,Declarations!B$6:F$293,4,FALSE)),"",IF(VLOOKUP(A618,Declarations!B$6:F$293,4,FALSE)="","---",VLOOKUP(A618,Declarations!B$6:F$293,4,FALSE)))</f>
        <v/>
      </c>
      <c r="E618" s="68"/>
      <c r="F618" s="70"/>
      <c r="G618" s="281" t="s">
        <v>149</v>
      </c>
      <c r="H618" s="70"/>
    </row>
    <row r="619" spans="1:8" ht="20" customHeight="1">
      <c r="A619" s="68"/>
      <c r="B619" s="69" t="str">
        <f>IF(ISNA(VLOOKUP(A619,Declarations!B$6:C$293,2,FALSE)),"",IF(VLOOKUP(A619,Declarations!B$6:C$293,2,FALSE)="","---",VLOOKUP(A619,Declarations!B$6:C$293,2,FALSE)))</f>
        <v/>
      </c>
      <c r="C619" s="69" t="str">
        <f>IF(ISNA(VLOOKUP(A619,Declarations!B$6:F$293,5,FALSE)),"",IF(VLOOKUP(A619,Declarations!B$6:F$293,5,FALSE)="","---",VLOOKUP(A619,Declarations!B$6:F$293,5,FALSE)))</f>
        <v/>
      </c>
      <c r="D619" s="69" t="str">
        <f>IF(ISNA(VLOOKUP(A619,Declarations!B$6:F$293,4,FALSE)),"",IF(VLOOKUP(A619,Declarations!B$6:F$293,4,FALSE)="","---",VLOOKUP(A619,Declarations!B$6:F$293,4,FALSE)))</f>
        <v/>
      </c>
      <c r="E619" s="68"/>
      <c r="F619" s="70"/>
      <c r="G619" s="281" t="s">
        <v>149</v>
      </c>
      <c r="H619" s="70"/>
    </row>
    <row r="620" spans="1:8" ht="20" customHeight="1">
      <c r="A620" s="68"/>
      <c r="B620" s="69" t="str">
        <f>IF(ISNA(VLOOKUP(A620,Declarations!B$6:C$293,2,FALSE)),"",IF(VLOOKUP(A620,Declarations!B$6:C$293,2,FALSE)="","---",VLOOKUP(A620,Declarations!B$6:C$293,2,FALSE)))</f>
        <v/>
      </c>
      <c r="C620" s="69" t="str">
        <f>IF(ISNA(VLOOKUP(A620,Declarations!B$6:F$293,5,FALSE)),"",IF(VLOOKUP(A620,Declarations!B$6:F$293,5,FALSE)="","---",VLOOKUP(A620,Declarations!B$6:F$293,5,FALSE)))</f>
        <v/>
      </c>
      <c r="D620" s="69" t="str">
        <f>IF(ISNA(VLOOKUP(A620,Declarations!B$6:F$293,4,FALSE)),"",IF(VLOOKUP(A620,Declarations!B$6:F$293,4,FALSE)="","---",VLOOKUP(A620,Declarations!B$6:F$293,4,FALSE)))</f>
        <v/>
      </c>
      <c r="E620" s="68"/>
      <c r="F620" s="70"/>
      <c r="G620" s="281" t="s">
        <v>149</v>
      </c>
      <c r="H620" s="70"/>
    </row>
    <row r="621" spans="1:8" ht="20" customHeight="1">
      <c r="A621" s="68"/>
      <c r="B621" s="69" t="str">
        <f>IF(ISNA(VLOOKUP(A621,Declarations!B$6:C$293,2,FALSE)),"",IF(VLOOKUP(A621,Declarations!B$6:C$293,2,FALSE)="","---",VLOOKUP(A621,Declarations!B$6:C$293,2,FALSE)))</f>
        <v/>
      </c>
      <c r="C621" s="69" t="str">
        <f>IF(ISNA(VLOOKUP(A621,Declarations!B$6:F$293,5,FALSE)),"",IF(VLOOKUP(A621,Declarations!B$6:F$293,5,FALSE)="","---",VLOOKUP(A621,Declarations!B$6:F$293,5,FALSE)))</f>
        <v/>
      </c>
      <c r="D621" s="69" t="str">
        <f>IF(ISNA(VLOOKUP(A621,Declarations!B$6:F$293,4,FALSE)),"",IF(VLOOKUP(A621,Declarations!B$6:F$293,4,FALSE)="","---",VLOOKUP(A621,Declarations!B$6:F$293,4,FALSE)))</f>
        <v/>
      </c>
      <c r="E621" s="70"/>
      <c r="F621" s="70"/>
      <c r="G621" s="281" t="s">
        <v>149</v>
      </c>
      <c r="H621" s="70"/>
    </row>
    <row r="622" spans="1:8" ht="20" customHeight="1">
      <c r="A622" s="68"/>
      <c r="B622" s="69" t="str">
        <f>IF(ISNA(VLOOKUP(A622,Declarations!B$6:C$293,2,FALSE)),"",IF(VLOOKUP(A622,Declarations!B$6:C$293,2,FALSE)="","---",VLOOKUP(A622,Declarations!B$6:C$293,2,FALSE)))</f>
        <v/>
      </c>
      <c r="C622" s="69" t="str">
        <f>IF(ISNA(VLOOKUP(A622,Declarations!B$6:F$293,5,FALSE)),"",IF(VLOOKUP(A622,Declarations!B$6:F$293,5,FALSE)="","---",VLOOKUP(A622,Declarations!B$6:F$293,5,FALSE)))</f>
        <v/>
      </c>
      <c r="D622" s="69" t="str">
        <f>IF(ISNA(VLOOKUP(A622,Declarations!B$6:F$293,4,FALSE)),"",IF(VLOOKUP(A622,Declarations!B$6:F$293,4,FALSE)="","---",VLOOKUP(A622,Declarations!B$6:F$293,4,FALSE)))</f>
        <v/>
      </c>
      <c r="E622" s="70"/>
      <c r="F622" s="70"/>
      <c r="G622" s="281" t="s">
        <v>149</v>
      </c>
      <c r="H622" s="70"/>
    </row>
    <row r="623" spans="1:8" ht="20" customHeight="1">
      <c r="A623" s="68"/>
      <c r="B623" s="69" t="str">
        <f>IF(ISNA(VLOOKUP(A623,Declarations!B$6:C$293,2,FALSE)),"",IF(VLOOKUP(A623,Declarations!B$6:C$293,2,FALSE)="","---",VLOOKUP(A623,Declarations!B$6:C$293,2,FALSE)))</f>
        <v/>
      </c>
      <c r="C623" s="69" t="str">
        <f>IF(ISNA(VLOOKUP(A623,Declarations!B$6:F$293,5,FALSE)),"",IF(VLOOKUP(A623,Declarations!B$6:F$293,5,FALSE)="","---",VLOOKUP(A623,Declarations!B$6:F$293,5,FALSE)))</f>
        <v/>
      </c>
      <c r="D623" s="69" t="str">
        <f>IF(ISNA(VLOOKUP(A623,Declarations!B$6:F$293,4,FALSE)),"",IF(VLOOKUP(A623,Declarations!B$6:F$293,4,FALSE)="","---",VLOOKUP(A623,Declarations!B$6:F$293,4,FALSE)))</f>
        <v/>
      </c>
      <c r="E623" s="70"/>
      <c r="F623" s="70"/>
      <c r="G623" s="281" t="s">
        <v>149</v>
      </c>
      <c r="H623" s="70"/>
    </row>
    <row r="624" spans="1:8" ht="20" customHeight="1">
      <c r="A624" s="68"/>
      <c r="B624" s="69" t="str">
        <f>IF(ISNA(VLOOKUP(A624,Declarations!B$6:C$293,2,FALSE)),"",IF(VLOOKUP(A624,Declarations!B$6:C$293,2,FALSE)="","---",VLOOKUP(A624,Declarations!B$6:C$293,2,FALSE)))</f>
        <v/>
      </c>
      <c r="C624" s="69" t="str">
        <f>IF(ISNA(VLOOKUP(A624,Declarations!B$6:F$293,5,FALSE)),"",IF(VLOOKUP(A624,Declarations!B$6:F$293,5,FALSE)="","---",VLOOKUP(A624,Declarations!B$6:F$293,5,FALSE)))</f>
        <v/>
      </c>
      <c r="D624" s="69" t="str">
        <f>IF(ISNA(VLOOKUP(A624,Declarations!B$6:F$293,4,FALSE)),"",IF(VLOOKUP(A624,Declarations!B$6:F$293,4,FALSE)="","---",VLOOKUP(A624,Declarations!B$6:F$293,4,FALSE)))</f>
        <v/>
      </c>
      <c r="E624" s="70"/>
      <c r="F624" s="70"/>
      <c r="G624" s="281" t="s">
        <v>149</v>
      </c>
      <c r="H624" s="70"/>
    </row>
    <row r="625" spans="1:8" ht="20" customHeight="1">
      <c r="A625" s="68"/>
      <c r="B625" s="69" t="str">
        <f>IF(ISNA(VLOOKUP(A625,Declarations!B$6:C$293,2,FALSE)),"",IF(VLOOKUP(A625,Declarations!B$6:C$293,2,FALSE)="","---",VLOOKUP(A625,Declarations!B$6:C$293,2,FALSE)))</f>
        <v/>
      </c>
      <c r="C625" s="69" t="str">
        <f>IF(ISNA(VLOOKUP(A625,Declarations!B$6:F$293,5,FALSE)),"",IF(VLOOKUP(A625,Declarations!B$6:F$293,5,FALSE)="","---",VLOOKUP(A625,Declarations!B$6:F$293,5,FALSE)))</f>
        <v/>
      </c>
      <c r="D625" s="69" t="str">
        <f>IF(ISNA(VLOOKUP(A625,Declarations!B$6:F$293,4,FALSE)),"",IF(VLOOKUP(A625,Declarations!B$6:F$293,4,FALSE)="","---",VLOOKUP(A625,Declarations!B$6:F$293,4,FALSE)))</f>
        <v/>
      </c>
      <c r="E625" s="70"/>
      <c r="F625" s="70"/>
      <c r="G625" s="281" t="s">
        <v>149</v>
      </c>
      <c r="H625" s="70"/>
    </row>
    <row r="626" spans="1:8" ht="20" customHeight="1">
      <c r="A626" s="68"/>
      <c r="B626" s="69" t="str">
        <f>IF(ISNA(VLOOKUP(A626,Declarations!B$6:C$293,2,FALSE)),"",IF(VLOOKUP(A626,Declarations!B$6:C$293,2,FALSE)="","---",VLOOKUP(A626,Declarations!B$6:C$293,2,FALSE)))</f>
        <v/>
      </c>
      <c r="C626" s="69" t="str">
        <f>IF(ISNA(VLOOKUP(A626,Declarations!B$6:F$293,5,FALSE)),"",IF(VLOOKUP(A626,Declarations!B$6:F$293,5,FALSE)="","---",VLOOKUP(A626,Declarations!B$6:F$293,5,FALSE)))</f>
        <v/>
      </c>
      <c r="D626" s="69" t="str">
        <f>IF(ISNA(VLOOKUP(A626,Declarations!B$6:F$293,4,FALSE)),"",IF(VLOOKUP(A626,Declarations!B$6:F$293,4,FALSE)="","---",VLOOKUP(A626,Declarations!B$6:F$293,4,FALSE)))</f>
        <v/>
      </c>
      <c r="E626" s="70"/>
      <c r="F626" s="70"/>
      <c r="G626" s="281" t="s">
        <v>149</v>
      </c>
      <c r="H626" s="70"/>
    </row>
    <row r="627" spans="1:8" ht="20" customHeight="1">
      <c r="A627" s="68"/>
      <c r="B627" s="69" t="str">
        <f>IF(ISNA(VLOOKUP(A627,Declarations!B$6:C$293,2,FALSE)),"",IF(VLOOKUP(A627,Declarations!B$6:C$293,2,FALSE)="","---",VLOOKUP(A627,Declarations!B$6:C$293,2,FALSE)))</f>
        <v/>
      </c>
      <c r="C627" s="69" t="str">
        <f>IF(ISNA(VLOOKUP(A627,Declarations!B$6:F$293,5,FALSE)),"",IF(VLOOKUP(A627,Declarations!B$6:F$293,5,FALSE)="","---",VLOOKUP(A627,Declarations!B$6:F$293,5,FALSE)))</f>
        <v/>
      </c>
      <c r="D627" s="69" t="str">
        <f>IF(ISNA(VLOOKUP(A627,Declarations!B$6:F$293,4,FALSE)),"",IF(VLOOKUP(A627,Declarations!B$6:F$293,4,FALSE)="","---",VLOOKUP(A627,Declarations!B$6:F$293,4,FALSE)))</f>
        <v/>
      </c>
      <c r="E627" s="70"/>
      <c r="F627" s="70"/>
      <c r="G627" s="281" t="s">
        <v>149</v>
      </c>
      <c r="H627" s="70"/>
    </row>
    <row r="628" spans="1:8" ht="20" customHeight="1">
      <c r="A628" s="68"/>
      <c r="B628" s="69" t="str">
        <f>IF(ISNA(VLOOKUP(A628,Declarations!B$6:C$293,2,FALSE)),"",IF(VLOOKUP(A628,Declarations!B$6:C$293,2,FALSE)="","---",VLOOKUP(A628,Declarations!B$6:C$293,2,FALSE)))</f>
        <v/>
      </c>
      <c r="C628" s="69" t="str">
        <f>IF(ISNA(VLOOKUP(A628,Declarations!B$6:F$293,5,FALSE)),"",IF(VLOOKUP(A628,Declarations!B$6:F$293,5,FALSE)="","---",VLOOKUP(A628,Declarations!B$6:F$293,5,FALSE)))</f>
        <v/>
      </c>
      <c r="D628" s="69" t="str">
        <f>IF(ISNA(VLOOKUP(A628,Declarations!B$6:F$293,4,FALSE)),"",IF(VLOOKUP(A628,Declarations!B$6:F$293,4,FALSE)="","---",VLOOKUP(A628,Declarations!B$6:F$293,4,FALSE)))</f>
        <v/>
      </c>
      <c r="E628" s="70"/>
      <c r="F628" s="70"/>
      <c r="G628" s="281" t="s">
        <v>149</v>
      </c>
      <c r="H628" s="70"/>
    </row>
    <row r="629" spans="1:8" ht="20" customHeight="1">
      <c r="A629" s="68"/>
      <c r="B629" s="69" t="str">
        <f>IF(ISNA(VLOOKUP(A629,Declarations!B$6:C$293,2,FALSE)),"",IF(VLOOKUP(A629,Declarations!B$6:C$293,2,FALSE)="","---",VLOOKUP(A629,Declarations!B$6:C$293,2,FALSE)))</f>
        <v/>
      </c>
      <c r="C629" s="69" t="str">
        <f>IF(ISNA(VLOOKUP(A629,Declarations!B$6:F$293,5,FALSE)),"",IF(VLOOKUP(A629,Declarations!B$6:F$293,5,FALSE)="","---",VLOOKUP(A629,Declarations!B$6:F$293,5,FALSE)))</f>
        <v/>
      </c>
      <c r="D629" s="69" t="str">
        <f>IF(ISNA(VLOOKUP(A629,Declarations!B$6:F$293,4,FALSE)),"",IF(VLOOKUP(A629,Declarations!B$6:F$293,4,FALSE)="","---",VLOOKUP(A629,Declarations!B$6:F$293,4,FALSE)))</f>
        <v/>
      </c>
      <c r="E629" s="70"/>
      <c r="F629" s="70"/>
      <c r="G629" s="281" t="s">
        <v>149</v>
      </c>
      <c r="H629" s="70"/>
    </row>
    <row r="630" spans="1:8" ht="20" customHeight="1">
      <c r="A630" s="68"/>
      <c r="B630" s="69" t="str">
        <f>IF(ISNA(VLOOKUP(A630,Declarations!B$6:C$293,2,FALSE)),"",IF(VLOOKUP(A630,Declarations!B$6:C$293,2,FALSE)="","---",VLOOKUP(A630,Declarations!B$6:C$293,2,FALSE)))</f>
        <v/>
      </c>
      <c r="C630" s="69" t="str">
        <f>IF(ISNA(VLOOKUP(A630,Declarations!B$6:F$293,5,FALSE)),"",IF(VLOOKUP(A630,Declarations!B$6:F$293,5,FALSE)="","---",VLOOKUP(A630,Declarations!B$6:F$293,5,FALSE)))</f>
        <v/>
      </c>
      <c r="D630" s="69" t="str">
        <f>IF(ISNA(VLOOKUP(A630,Declarations!B$6:F$293,4,FALSE)),"",IF(VLOOKUP(A630,Declarations!B$6:F$293,4,FALSE)="","---",VLOOKUP(A630,Declarations!B$6:F$293,4,FALSE)))</f>
        <v/>
      </c>
      <c r="E630" s="70"/>
      <c r="F630" s="70"/>
      <c r="G630" s="281" t="s">
        <v>149</v>
      </c>
      <c r="H630" s="70"/>
    </row>
    <row r="631" spans="1:8" ht="20" customHeight="1">
      <c r="A631" s="68"/>
      <c r="B631" s="69" t="str">
        <f>IF(ISNA(VLOOKUP(A631,Declarations!B$6:C$293,2,FALSE)),"",IF(VLOOKUP(A631,Declarations!B$6:C$293,2,FALSE)="","---",VLOOKUP(A631,Declarations!B$6:C$293,2,FALSE)))</f>
        <v/>
      </c>
      <c r="C631" s="69" t="str">
        <f>IF(ISNA(VLOOKUP(A631,Declarations!B$6:F$293,5,FALSE)),"",IF(VLOOKUP(A631,Declarations!B$6:F$293,5,FALSE)="","---",VLOOKUP(A631,Declarations!B$6:F$293,5,FALSE)))</f>
        <v/>
      </c>
      <c r="D631" s="69" t="str">
        <f>IF(ISNA(VLOOKUP(A631,Declarations!B$6:F$293,4,FALSE)),"",IF(VLOOKUP(A631,Declarations!B$6:F$293,4,FALSE)="","---",VLOOKUP(A631,Declarations!B$6:F$293,4,FALSE)))</f>
        <v/>
      </c>
      <c r="E631" s="70"/>
      <c r="F631" s="70"/>
      <c r="G631" s="281" t="s">
        <v>149</v>
      </c>
      <c r="H631" s="70"/>
    </row>
    <row r="632" spans="1:8" ht="20" customHeight="1">
      <c r="A632" s="68"/>
      <c r="B632" s="69" t="str">
        <f>IF(ISNA(VLOOKUP(A632,Declarations!B$6:C$293,2,FALSE)),"",IF(VLOOKUP(A632,Declarations!B$6:C$293,2,FALSE)="","---",VLOOKUP(A632,Declarations!B$6:C$293,2,FALSE)))</f>
        <v/>
      </c>
      <c r="C632" s="69" t="str">
        <f>IF(ISNA(VLOOKUP(A632,Declarations!B$6:F$293,5,FALSE)),"",IF(VLOOKUP(A632,Declarations!B$6:F$293,5,FALSE)="","---",VLOOKUP(A632,Declarations!B$6:F$293,5,FALSE)))</f>
        <v/>
      </c>
      <c r="D632" s="69" t="str">
        <f>IF(ISNA(VLOOKUP(A632,Declarations!B$6:F$293,4,FALSE)),"",IF(VLOOKUP(A632,Declarations!B$6:F$293,4,FALSE)="","---",VLOOKUP(A632,Declarations!B$6:F$293,4,FALSE)))</f>
        <v/>
      </c>
      <c r="E632" s="70"/>
      <c r="F632" s="70"/>
      <c r="G632" s="281" t="s">
        <v>149</v>
      </c>
      <c r="H632" s="70"/>
    </row>
    <row r="633" spans="1:8" ht="20" customHeight="1">
      <c r="A633" s="68"/>
      <c r="B633" s="69" t="str">
        <f>IF(ISNA(VLOOKUP(A633,Declarations!B$6:C$293,2,FALSE)),"",IF(VLOOKUP(A633,Declarations!B$6:C$293,2,FALSE)="","---",VLOOKUP(A633,Declarations!B$6:C$293,2,FALSE)))</f>
        <v/>
      </c>
      <c r="C633" s="69" t="str">
        <f>IF(ISNA(VLOOKUP(A633,Declarations!B$6:F$293,5,FALSE)),"",IF(VLOOKUP(A633,Declarations!B$6:F$293,5,FALSE)="","---",VLOOKUP(A633,Declarations!B$6:F$293,5,FALSE)))</f>
        <v/>
      </c>
      <c r="D633" s="69" t="str">
        <f>IF(ISNA(VLOOKUP(A633,Declarations!B$6:F$293,4,FALSE)),"",IF(VLOOKUP(A633,Declarations!B$6:F$293,4,FALSE)="","---",VLOOKUP(A633,Declarations!B$6:F$293,4,FALSE)))</f>
        <v/>
      </c>
      <c r="E633" s="70"/>
      <c r="F633" s="70"/>
      <c r="G633" s="281" t="s">
        <v>149</v>
      </c>
      <c r="H633" s="70"/>
    </row>
    <row r="634" spans="1:8" ht="20" customHeight="1">
      <c r="A634" s="68"/>
      <c r="B634" s="69" t="str">
        <f>IF(ISNA(VLOOKUP(A634,Declarations!B$6:C$293,2,FALSE)),"",IF(VLOOKUP(A634,Declarations!B$6:C$293,2,FALSE)="","---",VLOOKUP(A634,Declarations!B$6:C$293,2,FALSE)))</f>
        <v/>
      </c>
      <c r="C634" s="69" t="str">
        <f>IF(ISNA(VLOOKUP(A634,Declarations!B$6:F$293,5,FALSE)),"",IF(VLOOKUP(A634,Declarations!B$6:F$293,5,FALSE)="","---",VLOOKUP(A634,Declarations!B$6:F$293,5,FALSE)))</f>
        <v/>
      </c>
      <c r="D634" s="69" t="str">
        <f>IF(ISNA(VLOOKUP(A634,Declarations!B$6:F$293,4,FALSE)),"",IF(VLOOKUP(A634,Declarations!B$6:F$293,4,FALSE)="","---",VLOOKUP(A634,Declarations!B$6:F$293,4,FALSE)))</f>
        <v/>
      </c>
      <c r="E634" s="70"/>
      <c r="F634" s="70"/>
      <c r="G634" s="281" t="s">
        <v>149</v>
      </c>
      <c r="H634" s="70"/>
    </row>
    <row r="635" spans="1:8">
      <c r="A635" s="71"/>
      <c r="B635" s="72"/>
      <c r="C635" s="72"/>
      <c r="D635" s="72"/>
      <c r="E635" s="73"/>
      <c r="F635" s="73"/>
      <c r="G635" s="73"/>
      <c r="H635" s="73"/>
    </row>
    <row r="636" spans="1:8">
      <c r="A636" s="71"/>
      <c r="B636" s="510" t="s">
        <v>213</v>
      </c>
      <c r="C636" s="511"/>
      <c r="D636" s="72"/>
      <c r="E636" s="509" t="s">
        <v>93</v>
      </c>
      <c r="F636" s="509"/>
      <c r="G636" s="501" t="s">
        <v>43</v>
      </c>
      <c r="H636" s="501"/>
    </row>
    <row r="637" spans="1:8" ht="16" customHeight="1">
      <c r="A637" s="71"/>
      <c r="B637" s="512"/>
      <c r="C637" s="513"/>
      <c r="D637" s="72"/>
      <c r="E637" s="501"/>
      <c r="F637" s="501"/>
      <c r="G637" s="501"/>
      <c r="H637" s="501"/>
    </row>
    <row r="638" spans="1:8">
      <c r="A638" s="71"/>
      <c r="B638" s="512"/>
      <c r="C638" s="513"/>
      <c r="D638" s="72"/>
      <c r="E638" s="501"/>
      <c r="F638" s="501"/>
      <c r="G638" s="501"/>
      <c r="H638" s="501"/>
    </row>
    <row r="639" spans="1:8">
      <c r="A639" s="71"/>
      <c r="B639" s="514"/>
      <c r="C639" s="515"/>
      <c r="D639" s="72"/>
      <c r="E639" s="501"/>
      <c r="F639" s="501"/>
      <c r="G639" s="501"/>
      <c r="H639" s="501"/>
    </row>
    <row r="640" spans="1:8" ht="8" customHeight="1">
      <c r="A640" s="71"/>
      <c r="B640" s="72"/>
      <c r="C640" s="72"/>
      <c r="D640" s="72"/>
      <c r="E640" s="73"/>
      <c r="F640" s="73"/>
      <c r="G640" s="73"/>
      <c r="H640" s="73"/>
    </row>
    <row r="641" spans="1:8" ht="20">
      <c r="A641" s="502" t="str">
        <f>'Read Me First'!A1:F1</f>
        <v>Oxfordshire Track and Field League 2026</v>
      </c>
      <c r="B641" s="503"/>
      <c r="C641" s="503"/>
      <c r="D641" s="503"/>
      <c r="E641" s="503"/>
      <c r="F641" s="503"/>
      <c r="G641" s="503"/>
      <c r="H641" s="504"/>
    </row>
    <row r="642" spans="1:8" ht="18">
      <c r="A642" s="61" t="s">
        <v>12</v>
      </c>
      <c r="B642" s="62">
        <f>'Read Me First'!$C$10</f>
        <v>46250</v>
      </c>
      <c r="C642" s="77">
        <v>0.47916666666666669</v>
      </c>
      <c r="D642" s="61" t="s">
        <v>13</v>
      </c>
      <c r="E642" s="505" t="str">
        <f>$E$2</f>
        <v>Banbury</v>
      </c>
      <c r="F642" s="506"/>
      <c r="G642" s="506"/>
      <c r="H642" s="507"/>
    </row>
    <row r="643" spans="1:8" ht="18">
      <c r="A643" s="508" t="s">
        <v>55</v>
      </c>
      <c r="B643" s="508"/>
      <c r="C643" s="508"/>
      <c r="D643" s="508"/>
      <c r="E643" s="60">
        <v>1</v>
      </c>
      <c r="F643" s="60">
        <v>2</v>
      </c>
      <c r="G643" s="60">
        <v>3</v>
      </c>
      <c r="H643" s="60" t="s">
        <v>42</v>
      </c>
    </row>
    <row r="644" spans="1:8" ht="18">
      <c r="A644" s="66"/>
      <c r="B644" s="66"/>
      <c r="C644" s="66"/>
      <c r="D644" s="66"/>
      <c r="E644" s="67"/>
      <c r="F644" s="67"/>
      <c r="G644" s="67"/>
      <c r="H644" s="67"/>
    </row>
    <row r="645" spans="1:8" ht="20" customHeight="1">
      <c r="A645" s="68" t="str" cm="1">
        <f t="array" ref="A645">IFERROR(_xlfn.TEXTSPLIT(IFERROR(_xlfn.TEXTJOIN(",",TRUE,_xlfn._xlws.FILTER(BlockAllocations!$F$3:$F$20,BlockAllocations!$E$3:$E$20=BlockAllocations!$G$12)),""),,",")+0,"!")</f>
        <v>!</v>
      </c>
      <c r="B645" s="69" t="str">
        <f>IF(ISNA(VLOOKUP(A645,Declarations!B$6:C$293,2,FALSE)),"",IF(VLOOKUP(A645,Declarations!B$6:C$293,2,FALSE)="","---",VLOOKUP(A645,Declarations!B$6:C$293,2,FALSE)))</f>
        <v/>
      </c>
      <c r="C645" s="69" t="str">
        <f>IF(ISNA(VLOOKUP(A645,Declarations!B$6:F$293,5,FALSE)),"",IF(VLOOKUP(A645,Declarations!B$6:F$293,5,FALSE)="","---",VLOOKUP(A645,Declarations!B$6:F$293,5,FALSE)))</f>
        <v/>
      </c>
      <c r="D645" s="69" t="str">
        <f>IF(ISNA(VLOOKUP(A645,Declarations!B$6:F$293,4,FALSE)),"",IF(VLOOKUP(A645,Declarations!B$6:F$293,4,FALSE)="","---",VLOOKUP(A645,Declarations!B$6:F$293,4,FALSE)))</f>
        <v/>
      </c>
      <c r="E645" s="68"/>
      <c r="F645" s="70"/>
      <c r="G645" s="281" t="s">
        <v>149</v>
      </c>
      <c r="H645" s="70"/>
    </row>
    <row r="646" spans="1:8" ht="20" customHeight="1">
      <c r="A646" s="68"/>
      <c r="B646" s="69" t="str">
        <f>IF(ISNA(VLOOKUP(A646,Declarations!B$6:C$293,2,FALSE)),"",IF(VLOOKUP(A646,Declarations!B$6:C$293,2,FALSE)="","---",VLOOKUP(A646,Declarations!B$6:C$293,2,FALSE)))</f>
        <v/>
      </c>
      <c r="C646" s="69" t="str">
        <f>IF(ISNA(VLOOKUP(A646,Declarations!B$6:F$293,5,FALSE)),"",IF(VLOOKUP(A646,Declarations!B$6:F$293,5,FALSE)="","---",VLOOKUP(A646,Declarations!B$6:F$293,5,FALSE)))</f>
        <v/>
      </c>
      <c r="D646" s="69" t="str">
        <f>IF(ISNA(VLOOKUP(A646,Declarations!B$6:F$293,4,FALSE)),"",IF(VLOOKUP(A646,Declarations!B$6:F$293,4,FALSE)="","---",VLOOKUP(A646,Declarations!B$6:F$293,4,FALSE)))</f>
        <v/>
      </c>
      <c r="E646" s="68"/>
      <c r="F646" s="70"/>
      <c r="G646" s="281" t="s">
        <v>149</v>
      </c>
      <c r="H646" s="70"/>
    </row>
    <row r="647" spans="1:8" ht="20" customHeight="1">
      <c r="A647" s="68"/>
      <c r="B647" s="69" t="str">
        <f>IF(ISNA(VLOOKUP(A647,Declarations!B$6:C$293,2,FALSE)),"",IF(VLOOKUP(A647,Declarations!B$6:C$293,2,FALSE)="","---",VLOOKUP(A647,Declarations!B$6:C$293,2,FALSE)))</f>
        <v/>
      </c>
      <c r="C647" s="69" t="str">
        <f>IF(ISNA(VLOOKUP(A647,Declarations!B$6:F$293,5,FALSE)),"",IF(VLOOKUP(A647,Declarations!B$6:F$293,5,FALSE)="","---",VLOOKUP(A647,Declarations!B$6:F$293,5,FALSE)))</f>
        <v/>
      </c>
      <c r="D647" s="69" t="str">
        <f>IF(ISNA(VLOOKUP(A647,Declarations!B$6:F$293,4,FALSE)),"",IF(VLOOKUP(A647,Declarations!B$6:F$293,4,FALSE)="","---",VLOOKUP(A647,Declarations!B$6:F$293,4,FALSE)))</f>
        <v/>
      </c>
      <c r="E647" s="68"/>
      <c r="F647" s="70"/>
      <c r="G647" s="281" t="s">
        <v>149</v>
      </c>
      <c r="H647" s="70"/>
    </row>
    <row r="648" spans="1:8" ht="20" customHeight="1">
      <c r="A648" s="68"/>
      <c r="B648" s="69" t="str">
        <f>IF(ISNA(VLOOKUP(A648,Declarations!B$6:C$293,2,FALSE)),"",IF(VLOOKUP(A648,Declarations!B$6:C$293,2,FALSE)="","---",VLOOKUP(A648,Declarations!B$6:C$293,2,FALSE)))</f>
        <v/>
      </c>
      <c r="C648" s="69" t="str">
        <f>IF(ISNA(VLOOKUP(A648,Declarations!B$6:F$293,5,FALSE)),"",IF(VLOOKUP(A648,Declarations!B$6:F$293,5,FALSE)="","---",VLOOKUP(A648,Declarations!B$6:F$293,5,FALSE)))</f>
        <v/>
      </c>
      <c r="D648" s="69" t="str">
        <f>IF(ISNA(VLOOKUP(A648,Declarations!B$6:F$293,4,FALSE)),"",IF(VLOOKUP(A648,Declarations!B$6:F$293,4,FALSE)="","---",VLOOKUP(A648,Declarations!B$6:F$293,4,FALSE)))</f>
        <v/>
      </c>
      <c r="E648" s="68"/>
      <c r="F648" s="70"/>
      <c r="G648" s="281" t="s">
        <v>149</v>
      </c>
      <c r="H648" s="70"/>
    </row>
    <row r="649" spans="1:8" ht="20" customHeight="1">
      <c r="A649" s="68"/>
      <c r="B649" s="69" t="str">
        <f>IF(ISNA(VLOOKUP(A649,Declarations!B$6:C$293,2,FALSE)),"",IF(VLOOKUP(A649,Declarations!B$6:C$293,2,FALSE)="","---",VLOOKUP(A649,Declarations!B$6:C$293,2,FALSE)))</f>
        <v/>
      </c>
      <c r="C649" s="69" t="str">
        <f>IF(ISNA(VLOOKUP(A649,Declarations!B$6:F$293,5,FALSE)),"",IF(VLOOKUP(A649,Declarations!B$6:F$293,5,FALSE)="","---",VLOOKUP(A649,Declarations!B$6:F$293,5,FALSE)))</f>
        <v/>
      </c>
      <c r="D649" s="69" t="str">
        <f>IF(ISNA(VLOOKUP(A649,Declarations!B$6:F$293,4,FALSE)),"",IF(VLOOKUP(A649,Declarations!B$6:F$293,4,FALSE)="","---",VLOOKUP(A649,Declarations!B$6:F$293,4,FALSE)))</f>
        <v/>
      </c>
      <c r="E649" s="68"/>
      <c r="F649" s="70"/>
      <c r="G649" s="281" t="s">
        <v>149</v>
      </c>
      <c r="H649" s="70"/>
    </row>
    <row r="650" spans="1:8" ht="20" customHeight="1">
      <c r="A650" s="68"/>
      <c r="B650" s="69" t="str">
        <f>IF(ISNA(VLOOKUP(A650,Declarations!B$6:C$293,2,FALSE)),"",IF(VLOOKUP(A650,Declarations!B$6:C$293,2,FALSE)="","---",VLOOKUP(A650,Declarations!B$6:C$293,2,FALSE)))</f>
        <v/>
      </c>
      <c r="C650" s="69" t="str">
        <f>IF(ISNA(VLOOKUP(A650,Declarations!B$6:F$293,5,FALSE)),"",IF(VLOOKUP(A650,Declarations!B$6:F$293,5,FALSE)="","---",VLOOKUP(A650,Declarations!B$6:F$293,5,FALSE)))</f>
        <v/>
      </c>
      <c r="D650" s="69" t="str">
        <f>IF(ISNA(VLOOKUP(A650,Declarations!B$6:F$293,4,FALSE)),"",IF(VLOOKUP(A650,Declarations!B$6:F$293,4,FALSE)="","---",VLOOKUP(A650,Declarations!B$6:F$293,4,FALSE)))</f>
        <v/>
      </c>
      <c r="E650" s="68"/>
      <c r="F650" s="70"/>
      <c r="G650" s="281" t="s">
        <v>149</v>
      </c>
      <c r="H650" s="70"/>
    </row>
    <row r="651" spans="1:8" ht="20" customHeight="1">
      <c r="A651" s="68"/>
      <c r="B651" s="69" t="str">
        <f>IF(ISNA(VLOOKUP(A651,Declarations!B$6:C$293,2,FALSE)),"",IF(VLOOKUP(A651,Declarations!B$6:C$293,2,FALSE)="","---",VLOOKUP(A651,Declarations!B$6:C$293,2,FALSE)))</f>
        <v/>
      </c>
      <c r="C651" s="69" t="str">
        <f>IF(ISNA(VLOOKUP(A651,Declarations!B$6:F$293,5,FALSE)),"",IF(VLOOKUP(A651,Declarations!B$6:F$293,5,FALSE)="","---",VLOOKUP(A651,Declarations!B$6:F$293,5,FALSE)))</f>
        <v/>
      </c>
      <c r="D651" s="69" t="str">
        <f>IF(ISNA(VLOOKUP(A651,Declarations!B$6:F$293,4,FALSE)),"",IF(VLOOKUP(A651,Declarations!B$6:F$293,4,FALSE)="","---",VLOOKUP(A651,Declarations!B$6:F$293,4,FALSE)))</f>
        <v/>
      </c>
      <c r="E651" s="68"/>
      <c r="F651" s="70"/>
      <c r="G651" s="281" t="s">
        <v>149</v>
      </c>
      <c r="H651" s="70"/>
    </row>
    <row r="652" spans="1:8" ht="20" customHeight="1">
      <c r="A652" s="68"/>
      <c r="B652" s="69" t="str">
        <f>IF(ISNA(VLOOKUP(A652,Declarations!B$6:C$293,2,FALSE)),"",IF(VLOOKUP(A652,Declarations!B$6:C$293,2,FALSE)="","---",VLOOKUP(A652,Declarations!B$6:C$293,2,FALSE)))</f>
        <v/>
      </c>
      <c r="C652" s="69" t="str">
        <f>IF(ISNA(VLOOKUP(A652,Declarations!B$6:F$293,5,FALSE)),"",IF(VLOOKUP(A652,Declarations!B$6:F$293,5,FALSE)="","---",VLOOKUP(A652,Declarations!B$6:F$293,5,FALSE)))</f>
        <v/>
      </c>
      <c r="D652" s="69" t="str">
        <f>IF(ISNA(VLOOKUP(A652,Declarations!B$6:F$293,4,FALSE)),"",IF(VLOOKUP(A652,Declarations!B$6:F$293,4,FALSE)="","---",VLOOKUP(A652,Declarations!B$6:F$293,4,FALSE)))</f>
        <v/>
      </c>
      <c r="E652" s="68"/>
      <c r="F652" s="70"/>
      <c r="G652" s="281" t="s">
        <v>149</v>
      </c>
      <c r="H652" s="70"/>
    </row>
    <row r="653" spans="1:8" ht="20" customHeight="1">
      <c r="A653" s="68"/>
      <c r="B653" s="69" t="str">
        <f>IF(ISNA(VLOOKUP(A653,Declarations!B$6:C$293,2,FALSE)),"",IF(VLOOKUP(A653,Declarations!B$6:C$293,2,FALSE)="","---",VLOOKUP(A653,Declarations!B$6:C$293,2,FALSE)))</f>
        <v/>
      </c>
      <c r="C653" s="69" t="str">
        <f>IF(ISNA(VLOOKUP(A653,Declarations!B$6:F$293,5,FALSE)),"",IF(VLOOKUP(A653,Declarations!B$6:F$293,5,FALSE)="","---",VLOOKUP(A653,Declarations!B$6:F$293,5,FALSE)))</f>
        <v/>
      </c>
      <c r="D653" s="69" t="str">
        <f>IF(ISNA(VLOOKUP(A653,Declarations!B$6:F$293,4,FALSE)),"",IF(VLOOKUP(A653,Declarations!B$6:F$293,4,FALSE)="","---",VLOOKUP(A653,Declarations!B$6:F$293,4,FALSE)))</f>
        <v/>
      </c>
      <c r="E653" s="68"/>
      <c r="F653" s="70"/>
      <c r="G653" s="281" t="s">
        <v>149</v>
      </c>
      <c r="H653" s="70"/>
    </row>
    <row r="654" spans="1:8" ht="20" customHeight="1">
      <c r="A654" s="68"/>
      <c r="B654" s="69" t="str">
        <f>IF(ISNA(VLOOKUP(A654,Declarations!B$6:C$293,2,FALSE)),"",IF(VLOOKUP(A654,Declarations!B$6:C$293,2,FALSE)="","---",VLOOKUP(A654,Declarations!B$6:C$293,2,FALSE)))</f>
        <v/>
      </c>
      <c r="C654" s="69" t="str">
        <f>IF(ISNA(VLOOKUP(A654,Declarations!B$6:F$293,5,FALSE)),"",IF(VLOOKUP(A654,Declarations!B$6:F$293,5,FALSE)="","---",VLOOKUP(A654,Declarations!B$6:F$293,5,FALSE)))</f>
        <v/>
      </c>
      <c r="D654" s="69" t="str">
        <f>IF(ISNA(VLOOKUP(A654,Declarations!B$6:F$293,4,FALSE)),"",IF(VLOOKUP(A654,Declarations!B$6:F$293,4,FALSE)="","---",VLOOKUP(A654,Declarations!B$6:F$293,4,FALSE)))</f>
        <v/>
      </c>
      <c r="E654" s="68"/>
      <c r="F654" s="70"/>
      <c r="G654" s="281" t="s">
        <v>149</v>
      </c>
      <c r="H654" s="70"/>
    </row>
    <row r="655" spans="1:8" ht="20" customHeight="1">
      <c r="A655" s="68"/>
      <c r="B655" s="69" t="str">
        <f>IF(ISNA(VLOOKUP(A655,Declarations!B$6:C$293,2,FALSE)),"",IF(VLOOKUP(A655,Declarations!B$6:C$293,2,FALSE)="","---",VLOOKUP(A655,Declarations!B$6:C$293,2,FALSE)))</f>
        <v/>
      </c>
      <c r="C655" s="69" t="str">
        <f>IF(ISNA(VLOOKUP(A655,Declarations!B$6:F$293,5,FALSE)),"",IF(VLOOKUP(A655,Declarations!B$6:F$293,5,FALSE)="","---",VLOOKUP(A655,Declarations!B$6:F$293,5,FALSE)))</f>
        <v/>
      </c>
      <c r="D655" s="69" t="str">
        <f>IF(ISNA(VLOOKUP(A655,Declarations!B$6:F$293,4,FALSE)),"",IF(VLOOKUP(A655,Declarations!B$6:F$293,4,FALSE)="","---",VLOOKUP(A655,Declarations!B$6:F$293,4,FALSE)))</f>
        <v/>
      </c>
      <c r="E655" s="68"/>
      <c r="F655" s="70"/>
      <c r="G655" s="281" t="s">
        <v>149</v>
      </c>
      <c r="H655" s="70"/>
    </row>
    <row r="656" spans="1:8" ht="20" customHeight="1">
      <c r="A656" s="68"/>
      <c r="B656" s="69" t="str">
        <f>IF(ISNA(VLOOKUP(A656,Declarations!B$6:C$293,2,FALSE)),"",IF(VLOOKUP(A656,Declarations!B$6:C$293,2,FALSE)="","---",VLOOKUP(A656,Declarations!B$6:C$293,2,FALSE)))</f>
        <v/>
      </c>
      <c r="C656" s="69" t="str">
        <f>IF(ISNA(VLOOKUP(A656,Declarations!B$6:F$293,5,FALSE)),"",IF(VLOOKUP(A656,Declarations!B$6:F$293,5,FALSE)="","---",VLOOKUP(A656,Declarations!B$6:F$293,5,FALSE)))</f>
        <v/>
      </c>
      <c r="D656" s="69" t="str">
        <f>IF(ISNA(VLOOKUP(A656,Declarations!B$6:F$293,4,FALSE)),"",IF(VLOOKUP(A656,Declarations!B$6:F$293,4,FALSE)="","---",VLOOKUP(A656,Declarations!B$6:F$293,4,FALSE)))</f>
        <v/>
      </c>
      <c r="E656" s="68"/>
      <c r="F656" s="70"/>
      <c r="G656" s="281" t="s">
        <v>149</v>
      </c>
      <c r="H656" s="70"/>
    </row>
    <row r="657" spans="1:8" ht="20" customHeight="1">
      <c r="A657" s="68"/>
      <c r="B657" s="69" t="str">
        <f>IF(ISNA(VLOOKUP(A657,Declarations!B$6:C$293,2,FALSE)),"",IF(VLOOKUP(A657,Declarations!B$6:C$293,2,FALSE)="","---",VLOOKUP(A657,Declarations!B$6:C$293,2,FALSE)))</f>
        <v/>
      </c>
      <c r="C657" s="69" t="str">
        <f>IF(ISNA(VLOOKUP(A657,Declarations!B$6:F$293,5,FALSE)),"",IF(VLOOKUP(A657,Declarations!B$6:F$293,5,FALSE)="","---",VLOOKUP(A657,Declarations!B$6:F$293,5,FALSE)))</f>
        <v/>
      </c>
      <c r="D657" s="69" t="str">
        <f>IF(ISNA(VLOOKUP(A657,Declarations!B$6:F$293,4,FALSE)),"",IF(VLOOKUP(A657,Declarations!B$6:F$293,4,FALSE)="","---",VLOOKUP(A657,Declarations!B$6:F$293,4,FALSE)))</f>
        <v/>
      </c>
      <c r="E657" s="68"/>
      <c r="F657" s="70"/>
      <c r="G657" s="281" t="s">
        <v>149</v>
      </c>
      <c r="H657" s="70"/>
    </row>
    <row r="658" spans="1:8" ht="20" customHeight="1">
      <c r="A658" s="68"/>
      <c r="B658" s="69" t="str">
        <f>IF(ISNA(VLOOKUP(A658,Declarations!B$6:C$293,2,FALSE)),"",IF(VLOOKUP(A658,Declarations!B$6:C$293,2,FALSE)="","---",VLOOKUP(A658,Declarations!B$6:C$293,2,FALSE)))</f>
        <v/>
      </c>
      <c r="C658" s="69" t="str">
        <f>IF(ISNA(VLOOKUP(A658,Declarations!B$6:F$293,5,FALSE)),"",IF(VLOOKUP(A658,Declarations!B$6:F$293,5,FALSE)="","---",VLOOKUP(A658,Declarations!B$6:F$293,5,FALSE)))</f>
        <v/>
      </c>
      <c r="D658" s="69" t="str">
        <f>IF(ISNA(VLOOKUP(A658,Declarations!B$6:F$293,4,FALSE)),"",IF(VLOOKUP(A658,Declarations!B$6:F$293,4,FALSE)="","---",VLOOKUP(A658,Declarations!B$6:F$293,4,FALSE)))</f>
        <v/>
      </c>
      <c r="E658" s="68"/>
      <c r="F658" s="70"/>
      <c r="G658" s="281" t="s">
        <v>149</v>
      </c>
      <c r="H658" s="70"/>
    </row>
    <row r="659" spans="1:8" ht="20" customHeight="1">
      <c r="A659" s="68"/>
      <c r="B659" s="69" t="str">
        <f>IF(ISNA(VLOOKUP(A659,Declarations!B$6:C$293,2,FALSE)),"",IF(VLOOKUP(A659,Declarations!B$6:C$293,2,FALSE)="","---",VLOOKUP(A659,Declarations!B$6:C$293,2,FALSE)))</f>
        <v/>
      </c>
      <c r="C659" s="69" t="str">
        <f>IF(ISNA(VLOOKUP(A659,Declarations!B$6:F$293,5,FALSE)),"",IF(VLOOKUP(A659,Declarations!B$6:F$293,5,FALSE)="","---",VLOOKUP(A659,Declarations!B$6:F$293,5,FALSE)))</f>
        <v/>
      </c>
      <c r="D659" s="69" t="str">
        <f>IF(ISNA(VLOOKUP(A659,Declarations!B$6:F$293,4,FALSE)),"",IF(VLOOKUP(A659,Declarations!B$6:F$293,4,FALSE)="","---",VLOOKUP(A659,Declarations!B$6:F$293,4,FALSE)))</f>
        <v/>
      </c>
      <c r="E659" s="68"/>
      <c r="F659" s="70"/>
      <c r="G659" s="281" t="s">
        <v>149</v>
      </c>
      <c r="H659" s="70"/>
    </row>
    <row r="660" spans="1:8" ht="20" customHeight="1">
      <c r="A660" s="68"/>
      <c r="B660" s="69" t="str">
        <f>IF(ISNA(VLOOKUP(A660,Declarations!B$6:C$293,2,FALSE)),"",IF(VLOOKUP(A660,Declarations!B$6:C$293,2,FALSE)="","---",VLOOKUP(A660,Declarations!B$6:C$293,2,FALSE)))</f>
        <v/>
      </c>
      <c r="C660" s="69" t="str">
        <f>IF(ISNA(VLOOKUP(A660,Declarations!B$6:F$293,5,FALSE)),"",IF(VLOOKUP(A660,Declarations!B$6:F$293,5,FALSE)="","---",VLOOKUP(A660,Declarations!B$6:F$293,5,FALSE)))</f>
        <v/>
      </c>
      <c r="D660" s="69" t="str">
        <f>IF(ISNA(VLOOKUP(A660,Declarations!B$6:F$293,4,FALSE)),"",IF(VLOOKUP(A660,Declarations!B$6:F$293,4,FALSE)="","---",VLOOKUP(A660,Declarations!B$6:F$293,4,FALSE)))</f>
        <v/>
      </c>
      <c r="E660" s="68"/>
      <c r="F660" s="70"/>
      <c r="G660" s="281" t="s">
        <v>149</v>
      </c>
      <c r="H660" s="70"/>
    </row>
    <row r="661" spans="1:8" ht="20" customHeight="1">
      <c r="A661" s="68"/>
      <c r="B661" s="69" t="str">
        <f>IF(ISNA(VLOOKUP(A661,Declarations!B$6:C$293,2,FALSE)),"",IF(VLOOKUP(A661,Declarations!B$6:C$293,2,FALSE)="","---",VLOOKUP(A661,Declarations!B$6:C$293,2,FALSE)))</f>
        <v/>
      </c>
      <c r="C661" s="69" t="str">
        <f>IF(ISNA(VLOOKUP(A661,Declarations!B$6:F$293,5,FALSE)),"",IF(VLOOKUP(A661,Declarations!B$6:F$293,5,FALSE)="","---",VLOOKUP(A661,Declarations!B$6:F$293,5,FALSE)))</f>
        <v/>
      </c>
      <c r="D661" s="69" t="str">
        <f>IF(ISNA(VLOOKUP(A661,Declarations!B$6:F$293,4,FALSE)),"",IF(VLOOKUP(A661,Declarations!B$6:F$293,4,FALSE)="","---",VLOOKUP(A661,Declarations!B$6:F$293,4,FALSE)))</f>
        <v/>
      </c>
      <c r="E661" s="70"/>
      <c r="F661" s="70"/>
      <c r="G661" s="281" t="s">
        <v>149</v>
      </c>
      <c r="H661" s="70"/>
    </row>
    <row r="662" spans="1:8" ht="20" customHeight="1">
      <c r="A662" s="68"/>
      <c r="B662" s="69" t="str">
        <f>IF(ISNA(VLOOKUP(A662,Declarations!B$6:C$293,2,FALSE)),"",IF(VLOOKUP(A662,Declarations!B$6:C$293,2,FALSE)="","---",VLOOKUP(A662,Declarations!B$6:C$293,2,FALSE)))</f>
        <v/>
      </c>
      <c r="C662" s="69" t="str">
        <f>IF(ISNA(VLOOKUP(A662,Declarations!B$6:F$293,5,FALSE)),"",IF(VLOOKUP(A662,Declarations!B$6:F$293,5,FALSE)="","---",VLOOKUP(A662,Declarations!B$6:F$293,5,FALSE)))</f>
        <v/>
      </c>
      <c r="D662" s="69" t="str">
        <f>IF(ISNA(VLOOKUP(A662,Declarations!B$6:F$293,4,FALSE)),"",IF(VLOOKUP(A662,Declarations!B$6:F$293,4,FALSE)="","---",VLOOKUP(A662,Declarations!B$6:F$293,4,FALSE)))</f>
        <v/>
      </c>
      <c r="E662" s="70"/>
      <c r="F662" s="70"/>
      <c r="G662" s="281" t="s">
        <v>149</v>
      </c>
      <c r="H662" s="70"/>
    </row>
    <row r="663" spans="1:8" ht="20" customHeight="1">
      <c r="A663" s="68"/>
      <c r="B663" s="69" t="str">
        <f>IF(ISNA(VLOOKUP(A663,Declarations!B$6:C$293,2,FALSE)),"",IF(VLOOKUP(A663,Declarations!B$6:C$293,2,FALSE)="","---",VLOOKUP(A663,Declarations!B$6:C$293,2,FALSE)))</f>
        <v/>
      </c>
      <c r="C663" s="69" t="str">
        <f>IF(ISNA(VLOOKUP(A663,Declarations!B$6:F$293,5,FALSE)),"",IF(VLOOKUP(A663,Declarations!B$6:F$293,5,FALSE)="","---",VLOOKUP(A663,Declarations!B$6:F$293,5,FALSE)))</f>
        <v/>
      </c>
      <c r="D663" s="69" t="str">
        <f>IF(ISNA(VLOOKUP(A663,Declarations!B$6:F$293,4,FALSE)),"",IF(VLOOKUP(A663,Declarations!B$6:F$293,4,FALSE)="","---",VLOOKUP(A663,Declarations!B$6:F$293,4,FALSE)))</f>
        <v/>
      </c>
      <c r="E663" s="70"/>
      <c r="F663" s="70"/>
      <c r="G663" s="281" t="s">
        <v>149</v>
      </c>
      <c r="H663" s="70"/>
    </row>
    <row r="664" spans="1:8" ht="20" customHeight="1">
      <c r="A664" s="68"/>
      <c r="B664" s="69" t="str">
        <f>IF(ISNA(VLOOKUP(A664,Declarations!B$6:C$293,2,FALSE)),"",IF(VLOOKUP(A664,Declarations!B$6:C$293,2,FALSE)="","---",VLOOKUP(A664,Declarations!B$6:C$293,2,FALSE)))</f>
        <v/>
      </c>
      <c r="C664" s="69" t="str">
        <f>IF(ISNA(VLOOKUP(A664,Declarations!B$6:F$293,5,FALSE)),"",IF(VLOOKUP(A664,Declarations!B$6:F$293,5,FALSE)="","---",VLOOKUP(A664,Declarations!B$6:F$293,5,FALSE)))</f>
        <v/>
      </c>
      <c r="D664" s="69" t="str">
        <f>IF(ISNA(VLOOKUP(A664,Declarations!B$6:F$293,4,FALSE)),"",IF(VLOOKUP(A664,Declarations!B$6:F$293,4,FALSE)="","---",VLOOKUP(A664,Declarations!B$6:F$293,4,FALSE)))</f>
        <v/>
      </c>
      <c r="E664" s="70"/>
      <c r="F664" s="70"/>
      <c r="G664" s="281" t="s">
        <v>149</v>
      </c>
      <c r="H664" s="70"/>
    </row>
    <row r="665" spans="1:8" ht="20" customHeight="1">
      <c r="A665" s="68"/>
      <c r="B665" s="69" t="str">
        <f>IF(ISNA(VLOOKUP(A665,Declarations!B$6:C$293,2,FALSE)),"",IF(VLOOKUP(A665,Declarations!B$6:C$293,2,FALSE)="","---",VLOOKUP(A665,Declarations!B$6:C$293,2,FALSE)))</f>
        <v/>
      </c>
      <c r="C665" s="69" t="str">
        <f>IF(ISNA(VLOOKUP(A665,Declarations!B$6:F$293,5,FALSE)),"",IF(VLOOKUP(A665,Declarations!B$6:F$293,5,FALSE)="","---",VLOOKUP(A665,Declarations!B$6:F$293,5,FALSE)))</f>
        <v/>
      </c>
      <c r="D665" s="69" t="str">
        <f>IF(ISNA(VLOOKUP(A665,Declarations!B$6:F$293,4,FALSE)),"",IF(VLOOKUP(A665,Declarations!B$6:F$293,4,FALSE)="","---",VLOOKUP(A665,Declarations!B$6:F$293,4,FALSE)))</f>
        <v/>
      </c>
      <c r="E665" s="70"/>
      <c r="F665" s="70"/>
      <c r="G665" s="281" t="s">
        <v>149</v>
      </c>
      <c r="H665" s="70"/>
    </row>
    <row r="666" spans="1:8" ht="20" customHeight="1">
      <c r="A666" s="68"/>
      <c r="B666" s="69" t="str">
        <f>IF(ISNA(VLOOKUP(A666,Declarations!B$6:C$293,2,FALSE)),"",IF(VLOOKUP(A666,Declarations!B$6:C$293,2,FALSE)="","---",VLOOKUP(A666,Declarations!B$6:C$293,2,FALSE)))</f>
        <v/>
      </c>
      <c r="C666" s="69" t="str">
        <f>IF(ISNA(VLOOKUP(A666,Declarations!B$6:F$293,5,FALSE)),"",IF(VLOOKUP(A666,Declarations!B$6:F$293,5,FALSE)="","---",VLOOKUP(A666,Declarations!B$6:F$293,5,FALSE)))</f>
        <v/>
      </c>
      <c r="D666" s="69" t="str">
        <f>IF(ISNA(VLOOKUP(A666,Declarations!B$6:F$293,4,FALSE)),"",IF(VLOOKUP(A666,Declarations!B$6:F$293,4,FALSE)="","---",VLOOKUP(A666,Declarations!B$6:F$293,4,FALSE)))</f>
        <v/>
      </c>
      <c r="E666" s="70"/>
      <c r="F666" s="70"/>
      <c r="G666" s="281" t="s">
        <v>149</v>
      </c>
      <c r="H666" s="70"/>
    </row>
    <row r="667" spans="1:8" ht="20" customHeight="1">
      <c r="A667" s="68"/>
      <c r="B667" s="69" t="str">
        <f>IF(ISNA(VLOOKUP(A667,Declarations!B$6:C$293,2,FALSE)),"",IF(VLOOKUP(A667,Declarations!B$6:C$293,2,FALSE)="","---",VLOOKUP(A667,Declarations!B$6:C$293,2,FALSE)))</f>
        <v/>
      </c>
      <c r="C667" s="69" t="str">
        <f>IF(ISNA(VLOOKUP(A667,Declarations!B$6:F$293,5,FALSE)),"",IF(VLOOKUP(A667,Declarations!B$6:F$293,5,FALSE)="","---",VLOOKUP(A667,Declarations!B$6:F$293,5,FALSE)))</f>
        <v/>
      </c>
      <c r="D667" s="69" t="str">
        <f>IF(ISNA(VLOOKUP(A667,Declarations!B$6:F$293,4,FALSE)),"",IF(VLOOKUP(A667,Declarations!B$6:F$293,4,FALSE)="","---",VLOOKUP(A667,Declarations!B$6:F$293,4,FALSE)))</f>
        <v/>
      </c>
      <c r="E667" s="70"/>
      <c r="F667" s="70"/>
      <c r="G667" s="281" t="s">
        <v>149</v>
      </c>
      <c r="H667" s="70"/>
    </row>
    <row r="668" spans="1:8" ht="20" customHeight="1">
      <c r="A668" s="68"/>
      <c r="B668" s="69" t="str">
        <f>IF(ISNA(VLOOKUP(A668,Declarations!B$6:C$293,2,FALSE)),"",IF(VLOOKUP(A668,Declarations!B$6:C$293,2,FALSE)="","---",VLOOKUP(A668,Declarations!B$6:C$293,2,FALSE)))</f>
        <v/>
      </c>
      <c r="C668" s="69" t="str">
        <f>IF(ISNA(VLOOKUP(A668,Declarations!B$6:F$293,5,FALSE)),"",IF(VLOOKUP(A668,Declarations!B$6:F$293,5,FALSE)="","---",VLOOKUP(A668,Declarations!B$6:F$293,5,FALSE)))</f>
        <v/>
      </c>
      <c r="D668" s="69" t="str">
        <f>IF(ISNA(VLOOKUP(A668,Declarations!B$6:F$293,4,FALSE)),"",IF(VLOOKUP(A668,Declarations!B$6:F$293,4,FALSE)="","---",VLOOKUP(A668,Declarations!B$6:F$293,4,FALSE)))</f>
        <v/>
      </c>
      <c r="E668" s="70"/>
      <c r="F668" s="70"/>
      <c r="G668" s="281" t="s">
        <v>149</v>
      </c>
      <c r="H668" s="70"/>
    </row>
    <row r="669" spans="1:8" ht="20" customHeight="1">
      <c r="A669" s="68"/>
      <c r="B669" s="69" t="str">
        <f>IF(ISNA(VLOOKUP(A669,Declarations!B$6:C$293,2,FALSE)),"",IF(VLOOKUP(A669,Declarations!B$6:C$293,2,FALSE)="","---",VLOOKUP(A669,Declarations!B$6:C$293,2,FALSE)))</f>
        <v/>
      </c>
      <c r="C669" s="69" t="str">
        <f>IF(ISNA(VLOOKUP(A669,Declarations!B$6:F$293,5,FALSE)),"",IF(VLOOKUP(A669,Declarations!B$6:F$293,5,FALSE)="","---",VLOOKUP(A669,Declarations!B$6:F$293,5,FALSE)))</f>
        <v/>
      </c>
      <c r="D669" s="69" t="str">
        <f>IF(ISNA(VLOOKUP(A669,Declarations!B$6:F$293,4,FALSE)),"",IF(VLOOKUP(A669,Declarations!B$6:F$293,4,FALSE)="","---",VLOOKUP(A669,Declarations!B$6:F$293,4,FALSE)))</f>
        <v/>
      </c>
      <c r="E669" s="70"/>
      <c r="F669" s="70"/>
      <c r="G669" s="281" t="s">
        <v>149</v>
      </c>
      <c r="H669" s="70"/>
    </row>
    <row r="670" spans="1:8" ht="20" customHeight="1">
      <c r="A670" s="68"/>
      <c r="B670" s="69" t="str">
        <f>IF(ISNA(VLOOKUP(A670,Declarations!B$6:C$293,2,FALSE)),"",IF(VLOOKUP(A670,Declarations!B$6:C$293,2,FALSE)="","---",VLOOKUP(A670,Declarations!B$6:C$293,2,FALSE)))</f>
        <v/>
      </c>
      <c r="C670" s="69" t="str">
        <f>IF(ISNA(VLOOKUP(A670,Declarations!B$6:F$293,5,FALSE)),"",IF(VLOOKUP(A670,Declarations!B$6:F$293,5,FALSE)="","---",VLOOKUP(A670,Declarations!B$6:F$293,5,FALSE)))</f>
        <v/>
      </c>
      <c r="D670" s="69" t="str">
        <f>IF(ISNA(VLOOKUP(A670,Declarations!B$6:F$293,4,FALSE)),"",IF(VLOOKUP(A670,Declarations!B$6:F$293,4,FALSE)="","---",VLOOKUP(A670,Declarations!B$6:F$293,4,FALSE)))</f>
        <v/>
      </c>
      <c r="E670" s="70"/>
      <c r="F670" s="70"/>
      <c r="G670" s="281" t="s">
        <v>149</v>
      </c>
      <c r="H670" s="70"/>
    </row>
    <row r="671" spans="1:8" ht="20" customHeight="1">
      <c r="A671" s="68"/>
      <c r="B671" s="69" t="str">
        <f>IF(ISNA(VLOOKUP(A671,Declarations!B$6:C$293,2,FALSE)),"",IF(VLOOKUP(A671,Declarations!B$6:C$293,2,FALSE)="","---",VLOOKUP(A671,Declarations!B$6:C$293,2,FALSE)))</f>
        <v/>
      </c>
      <c r="C671" s="69" t="str">
        <f>IF(ISNA(VLOOKUP(A671,Declarations!B$6:F$293,5,FALSE)),"",IF(VLOOKUP(A671,Declarations!B$6:F$293,5,FALSE)="","---",VLOOKUP(A671,Declarations!B$6:F$293,5,FALSE)))</f>
        <v/>
      </c>
      <c r="D671" s="69" t="str">
        <f>IF(ISNA(VLOOKUP(A671,Declarations!B$6:F$293,4,FALSE)),"",IF(VLOOKUP(A671,Declarations!B$6:F$293,4,FALSE)="","---",VLOOKUP(A671,Declarations!B$6:F$293,4,FALSE)))</f>
        <v/>
      </c>
      <c r="E671" s="70"/>
      <c r="F671" s="70"/>
      <c r="G671" s="281" t="s">
        <v>149</v>
      </c>
      <c r="H671" s="70"/>
    </row>
    <row r="672" spans="1:8" ht="20" customHeight="1">
      <c r="A672" s="68"/>
      <c r="B672" s="69" t="str">
        <f>IF(ISNA(VLOOKUP(A672,Declarations!B$6:C$293,2,FALSE)),"",IF(VLOOKUP(A672,Declarations!B$6:C$293,2,FALSE)="","---",VLOOKUP(A672,Declarations!B$6:C$293,2,FALSE)))</f>
        <v/>
      </c>
      <c r="C672" s="69" t="str">
        <f>IF(ISNA(VLOOKUP(A672,Declarations!B$6:F$293,5,FALSE)),"",IF(VLOOKUP(A672,Declarations!B$6:F$293,5,FALSE)="","---",VLOOKUP(A672,Declarations!B$6:F$293,5,FALSE)))</f>
        <v/>
      </c>
      <c r="D672" s="69" t="str">
        <f>IF(ISNA(VLOOKUP(A672,Declarations!B$6:F$293,4,FALSE)),"",IF(VLOOKUP(A672,Declarations!B$6:F$293,4,FALSE)="","---",VLOOKUP(A672,Declarations!B$6:F$293,4,FALSE)))</f>
        <v/>
      </c>
      <c r="E672" s="70"/>
      <c r="F672" s="70"/>
      <c r="G672" s="281" t="s">
        <v>149</v>
      </c>
      <c r="H672" s="70"/>
    </row>
    <row r="673" spans="1:8" ht="20" customHeight="1">
      <c r="A673" s="68"/>
      <c r="B673" s="69" t="str">
        <f>IF(ISNA(VLOOKUP(A673,Declarations!B$6:C$293,2,FALSE)),"",IF(VLOOKUP(A673,Declarations!B$6:C$293,2,FALSE)="","---",VLOOKUP(A673,Declarations!B$6:C$293,2,FALSE)))</f>
        <v/>
      </c>
      <c r="C673" s="69" t="str">
        <f>IF(ISNA(VLOOKUP(A673,Declarations!B$6:F$293,5,FALSE)),"",IF(VLOOKUP(A673,Declarations!B$6:F$293,5,FALSE)="","---",VLOOKUP(A673,Declarations!B$6:F$293,5,FALSE)))</f>
        <v/>
      </c>
      <c r="D673" s="69" t="str">
        <f>IF(ISNA(VLOOKUP(A673,Declarations!B$6:F$293,4,FALSE)),"",IF(VLOOKUP(A673,Declarations!B$6:F$293,4,FALSE)="","---",VLOOKUP(A673,Declarations!B$6:F$293,4,FALSE)))</f>
        <v/>
      </c>
      <c r="E673" s="70"/>
      <c r="F673" s="70"/>
      <c r="G673" s="281" t="s">
        <v>149</v>
      </c>
      <c r="H673" s="70"/>
    </row>
    <row r="674" spans="1:8" ht="20" customHeight="1">
      <c r="A674" s="68"/>
      <c r="B674" s="69" t="str">
        <f>IF(ISNA(VLOOKUP(A674,Declarations!B$6:C$293,2,FALSE)),"",IF(VLOOKUP(A674,Declarations!B$6:C$293,2,FALSE)="","---",VLOOKUP(A674,Declarations!B$6:C$293,2,FALSE)))</f>
        <v/>
      </c>
      <c r="C674" s="69" t="str">
        <f>IF(ISNA(VLOOKUP(A674,Declarations!B$6:F$293,5,FALSE)),"",IF(VLOOKUP(A674,Declarations!B$6:F$293,5,FALSE)="","---",VLOOKUP(A674,Declarations!B$6:F$293,5,FALSE)))</f>
        <v/>
      </c>
      <c r="D674" s="69" t="str">
        <f>IF(ISNA(VLOOKUP(A674,Declarations!B$6:F$293,4,FALSE)),"",IF(VLOOKUP(A674,Declarations!B$6:F$293,4,FALSE)="","---",VLOOKUP(A674,Declarations!B$6:F$293,4,FALSE)))</f>
        <v/>
      </c>
      <c r="E674" s="70"/>
      <c r="F674" s="70"/>
      <c r="G674" s="281" t="s">
        <v>149</v>
      </c>
      <c r="H674" s="70"/>
    </row>
    <row r="675" spans="1:8">
      <c r="A675" s="71"/>
      <c r="B675" s="72"/>
      <c r="C675" s="72"/>
      <c r="D675" s="72"/>
      <c r="E675" s="73"/>
      <c r="F675" s="73"/>
      <c r="G675" s="73"/>
      <c r="H675" s="73"/>
    </row>
    <row r="676" spans="1:8">
      <c r="A676" s="71"/>
      <c r="B676" s="510" t="s">
        <v>213</v>
      </c>
      <c r="C676" s="511"/>
      <c r="D676" s="72"/>
      <c r="E676" s="509" t="s">
        <v>93</v>
      </c>
      <c r="F676" s="509"/>
      <c r="G676" s="501" t="s">
        <v>43</v>
      </c>
      <c r="H676" s="501"/>
    </row>
    <row r="677" spans="1:8" ht="16" customHeight="1">
      <c r="A677" s="71"/>
      <c r="B677" s="512"/>
      <c r="C677" s="513"/>
      <c r="D677" s="72"/>
      <c r="E677" s="501"/>
      <c r="F677" s="501"/>
      <c r="G677" s="501"/>
      <c r="H677" s="501"/>
    </row>
    <row r="678" spans="1:8">
      <c r="A678" s="71"/>
      <c r="B678" s="512"/>
      <c r="C678" s="513"/>
      <c r="D678" s="72"/>
      <c r="E678" s="501"/>
      <c r="F678" s="501"/>
      <c r="G678" s="501"/>
      <c r="H678" s="501"/>
    </row>
    <row r="679" spans="1:8">
      <c r="A679" s="71"/>
      <c r="B679" s="514"/>
      <c r="C679" s="515"/>
      <c r="D679" s="72"/>
      <c r="E679" s="501"/>
      <c r="F679" s="501"/>
      <c r="G679" s="501"/>
      <c r="H679" s="501"/>
    </row>
    <row r="680" spans="1:8" ht="8" customHeight="1">
      <c r="A680" s="71"/>
      <c r="B680" s="72"/>
      <c r="C680" s="72"/>
      <c r="D680" s="72"/>
      <c r="E680" s="73"/>
      <c r="F680" s="73"/>
      <c r="G680" s="73"/>
      <c r="H680" s="73"/>
    </row>
    <row r="681" spans="1:8" ht="20">
      <c r="A681" s="502" t="str">
        <f>'Read Me First'!A1:F1</f>
        <v>Oxfordshire Track and Field League 2026</v>
      </c>
      <c r="B681" s="503"/>
      <c r="C681" s="503"/>
      <c r="D681" s="503"/>
      <c r="E681" s="503"/>
      <c r="F681" s="503"/>
      <c r="G681" s="503"/>
      <c r="H681" s="504"/>
    </row>
    <row r="682" spans="1:8" ht="18">
      <c r="A682" s="61" t="s">
        <v>12</v>
      </c>
      <c r="B682" s="62">
        <f>'Read Me First'!$C$10</f>
        <v>46250</v>
      </c>
      <c r="C682" s="77">
        <v>0.52083333333333337</v>
      </c>
      <c r="D682" s="61" t="s">
        <v>13</v>
      </c>
      <c r="E682" s="505" t="str">
        <f>$E$2</f>
        <v>Banbury</v>
      </c>
      <c r="F682" s="506"/>
      <c r="G682" s="506"/>
      <c r="H682" s="507"/>
    </row>
    <row r="683" spans="1:8" ht="18">
      <c r="A683" s="508" t="s">
        <v>56</v>
      </c>
      <c r="B683" s="508"/>
      <c r="C683" s="508"/>
      <c r="D683" s="508"/>
      <c r="E683" s="60">
        <v>1</v>
      </c>
      <c r="F683" s="60">
        <v>2</v>
      </c>
      <c r="G683" s="60">
        <v>3</v>
      </c>
      <c r="H683" s="60" t="s">
        <v>42</v>
      </c>
    </row>
    <row r="684" spans="1:8" ht="18">
      <c r="A684" s="66"/>
      <c r="B684" s="66"/>
      <c r="C684" s="66"/>
      <c r="D684" s="66"/>
      <c r="E684" s="67"/>
      <c r="F684" s="67"/>
      <c r="G684" s="67"/>
      <c r="H684" s="67"/>
    </row>
    <row r="685" spans="1:8" ht="20" customHeight="1">
      <c r="A685" s="68" t="str" cm="1">
        <f t="array" ref="A685">IFERROR(_xlfn.TEXTSPLIT(IFERROR(_xlfn.TEXTJOIN(",",TRUE,_xlfn._xlws.FILTER(BlockAllocations!$F$3:$F$20,BlockAllocations!$E$3:$E$20=BlockAllocations!$G$13)),""),,",")+0,"!")</f>
        <v>!</v>
      </c>
      <c r="B685" s="69" t="str">
        <f>IF(ISNA(VLOOKUP(A685,Declarations!B$6:C$293,2,FALSE)),"",IF(VLOOKUP(A685,Declarations!B$6:C$293,2,FALSE)="","---",VLOOKUP(A685,Declarations!B$6:C$293,2,FALSE)))</f>
        <v/>
      </c>
      <c r="C685" s="69" t="str">
        <f>IF(ISNA(VLOOKUP(A685,Declarations!B$6:F$293,5,FALSE)),"",IF(VLOOKUP(A685,Declarations!B$6:F$293,5,FALSE)="","---",VLOOKUP(A685,Declarations!B$6:F$293,5,FALSE)))</f>
        <v/>
      </c>
      <c r="D685" s="69" t="str">
        <f>IF(ISNA(VLOOKUP(A685,Declarations!B$6:F$293,4,FALSE)),"",IF(VLOOKUP(A685,Declarations!B$6:F$293,4,FALSE)="","---",VLOOKUP(A685,Declarations!B$6:F$293,4,FALSE)))</f>
        <v/>
      </c>
      <c r="E685" s="68"/>
      <c r="F685" s="70"/>
      <c r="G685" s="281" t="s">
        <v>149</v>
      </c>
      <c r="H685" s="70"/>
    </row>
    <row r="686" spans="1:8" ht="20" customHeight="1">
      <c r="A686" s="68"/>
      <c r="B686" s="69" t="str">
        <f>IF(ISNA(VLOOKUP(A686,Declarations!B$6:C$293,2,FALSE)),"",IF(VLOOKUP(A686,Declarations!B$6:C$293,2,FALSE)="","---",VLOOKUP(A686,Declarations!B$6:C$293,2,FALSE)))</f>
        <v/>
      </c>
      <c r="C686" s="69" t="str">
        <f>IF(ISNA(VLOOKUP(A686,Declarations!B$6:F$293,5,FALSE)),"",IF(VLOOKUP(A686,Declarations!B$6:F$293,5,FALSE)="","---",VLOOKUP(A686,Declarations!B$6:F$293,5,FALSE)))</f>
        <v/>
      </c>
      <c r="D686" s="69" t="str">
        <f>IF(ISNA(VLOOKUP(A686,Declarations!B$6:F$293,4,FALSE)),"",IF(VLOOKUP(A686,Declarations!B$6:F$293,4,FALSE)="","---",VLOOKUP(A686,Declarations!B$6:F$293,4,FALSE)))</f>
        <v/>
      </c>
      <c r="E686" s="68"/>
      <c r="F686" s="70"/>
      <c r="G686" s="281" t="s">
        <v>149</v>
      </c>
      <c r="H686" s="70"/>
    </row>
    <row r="687" spans="1:8" ht="20" customHeight="1">
      <c r="A687" s="68"/>
      <c r="B687" s="69" t="str">
        <f>IF(ISNA(VLOOKUP(A687,Declarations!B$6:C$293,2,FALSE)),"",IF(VLOOKUP(A687,Declarations!B$6:C$293,2,FALSE)="","---",VLOOKUP(A687,Declarations!B$6:C$293,2,FALSE)))</f>
        <v/>
      </c>
      <c r="C687" s="69" t="str">
        <f>IF(ISNA(VLOOKUP(A687,Declarations!B$6:F$293,5,FALSE)),"",IF(VLOOKUP(A687,Declarations!B$6:F$293,5,FALSE)="","---",VLOOKUP(A687,Declarations!B$6:F$293,5,FALSE)))</f>
        <v/>
      </c>
      <c r="D687" s="69" t="str">
        <f>IF(ISNA(VLOOKUP(A687,Declarations!B$6:F$293,4,FALSE)),"",IF(VLOOKUP(A687,Declarations!B$6:F$293,4,FALSE)="","---",VLOOKUP(A687,Declarations!B$6:F$293,4,FALSE)))</f>
        <v/>
      </c>
      <c r="E687" s="68"/>
      <c r="F687" s="70"/>
      <c r="G687" s="281" t="s">
        <v>149</v>
      </c>
      <c r="H687" s="70"/>
    </row>
    <row r="688" spans="1:8" ht="20" customHeight="1">
      <c r="A688" s="68"/>
      <c r="B688" s="69" t="str">
        <f>IF(ISNA(VLOOKUP(A688,Declarations!B$6:C$293,2,FALSE)),"",IF(VLOOKUP(A688,Declarations!B$6:C$293,2,FALSE)="","---",VLOOKUP(A688,Declarations!B$6:C$293,2,FALSE)))</f>
        <v/>
      </c>
      <c r="C688" s="69" t="str">
        <f>IF(ISNA(VLOOKUP(A688,Declarations!B$6:F$293,5,FALSE)),"",IF(VLOOKUP(A688,Declarations!B$6:F$293,5,FALSE)="","---",VLOOKUP(A688,Declarations!B$6:F$293,5,FALSE)))</f>
        <v/>
      </c>
      <c r="D688" s="69" t="str">
        <f>IF(ISNA(VLOOKUP(A688,Declarations!B$6:F$293,4,FALSE)),"",IF(VLOOKUP(A688,Declarations!B$6:F$293,4,FALSE)="","---",VLOOKUP(A688,Declarations!B$6:F$293,4,FALSE)))</f>
        <v/>
      </c>
      <c r="E688" s="68"/>
      <c r="F688" s="70"/>
      <c r="G688" s="281" t="s">
        <v>149</v>
      </c>
      <c r="H688" s="70"/>
    </row>
    <row r="689" spans="1:8" ht="20" customHeight="1">
      <c r="A689" s="68"/>
      <c r="B689" s="69" t="str">
        <f>IF(ISNA(VLOOKUP(A689,Declarations!B$6:C$293,2,FALSE)),"",IF(VLOOKUP(A689,Declarations!B$6:C$293,2,FALSE)="","---",VLOOKUP(A689,Declarations!B$6:C$293,2,FALSE)))</f>
        <v/>
      </c>
      <c r="C689" s="69" t="str">
        <f>IF(ISNA(VLOOKUP(A689,Declarations!B$6:F$293,5,FALSE)),"",IF(VLOOKUP(A689,Declarations!B$6:F$293,5,FALSE)="","---",VLOOKUP(A689,Declarations!B$6:F$293,5,FALSE)))</f>
        <v/>
      </c>
      <c r="D689" s="69" t="str">
        <f>IF(ISNA(VLOOKUP(A689,Declarations!B$6:F$293,4,FALSE)),"",IF(VLOOKUP(A689,Declarations!B$6:F$293,4,FALSE)="","---",VLOOKUP(A689,Declarations!B$6:F$293,4,FALSE)))</f>
        <v/>
      </c>
      <c r="E689" s="68"/>
      <c r="F689" s="70"/>
      <c r="G689" s="281" t="s">
        <v>149</v>
      </c>
      <c r="H689" s="70"/>
    </row>
    <row r="690" spans="1:8" ht="20" customHeight="1">
      <c r="A690" s="68"/>
      <c r="B690" s="69" t="str">
        <f>IF(ISNA(VLOOKUP(A690,Declarations!B$6:C$293,2,FALSE)),"",IF(VLOOKUP(A690,Declarations!B$6:C$293,2,FALSE)="","---",VLOOKUP(A690,Declarations!B$6:C$293,2,FALSE)))</f>
        <v/>
      </c>
      <c r="C690" s="69" t="str">
        <f>IF(ISNA(VLOOKUP(A690,Declarations!B$6:F$293,5,FALSE)),"",IF(VLOOKUP(A690,Declarations!B$6:F$293,5,FALSE)="","---",VLOOKUP(A690,Declarations!B$6:F$293,5,FALSE)))</f>
        <v/>
      </c>
      <c r="D690" s="69" t="str">
        <f>IF(ISNA(VLOOKUP(A690,Declarations!B$6:F$293,4,FALSE)),"",IF(VLOOKUP(A690,Declarations!B$6:F$293,4,FALSE)="","---",VLOOKUP(A690,Declarations!B$6:F$293,4,FALSE)))</f>
        <v/>
      </c>
      <c r="E690" s="68"/>
      <c r="F690" s="70"/>
      <c r="G690" s="281" t="s">
        <v>149</v>
      </c>
      <c r="H690" s="70"/>
    </row>
    <row r="691" spans="1:8" ht="20" customHeight="1">
      <c r="A691" s="68"/>
      <c r="B691" s="69" t="str">
        <f>IF(ISNA(VLOOKUP(A691,Declarations!B$6:C$293,2,FALSE)),"",IF(VLOOKUP(A691,Declarations!B$6:C$293,2,FALSE)="","---",VLOOKUP(A691,Declarations!B$6:C$293,2,FALSE)))</f>
        <v/>
      </c>
      <c r="C691" s="69" t="str">
        <f>IF(ISNA(VLOOKUP(A691,Declarations!B$6:F$293,5,FALSE)),"",IF(VLOOKUP(A691,Declarations!B$6:F$293,5,FALSE)="","---",VLOOKUP(A691,Declarations!B$6:F$293,5,FALSE)))</f>
        <v/>
      </c>
      <c r="D691" s="69" t="str">
        <f>IF(ISNA(VLOOKUP(A691,Declarations!B$6:F$293,4,FALSE)),"",IF(VLOOKUP(A691,Declarations!B$6:F$293,4,FALSE)="","---",VLOOKUP(A691,Declarations!B$6:F$293,4,FALSE)))</f>
        <v/>
      </c>
      <c r="E691" s="68"/>
      <c r="F691" s="70"/>
      <c r="G691" s="281" t="s">
        <v>149</v>
      </c>
      <c r="H691" s="70"/>
    </row>
    <row r="692" spans="1:8" ht="20" customHeight="1">
      <c r="A692" s="68"/>
      <c r="B692" s="69" t="str">
        <f>IF(ISNA(VLOOKUP(A692,Declarations!B$6:C$293,2,FALSE)),"",IF(VLOOKUP(A692,Declarations!B$6:C$293,2,FALSE)="","---",VLOOKUP(A692,Declarations!B$6:C$293,2,FALSE)))</f>
        <v/>
      </c>
      <c r="C692" s="69" t="str">
        <f>IF(ISNA(VLOOKUP(A692,Declarations!B$6:F$293,5,FALSE)),"",IF(VLOOKUP(A692,Declarations!B$6:F$293,5,FALSE)="","---",VLOOKUP(A692,Declarations!B$6:F$293,5,FALSE)))</f>
        <v/>
      </c>
      <c r="D692" s="69" t="str">
        <f>IF(ISNA(VLOOKUP(A692,Declarations!B$6:F$293,4,FALSE)),"",IF(VLOOKUP(A692,Declarations!B$6:F$293,4,FALSE)="","---",VLOOKUP(A692,Declarations!B$6:F$293,4,FALSE)))</f>
        <v/>
      </c>
      <c r="E692" s="68"/>
      <c r="F692" s="70"/>
      <c r="G692" s="281" t="s">
        <v>149</v>
      </c>
      <c r="H692" s="70"/>
    </row>
    <row r="693" spans="1:8" ht="20" customHeight="1">
      <c r="A693" s="68"/>
      <c r="B693" s="69" t="str">
        <f>IF(ISNA(VLOOKUP(A693,Declarations!B$6:C$293,2,FALSE)),"",IF(VLOOKUP(A693,Declarations!B$6:C$293,2,FALSE)="","---",VLOOKUP(A693,Declarations!B$6:C$293,2,FALSE)))</f>
        <v/>
      </c>
      <c r="C693" s="69" t="str">
        <f>IF(ISNA(VLOOKUP(A693,Declarations!B$6:F$293,5,FALSE)),"",IF(VLOOKUP(A693,Declarations!B$6:F$293,5,FALSE)="","---",VLOOKUP(A693,Declarations!B$6:F$293,5,FALSE)))</f>
        <v/>
      </c>
      <c r="D693" s="69" t="str">
        <f>IF(ISNA(VLOOKUP(A693,Declarations!B$6:F$293,4,FALSE)),"",IF(VLOOKUP(A693,Declarations!B$6:F$293,4,FALSE)="","---",VLOOKUP(A693,Declarations!B$6:F$293,4,FALSE)))</f>
        <v/>
      </c>
      <c r="E693" s="68"/>
      <c r="F693" s="70"/>
      <c r="G693" s="281" t="s">
        <v>149</v>
      </c>
      <c r="H693" s="70"/>
    </row>
    <row r="694" spans="1:8" ht="20" customHeight="1">
      <c r="A694" s="68"/>
      <c r="B694" s="69" t="str">
        <f>IF(ISNA(VLOOKUP(A694,Declarations!B$6:C$293,2,FALSE)),"",IF(VLOOKUP(A694,Declarations!B$6:C$293,2,FALSE)="","---",VLOOKUP(A694,Declarations!B$6:C$293,2,FALSE)))</f>
        <v/>
      </c>
      <c r="C694" s="69" t="str">
        <f>IF(ISNA(VLOOKUP(A694,Declarations!B$6:F$293,5,FALSE)),"",IF(VLOOKUP(A694,Declarations!B$6:F$293,5,FALSE)="","---",VLOOKUP(A694,Declarations!B$6:F$293,5,FALSE)))</f>
        <v/>
      </c>
      <c r="D694" s="69" t="str">
        <f>IF(ISNA(VLOOKUP(A694,Declarations!B$6:F$293,4,FALSE)),"",IF(VLOOKUP(A694,Declarations!B$6:F$293,4,FALSE)="","---",VLOOKUP(A694,Declarations!B$6:F$293,4,FALSE)))</f>
        <v/>
      </c>
      <c r="E694" s="68"/>
      <c r="F694" s="70"/>
      <c r="G694" s="281" t="s">
        <v>149</v>
      </c>
      <c r="H694" s="70"/>
    </row>
    <row r="695" spans="1:8" ht="20" customHeight="1">
      <c r="A695" s="68"/>
      <c r="B695" s="69" t="str">
        <f>IF(ISNA(VLOOKUP(A695,Declarations!B$6:C$293,2,FALSE)),"",IF(VLOOKUP(A695,Declarations!B$6:C$293,2,FALSE)="","---",VLOOKUP(A695,Declarations!B$6:C$293,2,FALSE)))</f>
        <v/>
      </c>
      <c r="C695" s="69" t="str">
        <f>IF(ISNA(VLOOKUP(A695,Declarations!B$6:F$293,5,FALSE)),"",IF(VLOOKUP(A695,Declarations!B$6:F$293,5,FALSE)="","---",VLOOKUP(A695,Declarations!B$6:F$293,5,FALSE)))</f>
        <v/>
      </c>
      <c r="D695" s="69" t="str">
        <f>IF(ISNA(VLOOKUP(A695,Declarations!B$6:F$293,4,FALSE)),"",IF(VLOOKUP(A695,Declarations!B$6:F$293,4,FALSE)="","---",VLOOKUP(A695,Declarations!B$6:F$293,4,FALSE)))</f>
        <v/>
      </c>
      <c r="E695" s="68"/>
      <c r="F695" s="70"/>
      <c r="G695" s="281" t="s">
        <v>149</v>
      </c>
      <c r="H695" s="70"/>
    </row>
    <row r="696" spans="1:8" ht="20" customHeight="1">
      <c r="A696" s="68"/>
      <c r="B696" s="69" t="str">
        <f>IF(ISNA(VLOOKUP(A696,Declarations!B$6:C$293,2,FALSE)),"",IF(VLOOKUP(A696,Declarations!B$6:C$293,2,FALSE)="","---",VLOOKUP(A696,Declarations!B$6:C$293,2,FALSE)))</f>
        <v/>
      </c>
      <c r="C696" s="69" t="str">
        <f>IF(ISNA(VLOOKUP(A696,Declarations!B$6:F$293,5,FALSE)),"",IF(VLOOKUP(A696,Declarations!B$6:F$293,5,FALSE)="","---",VLOOKUP(A696,Declarations!B$6:F$293,5,FALSE)))</f>
        <v/>
      </c>
      <c r="D696" s="69" t="str">
        <f>IF(ISNA(VLOOKUP(A696,Declarations!B$6:F$293,4,FALSE)),"",IF(VLOOKUP(A696,Declarations!B$6:F$293,4,FALSE)="","---",VLOOKUP(A696,Declarations!B$6:F$293,4,FALSE)))</f>
        <v/>
      </c>
      <c r="E696" s="68"/>
      <c r="F696" s="70"/>
      <c r="G696" s="281" t="s">
        <v>149</v>
      </c>
      <c r="H696" s="70"/>
    </row>
    <row r="697" spans="1:8" ht="20" customHeight="1">
      <c r="A697" s="68"/>
      <c r="B697" s="69" t="str">
        <f>IF(ISNA(VLOOKUP(A697,Declarations!B$6:C$293,2,FALSE)),"",IF(VLOOKUP(A697,Declarations!B$6:C$293,2,FALSE)="","---",VLOOKUP(A697,Declarations!B$6:C$293,2,FALSE)))</f>
        <v/>
      </c>
      <c r="C697" s="69" t="str">
        <f>IF(ISNA(VLOOKUP(A697,Declarations!B$6:F$293,5,FALSE)),"",IF(VLOOKUP(A697,Declarations!B$6:F$293,5,FALSE)="","---",VLOOKUP(A697,Declarations!B$6:F$293,5,FALSE)))</f>
        <v/>
      </c>
      <c r="D697" s="69" t="str">
        <f>IF(ISNA(VLOOKUP(A697,Declarations!B$6:F$293,4,FALSE)),"",IF(VLOOKUP(A697,Declarations!B$6:F$293,4,FALSE)="","---",VLOOKUP(A697,Declarations!B$6:F$293,4,FALSE)))</f>
        <v/>
      </c>
      <c r="E697" s="68"/>
      <c r="F697" s="70"/>
      <c r="G697" s="281" t="s">
        <v>149</v>
      </c>
      <c r="H697" s="70"/>
    </row>
    <row r="698" spans="1:8" ht="20" customHeight="1">
      <c r="A698" s="68"/>
      <c r="B698" s="69" t="str">
        <f>IF(ISNA(VLOOKUP(A698,Declarations!B$6:C$293,2,FALSE)),"",IF(VLOOKUP(A698,Declarations!B$6:C$293,2,FALSE)="","---",VLOOKUP(A698,Declarations!B$6:C$293,2,FALSE)))</f>
        <v/>
      </c>
      <c r="C698" s="69" t="str">
        <f>IF(ISNA(VLOOKUP(A698,Declarations!B$6:F$293,5,FALSE)),"",IF(VLOOKUP(A698,Declarations!B$6:F$293,5,FALSE)="","---",VLOOKUP(A698,Declarations!B$6:F$293,5,FALSE)))</f>
        <v/>
      </c>
      <c r="D698" s="69" t="str">
        <f>IF(ISNA(VLOOKUP(A698,Declarations!B$6:F$293,4,FALSE)),"",IF(VLOOKUP(A698,Declarations!B$6:F$293,4,FALSE)="","---",VLOOKUP(A698,Declarations!B$6:F$293,4,FALSE)))</f>
        <v/>
      </c>
      <c r="E698" s="68"/>
      <c r="F698" s="70"/>
      <c r="G698" s="281" t="s">
        <v>149</v>
      </c>
      <c r="H698" s="70"/>
    </row>
    <row r="699" spans="1:8" ht="20" customHeight="1">
      <c r="A699" s="68"/>
      <c r="B699" s="69" t="str">
        <f>IF(ISNA(VLOOKUP(A699,Declarations!B$6:C$293,2,FALSE)),"",IF(VLOOKUP(A699,Declarations!B$6:C$293,2,FALSE)="","---",VLOOKUP(A699,Declarations!B$6:C$293,2,FALSE)))</f>
        <v/>
      </c>
      <c r="C699" s="69" t="str">
        <f>IF(ISNA(VLOOKUP(A699,Declarations!B$6:F$293,5,FALSE)),"",IF(VLOOKUP(A699,Declarations!B$6:F$293,5,FALSE)="","---",VLOOKUP(A699,Declarations!B$6:F$293,5,FALSE)))</f>
        <v/>
      </c>
      <c r="D699" s="69" t="str">
        <f>IF(ISNA(VLOOKUP(A699,Declarations!B$6:F$293,4,FALSE)),"",IF(VLOOKUP(A699,Declarations!B$6:F$293,4,FALSE)="","---",VLOOKUP(A699,Declarations!B$6:F$293,4,FALSE)))</f>
        <v/>
      </c>
      <c r="E699" s="68"/>
      <c r="F699" s="70"/>
      <c r="G699" s="281" t="s">
        <v>149</v>
      </c>
      <c r="H699" s="70"/>
    </row>
    <row r="700" spans="1:8" ht="20" customHeight="1">
      <c r="A700" s="68"/>
      <c r="B700" s="69" t="str">
        <f>IF(ISNA(VLOOKUP(A700,Declarations!B$6:C$293,2,FALSE)),"",IF(VLOOKUP(A700,Declarations!B$6:C$293,2,FALSE)="","---",VLOOKUP(A700,Declarations!B$6:C$293,2,FALSE)))</f>
        <v/>
      </c>
      <c r="C700" s="69" t="str">
        <f>IF(ISNA(VLOOKUP(A700,Declarations!B$6:F$293,5,FALSE)),"",IF(VLOOKUP(A700,Declarations!B$6:F$293,5,FALSE)="","---",VLOOKUP(A700,Declarations!B$6:F$293,5,FALSE)))</f>
        <v/>
      </c>
      <c r="D700" s="69" t="str">
        <f>IF(ISNA(VLOOKUP(A700,Declarations!B$6:F$293,4,FALSE)),"",IF(VLOOKUP(A700,Declarations!B$6:F$293,4,FALSE)="","---",VLOOKUP(A700,Declarations!B$6:F$293,4,FALSE)))</f>
        <v/>
      </c>
      <c r="E700" s="68"/>
      <c r="F700" s="70"/>
      <c r="G700" s="281" t="s">
        <v>149</v>
      </c>
      <c r="H700" s="70"/>
    </row>
    <row r="701" spans="1:8" ht="20" customHeight="1">
      <c r="A701" s="68"/>
      <c r="B701" s="69" t="str">
        <f>IF(ISNA(VLOOKUP(A701,Declarations!B$6:C$293,2,FALSE)),"",IF(VLOOKUP(A701,Declarations!B$6:C$293,2,FALSE)="","---",VLOOKUP(A701,Declarations!B$6:C$293,2,FALSE)))</f>
        <v/>
      </c>
      <c r="C701" s="69" t="str">
        <f>IF(ISNA(VLOOKUP(A701,Declarations!B$6:F$293,5,FALSE)),"",IF(VLOOKUP(A701,Declarations!B$6:F$293,5,FALSE)="","---",VLOOKUP(A701,Declarations!B$6:F$293,5,FALSE)))</f>
        <v/>
      </c>
      <c r="D701" s="69" t="str">
        <f>IF(ISNA(VLOOKUP(A701,Declarations!B$6:F$293,4,FALSE)),"",IF(VLOOKUP(A701,Declarations!B$6:F$293,4,FALSE)="","---",VLOOKUP(A701,Declarations!B$6:F$293,4,FALSE)))</f>
        <v/>
      </c>
      <c r="E701" s="70"/>
      <c r="F701" s="70"/>
      <c r="G701" s="281" t="s">
        <v>149</v>
      </c>
      <c r="H701" s="70"/>
    </row>
    <row r="702" spans="1:8" ht="20" customHeight="1">
      <c r="A702" s="68"/>
      <c r="B702" s="69" t="str">
        <f>IF(ISNA(VLOOKUP(A702,Declarations!B$6:C$293,2,FALSE)),"",IF(VLOOKUP(A702,Declarations!B$6:C$293,2,FALSE)="","---",VLOOKUP(A702,Declarations!B$6:C$293,2,FALSE)))</f>
        <v/>
      </c>
      <c r="C702" s="69" t="str">
        <f>IF(ISNA(VLOOKUP(A702,Declarations!B$6:F$293,5,FALSE)),"",IF(VLOOKUP(A702,Declarations!B$6:F$293,5,FALSE)="","---",VLOOKUP(A702,Declarations!B$6:F$293,5,FALSE)))</f>
        <v/>
      </c>
      <c r="D702" s="69" t="str">
        <f>IF(ISNA(VLOOKUP(A702,Declarations!B$6:F$293,4,FALSE)),"",IF(VLOOKUP(A702,Declarations!B$6:F$293,4,FALSE)="","---",VLOOKUP(A702,Declarations!B$6:F$293,4,FALSE)))</f>
        <v/>
      </c>
      <c r="E702" s="70"/>
      <c r="F702" s="70"/>
      <c r="G702" s="281" t="s">
        <v>149</v>
      </c>
      <c r="H702" s="70"/>
    </row>
    <row r="703" spans="1:8" ht="20" customHeight="1">
      <c r="A703" s="68"/>
      <c r="B703" s="69" t="str">
        <f>IF(ISNA(VLOOKUP(A703,Declarations!B$6:C$293,2,FALSE)),"",IF(VLOOKUP(A703,Declarations!B$6:C$293,2,FALSE)="","---",VLOOKUP(A703,Declarations!B$6:C$293,2,FALSE)))</f>
        <v/>
      </c>
      <c r="C703" s="69" t="str">
        <f>IF(ISNA(VLOOKUP(A703,Declarations!B$6:F$293,5,FALSE)),"",IF(VLOOKUP(A703,Declarations!B$6:F$293,5,FALSE)="","---",VLOOKUP(A703,Declarations!B$6:F$293,5,FALSE)))</f>
        <v/>
      </c>
      <c r="D703" s="69" t="str">
        <f>IF(ISNA(VLOOKUP(A703,Declarations!B$6:F$293,4,FALSE)),"",IF(VLOOKUP(A703,Declarations!B$6:F$293,4,FALSE)="","---",VLOOKUP(A703,Declarations!B$6:F$293,4,FALSE)))</f>
        <v/>
      </c>
      <c r="E703" s="70"/>
      <c r="F703" s="70"/>
      <c r="G703" s="281" t="s">
        <v>149</v>
      </c>
      <c r="H703" s="70"/>
    </row>
    <row r="704" spans="1:8" ht="20" customHeight="1">
      <c r="A704" s="68"/>
      <c r="B704" s="69" t="str">
        <f>IF(ISNA(VLOOKUP(A704,Declarations!B$6:C$293,2,FALSE)),"",IF(VLOOKUP(A704,Declarations!B$6:C$293,2,FALSE)="","---",VLOOKUP(A704,Declarations!B$6:C$293,2,FALSE)))</f>
        <v/>
      </c>
      <c r="C704" s="69" t="str">
        <f>IF(ISNA(VLOOKUP(A704,Declarations!B$6:F$293,5,FALSE)),"",IF(VLOOKUP(A704,Declarations!B$6:F$293,5,FALSE)="","---",VLOOKUP(A704,Declarations!B$6:F$293,5,FALSE)))</f>
        <v/>
      </c>
      <c r="D704" s="69" t="str">
        <f>IF(ISNA(VLOOKUP(A704,Declarations!B$6:F$293,4,FALSE)),"",IF(VLOOKUP(A704,Declarations!B$6:F$293,4,FALSE)="","---",VLOOKUP(A704,Declarations!B$6:F$293,4,FALSE)))</f>
        <v/>
      </c>
      <c r="E704" s="70"/>
      <c r="F704" s="70"/>
      <c r="G704" s="281" t="s">
        <v>149</v>
      </c>
      <c r="H704" s="70"/>
    </row>
    <row r="705" spans="1:8" ht="20" customHeight="1">
      <c r="A705" s="68"/>
      <c r="B705" s="69" t="str">
        <f>IF(ISNA(VLOOKUP(A705,Declarations!B$6:C$293,2,FALSE)),"",IF(VLOOKUP(A705,Declarations!B$6:C$293,2,FALSE)="","---",VLOOKUP(A705,Declarations!B$6:C$293,2,FALSE)))</f>
        <v/>
      </c>
      <c r="C705" s="69" t="str">
        <f>IF(ISNA(VLOOKUP(A705,Declarations!B$6:F$293,5,FALSE)),"",IF(VLOOKUP(A705,Declarations!B$6:F$293,5,FALSE)="","---",VLOOKUP(A705,Declarations!B$6:F$293,5,FALSE)))</f>
        <v/>
      </c>
      <c r="D705" s="69" t="str">
        <f>IF(ISNA(VLOOKUP(A705,Declarations!B$6:F$293,4,FALSE)),"",IF(VLOOKUP(A705,Declarations!B$6:F$293,4,FALSE)="","---",VLOOKUP(A705,Declarations!B$6:F$293,4,FALSE)))</f>
        <v/>
      </c>
      <c r="E705" s="70"/>
      <c r="F705" s="70"/>
      <c r="G705" s="281" t="s">
        <v>149</v>
      </c>
      <c r="H705" s="70"/>
    </row>
    <row r="706" spans="1:8" ht="20" customHeight="1">
      <c r="A706" s="68"/>
      <c r="B706" s="69" t="str">
        <f>IF(ISNA(VLOOKUP(A706,Declarations!B$6:C$293,2,FALSE)),"",IF(VLOOKUP(A706,Declarations!B$6:C$293,2,FALSE)="","---",VLOOKUP(A706,Declarations!B$6:C$293,2,FALSE)))</f>
        <v/>
      </c>
      <c r="C706" s="69" t="str">
        <f>IF(ISNA(VLOOKUP(A706,Declarations!B$6:F$293,5,FALSE)),"",IF(VLOOKUP(A706,Declarations!B$6:F$293,5,FALSE)="","---",VLOOKUP(A706,Declarations!B$6:F$293,5,FALSE)))</f>
        <v/>
      </c>
      <c r="D706" s="69" t="str">
        <f>IF(ISNA(VLOOKUP(A706,Declarations!B$6:F$293,4,FALSE)),"",IF(VLOOKUP(A706,Declarations!B$6:F$293,4,FALSE)="","---",VLOOKUP(A706,Declarations!B$6:F$293,4,FALSE)))</f>
        <v/>
      </c>
      <c r="E706" s="70"/>
      <c r="F706" s="70"/>
      <c r="G706" s="281" t="s">
        <v>149</v>
      </c>
      <c r="H706" s="70"/>
    </row>
    <row r="707" spans="1:8" ht="20" customHeight="1">
      <c r="A707" s="68"/>
      <c r="B707" s="69" t="str">
        <f>IF(ISNA(VLOOKUP(A707,Declarations!B$6:C$293,2,FALSE)),"",IF(VLOOKUP(A707,Declarations!B$6:C$293,2,FALSE)="","---",VLOOKUP(A707,Declarations!B$6:C$293,2,FALSE)))</f>
        <v/>
      </c>
      <c r="C707" s="69" t="str">
        <f>IF(ISNA(VLOOKUP(A707,Declarations!B$6:F$293,5,FALSE)),"",IF(VLOOKUP(A707,Declarations!B$6:F$293,5,FALSE)="","---",VLOOKUP(A707,Declarations!B$6:F$293,5,FALSE)))</f>
        <v/>
      </c>
      <c r="D707" s="69" t="str">
        <f>IF(ISNA(VLOOKUP(A707,Declarations!B$6:F$293,4,FALSE)),"",IF(VLOOKUP(A707,Declarations!B$6:F$293,4,FALSE)="","---",VLOOKUP(A707,Declarations!B$6:F$293,4,FALSE)))</f>
        <v/>
      </c>
      <c r="E707" s="70"/>
      <c r="F707" s="70"/>
      <c r="G707" s="281" t="s">
        <v>149</v>
      </c>
      <c r="H707" s="70"/>
    </row>
    <row r="708" spans="1:8" ht="20" customHeight="1">
      <c r="A708" s="68"/>
      <c r="B708" s="69" t="str">
        <f>IF(ISNA(VLOOKUP(A708,Declarations!B$6:C$293,2,FALSE)),"",IF(VLOOKUP(A708,Declarations!B$6:C$293,2,FALSE)="","---",VLOOKUP(A708,Declarations!B$6:C$293,2,FALSE)))</f>
        <v/>
      </c>
      <c r="C708" s="69" t="str">
        <f>IF(ISNA(VLOOKUP(A708,Declarations!B$6:F$293,5,FALSE)),"",IF(VLOOKUP(A708,Declarations!B$6:F$293,5,FALSE)="","---",VLOOKUP(A708,Declarations!B$6:F$293,5,FALSE)))</f>
        <v/>
      </c>
      <c r="D708" s="69" t="str">
        <f>IF(ISNA(VLOOKUP(A708,Declarations!B$6:F$293,4,FALSE)),"",IF(VLOOKUP(A708,Declarations!B$6:F$293,4,FALSE)="","---",VLOOKUP(A708,Declarations!B$6:F$293,4,FALSE)))</f>
        <v/>
      </c>
      <c r="E708" s="70"/>
      <c r="F708" s="70"/>
      <c r="G708" s="281" t="s">
        <v>149</v>
      </c>
      <c r="H708" s="70"/>
    </row>
    <row r="709" spans="1:8" ht="20" customHeight="1">
      <c r="A709" s="68"/>
      <c r="B709" s="69" t="str">
        <f>IF(ISNA(VLOOKUP(A709,Declarations!B$6:C$293,2,FALSE)),"",IF(VLOOKUP(A709,Declarations!B$6:C$293,2,FALSE)="","---",VLOOKUP(A709,Declarations!B$6:C$293,2,FALSE)))</f>
        <v/>
      </c>
      <c r="C709" s="69" t="str">
        <f>IF(ISNA(VLOOKUP(A709,Declarations!B$6:F$293,5,FALSE)),"",IF(VLOOKUP(A709,Declarations!B$6:F$293,5,FALSE)="","---",VLOOKUP(A709,Declarations!B$6:F$293,5,FALSE)))</f>
        <v/>
      </c>
      <c r="D709" s="69" t="str">
        <f>IF(ISNA(VLOOKUP(A709,Declarations!B$6:F$293,4,FALSE)),"",IF(VLOOKUP(A709,Declarations!B$6:F$293,4,FALSE)="","---",VLOOKUP(A709,Declarations!B$6:F$293,4,FALSE)))</f>
        <v/>
      </c>
      <c r="E709" s="70"/>
      <c r="F709" s="70"/>
      <c r="G709" s="281" t="s">
        <v>149</v>
      </c>
      <c r="H709" s="70"/>
    </row>
    <row r="710" spans="1:8" ht="20" customHeight="1">
      <c r="A710" s="68"/>
      <c r="B710" s="69" t="str">
        <f>IF(ISNA(VLOOKUP(A710,Declarations!B$6:C$293,2,FALSE)),"",IF(VLOOKUP(A710,Declarations!B$6:C$293,2,FALSE)="","---",VLOOKUP(A710,Declarations!B$6:C$293,2,FALSE)))</f>
        <v/>
      </c>
      <c r="C710" s="69" t="str">
        <f>IF(ISNA(VLOOKUP(A710,Declarations!B$6:F$293,5,FALSE)),"",IF(VLOOKUP(A710,Declarations!B$6:F$293,5,FALSE)="","---",VLOOKUP(A710,Declarations!B$6:F$293,5,FALSE)))</f>
        <v/>
      </c>
      <c r="D710" s="69" t="str">
        <f>IF(ISNA(VLOOKUP(A710,Declarations!B$6:F$293,4,FALSE)),"",IF(VLOOKUP(A710,Declarations!B$6:F$293,4,FALSE)="","---",VLOOKUP(A710,Declarations!B$6:F$293,4,FALSE)))</f>
        <v/>
      </c>
      <c r="E710" s="70"/>
      <c r="F710" s="70"/>
      <c r="G710" s="281" t="s">
        <v>149</v>
      </c>
      <c r="H710" s="70"/>
    </row>
    <row r="711" spans="1:8" ht="20" customHeight="1">
      <c r="A711" s="68"/>
      <c r="B711" s="69" t="str">
        <f>IF(ISNA(VLOOKUP(A711,Declarations!B$6:C$293,2,FALSE)),"",IF(VLOOKUP(A711,Declarations!B$6:C$293,2,FALSE)="","---",VLOOKUP(A711,Declarations!B$6:C$293,2,FALSE)))</f>
        <v/>
      </c>
      <c r="C711" s="69" t="str">
        <f>IF(ISNA(VLOOKUP(A711,Declarations!B$6:F$293,5,FALSE)),"",IF(VLOOKUP(A711,Declarations!B$6:F$293,5,FALSE)="","---",VLOOKUP(A711,Declarations!B$6:F$293,5,FALSE)))</f>
        <v/>
      </c>
      <c r="D711" s="69" t="str">
        <f>IF(ISNA(VLOOKUP(A711,Declarations!B$6:F$293,4,FALSE)),"",IF(VLOOKUP(A711,Declarations!B$6:F$293,4,FALSE)="","---",VLOOKUP(A711,Declarations!B$6:F$293,4,FALSE)))</f>
        <v/>
      </c>
      <c r="E711" s="70"/>
      <c r="F711" s="70"/>
      <c r="G711" s="281" t="s">
        <v>149</v>
      </c>
      <c r="H711" s="70"/>
    </row>
    <row r="712" spans="1:8" ht="20" customHeight="1">
      <c r="A712" s="68"/>
      <c r="B712" s="69" t="str">
        <f>IF(ISNA(VLOOKUP(A712,Declarations!B$6:C$293,2,FALSE)),"",IF(VLOOKUP(A712,Declarations!B$6:C$293,2,FALSE)="","---",VLOOKUP(A712,Declarations!B$6:C$293,2,FALSE)))</f>
        <v/>
      </c>
      <c r="C712" s="69" t="str">
        <f>IF(ISNA(VLOOKUP(A712,Declarations!B$6:F$293,5,FALSE)),"",IF(VLOOKUP(A712,Declarations!B$6:F$293,5,FALSE)="","---",VLOOKUP(A712,Declarations!B$6:F$293,5,FALSE)))</f>
        <v/>
      </c>
      <c r="D712" s="69" t="str">
        <f>IF(ISNA(VLOOKUP(A712,Declarations!B$6:F$293,4,FALSE)),"",IF(VLOOKUP(A712,Declarations!B$6:F$293,4,FALSE)="","---",VLOOKUP(A712,Declarations!B$6:F$293,4,FALSE)))</f>
        <v/>
      </c>
      <c r="E712" s="70"/>
      <c r="F712" s="70"/>
      <c r="G712" s="281" t="s">
        <v>149</v>
      </c>
      <c r="H712" s="70"/>
    </row>
    <row r="713" spans="1:8" ht="20" customHeight="1">
      <c r="A713" s="68"/>
      <c r="B713" s="69" t="str">
        <f>IF(ISNA(VLOOKUP(A713,Declarations!B$6:C$293,2,FALSE)),"",IF(VLOOKUP(A713,Declarations!B$6:C$293,2,FALSE)="","---",VLOOKUP(A713,Declarations!B$6:C$293,2,FALSE)))</f>
        <v/>
      </c>
      <c r="C713" s="69" t="str">
        <f>IF(ISNA(VLOOKUP(A713,Declarations!B$6:F$293,5,FALSE)),"",IF(VLOOKUP(A713,Declarations!B$6:F$293,5,FALSE)="","---",VLOOKUP(A713,Declarations!B$6:F$293,5,FALSE)))</f>
        <v/>
      </c>
      <c r="D713" s="69" t="str">
        <f>IF(ISNA(VLOOKUP(A713,Declarations!B$6:F$293,4,FALSE)),"",IF(VLOOKUP(A713,Declarations!B$6:F$293,4,FALSE)="","---",VLOOKUP(A713,Declarations!B$6:F$293,4,FALSE)))</f>
        <v/>
      </c>
      <c r="E713" s="70"/>
      <c r="F713" s="70"/>
      <c r="G713" s="281" t="s">
        <v>149</v>
      </c>
      <c r="H713" s="70"/>
    </row>
    <row r="714" spans="1:8" ht="20" customHeight="1">
      <c r="A714" s="68"/>
      <c r="B714" s="69" t="str">
        <f>IF(ISNA(VLOOKUP(A714,Declarations!B$6:C$293,2,FALSE)),"",IF(VLOOKUP(A714,Declarations!B$6:C$293,2,FALSE)="","---",VLOOKUP(A714,Declarations!B$6:C$293,2,FALSE)))</f>
        <v/>
      </c>
      <c r="C714" s="69" t="str">
        <f>IF(ISNA(VLOOKUP(A714,Declarations!B$6:F$293,5,FALSE)),"",IF(VLOOKUP(A714,Declarations!B$6:F$293,5,FALSE)="","---",VLOOKUP(A714,Declarations!B$6:F$293,5,FALSE)))</f>
        <v/>
      </c>
      <c r="D714" s="69" t="str">
        <f>IF(ISNA(VLOOKUP(A714,Declarations!B$6:F$293,4,FALSE)),"",IF(VLOOKUP(A714,Declarations!B$6:F$293,4,FALSE)="","---",VLOOKUP(A714,Declarations!B$6:F$293,4,FALSE)))</f>
        <v/>
      </c>
      <c r="E714" s="70"/>
      <c r="F714" s="70"/>
      <c r="G714" s="281" t="s">
        <v>149</v>
      </c>
      <c r="H714" s="70"/>
    </row>
    <row r="715" spans="1:8">
      <c r="A715" s="71"/>
      <c r="B715" s="72"/>
      <c r="C715" s="72"/>
      <c r="D715" s="72"/>
      <c r="E715" s="73"/>
      <c r="F715" s="73"/>
      <c r="G715" s="73"/>
      <c r="H715" s="73"/>
    </row>
    <row r="716" spans="1:8">
      <c r="A716" s="71"/>
      <c r="B716" s="510" t="s">
        <v>213</v>
      </c>
      <c r="C716" s="511"/>
      <c r="D716" s="72"/>
      <c r="E716" s="509" t="s">
        <v>93</v>
      </c>
      <c r="F716" s="509"/>
      <c r="G716" s="501" t="s">
        <v>43</v>
      </c>
      <c r="H716" s="501"/>
    </row>
    <row r="717" spans="1:8" ht="16" customHeight="1">
      <c r="A717" s="71"/>
      <c r="B717" s="512"/>
      <c r="C717" s="513"/>
      <c r="D717" s="72"/>
      <c r="E717" s="501"/>
      <c r="F717" s="501"/>
      <c r="G717" s="501"/>
      <c r="H717" s="501"/>
    </row>
    <row r="718" spans="1:8">
      <c r="A718" s="71"/>
      <c r="B718" s="512"/>
      <c r="C718" s="513"/>
      <c r="D718" s="72"/>
      <c r="E718" s="501"/>
      <c r="F718" s="501"/>
      <c r="G718" s="501"/>
      <c r="H718" s="501"/>
    </row>
    <row r="719" spans="1:8">
      <c r="A719" s="71"/>
      <c r="B719" s="514"/>
      <c r="C719" s="515"/>
      <c r="D719" s="72"/>
      <c r="E719" s="501"/>
      <c r="F719" s="501"/>
      <c r="G719" s="501"/>
      <c r="H719" s="501"/>
    </row>
    <row r="720" spans="1:8" ht="8" customHeight="1">
      <c r="A720" s="71"/>
      <c r="B720" s="72"/>
      <c r="C720" s="72"/>
      <c r="D720" s="72"/>
      <c r="E720" s="73"/>
      <c r="F720" s="73"/>
      <c r="G720" s="73"/>
      <c r="H720" s="73"/>
    </row>
    <row r="721" spans="1:8" ht="20">
      <c r="A721" s="502" t="str">
        <f>'Read Me First'!A1:F1</f>
        <v>Oxfordshire Track and Field League 2026</v>
      </c>
      <c r="B721" s="503"/>
      <c r="C721" s="503"/>
      <c r="D721" s="503"/>
      <c r="E721" s="503"/>
      <c r="F721" s="503"/>
      <c r="G721" s="503"/>
      <c r="H721" s="504"/>
    </row>
    <row r="722" spans="1:8" ht="18">
      <c r="A722" s="61" t="s">
        <v>12</v>
      </c>
      <c r="B722" s="62">
        <f>'Read Me First'!$C$10</f>
        <v>46250</v>
      </c>
      <c r="C722" s="77">
        <v>0.5625</v>
      </c>
      <c r="D722" s="61" t="s">
        <v>13</v>
      </c>
      <c r="E722" s="505" t="str">
        <f>$E$2</f>
        <v>Banbury</v>
      </c>
      <c r="F722" s="506"/>
      <c r="G722" s="506"/>
      <c r="H722" s="507"/>
    </row>
    <row r="723" spans="1:8" ht="18">
      <c r="A723" s="508" t="s">
        <v>57</v>
      </c>
      <c r="B723" s="508"/>
      <c r="C723" s="508"/>
      <c r="D723" s="508"/>
      <c r="E723" s="60">
        <v>1</v>
      </c>
      <c r="F723" s="60">
        <v>2</v>
      </c>
      <c r="G723" s="60">
        <v>3</v>
      </c>
      <c r="H723" s="60" t="s">
        <v>42</v>
      </c>
    </row>
    <row r="724" spans="1:8" ht="18">
      <c r="A724" s="66"/>
      <c r="B724" s="66"/>
      <c r="C724" s="66"/>
      <c r="D724" s="66"/>
      <c r="E724" s="67"/>
      <c r="F724" s="67"/>
      <c r="G724" s="67"/>
      <c r="H724" s="67"/>
    </row>
    <row r="725" spans="1:8" ht="20" customHeight="1">
      <c r="A725" s="68" t="str" cm="1">
        <f t="array" ref="A725">IFERROR(_xlfn.TEXTSPLIT(IFERROR(_xlfn.TEXTJOIN(",",TRUE,_xlfn._xlws.FILTER(BlockAllocations!$F$3:$F$20,BlockAllocations!$E$3:$E$20=BlockAllocations!$G$14)),""),,",")+0,"!")</f>
        <v>!</v>
      </c>
      <c r="B725" s="69" t="str">
        <f>IF(ISNA(VLOOKUP(A725,Declarations!B$6:C$293,2,FALSE)),"",IF(VLOOKUP(A725,Declarations!B$6:C$293,2,FALSE)="","---",VLOOKUP(A725,Declarations!B$6:C$293,2,FALSE)))</f>
        <v/>
      </c>
      <c r="C725" s="69" t="str">
        <f>IF(ISNA(VLOOKUP(A725,Declarations!B$6:F$293,5,FALSE)),"",IF(VLOOKUP(A725,Declarations!B$6:F$293,5,FALSE)="","---",VLOOKUP(A725,Declarations!B$6:F$293,5,FALSE)))</f>
        <v/>
      </c>
      <c r="D725" s="69" t="str">
        <f>IF(ISNA(VLOOKUP(A725,Declarations!B$6:F$293,4,FALSE)),"",IF(VLOOKUP(A725,Declarations!B$6:F$293,4,FALSE)="","---",VLOOKUP(A725,Declarations!B$6:F$293,4,FALSE)))</f>
        <v/>
      </c>
      <c r="E725" s="68"/>
      <c r="F725" s="70"/>
      <c r="G725" s="281" t="s">
        <v>149</v>
      </c>
      <c r="H725" s="70"/>
    </row>
    <row r="726" spans="1:8" ht="20" customHeight="1">
      <c r="A726" s="68"/>
      <c r="B726" s="69" t="str">
        <f>IF(ISNA(VLOOKUP(A726,Declarations!B$6:C$293,2,FALSE)),"",IF(VLOOKUP(A726,Declarations!B$6:C$293,2,FALSE)="","---",VLOOKUP(A726,Declarations!B$6:C$293,2,FALSE)))</f>
        <v/>
      </c>
      <c r="C726" s="69" t="str">
        <f>IF(ISNA(VLOOKUP(A726,Declarations!B$6:F$293,5,FALSE)),"",IF(VLOOKUP(A726,Declarations!B$6:F$293,5,FALSE)="","---",VLOOKUP(A726,Declarations!B$6:F$293,5,FALSE)))</f>
        <v/>
      </c>
      <c r="D726" s="69" t="str">
        <f>IF(ISNA(VLOOKUP(A726,Declarations!B$6:F$293,4,FALSE)),"",IF(VLOOKUP(A726,Declarations!B$6:F$293,4,FALSE)="","---",VLOOKUP(A726,Declarations!B$6:F$293,4,FALSE)))</f>
        <v/>
      </c>
      <c r="E726" s="68"/>
      <c r="F726" s="70"/>
      <c r="G726" s="281" t="s">
        <v>149</v>
      </c>
      <c r="H726" s="70"/>
    </row>
    <row r="727" spans="1:8" ht="20" customHeight="1">
      <c r="A727" s="68"/>
      <c r="B727" s="69" t="str">
        <f>IF(ISNA(VLOOKUP(A727,Declarations!B$6:C$293,2,FALSE)),"",IF(VLOOKUP(A727,Declarations!B$6:C$293,2,FALSE)="","---",VLOOKUP(A727,Declarations!B$6:C$293,2,FALSE)))</f>
        <v/>
      </c>
      <c r="C727" s="69" t="str">
        <f>IF(ISNA(VLOOKUP(A727,Declarations!B$6:F$293,5,FALSE)),"",IF(VLOOKUP(A727,Declarations!B$6:F$293,5,FALSE)="","---",VLOOKUP(A727,Declarations!B$6:F$293,5,FALSE)))</f>
        <v/>
      </c>
      <c r="D727" s="69" t="str">
        <f>IF(ISNA(VLOOKUP(A727,Declarations!B$6:F$293,4,FALSE)),"",IF(VLOOKUP(A727,Declarations!B$6:F$293,4,FALSE)="","---",VLOOKUP(A727,Declarations!B$6:F$293,4,FALSE)))</f>
        <v/>
      </c>
      <c r="E727" s="68"/>
      <c r="F727" s="70"/>
      <c r="G727" s="281" t="s">
        <v>149</v>
      </c>
      <c r="H727" s="70"/>
    </row>
    <row r="728" spans="1:8" ht="20" customHeight="1">
      <c r="A728" s="68"/>
      <c r="B728" s="69" t="str">
        <f>IF(ISNA(VLOOKUP(A728,Declarations!B$6:C$293,2,FALSE)),"",IF(VLOOKUP(A728,Declarations!B$6:C$293,2,FALSE)="","---",VLOOKUP(A728,Declarations!B$6:C$293,2,FALSE)))</f>
        <v/>
      </c>
      <c r="C728" s="69" t="str">
        <f>IF(ISNA(VLOOKUP(A728,Declarations!B$6:F$293,5,FALSE)),"",IF(VLOOKUP(A728,Declarations!B$6:F$293,5,FALSE)="","---",VLOOKUP(A728,Declarations!B$6:F$293,5,FALSE)))</f>
        <v/>
      </c>
      <c r="D728" s="69" t="str">
        <f>IF(ISNA(VLOOKUP(A728,Declarations!B$6:F$293,4,FALSE)),"",IF(VLOOKUP(A728,Declarations!B$6:F$293,4,FALSE)="","---",VLOOKUP(A728,Declarations!B$6:F$293,4,FALSE)))</f>
        <v/>
      </c>
      <c r="E728" s="68"/>
      <c r="F728" s="70"/>
      <c r="G728" s="281" t="s">
        <v>149</v>
      </c>
      <c r="H728" s="70"/>
    </row>
    <row r="729" spans="1:8" ht="20" customHeight="1">
      <c r="A729" s="68"/>
      <c r="B729" s="69" t="str">
        <f>IF(ISNA(VLOOKUP(A729,Declarations!B$6:C$293,2,FALSE)),"",IF(VLOOKUP(A729,Declarations!B$6:C$293,2,FALSE)="","---",VLOOKUP(A729,Declarations!B$6:C$293,2,FALSE)))</f>
        <v/>
      </c>
      <c r="C729" s="69" t="str">
        <f>IF(ISNA(VLOOKUP(A729,Declarations!B$6:F$293,5,FALSE)),"",IF(VLOOKUP(A729,Declarations!B$6:F$293,5,FALSE)="","---",VLOOKUP(A729,Declarations!B$6:F$293,5,FALSE)))</f>
        <v/>
      </c>
      <c r="D729" s="69" t="str">
        <f>IF(ISNA(VLOOKUP(A729,Declarations!B$6:F$293,4,FALSE)),"",IF(VLOOKUP(A729,Declarations!B$6:F$293,4,FALSE)="","---",VLOOKUP(A729,Declarations!B$6:F$293,4,FALSE)))</f>
        <v/>
      </c>
      <c r="E729" s="68"/>
      <c r="F729" s="70"/>
      <c r="G729" s="281" t="s">
        <v>149</v>
      </c>
      <c r="H729" s="70"/>
    </row>
    <row r="730" spans="1:8" ht="20" customHeight="1">
      <c r="A730" s="68"/>
      <c r="B730" s="69" t="str">
        <f>IF(ISNA(VLOOKUP(A730,Declarations!B$6:C$293,2,FALSE)),"",IF(VLOOKUP(A730,Declarations!B$6:C$293,2,FALSE)="","---",VLOOKUP(A730,Declarations!B$6:C$293,2,FALSE)))</f>
        <v/>
      </c>
      <c r="C730" s="69" t="str">
        <f>IF(ISNA(VLOOKUP(A730,Declarations!B$6:F$293,5,FALSE)),"",IF(VLOOKUP(A730,Declarations!B$6:F$293,5,FALSE)="","---",VLOOKUP(A730,Declarations!B$6:F$293,5,FALSE)))</f>
        <v/>
      </c>
      <c r="D730" s="69" t="str">
        <f>IF(ISNA(VLOOKUP(A730,Declarations!B$6:F$293,4,FALSE)),"",IF(VLOOKUP(A730,Declarations!B$6:F$293,4,FALSE)="","---",VLOOKUP(A730,Declarations!B$6:F$293,4,FALSE)))</f>
        <v/>
      </c>
      <c r="E730" s="68"/>
      <c r="F730" s="70"/>
      <c r="G730" s="281" t="s">
        <v>149</v>
      </c>
      <c r="H730" s="70"/>
    </row>
    <row r="731" spans="1:8" ht="20" customHeight="1">
      <c r="A731" s="68"/>
      <c r="B731" s="69" t="str">
        <f>IF(ISNA(VLOOKUP(A731,Declarations!B$6:C$293,2,FALSE)),"",IF(VLOOKUP(A731,Declarations!B$6:C$293,2,FALSE)="","---",VLOOKUP(A731,Declarations!B$6:C$293,2,FALSE)))</f>
        <v/>
      </c>
      <c r="C731" s="69" t="str">
        <f>IF(ISNA(VLOOKUP(A731,Declarations!B$6:F$293,5,FALSE)),"",IF(VLOOKUP(A731,Declarations!B$6:F$293,5,FALSE)="","---",VLOOKUP(A731,Declarations!B$6:F$293,5,FALSE)))</f>
        <v/>
      </c>
      <c r="D731" s="69" t="str">
        <f>IF(ISNA(VLOOKUP(A731,Declarations!B$6:F$293,4,FALSE)),"",IF(VLOOKUP(A731,Declarations!B$6:F$293,4,FALSE)="","---",VLOOKUP(A731,Declarations!B$6:F$293,4,FALSE)))</f>
        <v/>
      </c>
      <c r="E731" s="68"/>
      <c r="F731" s="70"/>
      <c r="G731" s="281" t="s">
        <v>149</v>
      </c>
      <c r="H731" s="70"/>
    </row>
    <row r="732" spans="1:8" ht="20" customHeight="1">
      <c r="A732" s="68"/>
      <c r="B732" s="69" t="str">
        <f>IF(ISNA(VLOOKUP(A732,Declarations!B$6:C$293,2,FALSE)),"",IF(VLOOKUP(A732,Declarations!B$6:C$293,2,FALSE)="","---",VLOOKUP(A732,Declarations!B$6:C$293,2,FALSE)))</f>
        <v/>
      </c>
      <c r="C732" s="69" t="str">
        <f>IF(ISNA(VLOOKUP(A732,Declarations!B$6:F$293,5,FALSE)),"",IF(VLOOKUP(A732,Declarations!B$6:F$293,5,FALSE)="","---",VLOOKUP(A732,Declarations!B$6:F$293,5,FALSE)))</f>
        <v/>
      </c>
      <c r="D732" s="69" t="str">
        <f>IF(ISNA(VLOOKUP(A732,Declarations!B$6:F$293,4,FALSE)),"",IF(VLOOKUP(A732,Declarations!B$6:F$293,4,FALSE)="","---",VLOOKUP(A732,Declarations!B$6:F$293,4,FALSE)))</f>
        <v/>
      </c>
      <c r="E732" s="68"/>
      <c r="F732" s="70"/>
      <c r="G732" s="281" t="s">
        <v>149</v>
      </c>
      <c r="H732" s="70"/>
    </row>
    <row r="733" spans="1:8" ht="20" customHeight="1">
      <c r="A733" s="68"/>
      <c r="B733" s="69" t="str">
        <f>IF(ISNA(VLOOKUP(A733,Declarations!B$6:C$293,2,FALSE)),"",IF(VLOOKUP(A733,Declarations!B$6:C$293,2,FALSE)="","---",VLOOKUP(A733,Declarations!B$6:C$293,2,FALSE)))</f>
        <v/>
      </c>
      <c r="C733" s="69" t="str">
        <f>IF(ISNA(VLOOKUP(A733,Declarations!B$6:F$293,5,FALSE)),"",IF(VLOOKUP(A733,Declarations!B$6:F$293,5,FALSE)="","---",VLOOKUP(A733,Declarations!B$6:F$293,5,FALSE)))</f>
        <v/>
      </c>
      <c r="D733" s="69" t="str">
        <f>IF(ISNA(VLOOKUP(A733,Declarations!B$6:F$293,4,FALSE)),"",IF(VLOOKUP(A733,Declarations!B$6:F$293,4,FALSE)="","---",VLOOKUP(A733,Declarations!B$6:F$293,4,FALSE)))</f>
        <v/>
      </c>
      <c r="E733" s="68"/>
      <c r="F733" s="70"/>
      <c r="G733" s="281" t="s">
        <v>149</v>
      </c>
      <c r="H733" s="70"/>
    </row>
    <row r="734" spans="1:8" ht="20" customHeight="1">
      <c r="A734" s="68"/>
      <c r="B734" s="69" t="str">
        <f>IF(ISNA(VLOOKUP(A734,Declarations!B$6:C$293,2,FALSE)),"",IF(VLOOKUP(A734,Declarations!B$6:C$293,2,FALSE)="","---",VLOOKUP(A734,Declarations!B$6:C$293,2,FALSE)))</f>
        <v/>
      </c>
      <c r="C734" s="69" t="str">
        <f>IF(ISNA(VLOOKUP(A734,Declarations!B$6:F$293,5,FALSE)),"",IF(VLOOKUP(A734,Declarations!B$6:F$293,5,FALSE)="","---",VLOOKUP(A734,Declarations!B$6:F$293,5,FALSE)))</f>
        <v/>
      </c>
      <c r="D734" s="69" t="str">
        <f>IF(ISNA(VLOOKUP(A734,Declarations!B$6:F$293,4,FALSE)),"",IF(VLOOKUP(A734,Declarations!B$6:F$293,4,FALSE)="","---",VLOOKUP(A734,Declarations!B$6:F$293,4,FALSE)))</f>
        <v/>
      </c>
      <c r="E734" s="68"/>
      <c r="F734" s="70"/>
      <c r="G734" s="281" t="s">
        <v>149</v>
      </c>
      <c r="H734" s="70"/>
    </row>
    <row r="735" spans="1:8" ht="20" customHeight="1">
      <c r="A735" s="68"/>
      <c r="B735" s="69" t="str">
        <f>IF(ISNA(VLOOKUP(A735,Declarations!B$6:C$293,2,FALSE)),"",IF(VLOOKUP(A735,Declarations!B$6:C$293,2,FALSE)="","---",VLOOKUP(A735,Declarations!B$6:C$293,2,FALSE)))</f>
        <v/>
      </c>
      <c r="C735" s="69" t="str">
        <f>IF(ISNA(VLOOKUP(A735,Declarations!B$6:F$293,5,FALSE)),"",IF(VLOOKUP(A735,Declarations!B$6:F$293,5,FALSE)="","---",VLOOKUP(A735,Declarations!B$6:F$293,5,FALSE)))</f>
        <v/>
      </c>
      <c r="D735" s="69" t="str">
        <f>IF(ISNA(VLOOKUP(A735,Declarations!B$6:F$293,4,FALSE)),"",IF(VLOOKUP(A735,Declarations!B$6:F$293,4,FALSE)="","---",VLOOKUP(A735,Declarations!B$6:F$293,4,FALSE)))</f>
        <v/>
      </c>
      <c r="E735" s="68"/>
      <c r="F735" s="70"/>
      <c r="G735" s="281" t="s">
        <v>149</v>
      </c>
      <c r="H735" s="70"/>
    </row>
    <row r="736" spans="1:8" ht="20" customHeight="1">
      <c r="A736" s="68"/>
      <c r="B736" s="69" t="str">
        <f>IF(ISNA(VLOOKUP(A736,Declarations!B$6:C$293,2,FALSE)),"",IF(VLOOKUP(A736,Declarations!B$6:C$293,2,FALSE)="","---",VLOOKUP(A736,Declarations!B$6:C$293,2,FALSE)))</f>
        <v/>
      </c>
      <c r="C736" s="69" t="str">
        <f>IF(ISNA(VLOOKUP(A736,Declarations!B$6:F$293,5,FALSE)),"",IF(VLOOKUP(A736,Declarations!B$6:F$293,5,FALSE)="","---",VLOOKUP(A736,Declarations!B$6:F$293,5,FALSE)))</f>
        <v/>
      </c>
      <c r="D736" s="69" t="str">
        <f>IF(ISNA(VLOOKUP(A736,Declarations!B$6:F$293,4,FALSE)),"",IF(VLOOKUP(A736,Declarations!B$6:F$293,4,FALSE)="","---",VLOOKUP(A736,Declarations!B$6:F$293,4,FALSE)))</f>
        <v/>
      </c>
      <c r="E736" s="68"/>
      <c r="F736" s="70"/>
      <c r="G736" s="281" t="s">
        <v>149</v>
      </c>
      <c r="H736" s="70"/>
    </row>
    <row r="737" spans="1:8" ht="20" customHeight="1">
      <c r="A737" s="68"/>
      <c r="B737" s="69" t="str">
        <f>IF(ISNA(VLOOKUP(A737,Declarations!B$6:C$293,2,FALSE)),"",IF(VLOOKUP(A737,Declarations!B$6:C$293,2,FALSE)="","---",VLOOKUP(A737,Declarations!B$6:C$293,2,FALSE)))</f>
        <v/>
      </c>
      <c r="C737" s="69" t="str">
        <f>IF(ISNA(VLOOKUP(A737,Declarations!B$6:F$293,5,FALSE)),"",IF(VLOOKUP(A737,Declarations!B$6:F$293,5,FALSE)="","---",VLOOKUP(A737,Declarations!B$6:F$293,5,FALSE)))</f>
        <v/>
      </c>
      <c r="D737" s="69" t="str">
        <f>IF(ISNA(VLOOKUP(A737,Declarations!B$6:F$293,4,FALSE)),"",IF(VLOOKUP(A737,Declarations!B$6:F$293,4,FALSE)="","---",VLOOKUP(A737,Declarations!B$6:F$293,4,FALSE)))</f>
        <v/>
      </c>
      <c r="E737" s="68"/>
      <c r="F737" s="70"/>
      <c r="G737" s="281" t="s">
        <v>149</v>
      </c>
      <c r="H737" s="70"/>
    </row>
    <row r="738" spans="1:8" ht="20" customHeight="1">
      <c r="A738" s="68"/>
      <c r="B738" s="69" t="str">
        <f>IF(ISNA(VLOOKUP(A738,Declarations!B$6:C$293,2,FALSE)),"",IF(VLOOKUP(A738,Declarations!B$6:C$293,2,FALSE)="","---",VLOOKUP(A738,Declarations!B$6:C$293,2,FALSE)))</f>
        <v/>
      </c>
      <c r="C738" s="69" t="str">
        <f>IF(ISNA(VLOOKUP(A738,Declarations!B$6:F$293,5,FALSE)),"",IF(VLOOKUP(A738,Declarations!B$6:F$293,5,FALSE)="","---",VLOOKUP(A738,Declarations!B$6:F$293,5,FALSE)))</f>
        <v/>
      </c>
      <c r="D738" s="69" t="str">
        <f>IF(ISNA(VLOOKUP(A738,Declarations!B$6:F$293,4,FALSE)),"",IF(VLOOKUP(A738,Declarations!B$6:F$293,4,FALSE)="","---",VLOOKUP(A738,Declarations!B$6:F$293,4,FALSE)))</f>
        <v/>
      </c>
      <c r="E738" s="68"/>
      <c r="F738" s="70"/>
      <c r="G738" s="281" t="s">
        <v>149</v>
      </c>
      <c r="H738" s="70"/>
    </row>
    <row r="739" spans="1:8" ht="20" customHeight="1">
      <c r="A739" s="68"/>
      <c r="B739" s="69" t="str">
        <f>IF(ISNA(VLOOKUP(A739,Declarations!B$6:C$293,2,FALSE)),"",IF(VLOOKUP(A739,Declarations!B$6:C$293,2,FALSE)="","---",VLOOKUP(A739,Declarations!B$6:C$293,2,FALSE)))</f>
        <v/>
      </c>
      <c r="C739" s="69" t="str">
        <f>IF(ISNA(VLOOKUP(A739,Declarations!B$6:F$293,5,FALSE)),"",IF(VLOOKUP(A739,Declarations!B$6:F$293,5,FALSE)="","---",VLOOKUP(A739,Declarations!B$6:F$293,5,FALSE)))</f>
        <v/>
      </c>
      <c r="D739" s="69" t="str">
        <f>IF(ISNA(VLOOKUP(A739,Declarations!B$6:F$293,4,FALSE)),"",IF(VLOOKUP(A739,Declarations!B$6:F$293,4,FALSE)="","---",VLOOKUP(A739,Declarations!B$6:F$293,4,FALSE)))</f>
        <v/>
      </c>
      <c r="E739" s="68"/>
      <c r="F739" s="70"/>
      <c r="G739" s="281" t="s">
        <v>149</v>
      </c>
      <c r="H739" s="70"/>
    </row>
    <row r="740" spans="1:8" ht="20" customHeight="1">
      <c r="A740" s="68"/>
      <c r="B740" s="69" t="str">
        <f>IF(ISNA(VLOOKUP(A740,Declarations!B$6:C$293,2,FALSE)),"",IF(VLOOKUP(A740,Declarations!B$6:C$293,2,FALSE)="","---",VLOOKUP(A740,Declarations!B$6:C$293,2,FALSE)))</f>
        <v/>
      </c>
      <c r="C740" s="69" t="str">
        <f>IF(ISNA(VLOOKUP(A740,Declarations!B$6:F$293,5,FALSE)),"",IF(VLOOKUP(A740,Declarations!B$6:F$293,5,FALSE)="","---",VLOOKUP(A740,Declarations!B$6:F$293,5,FALSE)))</f>
        <v/>
      </c>
      <c r="D740" s="69" t="str">
        <f>IF(ISNA(VLOOKUP(A740,Declarations!B$6:F$293,4,FALSE)),"",IF(VLOOKUP(A740,Declarations!B$6:F$293,4,FALSE)="","---",VLOOKUP(A740,Declarations!B$6:F$293,4,FALSE)))</f>
        <v/>
      </c>
      <c r="E740" s="68"/>
      <c r="F740" s="70"/>
      <c r="G740" s="281" t="s">
        <v>149</v>
      </c>
      <c r="H740" s="70"/>
    </row>
    <row r="741" spans="1:8" ht="20" customHeight="1">
      <c r="A741" s="68"/>
      <c r="B741" s="69" t="str">
        <f>IF(ISNA(VLOOKUP(A741,Declarations!B$6:C$293,2,FALSE)),"",IF(VLOOKUP(A741,Declarations!B$6:C$293,2,FALSE)="","---",VLOOKUP(A741,Declarations!B$6:C$293,2,FALSE)))</f>
        <v/>
      </c>
      <c r="C741" s="69" t="str">
        <f>IF(ISNA(VLOOKUP(A741,Declarations!B$6:F$293,5,FALSE)),"",IF(VLOOKUP(A741,Declarations!B$6:F$293,5,FALSE)="","---",VLOOKUP(A741,Declarations!B$6:F$293,5,FALSE)))</f>
        <v/>
      </c>
      <c r="D741" s="69" t="str">
        <f>IF(ISNA(VLOOKUP(A741,Declarations!B$6:F$293,4,FALSE)),"",IF(VLOOKUP(A741,Declarations!B$6:F$293,4,FALSE)="","---",VLOOKUP(A741,Declarations!B$6:F$293,4,FALSE)))</f>
        <v/>
      </c>
      <c r="E741" s="70"/>
      <c r="F741" s="70"/>
      <c r="G741" s="281" t="s">
        <v>149</v>
      </c>
      <c r="H741" s="70"/>
    </row>
    <row r="742" spans="1:8" ht="20" customHeight="1">
      <c r="A742" s="68"/>
      <c r="B742" s="69" t="str">
        <f>IF(ISNA(VLOOKUP(A742,Declarations!B$6:C$293,2,FALSE)),"",IF(VLOOKUP(A742,Declarations!B$6:C$293,2,FALSE)="","---",VLOOKUP(A742,Declarations!B$6:C$293,2,FALSE)))</f>
        <v/>
      </c>
      <c r="C742" s="69" t="str">
        <f>IF(ISNA(VLOOKUP(A742,Declarations!B$6:F$293,5,FALSE)),"",IF(VLOOKUP(A742,Declarations!B$6:F$293,5,FALSE)="","---",VLOOKUP(A742,Declarations!B$6:F$293,5,FALSE)))</f>
        <v/>
      </c>
      <c r="D742" s="69" t="str">
        <f>IF(ISNA(VLOOKUP(A742,Declarations!B$6:F$293,4,FALSE)),"",IF(VLOOKUP(A742,Declarations!B$6:F$293,4,FALSE)="","---",VLOOKUP(A742,Declarations!B$6:F$293,4,FALSE)))</f>
        <v/>
      </c>
      <c r="E742" s="70"/>
      <c r="F742" s="70"/>
      <c r="G742" s="281" t="s">
        <v>149</v>
      </c>
      <c r="H742" s="70"/>
    </row>
    <row r="743" spans="1:8" ht="20" customHeight="1">
      <c r="A743" s="68"/>
      <c r="B743" s="69" t="str">
        <f>IF(ISNA(VLOOKUP(A743,Declarations!B$6:C$293,2,FALSE)),"",IF(VLOOKUP(A743,Declarations!B$6:C$293,2,FALSE)="","---",VLOOKUP(A743,Declarations!B$6:C$293,2,FALSE)))</f>
        <v/>
      </c>
      <c r="C743" s="69" t="str">
        <f>IF(ISNA(VLOOKUP(A743,Declarations!B$6:F$293,5,FALSE)),"",IF(VLOOKUP(A743,Declarations!B$6:F$293,5,FALSE)="","---",VLOOKUP(A743,Declarations!B$6:F$293,5,FALSE)))</f>
        <v/>
      </c>
      <c r="D743" s="69" t="str">
        <f>IF(ISNA(VLOOKUP(A743,Declarations!B$6:F$293,4,FALSE)),"",IF(VLOOKUP(A743,Declarations!B$6:F$293,4,FALSE)="","---",VLOOKUP(A743,Declarations!B$6:F$293,4,FALSE)))</f>
        <v/>
      </c>
      <c r="E743" s="70"/>
      <c r="F743" s="70"/>
      <c r="G743" s="281" t="s">
        <v>149</v>
      </c>
      <c r="H743" s="70"/>
    </row>
    <row r="744" spans="1:8" ht="20" customHeight="1">
      <c r="A744" s="68"/>
      <c r="B744" s="69" t="str">
        <f>IF(ISNA(VLOOKUP(A744,Declarations!B$6:C$293,2,FALSE)),"",IF(VLOOKUP(A744,Declarations!B$6:C$293,2,FALSE)="","---",VLOOKUP(A744,Declarations!B$6:C$293,2,FALSE)))</f>
        <v/>
      </c>
      <c r="C744" s="69" t="str">
        <f>IF(ISNA(VLOOKUP(A744,Declarations!B$6:F$293,5,FALSE)),"",IF(VLOOKUP(A744,Declarations!B$6:F$293,5,FALSE)="","---",VLOOKUP(A744,Declarations!B$6:F$293,5,FALSE)))</f>
        <v/>
      </c>
      <c r="D744" s="69" t="str">
        <f>IF(ISNA(VLOOKUP(A744,Declarations!B$6:F$293,4,FALSE)),"",IF(VLOOKUP(A744,Declarations!B$6:F$293,4,FALSE)="","---",VLOOKUP(A744,Declarations!B$6:F$293,4,FALSE)))</f>
        <v/>
      </c>
      <c r="E744" s="70"/>
      <c r="F744" s="70"/>
      <c r="G744" s="281" t="s">
        <v>149</v>
      </c>
      <c r="H744" s="70"/>
    </row>
    <row r="745" spans="1:8" ht="20" customHeight="1">
      <c r="A745" s="68"/>
      <c r="B745" s="69" t="str">
        <f>IF(ISNA(VLOOKUP(A745,Declarations!B$6:C$293,2,FALSE)),"",IF(VLOOKUP(A745,Declarations!B$6:C$293,2,FALSE)="","---",VLOOKUP(A745,Declarations!B$6:C$293,2,FALSE)))</f>
        <v/>
      </c>
      <c r="C745" s="69" t="str">
        <f>IF(ISNA(VLOOKUP(A745,Declarations!B$6:F$293,5,FALSE)),"",IF(VLOOKUP(A745,Declarations!B$6:F$293,5,FALSE)="","---",VLOOKUP(A745,Declarations!B$6:F$293,5,FALSE)))</f>
        <v/>
      </c>
      <c r="D745" s="69" t="str">
        <f>IF(ISNA(VLOOKUP(A745,Declarations!B$6:F$293,4,FALSE)),"",IF(VLOOKUP(A745,Declarations!B$6:F$293,4,FALSE)="","---",VLOOKUP(A745,Declarations!B$6:F$293,4,FALSE)))</f>
        <v/>
      </c>
      <c r="E745" s="70"/>
      <c r="F745" s="70"/>
      <c r="G745" s="281" t="s">
        <v>149</v>
      </c>
      <c r="H745" s="70"/>
    </row>
    <row r="746" spans="1:8" ht="20" customHeight="1">
      <c r="A746" s="68"/>
      <c r="B746" s="69" t="str">
        <f>IF(ISNA(VLOOKUP(A746,Declarations!B$6:C$293,2,FALSE)),"",IF(VLOOKUP(A746,Declarations!B$6:C$293,2,FALSE)="","---",VLOOKUP(A746,Declarations!B$6:C$293,2,FALSE)))</f>
        <v/>
      </c>
      <c r="C746" s="69" t="str">
        <f>IF(ISNA(VLOOKUP(A746,Declarations!B$6:F$293,5,FALSE)),"",IF(VLOOKUP(A746,Declarations!B$6:F$293,5,FALSE)="","---",VLOOKUP(A746,Declarations!B$6:F$293,5,FALSE)))</f>
        <v/>
      </c>
      <c r="D746" s="69" t="str">
        <f>IF(ISNA(VLOOKUP(A746,Declarations!B$6:F$293,4,FALSE)),"",IF(VLOOKUP(A746,Declarations!B$6:F$293,4,FALSE)="","---",VLOOKUP(A746,Declarations!B$6:F$293,4,FALSE)))</f>
        <v/>
      </c>
      <c r="E746" s="70"/>
      <c r="F746" s="70"/>
      <c r="G746" s="281" t="s">
        <v>149</v>
      </c>
      <c r="H746" s="70"/>
    </row>
    <row r="747" spans="1:8" ht="20" customHeight="1">
      <c r="A747" s="68"/>
      <c r="B747" s="69" t="str">
        <f>IF(ISNA(VLOOKUP(A747,Declarations!B$6:C$293,2,FALSE)),"",IF(VLOOKUP(A747,Declarations!B$6:C$293,2,FALSE)="","---",VLOOKUP(A747,Declarations!B$6:C$293,2,FALSE)))</f>
        <v/>
      </c>
      <c r="C747" s="69" t="str">
        <f>IF(ISNA(VLOOKUP(A747,Declarations!B$6:F$293,5,FALSE)),"",IF(VLOOKUP(A747,Declarations!B$6:F$293,5,FALSE)="","---",VLOOKUP(A747,Declarations!B$6:F$293,5,FALSE)))</f>
        <v/>
      </c>
      <c r="D747" s="69" t="str">
        <f>IF(ISNA(VLOOKUP(A747,Declarations!B$6:F$293,4,FALSE)),"",IF(VLOOKUP(A747,Declarations!B$6:F$293,4,FALSE)="","---",VLOOKUP(A747,Declarations!B$6:F$293,4,FALSE)))</f>
        <v/>
      </c>
      <c r="E747" s="70"/>
      <c r="F747" s="70"/>
      <c r="G747" s="281" t="s">
        <v>149</v>
      </c>
      <c r="H747" s="70"/>
    </row>
    <row r="748" spans="1:8" ht="20" customHeight="1">
      <c r="A748" s="68"/>
      <c r="B748" s="69" t="str">
        <f>IF(ISNA(VLOOKUP(A748,Declarations!B$6:C$293,2,FALSE)),"",IF(VLOOKUP(A748,Declarations!B$6:C$293,2,FALSE)="","---",VLOOKUP(A748,Declarations!B$6:C$293,2,FALSE)))</f>
        <v/>
      </c>
      <c r="C748" s="69" t="str">
        <f>IF(ISNA(VLOOKUP(A748,Declarations!B$6:F$293,5,FALSE)),"",IF(VLOOKUP(A748,Declarations!B$6:F$293,5,FALSE)="","---",VLOOKUP(A748,Declarations!B$6:F$293,5,FALSE)))</f>
        <v/>
      </c>
      <c r="D748" s="69" t="str">
        <f>IF(ISNA(VLOOKUP(A748,Declarations!B$6:F$293,4,FALSE)),"",IF(VLOOKUP(A748,Declarations!B$6:F$293,4,FALSE)="","---",VLOOKUP(A748,Declarations!B$6:F$293,4,FALSE)))</f>
        <v/>
      </c>
      <c r="E748" s="70"/>
      <c r="F748" s="70"/>
      <c r="G748" s="281" t="s">
        <v>149</v>
      </c>
      <c r="H748" s="70"/>
    </row>
    <row r="749" spans="1:8" ht="20" customHeight="1">
      <c r="A749" s="68"/>
      <c r="B749" s="69" t="str">
        <f>IF(ISNA(VLOOKUP(A749,Declarations!B$6:C$293,2,FALSE)),"",IF(VLOOKUP(A749,Declarations!B$6:C$293,2,FALSE)="","---",VLOOKUP(A749,Declarations!B$6:C$293,2,FALSE)))</f>
        <v/>
      </c>
      <c r="C749" s="69" t="str">
        <f>IF(ISNA(VLOOKUP(A749,Declarations!B$6:F$293,5,FALSE)),"",IF(VLOOKUP(A749,Declarations!B$6:F$293,5,FALSE)="","---",VLOOKUP(A749,Declarations!B$6:F$293,5,FALSE)))</f>
        <v/>
      </c>
      <c r="D749" s="69" t="str">
        <f>IF(ISNA(VLOOKUP(A749,Declarations!B$6:F$293,4,FALSE)),"",IF(VLOOKUP(A749,Declarations!B$6:F$293,4,FALSE)="","---",VLOOKUP(A749,Declarations!B$6:F$293,4,FALSE)))</f>
        <v/>
      </c>
      <c r="E749" s="70"/>
      <c r="F749" s="70"/>
      <c r="G749" s="281" t="s">
        <v>149</v>
      </c>
      <c r="H749" s="70"/>
    </row>
    <row r="750" spans="1:8" ht="20" customHeight="1">
      <c r="A750" s="68"/>
      <c r="B750" s="69" t="str">
        <f>IF(ISNA(VLOOKUP(A750,Declarations!B$6:C$293,2,FALSE)),"",IF(VLOOKUP(A750,Declarations!B$6:C$293,2,FALSE)="","---",VLOOKUP(A750,Declarations!B$6:C$293,2,FALSE)))</f>
        <v/>
      </c>
      <c r="C750" s="69" t="str">
        <f>IF(ISNA(VLOOKUP(A750,Declarations!B$6:F$293,5,FALSE)),"",IF(VLOOKUP(A750,Declarations!B$6:F$293,5,FALSE)="","---",VLOOKUP(A750,Declarations!B$6:F$293,5,FALSE)))</f>
        <v/>
      </c>
      <c r="D750" s="69" t="str">
        <f>IF(ISNA(VLOOKUP(A750,Declarations!B$6:F$293,4,FALSE)),"",IF(VLOOKUP(A750,Declarations!B$6:F$293,4,FALSE)="","---",VLOOKUP(A750,Declarations!B$6:F$293,4,FALSE)))</f>
        <v/>
      </c>
      <c r="E750" s="70"/>
      <c r="F750" s="70"/>
      <c r="G750" s="281" t="s">
        <v>149</v>
      </c>
      <c r="H750" s="70"/>
    </row>
    <row r="751" spans="1:8" ht="20" customHeight="1">
      <c r="A751" s="68"/>
      <c r="B751" s="69" t="str">
        <f>IF(ISNA(VLOOKUP(A751,Declarations!B$6:C$293,2,FALSE)),"",IF(VLOOKUP(A751,Declarations!B$6:C$293,2,FALSE)="","---",VLOOKUP(A751,Declarations!B$6:C$293,2,FALSE)))</f>
        <v/>
      </c>
      <c r="C751" s="69" t="str">
        <f>IF(ISNA(VLOOKUP(A751,Declarations!B$6:F$293,5,FALSE)),"",IF(VLOOKUP(A751,Declarations!B$6:F$293,5,FALSE)="","---",VLOOKUP(A751,Declarations!B$6:F$293,5,FALSE)))</f>
        <v/>
      </c>
      <c r="D751" s="69" t="str">
        <f>IF(ISNA(VLOOKUP(A751,Declarations!B$6:F$293,4,FALSE)),"",IF(VLOOKUP(A751,Declarations!B$6:F$293,4,FALSE)="","---",VLOOKUP(A751,Declarations!B$6:F$293,4,FALSE)))</f>
        <v/>
      </c>
      <c r="E751" s="70"/>
      <c r="F751" s="70"/>
      <c r="G751" s="281" t="s">
        <v>149</v>
      </c>
      <c r="H751" s="70"/>
    </row>
    <row r="752" spans="1:8" ht="20" customHeight="1">
      <c r="A752" s="68"/>
      <c r="B752" s="69" t="str">
        <f>IF(ISNA(VLOOKUP(A752,Declarations!B$6:C$293,2,FALSE)),"",IF(VLOOKUP(A752,Declarations!B$6:C$293,2,FALSE)="","---",VLOOKUP(A752,Declarations!B$6:C$293,2,FALSE)))</f>
        <v/>
      </c>
      <c r="C752" s="69" t="str">
        <f>IF(ISNA(VLOOKUP(A752,Declarations!B$6:F$293,5,FALSE)),"",IF(VLOOKUP(A752,Declarations!B$6:F$293,5,FALSE)="","---",VLOOKUP(A752,Declarations!B$6:F$293,5,FALSE)))</f>
        <v/>
      </c>
      <c r="D752" s="69" t="str">
        <f>IF(ISNA(VLOOKUP(A752,Declarations!B$6:F$293,4,FALSE)),"",IF(VLOOKUP(A752,Declarations!B$6:F$293,4,FALSE)="","---",VLOOKUP(A752,Declarations!B$6:F$293,4,FALSE)))</f>
        <v/>
      </c>
      <c r="E752" s="70"/>
      <c r="F752" s="70"/>
      <c r="G752" s="281" t="s">
        <v>149</v>
      </c>
      <c r="H752" s="70"/>
    </row>
    <row r="753" spans="1:8" ht="20" customHeight="1">
      <c r="A753" s="68"/>
      <c r="B753" s="69" t="str">
        <f>IF(ISNA(VLOOKUP(A753,Declarations!B$6:C$293,2,FALSE)),"",IF(VLOOKUP(A753,Declarations!B$6:C$293,2,FALSE)="","---",VLOOKUP(A753,Declarations!B$6:C$293,2,FALSE)))</f>
        <v/>
      </c>
      <c r="C753" s="69" t="str">
        <f>IF(ISNA(VLOOKUP(A753,Declarations!B$6:F$293,5,FALSE)),"",IF(VLOOKUP(A753,Declarations!B$6:F$293,5,FALSE)="","---",VLOOKUP(A753,Declarations!B$6:F$293,5,FALSE)))</f>
        <v/>
      </c>
      <c r="D753" s="69" t="str">
        <f>IF(ISNA(VLOOKUP(A753,Declarations!B$6:F$293,4,FALSE)),"",IF(VLOOKUP(A753,Declarations!B$6:F$293,4,FALSE)="","---",VLOOKUP(A753,Declarations!B$6:F$293,4,FALSE)))</f>
        <v/>
      </c>
      <c r="E753" s="70"/>
      <c r="F753" s="70"/>
      <c r="G753" s="281" t="s">
        <v>149</v>
      </c>
      <c r="H753" s="70"/>
    </row>
    <row r="754" spans="1:8" ht="20" customHeight="1">
      <c r="A754" s="68"/>
      <c r="B754" s="69" t="str">
        <f>IF(ISNA(VLOOKUP(A754,Declarations!B$6:C$293,2,FALSE)),"",IF(VLOOKUP(A754,Declarations!B$6:C$293,2,FALSE)="","---",VLOOKUP(A754,Declarations!B$6:C$293,2,FALSE)))</f>
        <v/>
      </c>
      <c r="C754" s="69" t="str">
        <f>IF(ISNA(VLOOKUP(A754,Declarations!B$6:F$293,5,FALSE)),"",IF(VLOOKUP(A754,Declarations!B$6:F$293,5,FALSE)="","---",VLOOKUP(A754,Declarations!B$6:F$293,5,FALSE)))</f>
        <v/>
      </c>
      <c r="D754" s="69" t="str">
        <f>IF(ISNA(VLOOKUP(A754,Declarations!B$6:F$293,4,FALSE)),"",IF(VLOOKUP(A754,Declarations!B$6:F$293,4,FALSE)="","---",VLOOKUP(A754,Declarations!B$6:F$293,4,FALSE)))</f>
        <v/>
      </c>
      <c r="E754" s="70"/>
      <c r="F754" s="70"/>
      <c r="G754" s="281" t="s">
        <v>149</v>
      </c>
      <c r="H754" s="70"/>
    </row>
    <row r="755" spans="1:8">
      <c r="A755" s="71"/>
      <c r="B755" s="72"/>
      <c r="C755" s="72"/>
      <c r="D755" s="72"/>
      <c r="E755" s="73"/>
      <c r="F755" s="73"/>
      <c r="G755" s="73"/>
      <c r="H755" s="73"/>
    </row>
    <row r="756" spans="1:8">
      <c r="A756" s="71"/>
      <c r="B756" s="510" t="s">
        <v>213</v>
      </c>
      <c r="C756" s="511"/>
      <c r="D756" s="72"/>
      <c r="E756" s="509" t="s">
        <v>93</v>
      </c>
      <c r="F756" s="509"/>
      <c r="G756" s="501" t="s">
        <v>43</v>
      </c>
      <c r="H756" s="501"/>
    </row>
    <row r="757" spans="1:8" ht="16" customHeight="1">
      <c r="A757" s="71"/>
      <c r="B757" s="512"/>
      <c r="C757" s="513"/>
      <c r="D757" s="72"/>
      <c r="E757" s="501"/>
      <c r="F757" s="501"/>
      <c r="G757" s="501"/>
      <c r="H757" s="501"/>
    </row>
    <row r="758" spans="1:8">
      <c r="A758" s="71"/>
      <c r="B758" s="512"/>
      <c r="C758" s="513"/>
      <c r="D758" s="72"/>
      <c r="E758" s="501"/>
      <c r="F758" s="501"/>
      <c r="G758" s="501"/>
      <c r="H758" s="501"/>
    </row>
    <row r="759" spans="1:8">
      <c r="A759" s="71"/>
      <c r="B759" s="514"/>
      <c r="C759" s="515"/>
      <c r="D759" s="72"/>
      <c r="E759" s="501"/>
      <c r="F759" s="501"/>
      <c r="G759" s="501"/>
      <c r="H759" s="501"/>
    </row>
    <row r="760" spans="1:8" ht="8" customHeight="1">
      <c r="A760" s="71"/>
      <c r="B760" s="72"/>
      <c r="C760" s="72"/>
      <c r="D760" s="72"/>
      <c r="E760" s="73"/>
      <c r="F760" s="73"/>
      <c r="G760" s="73"/>
      <c r="H760" s="73"/>
    </row>
    <row r="761" spans="1:8" ht="20">
      <c r="A761" s="502" t="str">
        <f>'Read Me First'!A1:F1</f>
        <v>Oxfordshire Track and Field League 2026</v>
      </c>
      <c r="B761" s="503"/>
      <c r="C761" s="503"/>
      <c r="D761" s="503"/>
      <c r="E761" s="503"/>
      <c r="F761" s="503"/>
      <c r="G761" s="503"/>
      <c r="H761" s="504"/>
    </row>
    <row r="762" spans="1:8" ht="18">
      <c r="A762" s="61" t="s">
        <v>12</v>
      </c>
      <c r="B762" s="62">
        <f>'Read Me First'!$C$10</f>
        <v>46250</v>
      </c>
      <c r="C762" s="77">
        <v>0.5</v>
      </c>
      <c r="D762" s="61" t="s">
        <v>13</v>
      </c>
      <c r="E762" s="505" t="str">
        <f>$E$2</f>
        <v>Banbury</v>
      </c>
      <c r="F762" s="506"/>
      <c r="G762" s="506"/>
      <c r="H762" s="507"/>
    </row>
    <row r="763" spans="1:8" ht="18">
      <c r="A763" s="508" t="s">
        <v>58</v>
      </c>
      <c r="B763" s="508"/>
      <c r="C763" s="508"/>
      <c r="D763" s="508"/>
      <c r="E763" s="60">
        <v>1</v>
      </c>
      <c r="F763" s="60">
        <v>2</v>
      </c>
      <c r="G763" s="60">
        <v>3</v>
      </c>
      <c r="H763" s="60" t="s">
        <v>42</v>
      </c>
    </row>
    <row r="764" spans="1:8" ht="18">
      <c r="A764" s="66"/>
      <c r="B764" s="66"/>
      <c r="C764" s="66"/>
      <c r="D764" s="66"/>
      <c r="E764" s="67"/>
      <c r="F764" s="67"/>
      <c r="G764" s="67"/>
      <c r="H764" s="67"/>
    </row>
    <row r="765" spans="1:8" ht="20" customHeight="1">
      <c r="A765" s="68" t="str" cm="1">
        <f t="array" ref="A765">IFERROR(_xlfn.TEXTSPLIT(IFERROR(_xlfn.TEXTJOIN(",",TRUE,_xlfn._xlws.FILTER(BlockAllocations!$F$3:$F$20,BlockAllocations!$E$3:$E$20=BlockAllocations!$G$15)),""),,",")+0,"!")</f>
        <v>!</v>
      </c>
      <c r="B765" s="69" t="str">
        <f>IF(ISNA(VLOOKUP(A765,Declarations!B$6:C$293,2,FALSE)),"",IF(VLOOKUP(A765,Declarations!B$6:C$293,2,FALSE)="","---",VLOOKUP(A765,Declarations!B$6:C$293,2,FALSE)))</f>
        <v/>
      </c>
      <c r="C765" s="69" t="str">
        <f>IF(ISNA(VLOOKUP(A765,Declarations!B$6:F$293,5,FALSE)),"",IF(VLOOKUP(A765,Declarations!B$6:F$293,5,FALSE)="","---",VLOOKUP(A765,Declarations!B$6:F$293,5,FALSE)))</f>
        <v/>
      </c>
      <c r="D765" s="69" t="str">
        <f>IF(ISNA(VLOOKUP(A765,Declarations!B$6:F$293,4,FALSE)),"",IF(VLOOKUP(A765,Declarations!B$6:F$293,4,FALSE)="","---",VLOOKUP(A765,Declarations!B$6:F$293,4,FALSE)))</f>
        <v/>
      </c>
      <c r="E765" s="68"/>
      <c r="F765" s="70"/>
      <c r="G765" s="281" t="s">
        <v>149</v>
      </c>
      <c r="H765" s="70"/>
    </row>
    <row r="766" spans="1:8" ht="20" customHeight="1">
      <c r="A766" s="68"/>
      <c r="B766" s="69" t="str">
        <f>IF(ISNA(VLOOKUP(A766,Declarations!B$6:C$293,2,FALSE)),"",IF(VLOOKUP(A766,Declarations!B$6:C$293,2,FALSE)="","---",VLOOKUP(A766,Declarations!B$6:C$293,2,FALSE)))</f>
        <v/>
      </c>
      <c r="C766" s="69" t="str">
        <f>IF(ISNA(VLOOKUP(A766,Declarations!B$6:F$293,5,FALSE)),"",IF(VLOOKUP(A766,Declarations!B$6:F$293,5,FALSE)="","---",VLOOKUP(A766,Declarations!B$6:F$293,5,FALSE)))</f>
        <v/>
      </c>
      <c r="D766" s="69" t="str">
        <f>IF(ISNA(VLOOKUP(A766,Declarations!B$6:F$293,4,FALSE)),"",IF(VLOOKUP(A766,Declarations!B$6:F$293,4,FALSE)="","---",VLOOKUP(A766,Declarations!B$6:F$293,4,FALSE)))</f>
        <v/>
      </c>
      <c r="E766" s="68"/>
      <c r="F766" s="70"/>
      <c r="G766" s="281" t="s">
        <v>149</v>
      </c>
      <c r="H766" s="70"/>
    </row>
    <row r="767" spans="1:8" ht="20" customHeight="1">
      <c r="A767" s="68"/>
      <c r="B767" s="69" t="str">
        <f>IF(ISNA(VLOOKUP(A767,Declarations!B$6:C$293,2,FALSE)),"",IF(VLOOKUP(A767,Declarations!B$6:C$293,2,FALSE)="","---",VLOOKUP(A767,Declarations!B$6:C$293,2,FALSE)))</f>
        <v/>
      </c>
      <c r="C767" s="69" t="str">
        <f>IF(ISNA(VLOOKUP(A767,Declarations!B$6:F$293,5,FALSE)),"",IF(VLOOKUP(A767,Declarations!B$6:F$293,5,FALSE)="","---",VLOOKUP(A767,Declarations!B$6:F$293,5,FALSE)))</f>
        <v/>
      </c>
      <c r="D767" s="69" t="str">
        <f>IF(ISNA(VLOOKUP(A767,Declarations!B$6:F$293,4,FALSE)),"",IF(VLOOKUP(A767,Declarations!B$6:F$293,4,FALSE)="","---",VLOOKUP(A767,Declarations!B$6:F$293,4,FALSE)))</f>
        <v/>
      </c>
      <c r="E767" s="68"/>
      <c r="F767" s="70"/>
      <c r="G767" s="281" t="s">
        <v>149</v>
      </c>
      <c r="H767" s="70"/>
    </row>
    <row r="768" spans="1:8" ht="20" customHeight="1">
      <c r="A768" s="68"/>
      <c r="B768" s="69" t="str">
        <f>IF(ISNA(VLOOKUP(A768,Declarations!B$6:C$293,2,FALSE)),"",IF(VLOOKUP(A768,Declarations!B$6:C$293,2,FALSE)="","---",VLOOKUP(A768,Declarations!B$6:C$293,2,FALSE)))</f>
        <v/>
      </c>
      <c r="C768" s="69" t="str">
        <f>IF(ISNA(VLOOKUP(A768,Declarations!B$6:F$293,5,FALSE)),"",IF(VLOOKUP(A768,Declarations!B$6:F$293,5,FALSE)="","---",VLOOKUP(A768,Declarations!B$6:F$293,5,FALSE)))</f>
        <v/>
      </c>
      <c r="D768" s="69" t="str">
        <f>IF(ISNA(VLOOKUP(A768,Declarations!B$6:F$293,4,FALSE)),"",IF(VLOOKUP(A768,Declarations!B$6:F$293,4,FALSE)="","---",VLOOKUP(A768,Declarations!B$6:F$293,4,FALSE)))</f>
        <v/>
      </c>
      <c r="E768" s="68"/>
      <c r="F768" s="70"/>
      <c r="G768" s="281" t="s">
        <v>149</v>
      </c>
      <c r="H768" s="70"/>
    </row>
    <row r="769" spans="1:8" ht="20" customHeight="1">
      <c r="A769" s="68"/>
      <c r="B769" s="69" t="str">
        <f>IF(ISNA(VLOOKUP(A769,Declarations!B$6:C$293,2,FALSE)),"",IF(VLOOKUP(A769,Declarations!B$6:C$293,2,FALSE)="","---",VLOOKUP(A769,Declarations!B$6:C$293,2,FALSE)))</f>
        <v/>
      </c>
      <c r="C769" s="69" t="str">
        <f>IF(ISNA(VLOOKUP(A769,Declarations!B$6:F$293,5,FALSE)),"",IF(VLOOKUP(A769,Declarations!B$6:F$293,5,FALSE)="","---",VLOOKUP(A769,Declarations!B$6:F$293,5,FALSE)))</f>
        <v/>
      </c>
      <c r="D769" s="69" t="str">
        <f>IF(ISNA(VLOOKUP(A769,Declarations!B$6:F$293,4,FALSE)),"",IF(VLOOKUP(A769,Declarations!B$6:F$293,4,FALSE)="","---",VLOOKUP(A769,Declarations!B$6:F$293,4,FALSE)))</f>
        <v/>
      </c>
      <c r="E769" s="68"/>
      <c r="F769" s="70"/>
      <c r="G769" s="281" t="s">
        <v>149</v>
      </c>
      <c r="H769" s="70"/>
    </row>
    <row r="770" spans="1:8" ht="20" customHeight="1">
      <c r="A770" s="68"/>
      <c r="B770" s="69" t="str">
        <f>IF(ISNA(VLOOKUP(A770,Declarations!B$6:C$293,2,FALSE)),"",IF(VLOOKUP(A770,Declarations!B$6:C$293,2,FALSE)="","---",VLOOKUP(A770,Declarations!B$6:C$293,2,FALSE)))</f>
        <v/>
      </c>
      <c r="C770" s="69" t="str">
        <f>IF(ISNA(VLOOKUP(A770,Declarations!B$6:F$293,5,FALSE)),"",IF(VLOOKUP(A770,Declarations!B$6:F$293,5,FALSE)="","---",VLOOKUP(A770,Declarations!B$6:F$293,5,FALSE)))</f>
        <v/>
      </c>
      <c r="D770" s="69" t="str">
        <f>IF(ISNA(VLOOKUP(A770,Declarations!B$6:F$293,4,FALSE)),"",IF(VLOOKUP(A770,Declarations!B$6:F$293,4,FALSE)="","---",VLOOKUP(A770,Declarations!B$6:F$293,4,FALSE)))</f>
        <v/>
      </c>
      <c r="E770" s="68"/>
      <c r="F770" s="70"/>
      <c r="G770" s="281" t="s">
        <v>149</v>
      </c>
      <c r="H770" s="70"/>
    </row>
    <row r="771" spans="1:8" ht="20" customHeight="1">
      <c r="A771" s="68"/>
      <c r="B771" s="69" t="str">
        <f>IF(ISNA(VLOOKUP(A771,Declarations!B$6:C$293,2,FALSE)),"",IF(VLOOKUP(A771,Declarations!B$6:C$293,2,FALSE)="","---",VLOOKUP(A771,Declarations!B$6:C$293,2,FALSE)))</f>
        <v/>
      </c>
      <c r="C771" s="69" t="str">
        <f>IF(ISNA(VLOOKUP(A771,Declarations!B$6:F$293,5,FALSE)),"",IF(VLOOKUP(A771,Declarations!B$6:F$293,5,FALSE)="","---",VLOOKUP(A771,Declarations!B$6:F$293,5,FALSE)))</f>
        <v/>
      </c>
      <c r="D771" s="69" t="str">
        <f>IF(ISNA(VLOOKUP(A771,Declarations!B$6:F$293,4,FALSE)),"",IF(VLOOKUP(A771,Declarations!B$6:F$293,4,FALSE)="","---",VLOOKUP(A771,Declarations!B$6:F$293,4,FALSE)))</f>
        <v/>
      </c>
      <c r="E771" s="68"/>
      <c r="F771" s="70"/>
      <c r="G771" s="281" t="s">
        <v>149</v>
      </c>
      <c r="H771" s="70"/>
    </row>
    <row r="772" spans="1:8" ht="20" customHeight="1">
      <c r="A772" s="68"/>
      <c r="B772" s="69" t="str">
        <f>IF(ISNA(VLOOKUP(A772,Declarations!B$6:C$293,2,FALSE)),"",IF(VLOOKUP(A772,Declarations!B$6:C$293,2,FALSE)="","---",VLOOKUP(A772,Declarations!B$6:C$293,2,FALSE)))</f>
        <v/>
      </c>
      <c r="C772" s="69" t="str">
        <f>IF(ISNA(VLOOKUP(A772,Declarations!B$6:F$293,5,FALSE)),"",IF(VLOOKUP(A772,Declarations!B$6:F$293,5,FALSE)="","---",VLOOKUP(A772,Declarations!B$6:F$293,5,FALSE)))</f>
        <v/>
      </c>
      <c r="D772" s="69" t="str">
        <f>IF(ISNA(VLOOKUP(A772,Declarations!B$6:F$293,4,FALSE)),"",IF(VLOOKUP(A772,Declarations!B$6:F$293,4,FALSE)="","---",VLOOKUP(A772,Declarations!B$6:F$293,4,FALSE)))</f>
        <v/>
      </c>
      <c r="E772" s="68"/>
      <c r="F772" s="70"/>
      <c r="G772" s="281" t="s">
        <v>149</v>
      </c>
      <c r="H772" s="70"/>
    </row>
    <row r="773" spans="1:8" ht="20" customHeight="1">
      <c r="A773" s="68"/>
      <c r="B773" s="69" t="str">
        <f>IF(ISNA(VLOOKUP(A773,Declarations!B$6:C$293,2,FALSE)),"",IF(VLOOKUP(A773,Declarations!B$6:C$293,2,FALSE)="","---",VLOOKUP(A773,Declarations!B$6:C$293,2,FALSE)))</f>
        <v/>
      </c>
      <c r="C773" s="69" t="str">
        <f>IF(ISNA(VLOOKUP(A773,Declarations!B$6:F$293,5,FALSE)),"",IF(VLOOKUP(A773,Declarations!B$6:F$293,5,FALSE)="","---",VLOOKUP(A773,Declarations!B$6:F$293,5,FALSE)))</f>
        <v/>
      </c>
      <c r="D773" s="69" t="str">
        <f>IF(ISNA(VLOOKUP(A773,Declarations!B$6:F$293,4,FALSE)),"",IF(VLOOKUP(A773,Declarations!B$6:F$293,4,FALSE)="","---",VLOOKUP(A773,Declarations!B$6:F$293,4,FALSE)))</f>
        <v/>
      </c>
      <c r="E773" s="68"/>
      <c r="F773" s="70"/>
      <c r="G773" s="281" t="s">
        <v>149</v>
      </c>
      <c r="H773" s="70"/>
    </row>
    <row r="774" spans="1:8" ht="20" customHeight="1">
      <c r="A774" s="68"/>
      <c r="B774" s="69" t="str">
        <f>IF(ISNA(VLOOKUP(A774,Declarations!B$6:C$293,2,FALSE)),"",IF(VLOOKUP(A774,Declarations!B$6:C$293,2,FALSE)="","---",VLOOKUP(A774,Declarations!B$6:C$293,2,FALSE)))</f>
        <v/>
      </c>
      <c r="C774" s="69" t="str">
        <f>IF(ISNA(VLOOKUP(A774,Declarations!B$6:F$293,5,FALSE)),"",IF(VLOOKUP(A774,Declarations!B$6:F$293,5,FALSE)="","---",VLOOKUP(A774,Declarations!B$6:F$293,5,FALSE)))</f>
        <v/>
      </c>
      <c r="D774" s="69" t="str">
        <f>IF(ISNA(VLOOKUP(A774,Declarations!B$6:F$293,4,FALSE)),"",IF(VLOOKUP(A774,Declarations!B$6:F$293,4,FALSE)="","---",VLOOKUP(A774,Declarations!B$6:F$293,4,FALSE)))</f>
        <v/>
      </c>
      <c r="E774" s="68"/>
      <c r="F774" s="70"/>
      <c r="G774" s="281" t="s">
        <v>149</v>
      </c>
      <c r="H774" s="70"/>
    </row>
    <row r="775" spans="1:8" ht="20" customHeight="1">
      <c r="A775" s="68"/>
      <c r="B775" s="69" t="str">
        <f>IF(ISNA(VLOOKUP(A775,Declarations!B$6:C$293,2,FALSE)),"",IF(VLOOKUP(A775,Declarations!B$6:C$293,2,FALSE)="","---",VLOOKUP(A775,Declarations!B$6:C$293,2,FALSE)))</f>
        <v/>
      </c>
      <c r="C775" s="69" t="str">
        <f>IF(ISNA(VLOOKUP(A775,Declarations!B$6:F$293,5,FALSE)),"",IF(VLOOKUP(A775,Declarations!B$6:F$293,5,FALSE)="","---",VLOOKUP(A775,Declarations!B$6:F$293,5,FALSE)))</f>
        <v/>
      </c>
      <c r="D775" s="69" t="str">
        <f>IF(ISNA(VLOOKUP(A775,Declarations!B$6:F$293,4,FALSE)),"",IF(VLOOKUP(A775,Declarations!B$6:F$293,4,FALSE)="","---",VLOOKUP(A775,Declarations!B$6:F$293,4,FALSE)))</f>
        <v/>
      </c>
      <c r="E775" s="68"/>
      <c r="F775" s="70"/>
      <c r="G775" s="281" t="s">
        <v>149</v>
      </c>
      <c r="H775" s="70"/>
    </row>
    <row r="776" spans="1:8" ht="20" customHeight="1">
      <c r="A776" s="68"/>
      <c r="B776" s="69" t="str">
        <f>IF(ISNA(VLOOKUP(A776,Declarations!B$6:C$293,2,FALSE)),"",IF(VLOOKUP(A776,Declarations!B$6:C$293,2,FALSE)="","---",VLOOKUP(A776,Declarations!B$6:C$293,2,FALSE)))</f>
        <v/>
      </c>
      <c r="C776" s="69" t="str">
        <f>IF(ISNA(VLOOKUP(A776,Declarations!B$6:F$293,5,FALSE)),"",IF(VLOOKUP(A776,Declarations!B$6:F$293,5,FALSE)="","---",VLOOKUP(A776,Declarations!B$6:F$293,5,FALSE)))</f>
        <v/>
      </c>
      <c r="D776" s="69" t="str">
        <f>IF(ISNA(VLOOKUP(A776,Declarations!B$6:F$293,4,FALSE)),"",IF(VLOOKUP(A776,Declarations!B$6:F$293,4,FALSE)="","---",VLOOKUP(A776,Declarations!B$6:F$293,4,FALSE)))</f>
        <v/>
      </c>
      <c r="E776" s="68"/>
      <c r="F776" s="70"/>
      <c r="G776" s="281" t="s">
        <v>149</v>
      </c>
      <c r="H776" s="70"/>
    </row>
    <row r="777" spans="1:8" ht="20" customHeight="1">
      <c r="A777" s="68"/>
      <c r="B777" s="69" t="str">
        <f>IF(ISNA(VLOOKUP(A777,Declarations!B$6:C$293,2,FALSE)),"",IF(VLOOKUP(A777,Declarations!B$6:C$293,2,FALSE)="","---",VLOOKUP(A777,Declarations!B$6:C$293,2,FALSE)))</f>
        <v/>
      </c>
      <c r="C777" s="69" t="str">
        <f>IF(ISNA(VLOOKUP(A777,Declarations!B$6:F$293,5,FALSE)),"",IF(VLOOKUP(A777,Declarations!B$6:F$293,5,FALSE)="","---",VLOOKUP(A777,Declarations!B$6:F$293,5,FALSE)))</f>
        <v/>
      </c>
      <c r="D777" s="69" t="str">
        <f>IF(ISNA(VLOOKUP(A777,Declarations!B$6:F$293,4,FALSE)),"",IF(VLOOKUP(A777,Declarations!B$6:F$293,4,FALSE)="","---",VLOOKUP(A777,Declarations!B$6:F$293,4,FALSE)))</f>
        <v/>
      </c>
      <c r="E777" s="68"/>
      <c r="F777" s="70"/>
      <c r="G777" s="281" t="s">
        <v>149</v>
      </c>
      <c r="H777" s="70"/>
    </row>
    <row r="778" spans="1:8" ht="20" customHeight="1">
      <c r="A778" s="68"/>
      <c r="B778" s="69" t="str">
        <f>IF(ISNA(VLOOKUP(A778,Declarations!B$6:C$293,2,FALSE)),"",IF(VLOOKUP(A778,Declarations!B$6:C$293,2,FALSE)="","---",VLOOKUP(A778,Declarations!B$6:C$293,2,FALSE)))</f>
        <v/>
      </c>
      <c r="C778" s="69" t="str">
        <f>IF(ISNA(VLOOKUP(A778,Declarations!B$6:F$293,5,FALSE)),"",IF(VLOOKUP(A778,Declarations!B$6:F$293,5,FALSE)="","---",VLOOKUP(A778,Declarations!B$6:F$293,5,FALSE)))</f>
        <v/>
      </c>
      <c r="D778" s="69" t="str">
        <f>IF(ISNA(VLOOKUP(A778,Declarations!B$6:F$293,4,FALSE)),"",IF(VLOOKUP(A778,Declarations!B$6:F$293,4,FALSE)="","---",VLOOKUP(A778,Declarations!B$6:F$293,4,FALSE)))</f>
        <v/>
      </c>
      <c r="E778" s="68"/>
      <c r="F778" s="70"/>
      <c r="G778" s="281" t="s">
        <v>149</v>
      </c>
      <c r="H778" s="70"/>
    </row>
    <row r="779" spans="1:8" ht="20" customHeight="1">
      <c r="A779" s="68"/>
      <c r="B779" s="69" t="str">
        <f>IF(ISNA(VLOOKUP(A779,Declarations!B$6:C$293,2,FALSE)),"",IF(VLOOKUP(A779,Declarations!B$6:C$293,2,FALSE)="","---",VLOOKUP(A779,Declarations!B$6:C$293,2,FALSE)))</f>
        <v/>
      </c>
      <c r="C779" s="69" t="str">
        <f>IF(ISNA(VLOOKUP(A779,Declarations!B$6:F$293,5,FALSE)),"",IF(VLOOKUP(A779,Declarations!B$6:F$293,5,FALSE)="","---",VLOOKUP(A779,Declarations!B$6:F$293,5,FALSE)))</f>
        <v/>
      </c>
      <c r="D779" s="69" t="str">
        <f>IF(ISNA(VLOOKUP(A779,Declarations!B$6:F$293,4,FALSE)),"",IF(VLOOKUP(A779,Declarations!B$6:F$293,4,FALSE)="","---",VLOOKUP(A779,Declarations!B$6:F$293,4,FALSE)))</f>
        <v/>
      </c>
      <c r="E779" s="68"/>
      <c r="F779" s="70"/>
      <c r="G779" s="281" t="s">
        <v>149</v>
      </c>
      <c r="H779" s="70"/>
    </row>
    <row r="780" spans="1:8" ht="20" customHeight="1">
      <c r="A780" s="68"/>
      <c r="B780" s="69" t="str">
        <f>IF(ISNA(VLOOKUP(A780,Declarations!B$6:C$293,2,FALSE)),"",IF(VLOOKUP(A780,Declarations!B$6:C$293,2,FALSE)="","---",VLOOKUP(A780,Declarations!B$6:C$293,2,FALSE)))</f>
        <v/>
      </c>
      <c r="C780" s="69" t="str">
        <f>IF(ISNA(VLOOKUP(A780,Declarations!B$6:F$293,5,FALSE)),"",IF(VLOOKUP(A780,Declarations!B$6:F$293,5,FALSE)="","---",VLOOKUP(A780,Declarations!B$6:F$293,5,FALSE)))</f>
        <v/>
      </c>
      <c r="D780" s="69" t="str">
        <f>IF(ISNA(VLOOKUP(A780,Declarations!B$6:F$293,4,FALSE)),"",IF(VLOOKUP(A780,Declarations!B$6:F$293,4,FALSE)="","---",VLOOKUP(A780,Declarations!B$6:F$293,4,FALSE)))</f>
        <v/>
      </c>
      <c r="E780" s="68"/>
      <c r="F780" s="70"/>
      <c r="G780" s="281" t="s">
        <v>149</v>
      </c>
      <c r="H780" s="70"/>
    </row>
    <row r="781" spans="1:8" ht="20" customHeight="1">
      <c r="A781" s="68"/>
      <c r="B781" s="69" t="str">
        <f>IF(ISNA(VLOOKUP(A781,Declarations!B$6:C$293,2,FALSE)),"",IF(VLOOKUP(A781,Declarations!B$6:C$293,2,FALSE)="","---",VLOOKUP(A781,Declarations!B$6:C$293,2,FALSE)))</f>
        <v/>
      </c>
      <c r="C781" s="69" t="str">
        <f>IF(ISNA(VLOOKUP(A781,Declarations!B$6:F$293,5,FALSE)),"",IF(VLOOKUP(A781,Declarations!B$6:F$293,5,FALSE)="","---",VLOOKUP(A781,Declarations!B$6:F$293,5,FALSE)))</f>
        <v/>
      </c>
      <c r="D781" s="69" t="str">
        <f>IF(ISNA(VLOOKUP(A781,Declarations!B$6:F$293,4,FALSE)),"",IF(VLOOKUP(A781,Declarations!B$6:F$293,4,FALSE)="","---",VLOOKUP(A781,Declarations!B$6:F$293,4,FALSE)))</f>
        <v/>
      </c>
      <c r="E781" s="70"/>
      <c r="F781" s="70"/>
      <c r="G781" s="281" t="s">
        <v>149</v>
      </c>
      <c r="H781" s="70"/>
    </row>
    <row r="782" spans="1:8" ht="20" customHeight="1">
      <c r="A782" s="68"/>
      <c r="B782" s="69" t="str">
        <f>IF(ISNA(VLOOKUP(A782,Declarations!B$6:C$293,2,FALSE)),"",IF(VLOOKUP(A782,Declarations!B$6:C$293,2,FALSE)="","---",VLOOKUP(A782,Declarations!B$6:C$293,2,FALSE)))</f>
        <v/>
      </c>
      <c r="C782" s="69" t="str">
        <f>IF(ISNA(VLOOKUP(A782,Declarations!B$6:F$293,5,FALSE)),"",IF(VLOOKUP(A782,Declarations!B$6:F$293,5,FALSE)="","---",VLOOKUP(A782,Declarations!B$6:F$293,5,FALSE)))</f>
        <v/>
      </c>
      <c r="D782" s="69" t="str">
        <f>IF(ISNA(VLOOKUP(A782,Declarations!B$6:F$293,4,FALSE)),"",IF(VLOOKUP(A782,Declarations!B$6:F$293,4,FALSE)="","---",VLOOKUP(A782,Declarations!B$6:F$293,4,FALSE)))</f>
        <v/>
      </c>
      <c r="E782" s="70"/>
      <c r="F782" s="70"/>
      <c r="G782" s="281" t="s">
        <v>149</v>
      </c>
      <c r="H782" s="70"/>
    </row>
    <row r="783" spans="1:8" ht="20" customHeight="1">
      <c r="A783" s="68"/>
      <c r="B783" s="69" t="str">
        <f>IF(ISNA(VLOOKUP(A783,Declarations!B$6:C$293,2,FALSE)),"",IF(VLOOKUP(A783,Declarations!B$6:C$293,2,FALSE)="","---",VLOOKUP(A783,Declarations!B$6:C$293,2,FALSE)))</f>
        <v/>
      </c>
      <c r="C783" s="69" t="str">
        <f>IF(ISNA(VLOOKUP(A783,Declarations!B$6:F$293,5,FALSE)),"",IF(VLOOKUP(A783,Declarations!B$6:F$293,5,FALSE)="","---",VLOOKUP(A783,Declarations!B$6:F$293,5,FALSE)))</f>
        <v/>
      </c>
      <c r="D783" s="69" t="str">
        <f>IF(ISNA(VLOOKUP(A783,Declarations!B$6:F$293,4,FALSE)),"",IF(VLOOKUP(A783,Declarations!B$6:F$293,4,FALSE)="","---",VLOOKUP(A783,Declarations!B$6:F$293,4,FALSE)))</f>
        <v/>
      </c>
      <c r="E783" s="70"/>
      <c r="F783" s="70"/>
      <c r="G783" s="281" t="s">
        <v>149</v>
      </c>
      <c r="H783" s="70"/>
    </row>
    <row r="784" spans="1:8" ht="20" customHeight="1">
      <c r="A784" s="68"/>
      <c r="B784" s="69" t="str">
        <f>IF(ISNA(VLOOKUP(A784,Declarations!B$6:C$293,2,FALSE)),"",IF(VLOOKUP(A784,Declarations!B$6:C$293,2,FALSE)="","---",VLOOKUP(A784,Declarations!B$6:C$293,2,FALSE)))</f>
        <v/>
      </c>
      <c r="C784" s="69" t="str">
        <f>IF(ISNA(VLOOKUP(A784,Declarations!B$6:F$293,5,FALSE)),"",IF(VLOOKUP(A784,Declarations!B$6:F$293,5,FALSE)="","---",VLOOKUP(A784,Declarations!B$6:F$293,5,FALSE)))</f>
        <v/>
      </c>
      <c r="D784" s="69" t="str">
        <f>IF(ISNA(VLOOKUP(A784,Declarations!B$6:F$293,4,FALSE)),"",IF(VLOOKUP(A784,Declarations!B$6:F$293,4,FALSE)="","---",VLOOKUP(A784,Declarations!B$6:F$293,4,FALSE)))</f>
        <v/>
      </c>
      <c r="E784" s="70"/>
      <c r="F784" s="70"/>
      <c r="G784" s="281" t="s">
        <v>149</v>
      </c>
      <c r="H784" s="70"/>
    </row>
    <row r="785" spans="1:8" ht="20" customHeight="1">
      <c r="A785" s="68"/>
      <c r="B785" s="69" t="str">
        <f>IF(ISNA(VLOOKUP(A785,Declarations!B$6:C$293,2,FALSE)),"",IF(VLOOKUP(A785,Declarations!B$6:C$293,2,FALSE)="","---",VLOOKUP(A785,Declarations!B$6:C$293,2,FALSE)))</f>
        <v/>
      </c>
      <c r="C785" s="69" t="str">
        <f>IF(ISNA(VLOOKUP(A785,Declarations!B$6:F$293,5,FALSE)),"",IF(VLOOKUP(A785,Declarations!B$6:F$293,5,FALSE)="","---",VLOOKUP(A785,Declarations!B$6:F$293,5,FALSE)))</f>
        <v/>
      </c>
      <c r="D785" s="69" t="str">
        <f>IF(ISNA(VLOOKUP(A785,Declarations!B$6:F$293,4,FALSE)),"",IF(VLOOKUP(A785,Declarations!B$6:F$293,4,FALSE)="","---",VLOOKUP(A785,Declarations!B$6:F$293,4,FALSE)))</f>
        <v/>
      </c>
      <c r="E785" s="70"/>
      <c r="F785" s="70"/>
      <c r="G785" s="281" t="s">
        <v>149</v>
      </c>
      <c r="H785" s="70"/>
    </row>
    <row r="786" spans="1:8" ht="20" customHeight="1">
      <c r="A786" s="68"/>
      <c r="B786" s="69" t="str">
        <f>IF(ISNA(VLOOKUP(A786,Declarations!B$6:C$293,2,FALSE)),"",IF(VLOOKUP(A786,Declarations!B$6:C$293,2,FALSE)="","---",VLOOKUP(A786,Declarations!B$6:C$293,2,FALSE)))</f>
        <v/>
      </c>
      <c r="C786" s="69" t="str">
        <f>IF(ISNA(VLOOKUP(A786,Declarations!B$6:F$293,5,FALSE)),"",IF(VLOOKUP(A786,Declarations!B$6:F$293,5,FALSE)="","---",VLOOKUP(A786,Declarations!B$6:F$293,5,FALSE)))</f>
        <v/>
      </c>
      <c r="D786" s="69" t="str">
        <f>IF(ISNA(VLOOKUP(A786,Declarations!B$6:F$293,4,FALSE)),"",IF(VLOOKUP(A786,Declarations!B$6:F$293,4,FALSE)="","---",VLOOKUP(A786,Declarations!B$6:F$293,4,FALSE)))</f>
        <v/>
      </c>
      <c r="E786" s="70"/>
      <c r="F786" s="70"/>
      <c r="G786" s="281" t="s">
        <v>149</v>
      </c>
      <c r="H786" s="70"/>
    </row>
    <row r="787" spans="1:8" ht="20" customHeight="1">
      <c r="A787" s="68"/>
      <c r="B787" s="69" t="str">
        <f>IF(ISNA(VLOOKUP(A787,Declarations!B$6:C$293,2,FALSE)),"",IF(VLOOKUP(A787,Declarations!B$6:C$293,2,FALSE)="","---",VLOOKUP(A787,Declarations!B$6:C$293,2,FALSE)))</f>
        <v/>
      </c>
      <c r="C787" s="69" t="str">
        <f>IF(ISNA(VLOOKUP(A787,Declarations!B$6:F$293,5,FALSE)),"",IF(VLOOKUP(A787,Declarations!B$6:F$293,5,FALSE)="","---",VLOOKUP(A787,Declarations!B$6:F$293,5,FALSE)))</f>
        <v/>
      </c>
      <c r="D787" s="69" t="str">
        <f>IF(ISNA(VLOOKUP(A787,Declarations!B$6:F$293,4,FALSE)),"",IF(VLOOKUP(A787,Declarations!B$6:F$293,4,FALSE)="","---",VLOOKUP(A787,Declarations!B$6:F$293,4,FALSE)))</f>
        <v/>
      </c>
      <c r="E787" s="70"/>
      <c r="F787" s="70"/>
      <c r="G787" s="281" t="s">
        <v>149</v>
      </c>
      <c r="H787" s="70"/>
    </row>
    <row r="788" spans="1:8" ht="20" customHeight="1">
      <c r="A788" s="68"/>
      <c r="B788" s="69" t="str">
        <f>IF(ISNA(VLOOKUP(A788,Declarations!B$6:C$293,2,FALSE)),"",IF(VLOOKUP(A788,Declarations!B$6:C$293,2,FALSE)="","---",VLOOKUP(A788,Declarations!B$6:C$293,2,FALSE)))</f>
        <v/>
      </c>
      <c r="C788" s="69" t="str">
        <f>IF(ISNA(VLOOKUP(A788,Declarations!B$6:F$293,5,FALSE)),"",IF(VLOOKUP(A788,Declarations!B$6:F$293,5,FALSE)="","---",VLOOKUP(A788,Declarations!B$6:F$293,5,FALSE)))</f>
        <v/>
      </c>
      <c r="D788" s="69" t="str">
        <f>IF(ISNA(VLOOKUP(A788,Declarations!B$6:F$293,4,FALSE)),"",IF(VLOOKUP(A788,Declarations!B$6:F$293,4,FALSE)="","---",VLOOKUP(A788,Declarations!B$6:F$293,4,FALSE)))</f>
        <v/>
      </c>
      <c r="E788" s="70"/>
      <c r="F788" s="70"/>
      <c r="G788" s="281" t="s">
        <v>149</v>
      </c>
      <c r="H788" s="70"/>
    </row>
    <row r="789" spans="1:8" ht="20" customHeight="1">
      <c r="A789" s="68"/>
      <c r="B789" s="69" t="str">
        <f>IF(ISNA(VLOOKUP(A789,Declarations!B$6:C$293,2,FALSE)),"",IF(VLOOKUP(A789,Declarations!B$6:C$293,2,FALSE)="","---",VLOOKUP(A789,Declarations!B$6:C$293,2,FALSE)))</f>
        <v/>
      </c>
      <c r="C789" s="69" t="str">
        <f>IF(ISNA(VLOOKUP(A789,Declarations!B$6:F$293,5,FALSE)),"",IF(VLOOKUP(A789,Declarations!B$6:F$293,5,FALSE)="","---",VLOOKUP(A789,Declarations!B$6:F$293,5,FALSE)))</f>
        <v/>
      </c>
      <c r="D789" s="69" t="str">
        <f>IF(ISNA(VLOOKUP(A789,Declarations!B$6:F$293,4,FALSE)),"",IF(VLOOKUP(A789,Declarations!B$6:F$293,4,FALSE)="","---",VLOOKUP(A789,Declarations!B$6:F$293,4,FALSE)))</f>
        <v/>
      </c>
      <c r="E789" s="70"/>
      <c r="F789" s="70"/>
      <c r="G789" s="281" t="s">
        <v>149</v>
      </c>
      <c r="H789" s="70"/>
    </row>
    <row r="790" spans="1:8" ht="20" customHeight="1">
      <c r="A790" s="68"/>
      <c r="B790" s="69" t="str">
        <f>IF(ISNA(VLOOKUP(A790,Declarations!B$6:C$293,2,FALSE)),"",IF(VLOOKUP(A790,Declarations!B$6:C$293,2,FALSE)="","---",VLOOKUP(A790,Declarations!B$6:C$293,2,FALSE)))</f>
        <v/>
      </c>
      <c r="C790" s="69" t="str">
        <f>IF(ISNA(VLOOKUP(A790,Declarations!B$6:F$293,5,FALSE)),"",IF(VLOOKUP(A790,Declarations!B$6:F$293,5,FALSE)="","---",VLOOKUP(A790,Declarations!B$6:F$293,5,FALSE)))</f>
        <v/>
      </c>
      <c r="D790" s="69" t="str">
        <f>IF(ISNA(VLOOKUP(A790,Declarations!B$6:F$293,4,FALSE)),"",IF(VLOOKUP(A790,Declarations!B$6:F$293,4,FALSE)="","---",VLOOKUP(A790,Declarations!B$6:F$293,4,FALSE)))</f>
        <v/>
      </c>
      <c r="E790" s="70"/>
      <c r="F790" s="70"/>
      <c r="G790" s="281" t="s">
        <v>149</v>
      </c>
      <c r="H790" s="70"/>
    </row>
    <row r="791" spans="1:8" ht="20" customHeight="1">
      <c r="A791" s="68"/>
      <c r="B791" s="69" t="str">
        <f>IF(ISNA(VLOOKUP(A791,Declarations!B$6:C$293,2,FALSE)),"",IF(VLOOKUP(A791,Declarations!B$6:C$293,2,FALSE)="","---",VLOOKUP(A791,Declarations!B$6:C$293,2,FALSE)))</f>
        <v/>
      </c>
      <c r="C791" s="69" t="str">
        <f>IF(ISNA(VLOOKUP(A791,Declarations!B$6:F$293,5,FALSE)),"",IF(VLOOKUP(A791,Declarations!B$6:F$293,5,FALSE)="","---",VLOOKUP(A791,Declarations!B$6:F$293,5,FALSE)))</f>
        <v/>
      </c>
      <c r="D791" s="69" t="str">
        <f>IF(ISNA(VLOOKUP(A791,Declarations!B$6:F$293,4,FALSE)),"",IF(VLOOKUP(A791,Declarations!B$6:F$293,4,FALSE)="","---",VLOOKUP(A791,Declarations!B$6:F$293,4,FALSE)))</f>
        <v/>
      </c>
      <c r="E791" s="70"/>
      <c r="F791" s="70"/>
      <c r="G791" s="281" t="s">
        <v>149</v>
      </c>
      <c r="H791" s="70"/>
    </row>
    <row r="792" spans="1:8" ht="20" customHeight="1">
      <c r="A792" s="68"/>
      <c r="B792" s="69" t="str">
        <f>IF(ISNA(VLOOKUP(A792,Declarations!B$6:C$293,2,FALSE)),"",IF(VLOOKUP(A792,Declarations!B$6:C$293,2,FALSE)="","---",VLOOKUP(A792,Declarations!B$6:C$293,2,FALSE)))</f>
        <v/>
      </c>
      <c r="C792" s="69" t="str">
        <f>IF(ISNA(VLOOKUP(A792,Declarations!B$6:F$293,5,FALSE)),"",IF(VLOOKUP(A792,Declarations!B$6:F$293,5,FALSE)="","---",VLOOKUP(A792,Declarations!B$6:F$293,5,FALSE)))</f>
        <v/>
      </c>
      <c r="D792" s="69" t="str">
        <f>IF(ISNA(VLOOKUP(A792,Declarations!B$6:F$293,4,FALSE)),"",IF(VLOOKUP(A792,Declarations!B$6:F$293,4,FALSE)="","---",VLOOKUP(A792,Declarations!B$6:F$293,4,FALSE)))</f>
        <v/>
      </c>
      <c r="E792" s="70"/>
      <c r="F792" s="70"/>
      <c r="G792" s="281" t="s">
        <v>149</v>
      </c>
      <c r="H792" s="70"/>
    </row>
    <row r="793" spans="1:8" ht="20" customHeight="1">
      <c r="A793" s="68"/>
      <c r="B793" s="69" t="str">
        <f>IF(ISNA(VLOOKUP(A793,Declarations!B$6:C$293,2,FALSE)),"",IF(VLOOKUP(A793,Declarations!B$6:C$293,2,FALSE)="","---",VLOOKUP(A793,Declarations!B$6:C$293,2,FALSE)))</f>
        <v/>
      </c>
      <c r="C793" s="69" t="str">
        <f>IF(ISNA(VLOOKUP(A793,Declarations!B$6:F$293,5,FALSE)),"",IF(VLOOKUP(A793,Declarations!B$6:F$293,5,FALSE)="","---",VLOOKUP(A793,Declarations!B$6:F$293,5,FALSE)))</f>
        <v/>
      </c>
      <c r="D793" s="69" t="str">
        <f>IF(ISNA(VLOOKUP(A793,Declarations!B$6:F$293,4,FALSE)),"",IF(VLOOKUP(A793,Declarations!B$6:F$293,4,FALSE)="","---",VLOOKUP(A793,Declarations!B$6:F$293,4,FALSE)))</f>
        <v/>
      </c>
      <c r="E793" s="70"/>
      <c r="F793" s="70"/>
      <c r="G793" s="281" t="s">
        <v>149</v>
      </c>
      <c r="H793" s="70"/>
    </row>
    <row r="794" spans="1:8" ht="20" customHeight="1">
      <c r="A794" s="68"/>
      <c r="B794" s="69" t="str">
        <f>IF(ISNA(VLOOKUP(A794,Declarations!B$6:C$293,2,FALSE)),"",IF(VLOOKUP(A794,Declarations!B$6:C$293,2,FALSE)="","---",VLOOKUP(A794,Declarations!B$6:C$293,2,FALSE)))</f>
        <v/>
      </c>
      <c r="C794" s="69" t="str">
        <f>IF(ISNA(VLOOKUP(A794,Declarations!B$6:F$293,5,FALSE)),"",IF(VLOOKUP(A794,Declarations!B$6:F$293,5,FALSE)="","---",VLOOKUP(A794,Declarations!B$6:F$293,5,FALSE)))</f>
        <v/>
      </c>
      <c r="D794" s="69" t="str">
        <f>IF(ISNA(VLOOKUP(A794,Declarations!B$6:F$293,4,FALSE)),"",IF(VLOOKUP(A794,Declarations!B$6:F$293,4,FALSE)="","---",VLOOKUP(A794,Declarations!B$6:F$293,4,FALSE)))</f>
        <v/>
      </c>
      <c r="E794" s="70"/>
      <c r="F794" s="70"/>
      <c r="G794" s="281" t="s">
        <v>149</v>
      </c>
      <c r="H794" s="70"/>
    </row>
    <row r="795" spans="1:8">
      <c r="A795" s="71"/>
      <c r="B795" s="72"/>
      <c r="C795" s="72"/>
      <c r="D795" s="72"/>
      <c r="E795" s="73"/>
      <c r="F795" s="73"/>
      <c r="G795" s="73"/>
      <c r="H795" s="73"/>
    </row>
    <row r="796" spans="1:8">
      <c r="A796" s="71"/>
      <c r="B796" s="510" t="s">
        <v>213</v>
      </c>
      <c r="C796" s="511"/>
      <c r="D796" s="72"/>
      <c r="E796" s="509" t="s">
        <v>93</v>
      </c>
      <c r="F796" s="509"/>
      <c r="G796" s="501" t="s">
        <v>43</v>
      </c>
      <c r="H796" s="501"/>
    </row>
    <row r="797" spans="1:8" ht="16" customHeight="1">
      <c r="A797" s="71"/>
      <c r="B797" s="512"/>
      <c r="C797" s="513"/>
      <c r="D797" s="72"/>
      <c r="E797" s="501"/>
      <c r="F797" s="501"/>
      <c r="G797" s="501"/>
      <c r="H797" s="501"/>
    </row>
    <row r="798" spans="1:8">
      <c r="A798" s="71"/>
      <c r="B798" s="512"/>
      <c r="C798" s="513"/>
      <c r="D798" s="72"/>
      <c r="E798" s="501"/>
      <c r="F798" s="501"/>
      <c r="G798" s="501"/>
      <c r="H798" s="501"/>
    </row>
    <row r="799" spans="1:8">
      <c r="A799" s="71"/>
      <c r="B799" s="514"/>
      <c r="C799" s="515"/>
      <c r="D799" s="72"/>
      <c r="E799" s="501"/>
      <c r="F799" s="501"/>
      <c r="G799" s="501"/>
      <c r="H799" s="501"/>
    </row>
    <row r="800" spans="1:8" ht="8" customHeight="1"/>
  </sheetData>
  <sheetProtection sheet="1" objects="1" scenarios="1"/>
  <mergeCells count="160">
    <mergeCell ref="B756:C759"/>
    <mergeCell ref="B796:C799"/>
    <mergeCell ref="B716:C719"/>
    <mergeCell ref="B116:C119"/>
    <mergeCell ref="B156:C159"/>
    <mergeCell ref="B196:C199"/>
    <mergeCell ref="B236:C239"/>
    <mergeCell ref="B276:C279"/>
    <mergeCell ref="B316:C319"/>
    <mergeCell ref="B356:C359"/>
    <mergeCell ref="B396:C399"/>
    <mergeCell ref="B476:C479"/>
    <mergeCell ref="A681:H681"/>
    <mergeCell ref="E682:H682"/>
    <mergeCell ref="A683:D683"/>
    <mergeCell ref="E716:F716"/>
    <mergeCell ref="G716:H716"/>
    <mergeCell ref="E676:F676"/>
    <mergeCell ref="G676:H676"/>
    <mergeCell ref="E677:F679"/>
    <mergeCell ref="G677:H679"/>
    <mergeCell ref="B676:C679"/>
    <mergeCell ref="E637:F639"/>
    <mergeCell ref="G637:H639"/>
    <mergeCell ref="E396:F396"/>
    <mergeCell ref="G396:H396"/>
    <mergeCell ref="E356:F356"/>
    <mergeCell ref="G356:H356"/>
    <mergeCell ref="E357:F359"/>
    <mergeCell ref="G357:H359"/>
    <mergeCell ref="A361:H361"/>
    <mergeCell ref="G397:H399"/>
    <mergeCell ref="E797:F799"/>
    <mergeCell ref="G797:H799"/>
    <mergeCell ref="A761:H761"/>
    <mergeCell ref="E762:H762"/>
    <mergeCell ref="A763:D763"/>
    <mergeCell ref="E796:F796"/>
    <mergeCell ref="G796:H796"/>
    <mergeCell ref="A723:D723"/>
    <mergeCell ref="E756:F756"/>
    <mergeCell ref="G756:H756"/>
    <mergeCell ref="E757:F759"/>
    <mergeCell ref="G757:H759"/>
    <mergeCell ref="E717:F719"/>
    <mergeCell ref="G717:H719"/>
    <mergeCell ref="A721:H721"/>
    <mergeCell ref="E722:H722"/>
    <mergeCell ref="A641:H641"/>
    <mergeCell ref="E642:H642"/>
    <mergeCell ref="A643:D643"/>
    <mergeCell ref="G636:H636"/>
    <mergeCell ref="A563:D563"/>
    <mergeCell ref="E596:F596"/>
    <mergeCell ref="G596:H596"/>
    <mergeCell ref="E597:F599"/>
    <mergeCell ref="G597:H599"/>
    <mergeCell ref="E636:F636"/>
    <mergeCell ref="B596:C599"/>
    <mergeCell ref="B636:C639"/>
    <mergeCell ref="E557:F559"/>
    <mergeCell ref="G557:H559"/>
    <mergeCell ref="A561:H561"/>
    <mergeCell ref="E562:H562"/>
    <mergeCell ref="A601:H601"/>
    <mergeCell ref="E602:H602"/>
    <mergeCell ref="A603:D603"/>
    <mergeCell ref="B556:C559"/>
    <mergeCell ref="E397:F399"/>
    <mergeCell ref="E522:H522"/>
    <mergeCell ref="A523:D523"/>
    <mergeCell ref="E556:F556"/>
    <mergeCell ref="G556:H556"/>
    <mergeCell ref="A483:D483"/>
    <mergeCell ref="E516:F516"/>
    <mergeCell ref="G516:H516"/>
    <mergeCell ref="E517:F519"/>
    <mergeCell ref="G517:H519"/>
    <mergeCell ref="A521:H521"/>
    <mergeCell ref="A403:D403"/>
    <mergeCell ref="E436:F436"/>
    <mergeCell ref="G436:H436"/>
    <mergeCell ref="E437:F439"/>
    <mergeCell ref="G437:H439"/>
    <mergeCell ref="B436:C439"/>
    <mergeCell ref="B516:C519"/>
    <mergeCell ref="E82:H82"/>
    <mergeCell ref="G316:H316"/>
    <mergeCell ref="E317:F319"/>
    <mergeCell ref="A481:H481"/>
    <mergeCell ref="E482:H482"/>
    <mergeCell ref="A441:H441"/>
    <mergeCell ref="E442:H442"/>
    <mergeCell ref="A443:D443"/>
    <mergeCell ref="E476:F476"/>
    <mergeCell ref="G476:H476"/>
    <mergeCell ref="E477:F479"/>
    <mergeCell ref="G477:H479"/>
    <mergeCell ref="E362:H362"/>
    <mergeCell ref="A363:D363"/>
    <mergeCell ref="A321:H321"/>
    <mergeCell ref="E322:H322"/>
    <mergeCell ref="A323:D323"/>
    <mergeCell ref="A401:H401"/>
    <mergeCell ref="E402:H402"/>
    <mergeCell ref="A83:D83"/>
    <mergeCell ref="A163:D163"/>
    <mergeCell ref="A121:H121"/>
    <mergeCell ref="A1:H1"/>
    <mergeCell ref="E2:H2"/>
    <mergeCell ref="A3:D3"/>
    <mergeCell ref="E36:F36"/>
    <mergeCell ref="G36:H36"/>
    <mergeCell ref="E37:F39"/>
    <mergeCell ref="G37:H39"/>
    <mergeCell ref="A81:H81"/>
    <mergeCell ref="A41:H41"/>
    <mergeCell ref="E42:H42"/>
    <mergeCell ref="A43:D43"/>
    <mergeCell ref="E76:F76"/>
    <mergeCell ref="G76:H76"/>
    <mergeCell ref="E77:F79"/>
    <mergeCell ref="G77:H79"/>
    <mergeCell ref="B36:C39"/>
    <mergeCell ref="B76:C79"/>
    <mergeCell ref="E122:H122"/>
    <mergeCell ref="E117:F119"/>
    <mergeCell ref="G117:H119"/>
    <mergeCell ref="G116:H116"/>
    <mergeCell ref="E116:F116"/>
    <mergeCell ref="E282:H282"/>
    <mergeCell ref="E276:F276"/>
    <mergeCell ref="G276:H276"/>
    <mergeCell ref="E277:F279"/>
    <mergeCell ref="G277:H279"/>
    <mergeCell ref="A281:H281"/>
    <mergeCell ref="A201:H201"/>
    <mergeCell ref="E236:F236"/>
    <mergeCell ref="G236:H236"/>
    <mergeCell ref="E237:F239"/>
    <mergeCell ref="E202:H202"/>
    <mergeCell ref="G317:H319"/>
    <mergeCell ref="G237:H239"/>
    <mergeCell ref="A241:H241"/>
    <mergeCell ref="E242:H242"/>
    <mergeCell ref="A243:D243"/>
    <mergeCell ref="A123:D123"/>
    <mergeCell ref="E156:F156"/>
    <mergeCell ref="G156:H156"/>
    <mergeCell ref="E157:F159"/>
    <mergeCell ref="G157:H159"/>
    <mergeCell ref="E196:F196"/>
    <mergeCell ref="G196:H196"/>
    <mergeCell ref="A161:H161"/>
    <mergeCell ref="E162:H162"/>
    <mergeCell ref="E197:F199"/>
    <mergeCell ref="G197:H199"/>
    <mergeCell ref="E316:F316"/>
    <mergeCell ref="A283:D283"/>
    <mergeCell ref="A203:D203"/>
  </mergeCells>
  <conditionalFormatting sqref="A1:H35 A36:B36 D36:H39 A37:A39 A40:H40">
    <cfRule type="expression" dxfId="33" priority="19">
      <formula>$A$5="!"</formula>
    </cfRule>
  </conditionalFormatting>
  <conditionalFormatting sqref="A41:H75 A76:B76 D76:H79 A77:A79 A80:H80">
    <cfRule type="expression" dxfId="32" priority="20">
      <formula>$A$45="!"</formula>
    </cfRule>
  </conditionalFormatting>
  <conditionalFormatting sqref="A81:H115 A116:B116 D116:H119 A117:A119 A120:H120">
    <cfRule type="expression" dxfId="31" priority="21">
      <formula>$A$85="!"</formula>
    </cfRule>
  </conditionalFormatting>
  <conditionalFormatting sqref="A121:H155 A156:B156 D156:H159 A157:A159 A160:H160">
    <cfRule type="expression" dxfId="30" priority="22">
      <formula>$A$125="!"</formula>
    </cfRule>
  </conditionalFormatting>
  <conditionalFormatting sqref="A161:H195 A196:B196 D196:H199 A197:A199 A200:H200">
    <cfRule type="expression" dxfId="29" priority="23">
      <formula>$A$165="!"</formula>
    </cfRule>
  </conditionalFormatting>
  <conditionalFormatting sqref="A201:H235 A236:B236 D236:H239 A237:A239 A240:H240">
    <cfRule type="expression" dxfId="28" priority="24">
      <formula>$A$205="!"</formula>
    </cfRule>
  </conditionalFormatting>
  <conditionalFormatting sqref="A241:H275 A276:B276 D276:H279 A277:A279 A280:H280">
    <cfRule type="expression" dxfId="27" priority="25">
      <formula>$A$245="!"</formula>
    </cfRule>
  </conditionalFormatting>
  <conditionalFormatting sqref="A281:H315 A316:B316 D316:H319 A317:A319 A320:H320">
    <cfRule type="expression" dxfId="26" priority="26">
      <formula>$A$285="!"</formula>
    </cfRule>
  </conditionalFormatting>
  <conditionalFormatting sqref="A321:H355 A356:B356 D356:H359 A357:A359 A360:H360">
    <cfRule type="expression" dxfId="25" priority="27">
      <formula>$A$325="!"</formula>
    </cfRule>
  </conditionalFormatting>
  <conditionalFormatting sqref="A361:H395 A396:B396 D396:H399 A397:A399 A400:H400">
    <cfRule type="expression" dxfId="24" priority="28">
      <formula>$A$365="!"</formula>
    </cfRule>
  </conditionalFormatting>
  <conditionalFormatting sqref="A401:H435 A436:B436 D436:H439 A437:A439 A440:H440">
    <cfRule type="expression" dxfId="23" priority="29">
      <formula>$A$405="!"</formula>
    </cfRule>
  </conditionalFormatting>
  <conditionalFormatting sqref="A441:H475 A476:B476 D476:H479 A477:A479 A480:H480">
    <cfRule type="expression" dxfId="22" priority="30">
      <formula>$A$445="!"</formula>
    </cfRule>
  </conditionalFormatting>
  <conditionalFormatting sqref="A481:H515 A516:B516 D516:H519 A517:A519 A520:H520">
    <cfRule type="expression" dxfId="21" priority="31">
      <formula>$A$485="!"</formula>
    </cfRule>
  </conditionalFormatting>
  <conditionalFormatting sqref="A521:H555 A556:B556 D556:H559 A557:A559 A560:H560">
    <cfRule type="expression" dxfId="20" priority="32">
      <formula>$A$525="!"</formula>
    </cfRule>
  </conditionalFormatting>
  <conditionalFormatting sqref="A561:H595 A596:B596 D596:H599 A597:A599 A600:H600">
    <cfRule type="expression" dxfId="19" priority="33">
      <formula>$A$565="!"</formula>
    </cfRule>
  </conditionalFormatting>
  <conditionalFormatting sqref="A601:H635 A636:B636 D636:H639 A637:A639 A640:H640">
    <cfRule type="expression" dxfId="18" priority="34">
      <formula>$A$605="!"</formula>
    </cfRule>
  </conditionalFormatting>
  <conditionalFormatting sqref="A641:H675 A676:B676 D676:H679 A677:A679 A680:H680">
    <cfRule type="expression" dxfId="17" priority="35">
      <formula>$A$645="!"</formula>
    </cfRule>
  </conditionalFormatting>
  <conditionalFormatting sqref="A681:H715 A716:B716 D716:H719 A717:A719 A720:H720">
    <cfRule type="expression" dxfId="16" priority="36">
      <formula>$A$685="!"</formula>
    </cfRule>
  </conditionalFormatting>
  <conditionalFormatting sqref="A721:H755 A756:B756 D756:H759 A757:A759 A760:H760">
    <cfRule type="expression" dxfId="15" priority="37">
      <formula>$A$725="!"</formula>
    </cfRule>
  </conditionalFormatting>
  <conditionalFormatting sqref="A761:H795 A796:B796 D796:H799 A797:A799 A800:H800">
    <cfRule type="expression" dxfId="14" priority="38">
      <formula>$A$765="!"</formula>
    </cfRule>
  </conditionalFormatting>
  <printOptions horizontalCentered="1" verticalCentered="1"/>
  <pageMargins left="0.23622047244094491" right="0.23622047244094491" top="0.15748031496062992" bottom="0.15748031496062992" header="0.31496062992125984" footer="0.31496062992125984"/>
  <pageSetup paperSize="9" scale="75" fitToHeight="2" orientation="landscape" r:id="rId1"/>
  <headerFooter scaleWithDoc="0" alignWithMargins="0"/>
  <rowBreaks count="19" manualBreakCount="19">
    <brk id="40" max="16383" man="1"/>
    <brk id="80" max="16383" man="1"/>
    <brk id="120" max="16383" man="1"/>
    <brk id="160" max="16383" man="1"/>
    <brk id="200" max="16383" man="1"/>
    <brk id="240" max="16383" man="1"/>
    <brk id="280" max="16383" man="1"/>
    <brk id="320" max="16383" man="1"/>
    <brk id="360" max="16383" man="1"/>
    <brk id="400" max="7" man="1"/>
    <brk id="440" max="7" man="1"/>
    <brk id="480" max="7" man="1"/>
    <brk id="520" max="7" man="1"/>
    <brk id="560" max="7" man="1"/>
    <brk id="600" max="7" man="1"/>
    <brk id="640" max="7" man="1"/>
    <brk id="680" max="7" man="1"/>
    <brk id="720" max="7" man="1"/>
    <brk id="760" max="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FF6600"/>
    <pageSetUpPr fitToPage="1"/>
  </sheetPr>
  <dimension ref="A1:M293"/>
  <sheetViews>
    <sheetView zoomScaleNormal="100" workbookViewId="0">
      <pane ySplit="5" topLeftCell="A6" activePane="bottomLeft" state="frozen"/>
      <selection activeCell="A152" sqref="A152"/>
      <selection pane="bottomLeft" activeCell="F6" sqref="F6:G10"/>
    </sheetView>
  </sheetViews>
  <sheetFormatPr baseColWidth="10" defaultColWidth="10.6640625" defaultRowHeight="13"/>
  <cols>
    <col min="1" max="1" width="6.6640625" bestFit="1" customWidth="1"/>
    <col min="2" max="2" width="11.6640625" bestFit="1" customWidth="1"/>
    <col min="3" max="3" width="12.83203125" bestFit="1" customWidth="1"/>
    <col min="4" max="4" width="18.1640625" bestFit="1" customWidth="1"/>
    <col min="5" max="5" width="10.83203125" bestFit="1" customWidth="1"/>
    <col min="6" max="6" width="20" style="4" customWidth="1"/>
    <col min="7" max="7" width="20" style="5" customWidth="1"/>
    <col min="8" max="8" width="8.1640625" style="5" customWidth="1"/>
    <col min="9" max="9" width="33.33203125" style="4" customWidth="1"/>
    <col min="10" max="10" width="16.6640625" style="4" customWidth="1"/>
    <col min="11" max="11" width="16.6640625" customWidth="1"/>
    <col min="12" max="12" width="15.83203125" style="10" customWidth="1"/>
    <col min="15" max="15" width="24.5" bestFit="1" customWidth="1"/>
  </cols>
  <sheetData>
    <row r="1" spans="1:13" ht="40" customHeight="1">
      <c r="A1" s="519" t="str">
        <f>'Read Me First'!A1:F1</f>
        <v>Oxfordshire Track and Field League 2026</v>
      </c>
      <c r="B1" s="519"/>
      <c r="C1" s="519"/>
      <c r="D1" s="519"/>
      <c r="E1" s="76" t="s">
        <v>11</v>
      </c>
      <c r="F1" s="516" t="s">
        <v>13</v>
      </c>
      <c r="G1" s="516"/>
      <c r="H1" s="18"/>
      <c r="I1" s="516" t="s">
        <v>12</v>
      </c>
      <c r="J1" s="516"/>
      <c r="K1" s="516"/>
      <c r="L1" s="54"/>
    </row>
    <row r="2" spans="1:13" ht="40" customHeight="1">
      <c r="A2" s="519" t="s">
        <v>86</v>
      </c>
      <c r="B2" s="519"/>
      <c r="C2" s="519"/>
      <c r="D2" s="519"/>
      <c r="E2" s="90">
        <f>'Read Me First'!C9</f>
        <v>2</v>
      </c>
      <c r="F2" s="517" t="str">
        <f>(VLOOKUP('Read Me First'!F4,'Read Me First'!A22:D24,4,FALSE))</f>
        <v>Banbury</v>
      </c>
      <c r="G2" s="518"/>
      <c r="H2" s="321"/>
      <c r="I2" s="520">
        <f>'Read Me First'!C10</f>
        <v>46250</v>
      </c>
      <c r="J2" s="520"/>
      <c r="K2" s="520"/>
      <c r="L2" s="55"/>
    </row>
    <row r="3" spans="1:13" ht="16" customHeight="1">
      <c r="A3" s="56"/>
      <c r="B3" s="56"/>
      <c r="C3" s="56"/>
      <c r="D3" s="56"/>
      <c r="E3" s="92"/>
      <c r="F3" s="20"/>
      <c r="G3" s="20"/>
      <c r="H3" s="20"/>
      <c r="I3" s="93"/>
      <c r="J3" s="93"/>
      <c r="K3" s="89"/>
      <c r="L3" s="55"/>
    </row>
    <row r="4" spans="1:13" s="3" customFormat="1" ht="26" customHeight="1">
      <c r="A4" s="36" t="s">
        <v>79</v>
      </c>
      <c r="B4" s="36" t="s">
        <v>77</v>
      </c>
      <c r="C4" s="36" t="s">
        <v>78</v>
      </c>
      <c r="D4" s="36" t="s">
        <v>19</v>
      </c>
      <c r="E4" s="36" t="s">
        <v>80</v>
      </c>
      <c r="F4" s="30" t="s">
        <v>8</v>
      </c>
      <c r="G4" s="31" t="s">
        <v>29</v>
      </c>
      <c r="H4" s="31" t="s">
        <v>171</v>
      </c>
      <c r="I4" s="32" t="s">
        <v>7</v>
      </c>
      <c r="J4" s="32" t="s">
        <v>1</v>
      </c>
      <c r="K4" s="36" t="s">
        <v>187</v>
      </c>
      <c r="L4" s="183"/>
      <c r="M4" s="32" t="s">
        <v>164</v>
      </c>
    </row>
    <row r="5" spans="1:13" s="3" customFormat="1" ht="26" customHeight="1">
      <c r="A5" s="84"/>
      <c r="B5" s="84"/>
      <c r="C5" s="84"/>
      <c r="D5" s="84"/>
      <c r="E5" s="84"/>
      <c r="F5" s="27">
        <v>0</v>
      </c>
      <c r="G5" s="37" t="s">
        <v>38</v>
      </c>
      <c r="H5" s="37"/>
      <c r="I5" s="28">
        <v>0</v>
      </c>
      <c r="J5" s="29">
        <v>0</v>
      </c>
      <c r="K5" s="119"/>
      <c r="L5" s="183"/>
    </row>
    <row r="6" spans="1:13" s="3" customFormat="1" ht="16" customHeight="1">
      <c r="A6" s="280" t="s">
        <v>2</v>
      </c>
      <c r="B6" s="122" t="str">
        <f>IF(ISNA(VLOOKUP($F6,Declarations!B$6:C$293,2,FALSE)),"",IF(VLOOKUP($F6,Declarations!B$6:C$293,2,FALSE)="","NOT DECLARED",IF(ISNA(_xlfn.TEXTBEFORE(VLOOKUP($F6,Declarations!B$6:C$293,2,FALSE)," ")),VLOOKUP($F6,Declarations!B$6:C$293,2,FALSE),_xlfn.TEXTBEFORE(VLOOKUP($F6,Declarations!B$6:C$293,2,FALSE)," "))))</f>
        <v/>
      </c>
      <c r="C6" s="122" t="str">
        <f>IF(ISNA(VLOOKUP($F6,Declarations!B$6:C$293,2,FALSE)),"",IF(VLOOKUP($F6,Declarations!B$6:C$293,2,FALSE)="","NOT DECLARED",IF(ISNA(_xlfn.TEXTAFTER(VLOOKUP($F6,Declarations!B$6:C$293,2,FALSE)," ")),VLOOKUP($F6,Declarations!B$6:C$293,2,FALSE),_xlfn.TEXTAFTER(VLOOKUP($F6,Declarations!B$6:C$293,2,FALSE)," "))))</f>
        <v/>
      </c>
      <c r="D6" s="122" t="str">
        <f>IF(ISNA(VLOOKUP($F6,Declarations!$B$6:$F$293,5,FALSE)),"",IF(VLOOKUP($F6,Declarations!$B$6:$F$293,5,FALSE)="","NOT DECLARED",VLOOKUP($F6,Declarations!$B$6:$F$293,5,FALSE)))</f>
        <v/>
      </c>
      <c r="E6" s="120" t="str">
        <f>IF(ISNA(VLOOKUP($F6,Declarations!$B$6:$D$293,3,FALSE)),"",IF(VLOOKUP($F6,Declarations!$B$6:$D$293,3,FALSE)="","NOT DECLARED",VLOOKUP($F6,Declarations!$B$6:$D$293,3,FALSE)&amp;LEFT(VLOOKUP($F6,Declarations!$B$6:$E$293,4,FALSE))))</f>
        <v/>
      </c>
      <c r="F6" s="59"/>
      <c r="G6" s="130"/>
      <c r="H6" s="130"/>
      <c r="I6" s="122" t="str">
        <f>IF(ISNA(VLOOKUP($F6,Declarations!B$6:C$293,2,FALSE)),"",IF(VLOOKUP($F6,Declarations!B$6:C$293,2,FALSE)="","NOT DECLARED",VLOOKUP($F6,Declarations!B$6:C$293,2,FALSE)))</f>
        <v/>
      </c>
      <c r="J6" s="120">
        <f>IF(LOWER(G6)="dnf",1,IF(G6&lt;ScoringTable!B$3,ScoringTable!I$2,VLOOKUP((1000-G6),ScoringTable!G$2:I$95,3)))</f>
        <v>0</v>
      </c>
      <c r="K6" s="120" t="str" cm="1">
        <f t="array" ref="K6">IF(OR(E6="",G6=""),"",_xlfn.IFS(E6="U10B",_xlfn.XLOOKUP(G6,Data!$D$2:$L$2,Data!$D$1:$L$1,"",1,1),E6="U12B",_xlfn.XLOOKUP(G6,Data!$D$8:$L$8,Data!$D$1:$L$1,"",1,1),E6="U10G",_xlfn.XLOOKUP(G6,Data!$D$15:$L$15,Data!$D$1:$L$1,"",1,1),E6="U12G",_xlfn.XLOOKUP(G6,Data!$D$21:$L$21,Data!$D$1:$L$1,"",1,1)))</f>
        <v/>
      </c>
      <c r="L6" s="184" t="str" cm="1">
        <f t="array" ref="L6">IFERROR(_xlfn.IFNA(
                      _xlfn.IFS(
                      G6="", "",
                      AND(E6="U10B",G6&lt;=Data!$M$2), "U10 Boys record",
                      AND(E6="U12B",G6&lt;=Data!$M$8), "U12 Boys record",
                      AND(E6="U10G",G6&lt;=Data!$M$15), "U10 Girls record",
                      AND(E6="U12G",G6&lt;=Data!$M$21), "U12 Girls record"
                       ),""), "")</f>
        <v/>
      </c>
      <c r="M6" s="19" cm="1">
        <f t="array" ref="M6">_xlfn.IFS($G6="",0, AND(NOT(ISNUMBER($G6)),LOWER($G6)&lt;&gt;"dnf"),"Not a valid time",OR(LOWER($G6)="dnf",$G6&gt;ScoringTable!$M$161),1,RIGHT($E6,1)="B",_xlfn.XLOOKUP($G6,ScoringTable!$M$2:$M$161,ScoringTable!$L$2:$L$161,,1),TRUE,_xlfn.XLOOKUP($G6,ScoringTable!$S$2:$S$161,ScoringTable!$R$2:$R$161,,1))</f>
        <v>0</v>
      </c>
    </row>
    <row r="7" spans="1:13" s="3" customFormat="1" ht="16" customHeight="1">
      <c r="A7" s="280" t="s">
        <v>2</v>
      </c>
      <c r="B7" s="122" t="str">
        <f>IF(ISNA(VLOOKUP($F7,Declarations!B$6:C$293,2,FALSE)),"",IF(VLOOKUP($F7,Declarations!B$6:C$293,2,FALSE)="","NOT DECLARED",IF(ISNA(_xlfn.TEXTBEFORE(VLOOKUP($F7,Declarations!B$6:C$293,2,FALSE)," ")),VLOOKUP($F7,Declarations!B$6:C$293,2,FALSE),_xlfn.TEXTBEFORE(VLOOKUP($F7,Declarations!B$6:C$293,2,FALSE)," "))))</f>
        <v/>
      </c>
      <c r="C7" s="122" t="str">
        <f>IF(ISNA(VLOOKUP($F7,Declarations!B$6:C$293,2,FALSE)),"",IF(VLOOKUP($F7,Declarations!B$6:C$293,2,FALSE)="","NOT DECLARED",IF(ISNA(_xlfn.TEXTAFTER(VLOOKUP($F7,Declarations!B$6:C$293,2,FALSE)," ")),VLOOKUP($F7,Declarations!B$6:C$293,2,FALSE),_xlfn.TEXTAFTER(VLOOKUP($F7,Declarations!B$6:C$293,2,FALSE)," "))))</f>
        <v/>
      </c>
      <c r="D7" s="122" t="str">
        <f>IF(ISNA(VLOOKUP($F7,Declarations!$B$6:$F$293,5,FALSE)),"",IF(VLOOKUP($F7,Declarations!$B$6:$F$293,5,FALSE)="","NOT DECLARED",VLOOKUP($F7,Declarations!$B$6:$F$293,5,FALSE)))</f>
        <v/>
      </c>
      <c r="E7" s="120" t="str">
        <f>IF(ISNA(VLOOKUP($F7,Declarations!$B$6:$D$293,3,FALSE)),"",IF(VLOOKUP($F7,Declarations!$B$6:$D$293,3,FALSE)="","NOT DECLARED",VLOOKUP($F7,Declarations!$B$6:$D$293,3,FALSE)&amp;LEFT(VLOOKUP($F7,Declarations!$B$6:$E$293,4,FALSE))))</f>
        <v/>
      </c>
      <c r="F7" s="59"/>
      <c r="G7" s="130"/>
      <c r="H7" s="130"/>
      <c r="I7" s="122" t="str">
        <f>IF(ISNA(VLOOKUP(F7,Declarations!B$6:C$293,2,FALSE)),"",IF(VLOOKUP(F7,Declarations!B$6:C$293,2,FALSE)="","NOT DECLARED",VLOOKUP(F7,Declarations!B$6:C$293,2,FALSE)))</f>
        <v/>
      </c>
      <c r="J7" s="120">
        <f>IF(LOWER(G7)="dnf",1,IF(G7&lt;ScoringTable!B$3,ScoringTable!I$2,VLOOKUP((1000-G7),ScoringTable!G$2:I$95,3)))</f>
        <v>0</v>
      </c>
      <c r="K7" s="120" t="str" cm="1">
        <f t="array" ref="K7">IF(OR(E7="",G7=""),"",_xlfn.IFS(E7="U10B",_xlfn.XLOOKUP(G7,Data!$D$2:$L$2,Data!$D$1:$L$1,"",1,1),E7="U12B",_xlfn.XLOOKUP(G7,Data!$D$8:$L$8,Data!$D$1:$L$1,"",1,1),E7="U10G",_xlfn.XLOOKUP(G7,Data!$D$15:$L$15,Data!$D$1:$L$1,"",1,1),E7="U12G",_xlfn.XLOOKUP(G7,Data!$D$21:$L$21,Data!$D$1:$L$1,"",1,1)))</f>
        <v/>
      </c>
      <c r="L7" s="184" t="str" cm="1">
        <f t="array" ref="L7">IFERROR(_xlfn.IFNA(
                      _xlfn.IFS(
                      G7="", "",
                      AND(E7="U10B",G7&lt;=Data!$M$2), "U10 Boys record",
                      AND(E7="U12B",G7&lt;=Data!$M$8), "U12 Boys record",
                      AND(E7="U10G",G7&lt;=Data!$M$15), "U10 Girls record",
                      AND(E7="U12G",G7&lt;=Data!$M$21), "U12 Girls record"
                       ),""), "")</f>
        <v/>
      </c>
      <c r="M7" s="19" cm="1">
        <f t="array" ref="M7">_xlfn.IFS($G7="",0, AND(NOT(ISNUMBER($G7)),LOWER($G7)&lt;&gt;"dnf"),"Not a valid time",OR(LOWER($G7)="dnf",$G7&gt;ScoringTable!$M$161),1,RIGHT($E7,1)="B",_xlfn.XLOOKUP($G7,ScoringTable!$M$2:$M$161,ScoringTable!$L$2:$L$161,,1),TRUE,_xlfn.XLOOKUP($G7,ScoringTable!$S$2:$S$161,ScoringTable!$R$2:$R$161,,1))</f>
        <v>0</v>
      </c>
    </row>
    <row r="8" spans="1:13" s="3" customFormat="1" ht="16" customHeight="1">
      <c r="A8" s="280" t="s">
        <v>2</v>
      </c>
      <c r="B8" s="122" t="str">
        <f>IF(ISNA(VLOOKUP($F8,Declarations!B$6:C$293,2,FALSE)),"",IF(VLOOKUP($F8,Declarations!B$6:C$293,2,FALSE)="","NOT DECLARED",IF(ISNA(_xlfn.TEXTBEFORE(VLOOKUP($F8,Declarations!B$6:C$293,2,FALSE)," ")),VLOOKUP($F8,Declarations!B$6:C$293,2,FALSE),_xlfn.TEXTBEFORE(VLOOKUP($F8,Declarations!B$6:C$293,2,FALSE)," "))))</f>
        <v/>
      </c>
      <c r="C8" s="122" t="str">
        <f>IF(ISNA(VLOOKUP($F8,Declarations!B$6:C$293,2,FALSE)),"",IF(VLOOKUP($F8,Declarations!B$6:C$293,2,FALSE)="","NOT DECLARED",IF(ISNA(_xlfn.TEXTAFTER(VLOOKUP($F8,Declarations!B$6:C$293,2,FALSE)," ")),VLOOKUP($F8,Declarations!B$6:C$293,2,FALSE),_xlfn.TEXTAFTER(VLOOKUP($F8,Declarations!B$6:C$293,2,FALSE)," "))))</f>
        <v/>
      </c>
      <c r="D8" s="122" t="str">
        <f>IF(ISNA(VLOOKUP($F8,Declarations!$B$6:$F$293,5,FALSE)),"",IF(VLOOKUP($F8,Declarations!$B$6:$F$293,5,FALSE)="","NOT DECLARED",VLOOKUP($F8,Declarations!$B$6:$F$293,5,FALSE)))</f>
        <v/>
      </c>
      <c r="E8" s="120" t="str">
        <f>IF(ISNA(VLOOKUP($F8,Declarations!$B$6:$D$293,3,FALSE)),"",IF(VLOOKUP($F8,Declarations!$B$6:$D$293,3,FALSE)="","NOT DECLARED",VLOOKUP($F8,Declarations!$B$6:$D$293,3,FALSE)&amp;LEFT(VLOOKUP($F8,Declarations!$B$6:$E$293,4,FALSE))))</f>
        <v/>
      </c>
      <c r="F8" s="59"/>
      <c r="G8" s="130"/>
      <c r="H8" s="130"/>
      <c r="I8" s="122" t="str">
        <f>IF(ISNA(VLOOKUP(F8,Declarations!B$6:C$293,2,FALSE)),"",IF(VLOOKUP(F8,Declarations!B$6:C$293,2,FALSE)="","NOT DECLARED",VLOOKUP(F8,Declarations!B$6:C$293,2,FALSE)))</f>
        <v/>
      </c>
      <c r="J8" s="120">
        <f>IF(LOWER(G8)="dnf",1,IF(G8&lt;ScoringTable!B$3,ScoringTable!I$2,VLOOKUP((1000-G8),ScoringTable!G$2:I$95,3)))</f>
        <v>0</v>
      </c>
      <c r="K8" s="120" t="str" cm="1">
        <f t="array" ref="K8">IF(OR(E8="",G8=""),"",_xlfn.IFS(E8="U10B",_xlfn.XLOOKUP(G8,Data!$D$2:$L$2,Data!$D$1:$L$1,"",1,1),E8="U12B",_xlfn.XLOOKUP(G8,Data!$D$8:$L$8,Data!$D$1:$L$1,"",1,1),E8="U10G",_xlfn.XLOOKUP(G8,Data!$D$15:$L$15,Data!$D$1:$L$1,"",1,1),E8="U12G",_xlfn.XLOOKUP(G8,Data!$D$21:$L$21,Data!$D$1:$L$1,"",1,1)))</f>
        <v/>
      </c>
      <c r="L8" s="184" t="str" cm="1">
        <f t="array" ref="L8">IFERROR(_xlfn.IFNA(
                      _xlfn.IFS(
                      G8="", "",
                      AND(E8="U10B",G8&lt;=Data!$M$2), "U10 Boys record",
                      AND(E8="U12B",G8&lt;=Data!$M$8), "U12 Boys record",
                      AND(E8="U10G",G8&lt;=Data!$M$15), "U10 Girls record",
                      AND(E8="U12G",G8&lt;=Data!$M$21), "U12 Girls record"
                       ),""), "")</f>
        <v/>
      </c>
      <c r="M8" s="19" cm="1">
        <f t="array" ref="M8">_xlfn.IFS($G8="",0, AND(NOT(ISNUMBER($G8)),LOWER($G8)&lt;&gt;"dnf"),"Not a valid time",OR(LOWER($G8)="dnf",$G8&gt;ScoringTable!$M$161),1,RIGHT($E8,1)="B",_xlfn.XLOOKUP($G8,ScoringTable!$M$2:$M$161,ScoringTable!$L$2:$L$161,,1),TRUE,_xlfn.XLOOKUP($G8,ScoringTable!$S$2:$S$161,ScoringTable!$R$2:$R$161,,1))</f>
        <v>0</v>
      </c>
    </row>
    <row r="9" spans="1:13" s="7" customFormat="1" ht="16" customHeight="1">
      <c r="A9" s="280" t="s">
        <v>2</v>
      </c>
      <c r="B9" s="122" t="str">
        <f>IF(ISNA(VLOOKUP($F9,Declarations!B$6:C$293,2,FALSE)),"",IF(VLOOKUP($F9,Declarations!B$6:C$293,2,FALSE)="","NOT DECLARED",IF(ISNA(_xlfn.TEXTBEFORE(VLOOKUP($F9,Declarations!B$6:C$293,2,FALSE)," ")),VLOOKUP($F9,Declarations!B$6:C$293,2,FALSE),_xlfn.TEXTBEFORE(VLOOKUP($F9,Declarations!B$6:C$293,2,FALSE)," "))))</f>
        <v/>
      </c>
      <c r="C9" s="122" t="str">
        <f>IF(ISNA(VLOOKUP($F9,Declarations!B$6:C$293,2,FALSE)),"",IF(VLOOKUP($F9,Declarations!B$6:C$293,2,FALSE)="","NOT DECLARED",IF(ISNA(_xlfn.TEXTAFTER(VLOOKUP($F9,Declarations!B$6:C$293,2,FALSE)," ")),VLOOKUP($F9,Declarations!B$6:C$293,2,FALSE),_xlfn.TEXTAFTER(VLOOKUP($F9,Declarations!B$6:C$293,2,FALSE)," "))))</f>
        <v/>
      </c>
      <c r="D9" s="122" t="str">
        <f>IF(ISNA(VLOOKUP($F9,Declarations!$B$6:$F$293,5,FALSE)),"",IF(VLOOKUP($F9,Declarations!$B$6:$F$293,5,FALSE)="","NOT DECLARED",VLOOKUP($F9,Declarations!$B$6:$F$293,5,FALSE)))</f>
        <v/>
      </c>
      <c r="E9" s="120" t="str">
        <f>IF(ISNA(VLOOKUP($F9,Declarations!$B$6:$D$293,3,FALSE)),"",IF(VLOOKUP($F9,Declarations!$B$6:$D$293,3,FALSE)="","NOT DECLARED",VLOOKUP($F9,Declarations!$B$6:$D$293,3,FALSE)&amp;LEFT(VLOOKUP($F9,Declarations!$B$6:$E$293,4,FALSE))))</f>
        <v/>
      </c>
      <c r="F9" s="59"/>
      <c r="G9" s="130"/>
      <c r="H9" s="130"/>
      <c r="I9" s="122" t="str">
        <f>IF(ISNA(VLOOKUP(F9,Declarations!B$6:C$293,2,FALSE)),"",IF(VLOOKUP(F9,Declarations!B$6:C$293,2,FALSE)="","NOT DECLARED",VLOOKUP(F9,Declarations!B$6:C$293,2,FALSE)))</f>
        <v/>
      </c>
      <c r="J9" s="120">
        <f>IF(LOWER(G9)="dnf",1,IF(G9&lt;ScoringTable!B$3,ScoringTable!I$2,VLOOKUP((1000-G9),ScoringTable!G$2:I$95,3)))</f>
        <v>0</v>
      </c>
      <c r="K9" s="120" t="str" cm="1">
        <f t="array" ref="K9">IF(OR(E9="",G9=""),"",_xlfn.IFS(E9="U10B",_xlfn.XLOOKUP(G9,Data!$D$2:$L$2,Data!$D$1:$L$1,"",1,1),E9="U12B",_xlfn.XLOOKUP(G9,Data!$D$8:$L$8,Data!$D$1:$L$1,"",1,1),E9="U10G",_xlfn.XLOOKUP(G9,Data!$D$15:$L$15,Data!$D$1:$L$1,"",1,1),E9="U12G",_xlfn.XLOOKUP(G9,Data!$D$21:$L$21,Data!$D$1:$L$1,"",1,1)))</f>
        <v/>
      </c>
      <c r="L9" s="184" t="str" cm="1">
        <f t="array" ref="L9">IFERROR(_xlfn.IFNA(
                      _xlfn.IFS(
                      G9="", "",
                      AND(E9="U10B",G9&lt;=Data!$M$2), "U10 Boys record",
                      AND(E9="U12B",G9&lt;=Data!$M$8), "U12 Boys record",
                      AND(E9="U10G",G9&lt;=Data!$M$15), "U10 Girls record",
                      AND(E9="U12G",G9&lt;=Data!$M$21), "U12 Girls record"
                       ),""), "")</f>
        <v/>
      </c>
      <c r="M9" s="19" cm="1">
        <f t="array" ref="M9">_xlfn.IFS($G9="",0, AND(NOT(ISNUMBER($G9)),LOWER($G9)&lt;&gt;"dnf"),"Not a valid time",OR(LOWER($G9)="dnf",$G9&gt;ScoringTable!$M$161),1,RIGHT($E9,1)="B",_xlfn.XLOOKUP($G9,ScoringTable!$M$2:$M$161,ScoringTable!$L$2:$L$161,,1),TRUE,_xlfn.XLOOKUP($G9,ScoringTable!$S$2:$S$161,ScoringTable!$R$2:$R$161,,1))</f>
        <v>0</v>
      </c>
    </row>
    <row r="10" spans="1:13" s="7" customFormat="1" ht="16" customHeight="1">
      <c r="A10" s="280" t="s">
        <v>2</v>
      </c>
      <c r="B10" s="122" t="str">
        <f>IF(ISNA(VLOOKUP($F10,Declarations!B$6:C$293,2,FALSE)),"",IF(VLOOKUP($F10,Declarations!B$6:C$293,2,FALSE)="","NOT DECLARED",IF(ISNA(_xlfn.TEXTBEFORE(VLOOKUP($F10,Declarations!B$6:C$293,2,FALSE)," ")),VLOOKUP($F10,Declarations!B$6:C$293,2,FALSE),_xlfn.TEXTBEFORE(VLOOKUP($F10,Declarations!B$6:C$293,2,FALSE)," "))))</f>
        <v/>
      </c>
      <c r="C10" s="122" t="str">
        <f>IF(ISNA(VLOOKUP($F10,Declarations!B$6:C$293,2,FALSE)),"",IF(VLOOKUP($F10,Declarations!B$6:C$293,2,FALSE)="","NOT DECLARED",IF(ISNA(_xlfn.TEXTAFTER(VLOOKUP($F10,Declarations!B$6:C$293,2,FALSE)," ")),VLOOKUP($F10,Declarations!B$6:C$293,2,FALSE),_xlfn.TEXTAFTER(VLOOKUP($F10,Declarations!B$6:C$293,2,FALSE)," "))))</f>
        <v/>
      </c>
      <c r="D10" s="122" t="str">
        <f>IF(ISNA(VLOOKUP($F10,Declarations!$B$6:$F$293,5,FALSE)),"",IF(VLOOKUP($F10,Declarations!$B$6:$F$293,5,FALSE)="","NOT DECLARED",VLOOKUP($F10,Declarations!$B$6:$F$293,5,FALSE)))</f>
        <v/>
      </c>
      <c r="E10" s="120" t="str">
        <f>IF(ISNA(VLOOKUP($F10,Declarations!$B$6:$D$293,3,FALSE)),"",IF(VLOOKUP($F10,Declarations!$B$6:$D$293,3,FALSE)="","NOT DECLARED",VLOOKUP($F10,Declarations!$B$6:$D$293,3,FALSE)&amp;LEFT(VLOOKUP($F10,Declarations!$B$6:$E$293,4,FALSE))))</f>
        <v/>
      </c>
      <c r="F10" s="59"/>
      <c r="G10" s="130"/>
      <c r="H10" s="130"/>
      <c r="I10" s="122" t="str">
        <f>IF(ISNA(VLOOKUP(F10,Declarations!B$6:C$293,2,FALSE)),"",IF(VLOOKUP(F10,Declarations!B$6:C$293,2,FALSE)="","NOT DECLARED",VLOOKUP(F10,Declarations!B$6:C$293,2,FALSE)))</f>
        <v/>
      </c>
      <c r="J10" s="120">
        <f>IF(LOWER(G10)="dnf",1,IF(G10&lt;ScoringTable!B$3,ScoringTable!I$2,VLOOKUP((1000-G10),ScoringTable!G$2:I$95,3)))</f>
        <v>0</v>
      </c>
      <c r="K10" s="120" t="str" cm="1">
        <f t="array" ref="K10">IF(OR(E10="",G10=""),"",_xlfn.IFS(E10="U10B",_xlfn.XLOOKUP(G10,Data!$D$2:$L$2,Data!$D$1:$L$1,"",1,1),E10="U12B",_xlfn.XLOOKUP(G10,Data!$D$8:$L$8,Data!$D$1:$L$1,"",1,1),E10="U10G",_xlfn.XLOOKUP(G10,Data!$D$15:$L$15,Data!$D$1:$L$1,"",1,1),E10="U12G",_xlfn.XLOOKUP(G10,Data!$D$21:$L$21,Data!$D$1:$L$1,"",1,1)))</f>
        <v/>
      </c>
      <c r="L10" s="184" t="str" cm="1">
        <f t="array" ref="L10">IFERROR(_xlfn.IFNA(
                      _xlfn.IFS(
                      G10="", "",
                      AND(E10="U10B",G10&lt;=Data!$M$2), "U10 Boys record",
                      AND(E10="U12B",G10&lt;=Data!$M$8), "U12 Boys record",
                      AND(E10="U10G",G10&lt;=Data!$M$15), "U10 Girls record",
                      AND(E10="U12G",G10&lt;=Data!$M$21), "U12 Girls record"
                       ),""), "")</f>
        <v/>
      </c>
      <c r="M10" s="19" cm="1">
        <f t="array" ref="M10">_xlfn.IFS($G10="",0, AND(NOT(ISNUMBER($G10)),LOWER($G10)&lt;&gt;"dnf"),"Not a valid time",OR(LOWER($G10)="dnf",$G10&gt;ScoringTable!$M$161),1,RIGHT($E10,1)="B",_xlfn.XLOOKUP($G10,ScoringTable!$M$2:$M$161,ScoringTable!$L$2:$L$161,,1),TRUE,_xlfn.XLOOKUP($G10,ScoringTable!$S$2:$S$161,ScoringTable!$R$2:$R$161,,1))</f>
        <v>0</v>
      </c>
    </row>
    <row r="11" spans="1:13" s="7" customFormat="1" ht="16" customHeight="1">
      <c r="A11" s="280" t="s">
        <v>2</v>
      </c>
      <c r="B11" s="122" t="str">
        <f>IF(ISNA(VLOOKUP($F11,Declarations!B$6:C$293,2,FALSE)),"",IF(VLOOKUP($F11,Declarations!B$6:C$293,2,FALSE)="","NOT DECLARED",IF(ISNA(_xlfn.TEXTBEFORE(VLOOKUP($F11,Declarations!B$6:C$293,2,FALSE)," ")),VLOOKUP($F11,Declarations!B$6:C$293,2,FALSE),_xlfn.TEXTBEFORE(VLOOKUP($F11,Declarations!B$6:C$293,2,FALSE)," "))))</f>
        <v/>
      </c>
      <c r="C11" s="122" t="str">
        <f>IF(ISNA(VLOOKUP($F11,Declarations!B$6:C$293,2,FALSE)),"",IF(VLOOKUP($F11,Declarations!B$6:C$293,2,FALSE)="","NOT DECLARED",IF(ISNA(_xlfn.TEXTAFTER(VLOOKUP($F11,Declarations!B$6:C$293,2,FALSE)," ")),VLOOKUP($F11,Declarations!B$6:C$293,2,FALSE),_xlfn.TEXTAFTER(VLOOKUP($F11,Declarations!B$6:C$293,2,FALSE)," "))))</f>
        <v/>
      </c>
      <c r="D11" s="122" t="str">
        <f>IF(ISNA(VLOOKUP($F11,Declarations!$B$6:$F$293,5,FALSE)),"",IF(VLOOKUP($F11,Declarations!$B$6:$F$293,5,FALSE)="","NOT DECLARED",VLOOKUP($F11,Declarations!$B$6:$F$293,5,FALSE)))</f>
        <v/>
      </c>
      <c r="E11" s="120" t="str">
        <f>IF(ISNA(VLOOKUP($F11,Declarations!$B$6:$D$293,3,FALSE)),"",IF(VLOOKUP($F11,Declarations!$B$6:$D$293,3,FALSE)="","NOT DECLARED",VLOOKUP($F11,Declarations!$B$6:$D$293,3,FALSE)&amp;LEFT(VLOOKUP($F11,Declarations!$B$6:$E$293,4,FALSE))))</f>
        <v/>
      </c>
      <c r="F11" s="59"/>
      <c r="G11" s="130"/>
      <c r="H11" s="130"/>
      <c r="I11" s="122" t="str">
        <f>IF(ISNA(VLOOKUP(F11,Declarations!B$6:C$293,2,FALSE)),"",IF(VLOOKUP(F11,Declarations!B$6:C$293,2,FALSE)="","NOT DECLARED",VLOOKUP(F11,Declarations!B$6:C$293,2,FALSE)))</f>
        <v/>
      </c>
      <c r="J11" s="120">
        <f>IF(LOWER(G11)="dnf",1,IF(G11&lt;ScoringTable!B$3,ScoringTable!I$2,VLOOKUP((1000-G11),ScoringTable!G$2:I$95,3)))</f>
        <v>0</v>
      </c>
      <c r="K11" s="120" t="str" cm="1">
        <f t="array" ref="K11">IF(OR(E11="",G11=""),"",_xlfn.IFS(E11="U10B",_xlfn.XLOOKUP(G11,Data!$D$2:$L$2,Data!$D$1:$L$1,"",1,1),E11="U12B",_xlfn.XLOOKUP(G11,Data!$D$8:$L$8,Data!$D$1:$L$1,"",1,1),E11="U10G",_xlfn.XLOOKUP(G11,Data!$D$15:$L$15,Data!$D$1:$L$1,"",1,1),E11="U12G",_xlfn.XLOOKUP(G11,Data!$D$21:$L$21,Data!$D$1:$L$1,"",1,1)))</f>
        <v/>
      </c>
      <c r="L11" s="184" t="str" cm="1">
        <f t="array" ref="L11">IFERROR(_xlfn.IFNA(
                      _xlfn.IFS(
                      G11="", "",
                      AND(E11="U10B",G11&lt;=Data!$M$2), "U10 Boys record",
                      AND(E11="U12B",G11&lt;=Data!$M$8), "U12 Boys record",
                      AND(E11="U10G",G11&lt;=Data!$M$15), "U10 Girls record",
                      AND(E11="U12G",G11&lt;=Data!$M$21), "U12 Girls record"
                       ),""), "")</f>
        <v/>
      </c>
      <c r="M11" s="19" cm="1">
        <f t="array" ref="M11">_xlfn.IFS($G11="",0, AND(NOT(ISNUMBER($G11)),LOWER($G11)&lt;&gt;"dnf"),"Not a valid time",OR(LOWER($G11)="dnf",$G11&gt;ScoringTable!$M$161),1,RIGHT($E11,1)="B",_xlfn.XLOOKUP($G11,ScoringTable!$M$2:$M$161,ScoringTable!$L$2:$L$161,,1),TRUE,_xlfn.XLOOKUP($G11,ScoringTable!$S$2:$S$161,ScoringTable!$R$2:$R$161,,1))</f>
        <v>0</v>
      </c>
    </row>
    <row r="12" spans="1:13" s="7" customFormat="1" ht="16" customHeight="1">
      <c r="A12" s="280" t="s">
        <v>2</v>
      </c>
      <c r="B12" s="122" t="str">
        <f>IF(ISNA(VLOOKUP($F12,Declarations!B$6:C$293,2,FALSE)),"",IF(VLOOKUP($F12,Declarations!B$6:C$293,2,FALSE)="","NOT DECLARED",IF(ISNA(_xlfn.TEXTBEFORE(VLOOKUP($F12,Declarations!B$6:C$293,2,FALSE)," ")),VLOOKUP($F12,Declarations!B$6:C$293,2,FALSE),_xlfn.TEXTBEFORE(VLOOKUP($F12,Declarations!B$6:C$293,2,FALSE)," "))))</f>
        <v/>
      </c>
      <c r="C12" s="122" t="str">
        <f>IF(ISNA(VLOOKUP($F12,Declarations!B$6:C$293,2,FALSE)),"",IF(VLOOKUP($F12,Declarations!B$6:C$293,2,FALSE)="","NOT DECLARED",IF(ISNA(_xlfn.TEXTAFTER(VLOOKUP($F12,Declarations!B$6:C$293,2,FALSE)," ")),VLOOKUP($F12,Declarations!B$6:C$293,2,FALSE),_xlfn.TEXTAFTER(VLOOKUP($F12,Declarations!B$6:C$293,2,FALSE)," "))))</f>
        <v/>
      </c>
      <c r="D12" s="122" t="str">
        <f>IF(ISNA(VLOOKUP($F12,Declarations!$B$6:$F$293,5,FALSE)),"",IF(VLOOKUP($F12,Declarations!$B$6:$F$293,5,FALSE)="","NOT DECLARED",VLOOKUP($F12,Declarations!$B$6:$F$293,5,FALSE)))</f>
        <v/>
      </c>
      <c r="E12" s="120" t="str">
        <f>IF(ISNA(VLOOKUP($F12,Declarations!$B$6:$D$293,3,FALSE)),"",IF(VLOOKUP($F12,Declarations!$B$6:$D$293,3,FALSE)="","NOT DECLARED",VLOOKUP($F12,Declarations!$B$6:$D$293,3,FALSE)&amp;LEFT(VLOOKUP($F12,Declarations!$B$6:$E$293,4,FALSE))))</f>
        <v/>
      </c>
      <c r="F12" s="59"/>
      <c r="G12" s="130"/>
      <c r="H12" s="130"/>
      <c r="I12" s="122" t="str">
        <f>IF(ISNA(VLOOKUP(F12,Declarations!B$6:C$293,2,FALSE)),"",IF(VLOOKUP(F12,Declarations!B$6:C$293,2,FALSE)="","NOT DECLARED",VLOOKUP(F12,Declarations!B$6:C$293,2,FALSE)))</f>
        <v/>
      </c>
      <c r="J12" s="120">
        <f>IF(LOWER(G12)="dnf",1,IF(G12&lt;ScoringTable!B$3,ScoringTable!I$2,VLOOKUP((1000-G12),ScoringTable!G$2:I$95,3)))</f>
        <v>0</v>
      </c>
      <c r="K12" s="120" t="str" cm="1">
        <f t="array" ref="K12">IF(OR(E12="",G12=""),"",_xlfn.IFS(E12="U10B",_xlfn.XLOOKUP(G12,Data!$D$2:$L$2,Data!$D$1:$L$1,"",1,1),E12="U12B",_xlfn.XLOOKUP(G12,Data!$D$8:$L$8,Data!$D$1:$L$1,"",1,1),E12="U10G",_xlfn.XLOOKUP(G12,Data!$D$15:$L$15,Data!$D$1:$L$1,"",1,1),E12="U12G",_xlfn.XLOOKUP(G12,Data!$D$21:$L$21,Data!$D$1:$L$1,"",1,1)))</f>
        <v/>
      </c>
      <c r="L12" s="184" t="str" cm="1">
        <f t="array" ref="L12">IFERROR(_xlfn.IFNA(
                      _xlfn.IFS(
                      G12="", "",
                      AND(E12="U10B",G12&lt;=Data!$M$2), "U10 Boys record",
                      AND(E12="U12B",G12&lt;=Data!$M$8), "U12 Boys record",
                      AND(E12="U10G",G12&lt;=Data!$M$15), "U10 Girls record",
                      AND(E12="U12G",G12&lt;=Data!$M$21), "U12 Girls record"
                       ),""), "")</f>
        <v/>
      </c>
      <c r="M12" s="19" cm="1">
        <f t="array" ref="M12">_xlfn.IFS($G12="",0, AND(NOT(ISNUMBER($G12)),LOWER($G12)&lt;&gt;"dnf"),"Not a valid time",OR(LOWER($G12)="dnf",$G12&gt;ScoringTable!$M$161),1,RIGHT($E12,1)="B",_xlfn.XLOOKUP($G12,ScoringTable!$M$2:$M$161,ScoringTable!$L$2:$L$161,,1),TRUE,_xlfn.XLOOKUP($G12,ScoringTable!$S$2:$S$161,ScoringTable!$R$2:$R$161,,1))</f>
        <v>0</v>
      </c>
    </row>
    <row r="13" spans="1:13" s="7" customFormat="1" ht="16" customHeight="1">
      <c r="A13" s="280" t="s">
        <v>2</v>
      </c>
      <c r="B13" s="122" t="str">
        <f>IF(ISNA(VLOOKUP($F13,Declarations!B$6:C$293,2,FALSE)),"",IF(VLOOKUP($F13,Declarations!B$6:C$293,2,FALSE)="","NOT DECLARED",IF(ISNA(_xlfn.TEXTBEFORE(VLOOKUP($F13,Declarations!B$6:C$293,2,FALSE)," ")),VLOOKUP($F13,Declarations!B$6:C$293,2,FALSE),_xlfn.TEXTBEFORE(VLOOKUP($F13,Declarations!B$6:C$293,2,FALSE)," "))))</f>
        <v/>
      </c>
      <c r="C13" s="122" t="str">
        <f>IF(ISNA(VLOOKUP($F13,Declarations!B$6:C$293,2,FALSE)),"",IF(VLOOKUP($F13,Declarations!B$6:C$293,2,FALSE)="","NOT DECLARED",IF(ISNA(_xlfn.TEXTAFTER(VLOOKUP($F13,Declarations!B$6:C$293,2,FALSE)," ")),VLOOKUP($F13,Declarations!B$6:C$293,2,FALSE),_xlfn.TEXTAFTER(VLOOKUP($F13,Declarations!B$6:C$293,2,FALSE)," "))))</f>
        <v/>
      </c>
      <c r="D13" s="122" t="str">
        <f>IF(ISNA(VLOOKUP($F13,Declarations!$B$6:$F$293,5,FALSE)),"",IF(VLOOKUP($F13,Declarations!$B$6:$F$293,5,FALSE)="","NOT DECLARED",VLOOKUP($F13,Declarations!$B$6:$F$293,5,FALSE)))</f>
        <v/>
      </c>
      <c r="E13" s="120" t="str">
        <f>IF(ISNA(VLOOKUP($F13,Declarations!$B$6:$D$293,3,FALSE)),"",IF(VLOOKUP($F13,Declarations!$B$6:$D$293,3,FALSE)="","NOT DECLARED",VLOOKUP($F13,Declarations!$B$6:$D$293,3,FALSE)&amp;LEFT(VLOOKUP($F13,Declarations!$B$6:$E$293,4,FALSE))))</f>
        <v/>
      </c>
      <c r="F13" s="59"/>
      <c r="G13" s="130"/>
      <c r="H13" s="130"/>
      <c r="I13" s="122" t="str">
        <f>IF(ISNA(VLOOKUP(F13,Declarations!B$6:C$293,2,FALSE)),"",IF(VLOOKUP(F13,Declarations!B$6:C$293,2,FALSE)="","NOT DECLARED",VLOOKUP(F13,Declarations!B$6:C$293,2,FALSE)))</f>
        <v/>
      </c>
      <c r="J13" s="120">
        <f>IF(LOWER(G13)="dnf",1,IF(G13&lt;ScoringTable!B$3,ScoringTable!I$2,VLOOKUP((1000-G13),ScoringTable!G$2:I$95,3)))</f>
        <v>0</v>
      </c>
      <c r="K13" s="120" t="str" cm="1">
        <f t="array" ref="K13">IF(OR(E13="",G13=""),"",_xlfn.IFS(E13="U10B",_xlfn.XLOOKUP(G13,Data!$D$2:$L$2,Data!$D$1:$L$1,"",1,1),E13="U12B",_xlfn.XLOOKUP(G13,Data!$D$8:$L$8,Data!$D$1:$L$1,"",1,1),E13="U10G",_xlfn.XLOOKUP(G13,Data!$D$15:$L$15,Data!$D$1:$L$1,"",1,1),E13="U12G",_xlfn.XLOOKUP(G13,Data!$D$21:$L$21,Data!$D$1:$L$1,"",1,1)))</f>
        <v/>
      </c>
      <c r="L13" s="184" t="str" cm="1">
        <f t="array" ref="L13">IFERROR(_xlfn.IFNA(
                      _xlfn.IFS(
                      G13="", "",
                      AND(E13="U10B",G13&lt;=Data!$M$2), "U10 Boys record",
                      AND(E13="U12B",G13&lt;=Data!$M$8), "U12 Boys record",
                      AND(E13="U10G",G13&lt;=Data!$M$15), "U10 Girls record",
                      AND(E13="U12G",G13&lt;=Data!$M$21), "U12 Girls record"
                       ),""), "")</f>
        <v/>
      </c>
      <c r="M13" s="19" cm="1">
        <f t="array" ref="M13">_xlfn.IFS($G13="",0, AND(NOT(ISNUMBER($G13)),LOWER($G13)&lt;&gt;"dnf"),"Not a valid time",OR(LOWER($G13)="dnf",$G13&gt;ScoringTable!$M$161),1,RIGHT($E13,1)="B",_xlfn.XLOOKUP($G13,ScoringTable!$M$2:$M$161,ScoringTable!$L$2:$L$161,,1),TRUE,_xlfn.XLOOKUP($G13,ScoringTable!$S$2:$S$161,ScoringTable!$R$2:$R$161,,1))</f>
        <v>0</v>
      </c>
    </row>
    <row r="14" spans="1:13" s="7" customFormat="1" ht="16" customHeight="1">
      <c r="A14" s="280" t="s">
        <v>2</v>
      </c>
      <c r="B14" s="122" t="str">
        <f>IF(ISNA(VLOOKUP($F14,Declarations!B$6:C$293,2,FALSE)),"",IF(VLOOKUP($F14,Declarations!B$6:C$293,2,FALSE)="","NOT DECLARED",IF(ISNA(_xlfn.TEXTBEFORE(VLOOKUP($F14,Declarations!B$6:C$293,2,FALSE)," ")),VLOOKUP($F14,Declarations!B$6:C$293,2,FALSE),_xlfn.TEXTBEFORE(VLOOKUP($F14,Declarations!B$6:C$293,2,FALSE)," "))))</f>
        <v/>
      </c>
      <c r="C14" s="122" t="str">
        <f>IF(ISNA(VLOOKUP($F14,Declarations!B$6:C$293,2,FALSE)),"",IF(VLOOKUP($F14,Declarations!B$6:C$293,2,FALSE)="","NOT DECLARED",IF(ISNA(_xlfn.TEXTAFTER(VLOOKUP($F14,Declarations!B$6:C$293,2,FALSE)," ")),VLOOKUP($F14,Declarations!B$6:C$293,2,FALSE),_xlfn.TEXTAFTER(VLOOKUP($F14,Declarations!B$6:C$293,2,FALSE)," "))))</f>
        <v/>
      </c>
      <c r="D14" s="122" t="str">
        <f>IF(ISNA(VLOOKUP($F14,Declarations!$B$6:$F$293,5,FALSE)),"",IF(VLOOKUP($F14,Declarations!$B$6:$F$293,5,FALSE)="","NOT DECLARED",VLOOKUP($F14,Declarations!$B$6:$F$293,5,FALSE)))</f>
        <v/>
      </c>
      <c r="E14" s="120" t="str">
        <f>IF(ISNA(VLOOKUP($F14,Declarations!$B$6:$D$293,3,FALSE)),"",IF(VLOOKUP($F14,Declarations!$B$6:$D$293,3,FALSE)="","NOT DECLARED",VLOOKUP($F14,Declarations!$B$6:$D$293,3,FALSE)&amp;LEFT(VLOOKUP($F14,Declarations!$B$6:$E$293,4,FALSE))))</f>
        <v/>
      </c>
      <c r="F14" s="59"/>
      <c r="G14" s="130"/>
      <c r="H14" s="130"/>
      <c r="I14" s="122" t="str">
        <f>IF(ISNA(VLOOKUP(F14,Declarations!B$6:C$293,2,FALSE)),"",IF(VLOOKUP(F14,Declarations!B$6:C$293,2,FALSE)="","NOT DECLARED",VLOOKUP(F14,Declarations!B$6:C$293,2,FALSE)))</f>
        <v/>
      </c>
      <c r="J14" s="120">
        <f>IF(LOWER(G14)="dnf",1,IF(G14&lt;ScoringTable!B$3,ScoringTable!I$2,VLOOKUP((1000-G14),ScoringTable!G$2:I$95,3)))</f>
        <v>0</v>
      </c>
      <c r="K14" s="120" t="str" cm="1">
        <f t="array" ref="K14">IF(OR(E14="",G14=""),"",_xlfn.IFS(E14="U10B",_xlfn.XLOOKUP(G14,Data!$D$2:$L$2,Data!$D$1:$L$1,"",1,1),E14="U12B",_xlfn.XLOOKUP(G14,Data!$D$8:$L$8,Data!$D$1:$L$1,"",1,1),E14="U10G",_xlfn.XLOOKUP(G14,Data!$D$15:$L$15,Data!$D$1:$L$1,"",1,1),E14="U12G",_xlfn.XLOOKUP(G14,Data!$D$21:$L$21,Data!$D$1:$L$1,"",1,1)))</f>
        <v/>
      </c>
      <c r="L14" s="184" t="str" cm="1">
        <f t="array" ref="L14">IFERROR(_xlfn.IFNA(
                      _xlfn.IFS(
                      G14="", "",
                      AND(E14="U10B",G14&lt;=Data!$M$2), "U10 Boys record",
                      AND(E14="U12B",G14&lt;=Data!$M$8), "U12 Boys record",
                      AND(E14="U10G",G14&lt;=Data!$M$15), "U10 Girls record",
                      AND(E14="U12G",G14&lt;=Data!$M$21), "U12 Girls record"
                       ),""), "")</f>
        <v/>
      </c>
      <c r="M14" s="19" cm="1">
        <f t="array" ref="M14">_xlfn.IFS($G14="",0, AND(NOT(ISNUMBER($G14)),LOWER($G14)&lt;&gt;"dnf"),"Not a valid time",OR(LOWER($G14)="dnf",$G14&gt;ScoringTable!$M$161),1,RIGHT($E14,1)="B",_xlfn.XLOOKUP($G14,ScoringTable!$M$2:$M$161,ScoringTable!$L$2:$L$161,,1),TRUE,_xlfn.XLOOKUP($G14,ScoringTable!$S$2:$S$161,ScoringTable!$R$2:$R$161,,1))</f>
        <v>0</v>
      </c>
    </row>
    <row r="15" spans="1:13" s="7" customFormat="1" ht="16" customHeight="1">
      <c r="A15" s="280" t="s">
        <v>2</v>
      </c>
      <c r="B15" s="122" t="str">
        <f>IF(ISNA(VLOOKUP($F15,Declarations!B$6:C$293,2,FALSE)),"",IF(VLOOKUP($F15,Declarations!B$6:C$293,2,FALSE)="","NOT DECLARED",IF(ISNA(_xlfn.TEXTBEFORE(VLOOKUP($F15,Declarations!B$6:C$293,2,FALSE)," ")),VLOOKUP($F15,Declarations!B$6:C$293,2,FALSE),_xlfn.TEXTBEFORE(VLOOKUP($F15,Declarations!B$6:C$293,2,FALSE)," "))))</f>
        <v/>
      </c>
      <c r="C15" s="122" t="str">
        <f>IF(ISNA(VLOOKUP($F15,Declarations!B$6:C$293,2,FALSE)),"",IF(VLOOKUP($F15,Declarations!B$6:C$293,2,FALSE)="","NOT DECLARED",IF(ISNA(_xlfn.TEXTAFTER(VLOOKUP($F15,Declarations!B$6:C$293,2,FALSE)," ")),VLOOKUP($F15,Declarations!B$6:C$293,2,FALSE),_xlfn.TEXTAFTER(VLOOKUP($F15,Declarations!B$6:C$293,2,FALSE)," "))))</f>
        <v/>
      </c>
      <c r="D15" s="122" t="str">
        <f>IF(ISNA(VLOOKUP($F15,Declarations!$B$6:$F$293,5,FALSE)),"",IF(VLOOKUP($F15,Declarations!$B$6:$F$293,5,FALSE)="","NOT DECLARED",VLOOKUP($F15,Declarations!$B$6:$F$293,5,FALSE)))</f>
        <v/>
      </c>
      <c r="E15" s="120" t="str">
        <f>IF(ISNA(VLOOKUP($F15,Declarations!$B$6:$D$293,3,FALSE)),"",IF(VLOOKUP($F15,Declarations!$B$6:$D$293,3,FALSE)="","NOT DECLARED",VLOOKUP($F15,Declarations!$B$6:$D$293,3,FALSE)&amp;LEFT(VLOOKUP($F15,Declarations!$B$6:$E$293,4,FALSE))))</f>
        <v/>
      </c>
      <c r="F15" s="59"/>
      <c r="G15" s="130"/>
      <c r="H15" s="130"/>
      <c r="I15" s="122" t="str">
        <f>IF(ISNA(VLOOKUP(F15,Declarations!B$6:C$293,2,FALSE)),"",IF(VLOOKUP(F15,Declarations!B$6:C$293,2,FALSE)="","NOT DECLARED",VLOOKUP(F15,Declarations!B$6:C$293,2,FALSE)))</f>
        <v/>
      </c>
      <c r="J15" s="120">
        <f>IF(LOWER(G15)="dnf",1,IF(G15&lt;ScoringTable!B$3,ScoringTable!I$2,VLOOKUP((1000-G15),ScoringTable!G$2:I$95,3)))</f>
        <v>0</v>
      </c>
      <c r="K15" s="120" t="str" cm="1">
        <f t="array" ref="K15">IF(OR(E15="",G15=""),"",_xlfn.IFS(E15="U10B",_xlfn.XLOOKUP(G15,Data!$D$2:$L$2,Data!$D$1:$L$1,"",1,1),E15="U12B",_xlfn.XLOOKUP(G15,Data!$D$8:$L$8,Data!$D$1:$L$1,"",1,1),E15="U10G",_xlfn.XLOOKUP(G15,Data!$D$15:$L$15,Data!$D$1:$L$1,"",1,1),E15="U12G",_xlfn.XLOOKUP(G15,Data!$D$21:$L$21,Data!$D$1:$L$1,"",1,1)))</f>
        <v/>
      </c>
      <c r="L15" s="184" t="str" cm="1">
        <f t="array" ref="L15">IFERROR(_xlfn.IFNA(
                      _xlfn.IFS(
                      G15="", "",
                      AND(E15="U10B",G15&lt;=Data!$M$2), "U10 Boys record",
                      AND(E15="U12B",G15&lt;=Data!$M$8), "U12 Boys record",
                      AND(E15="U10G",G15&lt;=Data!$M$15), "U10 Girls record",
                      AND(E15="U12G",G15&lt;=Data!$M$21), "U12 Girls record"
                       ),""), "")</f>
        <v/>
      </c>
      <c r="M15" s="19" cm="1">
        <f t="array" ref="M15">_xlfn.IFS($G15="",0, AND(NOT(ISNUMBER($G15)),LOWER($G15)&lt;&gt;"dnf"),"Not a valid time",OR(LOWER($G15)="dnf",$G15&gt;ScoringTable!$M$161),1,RIGHT($E15,1)="B",_xlfn.XLOOKUP($G15,ScoringTable!$M$2:$M$161,ScoringTable!$L$2:$L$161,,1),TRUE,_xlfn.XLOOKUP($G15,ScoringTable!$S$2:$S$161,ScoringTable!$R$2:$R$161,,1))</f>
        <v>0</v>
      </c>
    </row>
    <row r="16" spans="1:13" s="7" customFormat="1" ht="16" customHeight="1">
      <c r="A16" s="280" t="s">
        <v>2</v>
      </c>
      <c r="B16" s="122" t="str">
        <f>IF(ISNA(VLOOKUP($F16,Declarations!B$6:C$293,2,FALSE)),"",IF(VLOOKUP($F16,Declarations!B$6:C$293,2,FALSE)="","NOT DECLARED",IF(ISNA(_xlfn.TEXTBEFORE(VLOOKUP($F16,Declarations!B$6:C$293,2,FALSE)," ")),VLOOKUP($F16,Declarations!B$6:C$293,2,FALSE),_xlfn.TEXTBEFORE(VLOOKUP($F16,Declarations!B$6:C$293,2,FALSE)," "))))</f>
        <v/>
      </c>
      <c r="C16" s="122" t="str">
        <f>IF(ISNA(VLOOKUP($F16,Declarations!B$6:C$293,2,FALSE)),"",IF(VLOOKUP($F16,Declarations!B$6:C$293,2,FALSE)="","NOT DECLARED",IF(ISNA(_xlfn.TEXTAFTER(VLOOKUP($F16,Declarations!B$6:C$293,2,FALSE)," ")),VLOOKUP($F16,Declarations!B$6:C$293,2,FALSE),_xlfn.TEXTAFTER(VLOOKUP($F16,Declarations!B$6:C$293,2,FALSE)," "))))</f>
        <v/>
      </c>
      <c r="D16" s="122" t="str">
        <f>IF(ISNA(VLOOKUP($F16,Declarations!$B$6:$F$293,5,FALSE)),"",IF(VLOOKUP($F16,Declarations!$B$6:$F$293,5,FALSE)="","NOT DECLARED",VLOOKUP($F16,Declarations!$B$6:$F$293,5,FALSE)))</f>
        <v/>
      </c>
      <c r="E16" s="120" t="str">
        <f>IF(ISNA(VLOOKUP($F16,Declarations!$B$6:$D$293,3,FALSE)),"",IF(VLOOKUP($F16,Declarations!$B$6:$D$293,3,FALSE)="","NOT DECLARED",VLOOKUP($F16,Declarations!$B$6:$D$293,3,FALSE)&amp;LEFT(VLOOKUP($F16,Declarations!$B$6:$E$293,4,FALSE))))</f>
        <v/>
      </c>
      <c r="F16" s="59"/>
      <c r="G16" s="130"/>
      <c r="H16" s="130"/>
      <c r="I16" s="122" t="str">
        <f>IF(ISNA(VLOOKUP(F16,Declarations!B$6:C$293,2,FALSE)),"",IF(VLOOKUP(F16,Declarations!B$6:C$293,2,FALSE)="","NOT DECLARED",VLOOKUP(F16,Declarations!B$6:C$293,2,FALSE)))</f>
        <v/>
      </c>
      <c r="J16" s="120">
        <f>IF(LOWER(G16)="dnf",1,IF(G16&lt;ScoringTable!B$3,ScoringTable!I$2,VLOOKUP((1000-G16),ScoringTable!G$2:I$95,3)))</f>
        <v>0</v>
      </c>
      <c r="K16" s="120" t="str" cm="1">
        <f t="array" ref="K16">IF(OR(E16="",G16=""),"",_xlfn.IFS(E16="U10B",_xlfn.XLOOKUP(G16,Data!$D$2:$L$2,Data!$D$1:$L$1,"",1,1),E16="U12B",_xlfn.XLOOKUP(G16,Data!$D$8:$L$8,Data!$D$1:$L$1,"",1,1),E16="U10G",_xlfn.XLOOKUP(G16,Data!$D$15:$L$15,Data!$D$1:$L$1,"",1,1),E16="U12G",_xlfn.XLOOKUP(G16,Data!$D$21:$L$21,Data!$D$1:$L$1,"",1,1)))</f>
        <v/>
      </c>
      <c r="L16" s="184" t="str" cm="1">
        <f t="array" ref="L16">IFERROR(_xlfn.IFNA(
                      _xlfn.IFS(
                      G16="", "",
                      AND(E16="U10B",G16&lt;=Data!$M$2), "U10 Boys record",
                      AND(E16="U12B",G16&lt;=Data!$M$8), "U12 Boys record",
                      AND(E16="U10G",G16&lt;=Data!$M$15), "U10 Girls record",
                      AND(E16="U12G",G16&lt;=Data!$M$21), "U12 Girls record"
                       ),""), "")</f>
        <v/>
      </c>
      <c r="M16" s="19" cm="1">
        <f t="array" ref="M16">_xlfn.IFS($G16="",0, AND(NOT(ISNUMBER($G16)),LOWER($G16)&lt;&gt;"dnf"),"Not a valid time",OR(LOWER($G16)="dnf",$G16&gt;ScoringTable!$M$161),1,RIGHT($E16,1)="B",_xlfn.XLOOKUP($G16,ScoringTable!$M$2:$M$161,ScoringTable!$L$2:$L$161,,1),TRUE,_xlfn.XLOOKUP($G16,ScoringTable!$S$2:$S$161,ScoringTable!$R$2:$R$161,,1))</f>
        <v>0</v>
      </c>
    </row>
    <row r="17" spans="1:13" s="7" customFormat="1" ht="16" customHeight="1">
      <c r="A17" s="280" t="s">
        <v>2</v>
      </c>
      <c r="B17" s="122" t="str">
        <f>IF(ISNA(VLOOKUP($F17,Declarations!B$6:C$293,2,FALSE)),"",IF(VLOOKUP($F17,Declarations!B$6:C$293,2,FALSE)="","NOT DECLARED",IF(ISNA(_xlfn.TEXTBEFORE(VLOOKUP($F17,Declarations!B$6:C$293,2,FALSE)," ")),VLOOKUP($F17,Declarations!B$6:C$293,2,FALSE),_xlfn.TEXTBEFORE(VLOOKUP($F17,Declarations!B$6:C$293,2,FALSE)," "))))</f>
        <v/>
      </c>
      <c r="C17" s="122" t="str">
        <f>IF(ISNA(VLOOKUP($F17,Declarations!B$6:C$293,2,FALSE)),"",IF(VLOOKUP($F17,Declarations!B$6:C$293,2,FALSE)="","NOT DECLARED",IF(ISNA(_xlfn.TEXTAFTER(VLOOKUP($F17,Declarations!B$6:C$293,2,FALSE)," ")),VLOOKUP($F17,Declarations!B$6:C$293,2,FALSE),_xlfn.TEXTAFTER(VLOOKUP($F17,Declarations!B$6:C$293,2,FALSE)," "))))</f>
        <v/>
      </c>
      <c r="D17" s="122" t="str">
        <f>IF(ISNA(VLOOKUP($F17,Declarations!$B$6:$F$293,5,FALSE)),"",IF(VLOOKUP($F17,Declarations!$B$6:$F$293,5,FALSE)="","NOT DECLARED",VLOOKUP($F17,Declarations!$B$6:$F$293,5,FALSE)))</f>
        <v/>
      </c>
      <c r="E17" s="120" t="str">
        <f>IF(ISNA(VLOOKUP($F17,Declarations!$B$6:$D$293,3,FALSE)),"",IF(VLOOKUP($F17,Declarations!$B$6:$D$293,3,FALSE)="","NOT DECLARED",VLOOKUP($F17,Declarations!$B$6:$D$293,3,FALSE)&amp;LEFT(VLOOKUP($F17,Declarations!$B$6:$E$293,4,FALSE))))</f>
        <v/>
      </c>
      <c r="F17" s="59"/>
      <c r="G17" s="130"/>
      <c r="H17" s="130"/>
      <c r="I17" s="122" t="str">
        <f>IF(ISNA(VLOOKUP(F17,Declarations!B$6:C$293,2,FALSE)),"",IF(VLOOKUP(F17,Declarations!B$6:C$293,2,FALSE)="","NOT DECLARED",VLOOKUP(F17,Declarations!B$6:C$293,2,FALSE)))</f>
        <v/>
      </c>
      <c r="J17" s="120">
        <f>IF(LOWER(G17)="dnf",1,IF(G17&lt;ScoringTable!B$3,ScoringTable!I$2,VLOOKUP((1000-G17),ScoringTable!G$2:I$95,3)))</f>
        <v>0</v>
      </c>
      <c r="K17" s="120" t="str" cm="1">
        <f t="array" ref="K17">IF(OR(E17="",G17=""),"",_xlfn.IFS(E17="U10B",_xlfn.XLOOKUP(G17,Data!$D$2:$L$2,Data!$D$1:$L$1,"",1,1),E17="U12B",_xlfn.XLOOKUP(G17,Data!$D$8:$L$8,Data!$D$1:$L$1,"",1,1),E17="U10G",_xlfn.XLOOKUP(G17,Data!$D$15:$L$15,Data!$D$1:$L$1,"",1,1),E17="U12G",_xlfn.XLOOKUP(G17,Data!$D$21:$L$21,Data!$D$1:$L$1,"",1,1)))</f>
        <v/>
      </c>
      <c r="L17" s="184" t="str" cm="1">
        <f t="array" ref="L17">IFERROR(_xlfn.IFNA(
                      _xlfn.IFS(
                      G17="", "",
                      AND(E17="U10B",G17&lt;=Data!$M$2), "U10 Boys record",
                      AND(E17="U12B",G17&lt;=Data!$M$8), "U12 Boys record",
                      AND(E17="U10G",G17&lt;=Data!$M$15), "U10 Girls record",
                      AND(E17="U12G",G17&lt;=Data!$M$21), "U12 Girls record"
                       ),""), "")</f>
        <v/>
      </c>
      <c r="M17" s="19" cm="1">
        <f t="array" ref="M17">_xlfn.IFS($G17="",0, AND(NOT(ISNUMBER($G17)),LOWER($G17)&lt;&gt;"dnf"),"Not a valid time",OR(LOWER($G17)="dnf",$G17&gt;ScoringTable!$M$161),1,RIGHT($E17,1)="B",_xlfn.XLOOKUP($G17,ScoringTable!$M$2:$M$161,ScoringTable!$L$2:$L$161,,1),TRUE,_xlfn.XLOOKUP($G17,ScoringTable!$S$2:$S$161,ScoringTable!$R$2:$R$161,,1))</f>
        <v>0</v>
      </c>
    </row>
    <row r="18" spans="1:13" s="7" customFormat="1" ht="16" customHeight="1">
      <c r="A18" s="280" t="s">
        <v>2</v>
      </c>
      <c r="B18" s="122" t="str">
        <f>IF(ISNA(VLOOKUP($F18,Declarations!B$6:C$293,2,FALSE)),"",IF(VLOOKUP($F18,Declarations!B$6:C$293,2,FALSE)="","NOT DECLARED",IF(ISNA(_xlfn.TEXTBEFORE(VLOOKUP($F18,Declarations!B$6:C$293,2,FALSE)," ")),VLOOKUP($F18,Declarations!B$6:C$293,2,FALSE),_xlfn.TEXTBEFORE(VLOOKUP($F18,Declarations!B$6:C$293,2,FALSE)," "))))</f>
        <v/>
      </c>
      <c r="C18" s="122" t="str">
        <f>IF(ISNA(VLOOKUP($F18,Declarations!B$6:C$293,2,FALSE)),"",IF(VLOOKUP($F18,Declarations!B$6:C$293,2,FALSE)="","NOT DECLARED",IF(ISNA(_xlfn.TEXTAFTER(VLOOKUP($F18,Declarations!B$6:C$293,2,FALSE)," ")),VLOOKUP($F18,Declarations!B$6:C$293,2,FALSE),_xlfn.TEXTAFTER(VLOOKUP($F18,Declarations!B$6:C$293,2,FALSE)," "))))</f>
        <v/>
      </c>
      <c r="D18" s="122" t="str">
        <f>IF(ISNA(VLOOKUP($F18,Declarations!$B$6:$F$293,5,FALSE)),"",IF(VLOOKUP($F18,Declarations!$B$6:$F$293,5,FALSE)="","NOT DECLARED",VLOOKUP($F18,Declarations!$B$6:$F$293,5,FALSE)))</f>
        <v/>
      </c>
      <c r="E18" s="120" t="str">
        <f>IF(ISNA(VLOOKUP($F18,Declarations!$B$6:$D$293,3,FALSE)),"",IF(VLOOKUP($F18,Declarations!$B$6:$D$293,3,FALSE)="","NOT DECLARED",VLOOKUP($F18,Declarations!$B$6:$D$293,3,FALSE)&amp;LEFT(VLOOKUP($F18,Declarations!$B$6:$E$293,4,FALSE))))</f>
        <v/>
      </c>
      <c r="F18" s="59"/>
      <c r="G18" s="130"/>
      <c r="H18" s="130"/>
      <c r="I18" s="122" t="str">
        <f>IF(ISNA(VLOOKUP(F18,Declarations!B$6:C$293,2,FALSE)),"",IF(VLOOKUP(F18,Declarations!B$6:C$293,2,FALSE)="","NOT DECLARED",VLOOKUP(F18,Declarations!B$6:C$293,2,FALSE)))</f>
        <v/>
      </c>
      <c r="J18" s="120">
        <f>IF(LOWER(G18)="dnf",1,IF(G18&lt;ScoringTable!B$3,ScoringTable!I$2,VLOOKUP((1000-G18),ScoringTable!G$2:I$95,3)))</f>
        <v>0</v>
      </c>
      <c r="K18" s="120" t="str" cm="1">
        <f t="array" ref="K18">IF(OR(E18="",G18=""),"",_xlfn.IFS(E18="U10B",_xlfn.XLOOKUP(G18,Data!$D$2:$L$2,Data!$D$1:$L$1,"",1,1),E18="U12B",_xlfn.XLOOKUP(G18,Data!$D$8:$L$8,Data!$D$1:$L$1,"",1,1),E18="U10G",_xlfn.XLOOKUP(G18,Data!$D$15:$L$15,Data!$D$1:$L$1,"",1,1),E18="U12G",_xlfn.XLOOKUP(G18,Data!$D$21:$L$21,Data!$D$1:$L$1,"",1,1)))</f>
        <v/>
      </c>
      <c r="L18" s="184" t="str" cm="1">
        <f t="array" ref="L18">IFERROR(_xlfn.IFNA(
                      _xlfn.IFS(
                      G18="", "",
                      AND(E18="U10B",G18&lt;=Data!$M$2), "U10 Boys record",
                      AND(E18="U12B",G18&lt;=Data!$M$8), "U12 Boys record",
                      AND(E18="U10G",G18&lt;=Data!$M$15), "U10 Girls record",
                      AND(E18="U12G",G18&lt;=Data!$M$21), "U12 Girls record"
                       ),""), "")</f>
        <v/>
      </c>
      <c r="M18" s="19" cm="1">
        <f t="array" ref="M18">_xlfn.IFS($G18="",0, AND(NOT(ISNUMBER($G18)),LOWER($G18)&lt;&gt;"dnf"),"Not a valid time",OR(LOWER($G18)="dnf",$G18&gt;ScoringTable!$M$161),1,RIGHT($E18,1)="B",_xlfn.XLOOKUP($G18,ScoringTable!$M$2:$M$161,ScoringTable!$L$2:$L$161,,1),TRUE,_xlfn.XLOOKUP($G18,ScoringTable!$S$2:$S$161,ScoringTable!$R$2:$R$161,,1))</f>
        <v>0</v>
      </c>
    </row>
    <row r="19" spans="1:13" s="7" customFormat="1" ht="16" customHeight="1">
      <c r="A19" s="280" t="s">
        <v>2</v>
      </c>
      <c r="B19" s="122" t="str">
        <f>IF(ISNA(VLOOKUP($F19,Declarations!B$6:C$293,2,FALSE)),"",IF(VLOOKUP($F19,Declarations!B$6:C$293,2,FALSE)="","NOT DECLARED",IF(ISNA(_xlfn.TEXTBEFORE(VLOOKUP($F19,Declarations!B$6:C$293,2,FALSE)," ")),VLOOKUP($F19,Declarations!B$6:C$293,2,FALSE),_xlfn.TEXTBEFORE(VLOOKUP($F19,Declarations!B$6:C$293,2,FALSE)," "))))</f>
        <v/>
      </c>
      <c r="C19" s="122" t="str">
        <f>IF(ISNA(VLOOKUP($F19,Declarations!B$6:C$293,2,FALSE)),"",IF(VLOOKUP($F19,Declarations!B$6:C$293,2,FALSE)="","NOT DECLARED",IF(ISNA(_xlfn.TEXTAFTER(VLOOKUP($F19,Declarations!B$6:C$293,2,FALSE)," ")),VLOOKUP($F19,Declarations!B$6:C$293,2,FALSE),_xlfn.TEXTAFTER(VLOOKUP($F19,Declarations!B$6:C$293,2,FALSE)," "))))</f>
        <v/>
      </c>
      <c r="D19" s="122" t="str">
        <f>IF(ISNA(VLOOKUP($F19,Declarations!$B$6:$F$293,5,FALSE)),"",IF(VLOOKUP($F19,Declarations!$B$6:$F$293,5,FALSE)="","NOT DECLARED",VLOOKUP($F19,Declarations!$B$6:$F$293,5,FALSE)))</f>
        <v/>
      </c>
      <c r="E19" s="120" t="str">
        <f>IF(ISNA(VLOOKUP($F19,Declarations!$B$6:$D$293,3,FALSE)),"",IF(VLOOKUP($F19,Declarations!$B$6:$D$293,3,FALSE)="","NOT DECLARED",VLOOKUP($F19,Declarations!$B$6:$D$293,3,FALSE)&amp;LEFT(VLOOKUP($F19,Declarations!$B$6:$E$293,4,FALSE))))</f>
        <v/>
      </c>
      <c r="F19" s="59"/>
      <c r="G19" s="130"/>
      <c r="H19" s="130"/>
      <c r="I19" s="122" t="str">
        <f>IF(ISNA(VLOOKUP(F19,Declarations!B$6:C$293,2,FALSE)),"",IF(VLOOKUP(F19,Declarations!B$6:C$293,2,FALSE)="","NOT DECLARED",VLOOKUP(F19,Declarations!B$6:C$293,2,FALSE)))</f>
        <v/>
      </c>
      <c r="J19" s="120">
        <f>IF(LOWER(G19)="dnf",1,IF(G19&lt;ScoringTable!B$3,ScoringTable!I$2,VLOOKUP((1000-G19),ScoringTable!G$2:I$95,3)))</f>
        <v>0</v>
      </c>
      <c r="K19" s="120" t="str" cm="1">
        <f t="array" ref="K19">IF(OR(E19="",G19=""),"",_xlfn.IFS(E19="U10B",_xlfn.XLOOKUP(G19,Data!$D$2:$L$2,Data!$D$1:$L$1,"",1,1),E19="U12B",_xlfn.XLOOKUP(G19,Data!$D$8:$L$8,Data!$D$1:$L$1,"",1,1),E19="U10G",_xlfn.XLOOKUP(G19,Data!$D$15:$L$15,Data!$D$1:$L$1,"",1,1),E19="U12G",_xlfn.XLOOKUP(G19,Data!$D$21:$L$21,Data!$D$1:$L$1,"",1,1)))</f>
        <v/>
      </c>
      <c r="L19" s="184" t="str" cm="1">
        <f t="array" ref="L19">IFERROR(_xlfn.IFNA(
                      _xlfn.IFS(
                      G19="", "",
                      AND(E19="U10B",G19&lt;=Data!$M$2), "U10 Boys record",
                      AND(E19="U12B",G19&lt;=Data!$M$8), "U12 Boys record",
                      AND(E19="U10G",G19&lt;=Data!$M$15), "U10 Girls record",
                      AND(E19="U12G",G19&lt;=Data!$M$21), "U12 Girls record"
                       ),""), "")</f>
        <v/>
      </c>
      <c r="M19" s="19" cm="1">
        <f t="array" ref="M19">_xlfn.IFS($G19="",0, AND(NOT(ISNUMBER($G19)),LOWER($G19)&lt;&gt;"dnf"),"Not a valid time",OR(LOWER($G19)="dnf",$G19&gt;ScoringTable!$M$161),1,RIGHT($E19,1)="B",_xlfn.XLOOKUP($G19,ScoringTable!$M$2:$M$161,ScoringTable!$L$2:$L$161,,1),TRUE,_xlfn.XLOOKUP($G19,ScoringTable!$S$2:$S$161,ScoringTable!$R$2:$R$161,,1))</f>
        <v>0</v>
      </c>
    </row>
    <row r="20" spans="1:13" s="7" customFormat="1" ht="16" customHeight="1">
      <c r="A20" s="280" t="s">
        <v>2</v>
      </c>
      <c r="B20" s="122" t="str">
        <f>IF(ISNA(VLOOKUP($F20,Declarations!B$6:C$293,2,FALSE)),"",IF(VLOOKUP($F20,Declarations!B$6:C$293,2,FALSE)="","NOT DECLARED",IF(ISNA(_xlfn.TEXTBEFORE(VLOOKUP($F20,Declarations!B$6:C$293,2,FALSE)," ")),VLOOKUP($F20,Declarations!B$6:C$293,2,FALSE),_xlfn.TEXTBEFORE(VLOOKUP($F20,Declarations!B$6:C$293,2,FALSE)," "))))</f>
        <v/>
      </c>
      <c r="C20" s="122" t="str">
        <f>IF(ISNA(VLOOKUP($F20,Declarations!B$6:C$293,2,FALSE)),"",IF(VLOOKUP($F20,Declarations!B$6:C$293,2,FALSE)="","NOT DECLARED",IF(ISNA(_xlfn.TEXTAFTER(VLOOKUP($F20,Declarations!B$6:C$293,2,FALSE)," ")),VLOOKUP($F20,Declarations!B$6:C$293,2,FALSE),_xlfn.TEXTAFTER(VLOOKUP($F20,Declarations!B$6:C$293,2,FALSE)," "))))</f>
        <v/>
      </c>
      <c r="D20" s="122" t="str">
        <f>IF(ISNA(VLOOKUP($F20,Declarations!$B$6:$F$293,5,FALSE)),"",IF(VLOOKUP($F20,Declarations!$B$6:$F$293,5,FALSE)="","NOT DECLARED",VLOOKUP($F20,Declarations!$B$6:$F$293,5,FALSE)))</f>
        <v/>
      </c>
      <c r="E20" s="120" t="str">
        <f>IF(ISNA(VLOOKUP($F20,Declarations!$B$6:$D$293,3,FALSE)),"",IF(VLOOKUP($F20,Declarations!$B$6:$D$293,3,FALSE)="","NOT DECLARED",VLOOKUP($F20,Declarations!$B$6:$D$293,3,FALSE)&amp;LEFT(VLOOKUP($F20,Declarations!$B$6:$E$293,4,FALSE))))</f>
        <v/>
      </c>
      <c r="F20" s="59"/>
      <c r="G20" s="130"/>
      <c r="H20" s="130"/>
      <c r="I20" s="122" t="str">
        <f>IF(ISNA(VLOOKUP(F20,Declarations!B$6:C$293,2,FALSE)),"",IF(VLOOKUP(F20,Declarations!B$6:C$293,2,FALSE)="","NOT DECLARED",VLOOKUP(F20,Declarations!B$6:C$293,2,FALSE)))</f>
        <v/>
      </c>
      <c r="J20" s="120">
        <f>IF(LOWER(G20)="dnf",1,IF(G20&lt;ScoringTable!B$3,ScoringTable!I$2,VLOOKUP((1000-G20),ScoringTable!G$2:I$95,3)))</f>
        <v>0</v>
      </c>
      <c r="K20" s="120" t="str" cm="1">
        <f t="array" ref="K20">IF(OR(E20="",G20=""),"",_xlfn.IFS(E20="U10B",_xlfn.XLOOKUP(G20,Data!$D$2:$L$2,Data!$D$1:$L$1,"",1,1),E20="U12B",_xlfn.XLOOKUP(G20,Data!$D$8:$L$8,Data!$D$1:$L$1,"",1,1),E20="U10G",_xlfn.XLOOKUP(G20,Data!$D$15:$L$15,Data!$D$1:$L$1,"",1,1),E20="U12G",_xlfn.XLOOKUP(G20,Data!$D$21:$L$21,Data!$D$1:$L$1,"",1,1)))</f>
        <v/>
      </c>
      <c r="L20" s="184" t="str" cm="1">
        <f t="array" ref="L20">IFERROR(_xlfn.IFNA(
                      _xlfn.IFS(
                      G20="", "",
                      AND(E20="U10B",G20&lt;=Data!$M$2), "U10 Boys record",
                      AND(E20="U12B",G20&lt;=Data!$M$8), "U12 Boys record",
                      AND(E20="U10G",G20&lt;=Data!$M$15), "U10 Girls record",
                      AND(E20="U12G",G20&lt;=Data!$M$21), "U12 Girls record"
                       ),""), "")</f>
        <v/>
      </c>
      <c r="M20" s="19" cm="1">
        <f t="array" ref="M20">_xlfn.IFS($G20="",0, AND(NOT(ISNUMBER($G20)),LOWER($G20)&lt;&gt;"dnf"),"Not a valid time",OR(LOWER($G20)="dnf",$G20&gt;ScoringTable!$M$161),1,RIGHT($E20,1)="B",_xlfn.XLOOKUP($G20,ScoringTable!$M$2:$M$161,ScoringTable!$L$2:$L$161,,1),TRUE,_xlfn.XLOOKUP($G20,ScoringTable!$S$2:$S$161,ScoringTable!$R$2:$R$161,,1))</f>
        <v>0</v>
      </c>
    </row>
    <row r="21" spans="1:13" s="3" customFormat="1" ht="16" customHeight="1">
      <c r="A21" s="280" t="s">
        <v>2</v>
      </c>
      <c r="B21" s="122" t="str">
        <f>IF(ISNA(VLOOKUP($F21,Declarations!B$6:C$293,2,FALSE)),"",IF(VLOOKUP($F21,Declarations!B$6:C$293,2,FALSE)="","NOT DECLARED",IF(ISNA(_xlfn.TEXTBEFORE(VLOOKUP($F21,Declarations!B$6:C$293,2,FALSE)," ")),VLOOKUP($F21,Declarations!B$6:C$293,2,FALSE),_xlfn.TEXTBEFORE(VLOOKUP($F21,Declarations!B$6:C$293,2,FALSE)," "))))</f>
        <v/>
      </c>
      <c r="C21" s="122" t="str">
        <f>IF(ISNA(VLOOKUP($F21,Declarations!B$6:C$293,2,FALSE)),"",IF(VLOOKUP($F21,Declarations!B$6:C$293,2,FALSE)="","NOT DECLARED",IF(ISNA(_xlfn.TEXTAFTER(VLOOKUP($F21,Declarations!B$6:C$293,2,FALSE)," ")),VLOOKUP($F21,Declarations!B$6:C$293,2,FALSE),_xlfn.TEXTAFTER(VLOOKUP($F21,Declarations!B$6:C$293,2,FALSE)," "))))</f>
        <v/>
      </c>
      <c r="D21" s="122" t="str">
        <f>IF(ISNA(VLOOKUP($F21,Declarations!$B$6:$F$293,5,FALSE)),"",IF(VLOOKUP($F21,Declarations!$B$6:$F$293,5,FALSE)="","NOT DECLARED",VLOOKUP($F21,Declarations!$B$6:$F$293,5,FALSE)))</f>
        <v/>
      </c>
      <c r="E21" s="120" t="str">
        <f>IF(ISNA(VLOOKUP($F21,Declarations!$B$6:$D$293,3,FALSE)),"",IF(VLOOKUP($F21,Declarations!$B$6:$D$293,3,FALSE)="","NOT DECLARED",VLOOKUP($F21,Declarations!$B$6:$D$293,3,FALSE)&amp;LEFT(VLOOKUP($F21,Declarations!$B$6:$E$293,4,FALSE))))</f>
        <v/>
      </c>
      <c r="F21" s="59"/>
      <c r="G21" s="130"/>
      <c r="H21" s="130"/>
      <c r="I21" s="122" t="str">
        <f>IF(ISNA(VLOOKUP(F21,Declarations!B$6:C$293,2,FALSE)),"",IF(VLOOKUP(F21,Declarations!B$6:C$293,2,FALSE)="","NOT DECLARED",VLOOKUP(F21,Declarations!B$6:C$293,2,FALSE)))</f>
        <v/>
      </c>
      <c r="J21" s="120">
        <f>IF(LOWER(G21)="dnf",1,IF(G21&lt;ScoringTable!B$3,ScoringTable!I$2,VLOOKUP((1000-G21),ScoringTable!G$2:I$95,3)))</f>
        <v>0</v>
      </c>
      <c r="K21" s="120" t="str" cm="1">
        <f t="array" ref="K21">IF(OR(E21="",G21=""),"",_xlfn.IFS(E21="U10B",_xlfn.XLOOKUP(G21,Data!$D$2:$L$2,Data!$D$1:$L$1,"",1,1),E21="U12B",_xlfn.XLOOKUP(G21,Data!$D$8:$L$8,Data!$D$1:$L$1,"",1,1),E21="U10G",_xlfn.XLOOKUP(G21,Data!$D$15:$L$15,Data!$D$1:$L$1,"",1,1),E21="U12G",_xlfn.XLOOKUP(G21,Data!$D$21:$L$21,Data!$D$1:$L$1,"",1,1)))</f>
        <v/>
      </c>
      <c r="L21" s="184" t="str" cm="1">
        <f t="array" ref="L21">IFERROR(_xlfn.IFNA(
                      _xlfn.IFS(
                      G21="", "",
                      AND(E21="U10B",G21&lt;=Data!$M$2), "U10 Boys record",
                      AND(E21="U12B",G21&lt;=Data!$M$8), "U12 Boys record",
                      AND(E21="U10G",G21&lt;=Data!$M$15), "U10 Girls record",
                      AND(E21="U12G",G21&lt;=Data!$M$21), "U12 Girls record"
                       ),""), "")</f>
        <v/>
      </c>
      <c r="M21" s="19" cm="1">
        <f t="array" ref="M21">_xlfn.IFS($G21="",0, AND(NOT(ISNUMBER($G21)),LOWER($G21)&lt;&gt;"dnf"),"Not a valid time",OR(LOWER($G21)="dnf",$G21&gt;ScoringTable!$M$161),1,RIGHT($E21,1)="B",_xlfn.XLOOKUP($G21,ScoringTable!$M$2:$M$161,ScoringTable!$L$2:$L$161,,1),TRUE,_xlfn.XLOOKUP($G21,ScoringTable!$S$2:$S$161,ScoringTable!$R$2:$R$161,,1))</f>
        <v>0</v>
      </c>
    </row>
    <row r="22" spans="1:13" s="3" customFormat="1" ht="16" customHeight="1">
      <c r="A22" s="280" t="s">
        <v>2</v>
      </c>
      <c r="B22" s="122" t="str">
        <f>IF(ISNA(VLOOKUP($F22,Declarations!B$6:C$293,2,FALSE)),"",IF(VLOOKUP($F22,Declarations!B$6:C$293,2,FALSE)="","NOT DECLARED",IF(ISNA(_xlfn.TEXTBEFORE(VLOOKUP($F22,Declarations!B$6:C$293,2,FALSE)," ")),VLOOKUP($F22,Declarations!B$6:C$293,2,FALSE),_xlfn.TEXTBEFORE(VLOOKUP($F22,Declarations!B$6:C$293,2,FALSE)," "))))</f>
        <v/>
      </c>
      <c r="C22" s="122" t="str">
        <f>IF(ISNA(VLOOKUP($F22,Declarations!B$6:C$293,2,FALSE)),"",IF(VLOOKUP($F22,Declarations!B$6:C$293,2,FALSE)="","NOT DECLARED",IF(ISNA(_xlfn.TEXTAFTER(VLOOKUP($F22,Declarations!B$6:C$293,2,FALSE)," ")),VLOOKUP($F22,Declarations!B$6:C$293,2,FALSE),_xlfn.TEXTAFTER(VLOOKUP($F22,Declarations!B$6:C$293,2,FALSE)," "))))</f>
        <v/>
      </c>
      <c r="D22" s="122" t="str">
        <f>IF(ISNA(VLOOKUP($F22,Declarations!$B$6:$F$293,5,FALSE)),"",IF(VLOOKUP($F22,Declarations!$B$6:$F$293,5,FALSE)="","NOT DECLARED",VLOOKUP($F22,Declarations!$B$6:$F$293,5,FALSE)))</f>
        <v/>
      </c>
      <c r="E22" s="120" t="str">
        <f>IF(ISNA(VLOOKUP($F22,Declarations!$B$6:$D$293,3,FALSE)),"",IF(VLOOKUP($F22,Declarations!$B$6:$D$293,3,FALSE)="","NOT DECLARED",VLOOKUP($F22,Declarations!$B$6:$D$293,3,FALSE)&amp;LEFT(VLOOKUP($F22,Declarations!$B$6:$E$293,4,FALSE))))</f>
        <v/>
      </c>
      <c r="F22" s="59"/>
      <c r="G22" s="130"/>
      <c r="H22" s="130"/>
      <c r="I22" s="122" t="str">
        <f>IF(ISNA(VLOOKUP(F22,Declarations!B$6:C$293,2,FALSE)),"",IF(VLOOKUP(F22,Declarations!B$6:C$293,2,FALSE)="","NOT DECLARED",VLOOKUP(F22,Declarations!B$6:C$293,2,FALSE)))</f>
        <v/>
      </c>
      <c r="J22" s="120">
        <f>IF(LOWER(G22)="dnf",1,IF(G22&lt;ScoringTable!B$3,ScoringTable!I$2,VLOOKUP((1000-G22),ScoringTable!G$2:I$95,3)))</f>
        <v>0</v>
      </c>
      <c r="K22" s="120" t="str" cm="1">
        <f t="array" ref="K22">IF(OR(E22="",G22=""),"",_xlfn.IFS(E22="U10B",_xlfn.XLOOKUP(G22,Data!$D$2:$L$2,Data!$D$1:$L$1,"",1,1),E22="U12B",_xlfn.XLOOKUP(G22,Data!$D$8:$L$8,Data!$D$1:$L$1,"",1,1),E22="U10G",_xlfn.XLOOKUP(G22,Data!$D$15:$L$15,Data!$D$1:$L$1,"",1,1),E22="U12G",_xlfn.XLOOKUP(G22,Data!$D$21:$L$21,Data!$D$1:$L$1,"",1,1)))</f>
        <v/>
      </c>
      <c r="L22" s="184" t="str" cm="1">
        <f t="array" ref="L22">IFERROR(_xlfn.IFNA(
                      _xlfn.IFS(
                      G22="", "",
                      AND(E22="U10B",G22&lt;=Data!$M$2), "U10 Boys record",
                      AND(E22="U12B",G22&lt;=Data!$M$8), "U12 Boys record",
                      AND(E22="U10G",G22&lt;=Data!$M$15), "U10 Girls record",
                      AND(E22="U12G",G22&lt;=Data!$M$21), "U12 Girls record"
                       ),""), "")</f>
        <v/>
      </c>
      <c r="M22" s="19" cm="1">
        <f t="array" ref="M22">_xlfn.IFS($G22="",0, AND(NOT(ISNUMBER($G22)),LOWER($G22)&lt;&gt;"dnf"),"Not a valid time",OR(LOWER($G22)="dnf",$G22&gt;ScoringTable!$M$161),1,RIGHT($E22,1)="B",_xlfn.XLOOKUP($G22,ScoringTable!$M$2:$M$161,ScoringTable!$L$2:$L$161,,1),TRUE,_xlfn.XLOOKUP($G22,ScoringTable!$S$2:$S$161,ScoringTable!$R$2:$R$161,,1))</f>
        <v>0</v>
      </c>
    </row>
    <row r="23" spans="1:13" s="3" customFormat="1" ht="16" customHeight="1">
      <c r="A23" s="280" t="s">
        <v>2</v>
      </c>
      <c r="B23" s="122" t="str">
        <f>IF(ISNA(VLOOKUP($F23,Declarations!B$6:C$293,2,FALSE)),"",IF(VLOOKUP($F23,Declarations!B$6:C$293,2,FALSE)="","NOT DECLARED",IF(ISNA(_xlfn.TEXTBEFORE(VLOOKUP($F23,Declarations!B$6:C$293,2,FALSE)," ")),VLOOKUP($F23,Declarations!B$6:C$293,2,FALSE),_xlfn.TEXTBEFORE(VLOOKUP($F23,Declarations!B$6:C$293,2,FALSE)," "))))</f>
        <v/>
      </c>
      <c r="C23" s="122" t="str">
        <f>IF(ISNA(VLOOKUP($F23,Declarations!B$6:C$293,2,FALSE)),"",IF(VLOOKUP($F23,Declarations!B$6:C$293,2,FALSE)="","NOT DECLARED",IF(ISNA(_xlfn.TEXTAFTER(VLOOKUP($F23,Declarations!B$6:C$293,2,FALSE)," ")),VLOOKUP($F23,Declarations!B$6:C$293,2,FALSE),_xlfn.TEXTAFTER(VLOOKUP($F23,Declarations!B$6:C$293,2,FALSE)," "))))</f>
        <v/>
      </c>
      <c r="D23" s="122" t="str">
        <f>IF(ISNA(VLOOKUP($F23,Declarations!$B$6:$F$293,5,FALSE)),"",IF(VLOOKUP($F23,Declarations!$B$6:$F$293,5,FALSE)="","NOT DECLARED",VLOOKUP($F23,Declarations!$B$6:$F$293,5,FALSE)))</f>
        <v/>
      </c>
      <c r="E23" s="120" t="str">
        <f>IF(ISNA(VLOOKUP($F23,Declarations!$B$6:$D$293,3,FALSE)),"",IF(VLOOKUP($F23,Declarations!$B$6:$D$293,3,FALSE)="","NOT DECLARED",VLOOKUP($F23,Declarations!$B$6:$D$293,3,FALSE)&amp;LEFT(VLOOKUP($F23,Declarations!$B$6:$E$293,4,FALSE))))</f>
        <v/>
      </c>
      <c r="F23" s="59"/>
      <c r="G23" s="130"/>
      <c r="H23" s="130"/>
      <c r="I23" s="122" t="str">
        <f>IF(ISNA(VLOOKUP(F23,Declarations!B$6:C$293,2,FALSE)),"",IF(VLOOKUP(F23,Declarations!B$6:C$293,2,FALSE)="","NOT DECLARED",VLOOKUP(F23,Declarations!B$6:C$293,2,FALSE)))</f>
        <v/>
      </c>
      <c r="J23" s="120">
        <f>IF(LOWER(G23)="dnf",1,IF(G23&lt;ScoringTable!B$3,ScoringTable!I$2,VLOOKUP((1000-G23),ScoringTable!G$2:I$95,3)))</f>
        <v>0</v>
      </c>
      <c r="K23" s="120" t="str" cm="1">
        <f t="array" ref="K23">IF(OR(E23="",G23=""),"",_xlfn.IFS(E23="U10B",_xlfn.XLOOKUP(G23,Data!$D$2:$L$2,Data!$D$1:$L$1,"",1,1),E23="U12B",_xlfn.XLOOKUP(G23,Data!$D$8:$L$8,Data!$D$1:$L$1,"",1,1),E23="U10G",_xlfn.XLOOKUP(G23,Data!$D$15:$L$15,Data!$D$1:$L$1,"",1,1),E23="U12G",_xlfn.XLOOKUP(G23,Data!$D$21:$L$21,Data!$D$1:$L$1,"",1,1)))</f>
        <v/>
      </c>
      <c r="L23" s="184" t="str" cm="1">
        <f t="array" ref="L23">IFERROR(_xlfn.IFNA(
                      _xlfn.IFS(
                      G23="", "",
                      AND(E23="U10B",G23&lt;=Data!$M$2), "U10 Boys record",
                      AND(E23="U12B",G23&lt;=Data!$M$8), "U12 Boys record",
                      AND(E23="U10G",G23&lt;=Data!$M$15), "U10 Girls record",
                      AND(E23="U12G",G23&lt;=Data!$M$21), "U12 Girls record"
                       ),""), "")</f>
        <v/>
      </c>
      <c r="M23" s="19" cm="1">
        <f t="array" ref="M23">_xlfn.IFS($G23="",0, AND(NOT(ISNUMBER($G23)),LOWER($G23)&lt;&gt;"dnf"),"Not a valid time",OR(LOWER($G23)="dnf",$G23&gt;ScoringTable!$M$161),1,RIGHT($E23,1)="B",_xlfn.XLOOKUP($G23,ScoringTable!$M$2:$M$161,ScoringTable!$L$2:$L$161,,1),TRUE,_xlfn.XLOOKUP($G23,ScoringTable!$S$2:$S$161,ScoringTable!$R$2:$R$161,,1))</f>
        <v>0</v>
      </c>
    </row>
    <row r="24" spans="1:13" s="7" customFormat="1" ht="16" customHeight="1">
      <c r="A24" s="280" t="s">
        <v>2</v>
      </c>
      <c r="B24" s="122" t="str">
        <f>IF(ISNA(VLOOKUP($F24,Declarations!B$6:C$293,2,FALSE)),"",IF(VLOOKUP($F24,Declarations!B$6:C$293,2,FALSE)="","NOT DECLARED",IF(ISNA(_xlfn.TEXTBEFORE(VLOOKUP($F24,Declarations!B$6:C$293,2,FALSE)," ")),VLOOKUP($F24,Declarations!B$6:C$293,2,FALSE),_xlfn.TEXTBEFORE(VLOOKUP($F24,Declarations!B$6:C$293,2,FALSE)," "))))</f>
        <v/>
      </c>
      <c r="C24" s="122" t="str">
        <f>IF(ISNA(VLOOKUP($F24,Declarations!B$6:C$293,2,FALSE)),"",IF(VLOOKUP($F24,Declarations!B$6:C$293,2,FALSE)="","NOT DECLARED",IF(ISNA(_xlfn.TEXTAFTER(VLOOKUP($F24,Declarations!B$6:C$293,2,FALSE)," ")),VLOOKUP($F24,Declarations!B$6:C$293,2,FALSE),_xlfn.TEXTAFTER(VLOOKUP($F24,Declarations!B$6:C$293,2,FALSE)," "))))</f>
        <v/>
      </c>
      <c r="D24" s="122" t="str">
        <f>IF(ISNA(VLOOKUP($F24,Declarations!$B$6:$F$293,5,FALSE)),"",IF(VLOOKUP($F24,Declarations!$B$6:$F$293,5,FALSE)="","NOT DECLARED",VLOOKUP($F24,Declarations!$B$6:$F$293,5,FALSE)))</f>
        <v/>
      </c>
      <c r="E24" s="120" t="str">
        <f>IF(ISNA(VLOOKUP($F24,Declarations!$B$6:$D$293,3,FALSE)),"",IF(VLOOKUP($F24,Declarations!$B$6:$D$293,3,FALSE)="","NOT DECLARED",VLOOKUP($F24,Declarations!$B$6:$D$293,3,FALSE)&amp;LEFT(VLOOKUP($F24,Declarations!$B$6:$E$293,4,FALSE))))</f>
        <v/>
      </c>
      <c r="F24" s="59"/>
      <c r="G24" s="130"/>
      <c r="H24" s="130"/>
      <c r="I24" s="122" t="str">
        <f>IF(ISNA(VLOOKUP(F24,Declarations!B$6:C$293,2,FALSE)),"",IF(VLOOKUP(F24,Declarations!B$6:C$293,2,FALSE)="","NOT DECLARED",VLOOKUP(F24,Declarations!B$6:C$293,2,FALSE)))</f>
        <v/>
      </c>
      <c r="J24" s="120">
        <f>IF(LOWER(G24)="dnf",1,IF(G24&lt;ScoringTable!B$3,ScoringTable!I$2,VLOOKUP((1000-G24),ScoringTable!G$2:I$95,3)))</f>
        <v>0</v>
      </c>
      <c r="K24" s="120" t="str" cm="1">
        <f t="array" ref="K24">IF(OR(E24="",G24=""),"",_xlfn.IFS(E24="U10B",_xlfn.XLOOKUP(G24,Data!$D$2:$L$2,Data!$D$1:$L$1,"",1,1),E24="U12B",_xlfn.XLOOKUP(G24,Data!$D$8:$L$8,Data!$D$1:$L$1,"",1,1),E24="U10G",_xlfn.XLOOKUP(G24,Data!$D$15:$L$15,Data!$D$1:$L$1,"",1,1),E24="U12G",_xlfn.XLOOKUP(G24,Data!$D$21:$L$21,Data!$D$1:$L$1,"",1,1)))</f>
        <v/>
      </c>
      <c r="L24" s="184" t="str" cm="1">
        <f t="array" ref="L24">IFERROR(_xlfn.IFNA(
                      _xlfn.IFS(
                      G24="", "",
                      AND(E24="U10B",G24&lt;=Data!$M$2), "U10 Boys record",
                      AND(E24="U12B",G24&lt;=Data!$M$8), "U12 Boys record",
                      AND(E24="U10G",G24&lt;=Data!$M$15), "U10 Girls record",
                      AND(E24="U12G",G24&lt;=Data!$M$21), "U12 Girls record"
                       ),""), "")</f>
        <v/>
      </c>
      <c r="M24" s="19" cm="1">
        <f t="array" ref="M24">_xlfn.IFS($G24="",0, AND(NOT(ISNUMBER($G24)),LOWER($G24)&lt;&gt;"dnf"),"Not a valid time",OR(LOWER($G24)="dnf",$G24&gt;ScoringTable!$M$161),1,RIGHT($E24,1)="B",_xlfn.XLOOKUP($G24,ScoringTable!$M$2:$M$161,ScoringTable!$L$2:$L$161,,1),TRUE,_xlfn.XLOOKUP($G24,ScoringTable!$S$2:$S$161,ScoringTable!$R$2:$R$161,,1))</f>
        <v>0</v>
      </c>
    </row>
    <row r="25" spans="1:13" s="7" customFormat="1" ht="16" customHeight="1">
      <c r="A25" s="280" t="s">
        <v>2</v>
      </c>
      <c r="B25" s="122" t="str">
        <f>IF(ISNA(VLOOKUP($F25,Declarations!B$6:C$293,2,FALSE)),"",IF(VLOOKUP($F25,Declarations!B$6:C$293,2,FALSE)="","NOT DECLARED",IF(ISNA(_xlfn.TEXTBEFORE(VLOOKUP($F25,Declarations!B$6:C$293,2,FALSE)," ")),VLOOKUP($F25,Declarations!B$6:C$293,2,FALSE),_xlfn.TEXTBEFORE(VLOOKUP($F25,Declarations!B$6:C$293,2,FALSE)," "))))</f>
        <v/>
      </c>
      <c r="C25" s="122" t="str">
        <f>IF(ISNA(VLOOKUP($F25,Declarations!B$6:C$293,2,FALSE)),"",IF(VLOOKUP($F25,Declarations!B$6:C$293,2,FALSE)="","NOT DECLARED",IF(ISNA(_xlfn.TEXTAFTER(VLOOKUP($F25,Declarations!B$6:C$293,2,FALSE)," ")),VLOOKUP($F25,Declarations!B$6:C$293,2,FALSE),_xlfn.TEXTAFTER(VLOOKUP($F25,Declarations!B$6:C$293,2,FALSE)," "))))</f>
        <v/>
      </c>
      <c r="D25" s="122" t="str">
        <f>IF(ISNA(VLOOKUP($F25,Declarations!$B$6:$F$293,5,FALSE)),"",IF(VLOOKUP($F25,Declarations!$B$6:$F$293,5,FALSE)="","NOT DECLARED",VLOOKUP($F25,Declarations!$B$6:$F$293,5,FALSE)))</f>
        <v/>
      </c>
      <c r="E25" s="120" t="str">
        <f>IF(ISNA(VLOOKUP($F25,Declarations!$B$6:$D$293,3,FALSE)),"",IF(VLOOKUP($F25,Declarations!$B$6:$D$293,3,FALSE)="","NOT DECLARED",VLOOKUP($F25,Declarations!$B$6:$D$293,3,FALSE)&amp;LEFT(VLOOKUP($F25,Declarations!$B$6:$E$293,4,FALSE))))</f>
        <v/>
      </c>
      <c r="F25" s="59"/>
      <c r="G25" s="130"/>
      <c r="H25" s="130"/>
      <c r="I25" s="122" t="str">
        <f>IF(ISNA(VLOOKUP(F25,Declarations!B$6:C$293,2,FALSE)),"",IF(VLOOKUP(F25,Declarations!B$6:C$293,2,FALSE)="","NOT DECLARED",VLOOKUP(F25,Declarations!B$6:C$293,2,FALSE)))</f>
        <v/>
      </c>
      <c r="J25" s="120">
        <f>IF(LOWER(G25)="dnf",1,IF(G25&lt;ScoringTable!B$3,ScoringTable!I$2,VLOOKUP((1000-G25),ScoringTable!G$2:I$95,3)))</f>
        <v>0</v>
      </c>
      <c r="K25" s="120" t="str" cm="1">
        <f t="array" ref="K25">IF(OR(E25="",G25=""),"",_xlfn.IFS(E25="U10B",_xlfn.XLOOKUP(G25,Data!$D$2:$L$2,Data!$D$1:$L$1,"",1,1),E25="U12B",_xlfn.XLOOKUP(G25,Data!$D$8:$L$8,Data!$D$1:$L$1,"",1,1),E25="U10G",_xlfn.XLOOKUP(G25,Data!$D$15:$L$15,Data!$D$1:$L$1,"",1,1),E25="U12G",_xlfn.XLOOKUP(G25,Data!$D$21:$L$21,Data!$D$1:$L$1,"",1,1)))</f>
        <v/>
      </c>
      <c r="L25" s="184" t="str" cm="1">
        <f t="array" ref="L25">IFERROR(_xlfn.IFNA(
                      _xlfn.IFS(
                      G25="", "",
                      AND(E25="U10B",G25&lt;=Data!$M$2), "U10 Boys record",
                      AND(E25="U12B",G25&lt;=Data!$M$8), "U12 Boys record",
                      AND(E25="U10G",G25&lt;=Data!$M$15), "U10 Girls record",
                      AND(E25="U12G",G25&lt;=Data!$M$21), "U12 Girls record"
                       ),""), "")</f>
        <v/>
      </c>
      <c r="M25" s="19" cm="1">
        <f t="array" ref="M25">_xlfn.IFS($G25="",0, AND(NOT(ISNUMBER($G25)),LOWER($G25)&lt;&gt;"dnf"),"Not a valid time",OR(LOWER($G25)="dnf",$G25&gt;ScoringTable!$M$161),1,RIGHT($E25,1)="B",_xlfn.XLOOKUP($G25,ScoringTable!$M$2:$M$161,ScoringTable!$L$2:$L$161,,1),TRUE,_xlfn.XLOOKUP($G25,ScoringTable!$S$2:$S$161,ScoringTable!$R$2:$R$161,,1))</f>
        <v>0</v>
      </c>
    </row>
    <row r="26" spans="1:13" s="7" customFormat="1" ht="16" customHeight="1">
      <c r="A26" s="280" t="s">
        <v>2</v>
      </c>
      <c r="B26" s="122" t="str">
        <f>IF(ISNA(VLOOKUP($F26,Declarations!B$6:C$293,2,FALSE)),"",IF(VLOOKUP($F26,Declarations!B$6:C$293,2,FALSE)="","NOT DECLARED",IF(ISNA(_xlfn.TEXTBEFORE(VLOOKUP($F26,Declarations!B$6:C$293,2,FALSE)," ")),VLOOKUP($F26,Declarations!B$6:C$293,2,FALSE),_xlfn.TEXTBEFORE(VLOOKUP($F26,Declarations!B$6:C$293,2,FALSE)," "))))</f>
        <v/>
      </c>
      <c r="C26" s="122" t="str">
        <f>IF(ISNA(VLOOKUP($F26,Declarations!B$6:C$293,2,FALSE)),"",IF(VLOOKUP($F26,Declarations!B$6:C$293,2,FALSE)="","NOT DECLARED",IF(ISNA(_xlfn.TEXTAFTER(VLOOKUP($F26,Declarations!B$6:C$293,2,FALSE)," ")),VLOOKUP($F26,Declarations!B$6:C$293,2,FALSE),_xlfn.TEXTAFTER(VLOOKUP($F26,Declarations!B$6:C$293,2,FALSE)," "))))</f>
        <v/>
      </c>
      <c r="D26" s="122" t="str">
        <f>IF(ISNA(VLOOKUP($F26,Declarations!$B$6:$F$293,5,FALSE)),"",IF(VLOOKUP($F26,Declarations!$B$6:$F$293,5,FALSE)="","NOT DECLARED",VLOOKUP($F26,Declarations!$B$6:$F$293,5,FALSE)))</f>
        <v/>
      </c>
      <c r="E26" s="120" t="str">
        <f>IF(ISNA(VLOOKUP($F26,Declarations!$B$6:$D$293,3,FALSE)),"",IF(VLOOKUP($F26,Declarations!$B$6:$D$293,3,FALSE)="","NOT DECLARED",VLOOKUP($F26,Declarations!$B$6:$D$293,3,FALSE)&amp;LEFT(VLOOKUP($F26,Declarations!$B$6:$E$293,4,FALSE))))</f>
        <v/>
      </c>
      <c r="F26" s="59"/>
      <c r="G26" s="130"/>
      <c r="H26" s="130"/>
      <c r="I26" s="122" t="str">
        <f>IF(ISNA(VLOOKUP(F26,Declarations!B$6:C$293,2,FALSE)),"",IF(VLOOKUP(F26,Declarations!B$6:C$293,2,FALSE)="","NOT DECLARED",VLOOKUP(F26,Declarations!B$6:C$293,2,FALSE)))</f>
        <v/>
      </c>
      <c r="J26" s="120">
        <f>IF(LOWER(G26)="dnf",1,IF(G26&lt;ScoringTable!B$3,ScoringTable!I$2,VLOOKUP((1000-G26),ScoringTable!G$2:I$95,3)))</f>
        <v>0</v>
      </c>
      <c r="K26" s="120" t="str" cm="1">
        <f t="array" ref="K26">IF(OR(E26="",G26=""),"",_xlfn.IFS(E26="U10B",_xlfn.XLOOKUP(G26,Data!$D$2:$L$2,Data!$D$1:$L$1,"",1,1),E26="U12B",_xlfn.XLOOKUP(G26,Data!$D$8:$L$8,Data!$D$1:$L$1,"",1,1),E26="U10G",_xlfn.XLOOKUP(G26,Data!$D$15:$L$15,Data!$D$1:$L$1,"",1,1),E26="U12G",_xlfn.XLOOKUP(G26,Data!$D$21:$L$21,Data!$D$1:$L$1,"",1,1)))</f>
        <v/>
      </c>
      <c r="L26" s="184" t="str" cm="1">
        <f t="array" ref="L26">IFERROR(_xlfn.IFNA(
                      _xlfn.IFS(
                      G26="", "",
                      AND(E26="U10B",G26&lt;=Data!$M$2), "U10 Boys record",
                      AND(E26="U12B",G26&lt;=Data!$M$8), "U12 Boys record",
                      AND(E26="U10G",G26&lt;=Data!$M$15), "U10 Girls record",
                      AND(E26="U12G",G26&lt;=Data!$M$21), "U12 Girls record"
                       ),""), "")</f>
        <v/>
      </c>
      <c r="M26" s="19" cm="1">
        <f t="array" ref="M26">_xlfn.IFS($G26="",0, AND(NOT(ISNUMBER($G26)),LOWER($G26)&lt;&gt;"dnf"),"Not a valid time",OR(LOWER($G26)="dnf",$G26&gt;ScoringTable!$M$161),1,RIGHT($E26,1)="B",_xlfn.XLOOKUP($G26,ScoringTable!$M$2:$M$161,ScoringTable!$L$2:$L$161,,1),TRUE,_xlfn.XLOOKUP($G26,ScoringTable!$S$2:$S$161,ScoringTable!$R$2:$R$161,,1))</f>
        <v>0</v>
      </c>
    </row>
    <row r="27" spans="1:13" s="7" customFormat="1" ht="16" customHeight="1">
      <c r="A27" s="280" t="s">
        <v>2</v>
      </c>
      <c r="B27" s="122" t="str">
        <f>IF(ISNA(VLOOKUP($F27,Declarations!B$6:C$293,2,FALSE)),"",IF(VLOOKUP($F27,Declarations!B$6:C$293,2,FALSE)="","NOT DECLARED",IF(ISNA(_xlfn.TEXTBEFORE(VLOOKUP($F27,Declarations!B$6:C$293,2,FALSE)," ")),VLOOKUP($F27,Declarations!B$6:C$293,2,FALSE),_xlfn.TEXTBEFORE(VLOOKUP($F27,Declarations!B$6:C$293,2,FALSE)," "))))</f>
        <v/>
      </c>
      <c r="C27" s="122" t="str">
        <f>IF(ISNA(VLOOKUP($F27,Declarations!B$6:C$293,2,FALSE)),"",IF(VLOOKUP($F27,Declarations!B$6:C$293,2,FALSE)="","NOT DECLARED",IF(ISNA(_xlfn.TEXTAFTER(VLOOKUP($F27,Declarations!B$6:C$293,2,FALSE)," ")),VLOOKUP($F27,Declarations!B$6:C$293,2,FALSE),_xlfn.TEXTAFTER(VLOOKUP($F27,Declarations!B$6:C$293,2,FALSE)," "))))</f>
        <v/>
      </c>
      <c r="D27" s="122" t="str">
        <f>IF(ISNA(VLOOKUP($F27,Declarations!$B$6:$F$293,5,FALSE)),"",IF(VLOOKUP($F27,Declarations!$B$6:$F$293,5,FALSE)="","NOT DECLARED",VLOOKUP($F27,Declarations!$B$6:$F$293,5,FALSE)))</f>
        <v/>
      </c>
      <c r="E27" s="120" t="str">
        <f>IF(ISNA(VLOOKUP($F27,Declarations!$B$6:$D$293,3,FALSE)),"",IF(VLOOKUP($F27,Declarations!$B$6:$D$293,3,FALSE)="","NOT DECLARED",VLOOKUP($F27,Declarations!$B$6:$D$293,3,FALSE)&amp;LEFT(VLOOKUP($F27,Declarations!$B$6:$E$293,4,FALSE))))</f>
        <v/>
      </c>
      <c r="F27" s="59"/>
      <c r="G27" s="130"/>
      <c r="H27" s="130"/>
      <c r="I27" s="122" t="str">
        <f>IF(ISNA(VLOOKUP(F27,Declarations!B$6:C$293,2,FALSE)),"",IF(VLOOKUP(F27,Declarations!B$6:C$293,2,FALSE)="","NOT DECLARED",VLOOKUP(F27,Declarations!B$6:C$293,2,FALSE)))</f>
        <v/>
      </c>
      <c r="J27" s="120">
        <f>IF(LOWER(G27)="dnf",1,IF(G27&lt;ScoringTable!B$3,ScoringTable!I$2,VLOOKUP((1000-G27),ScoringTable!G$2:I$95,3)))</f>
        <v>0</v>
      </c>
      <c r="K27" s="120" t="str" cm="1">
        <f t="array" ref="K27">IF(OR(E27="",G27=""),"",_xlfn.IFS(E27="U10B",_xlfn.XLOOKUP(G27,Data!$D$2:$L$2,Data!$D$1:$L$1,"",1,1),E27="U12B",_xlfn.XLOOKUP(G27,Data!$D$8:$L$8,Data!$D$1:$L$1,"",1,1),E27="U10G",_xlfn.XLOOKUP(G27,Data!$D$15:$L$15,Data!$D$1:$L$1,"",1,1),E27="U12G",_xlfn.XLOOKUP(G27,Data!$D$21:$L$21,Data!$D$1:$L$1,"",1,1)))</f>
        <v/>
      </c>
      <c r="L27" s="184" t="str" cm="1">
        <f t="array" ref="L27">IFERROR(_xlfn.IFNA(
                      _xlfn.IFS(
                      G27="", "",
                      AND(E27="U10B",G27&lt;=Data!$M$2), "U10 Boys record",
                      AND(E27="U12B",G27&lt;=Data!$M$8), "U12 Boys record",
                      AND(E27="U10G",G27&lt;=Data!$M$15), "U10 Girls record",
                      AND(E27="U12G",G27&lt;=Data!$M$21), "U12 Girls record"
                       ),""), "")</f>
        <v/>
      </c>
      <c r="M27" s="19" cm="1">
        <f t="array" ref="M27">_xlfn.IFS($G27="",0, AND(NOT(ISNUMBER($G27)),LOWER($G27)&lt;&gt;"dnf"),"Not a valid time",OR(LOWER($G27)="dnf",$G27&gt;ScoringTable!$M$161),1,RIGHT($E27,1)="B",_xlfn.XLOOKUP($G27,ScoringTable!$M$2:$M$161,ScoringTable!$L$2:$L$161,,1),TRUE,_xlfn.XLOOKUP($G27,ScoringTable!$S$2:$S$161,ScoringTable!$R$2:$R$161,,1))</f>
        <v>0</v>
      </c>
    </row>
    <row r="28" spans="1:13" s="7" customFormat="1" ht="16" customHeight="1">
      <c r="A28" s="280" t="s">
        <v>2</v>
      </c>
      <c r="B28" s="122" t="str">
        <f>IF(ISNA(VLOOKUP($F28,Declarations!B$6:C$293,2,FALSE)),"",IF(VLOOKUP($F28,Declarations!B$6:C$293,2,FALSE)="","NOT DECLARED",IF(ISNA(_xlfn.TEXTBEFORE(VLOOKUP($F28,Declarations!B$6:C$293,2,FALSE)," ")),VLOOKUP($F28,Declarations!B$6:C$293,2,FALSE),_xlfn.TEXTBEFORE(VLOOKUP($F28,Declarations!B$6:C$293,2,FALSE)," "))))</f>
        <v/>
      </c>
      <c r="C28" s="122" t="str">
        <f>IF(ISNA(VLOOKUP($F28,Declarations!B$6:C$293,2,FALSE)),"",IF(VLOOKUP($F28,Declarations!B$6:C$293,2,FALSE)="","NOT DECLARED",IF(ISNA(_xlfn.TEXTAFTER(VLOOKUP($F28,Declarations!B$6:C$293,2,FALSE)," ")),VLOOKUP($F28,Declarations!B$6:C$293,2,FALSE),_xlfn.TEXTAFTER(VLOOKUP($F28,Declarations!B$6:C$293,2,FALSE)," "))))</f>
        <v/>
      </c>
      <c r="D28" s="122" t="str">
        <f>IF(ISNA(VLOOKUP($F28,Declarations!$B$6:$F$293,5,FALSE)),"",IF(VLOOKUP($F28,Declarations!$B$6:$F$293,5,FALSE)="","NOT DECLARED",VLOOKUP($F28,Declarations!$B$6:$F$293,5,FALSE)))</f>
        <v/>
      </c>
      <c r="E28" s="120" t="str">
        <f>IF(ISNA(VLOOKUP($F28,Declarations!$B$6:$D$293,3,FALSE)),"",IF(VLOOKUP($F28,Declarations!$B$6:$D$293,3,FALSE)="","NOT DECLARED",VLOOKUP($F28,Declarations!$B$6:$D$293,3,FALSE)&amp;LEFT(VLOOKUP($F28,Declarations!$B$6:$E$293,4,FALSE))))</f>
        <v/>
      </c>
      <c r="F28" s="59"/>
      <c r="G28" s="130"/>
      <c r="H28" s="130"/>
      <c r="I28" s="122" t="str">
        <f>IF(ISNA(VLOOKUP(F28,Declarations!B$6:C$293,2,FALSE)),"",IF(VLOOKUP(F28,Declarations!B$6:C$293,2,FALSE)="","NOT DECLARED",VLOOKUP(F28,Declarations!B$6:C$293,2,FALSE)))</f>
        <v/>
      </c>
      <c r="J28" s="120">
        <f>IF(LOWER(G28)="dnf",1,IF(G28&lt;ScoringTable!B$3,ScoringTable!I$2,VLOOKUP((1000-G28),ScoringTable!G$2:I$95,3)))</f>
        <v>0</v>
      </c>
      <c r="K28" s="120" t="str" cm="1">
        <f t="array" ref="K28">IF(OR(E28="",G28=""),"",_xlfn.IFS(E28="U10B",_xlfn.XLOOKUP(G28,Data!$D$2:$L$2,Data!$D$1:$L$1,"",1,1),E28="U12B",_xlfn.XLOOKUP(G28,Data!$D$8:$L$8,Data!$D$1:$L$1,"",1,1),E28="U10G",_xlfn.XLOOKUP(G28,Data!$D$15:$L$15,Data!$D$1:$L$1,"",1,1),E28="U12G",_xlfn.XLOOKUP(G28,Data!$D$21:$L$21,Data!$D$1:$L$1,"",1,1)))</f>
        <v/>
      </c>
      <c r="L28" s="184" t="str" cm="1">
        <f t="array" ref="L28">IFERROR(_xlfn.IFNA(
                      _xlfn.IFS(
                      G28="", "",
                      AND(E28="U10B",G28&lt;=Data!$M$2), "U10 Boys record",
                      AND(E28="U12B",G28&lt;=Data!$M$8), "U12 Boys record",
                      AND(E28="U10G",G28&lt;=Data!$M$15), "U10 Girls record",
                      AND(E28="U12G",G28&lt;=Data!$M$21), "U12 Girls record"
                       ),""), "")</f>
        <v/>
      </c>
      <c r="M28" s="19" cm="1">
        <f t="array" ref="M28">_xlfn.IFS($G28="",0, AND(NOT(ISNUMBER($G28)),LOWER($G28)&lt;&gt;"dnf"),"Not a valid time",OR(LOWER($G28)="dnf",$G28&gt;ScoringTable!$M$161),1,RIGHT($E28,1)="B",_xlfn.XLOOKUP($G28,ScoringTable!$M$2:$M$161,ScoringTable!$L$2:$L$161,,1),TRUE,_xlfn.XLOOKUP($G28,ScoringTable!$S$2:$S$161,ScoringTable!$R$2:$R$161,,1))</f>
        <v>0</v>
      </c>
    </row>
    <row r="29" spans="1:13" s="7" customFormat="1" ht="16" customHeight="1">
      <c r="A29" s="280" t="s">
        <v>2</v>
      </c>
      <c r="B29" s="122" t="str">
        <f>IF(ISNA(VLOOKUP($F29,Declarations!B$6:C$293,2,FALSE)),"",IF(VLOOKUP($F29,Declarations!B$6:C$293,2,FALSE)="","NOT DECLARED",IF(ISNA(_xlfn.TEXTBEFORE(VLOOKUP($F29,Declarations!B$6:C$293,2,FALSE)," ")),VLOOKUP($F29,Declarations!B$6:C$293,2,FALSE),_xlfn.TEXTBEFORE(VLOOKUP($F29,Declarations!B$6:C$293,2,FALSE)," "))))</f>
        <v/>
      </c>
      <c r="C29" s="122" t="str">
        <f>IF(ISNA(VLOOKUP($F29,Declarations!B$6:C$293,2,FALSE)),"",IF(VLOOKUP($F29,Declarations!B$6:C$293,2,FALSE)="","NOT DECLARED",IF(ISNA(_xlfn.TEXTAFTER(VLOOKUP($F29,Declarations!B$6:C$293,2,FALSE)," ")),VLOOKUP($F29,Declarations!B$6:C$293,2,FALSE),_xlfn.TEXTAFTER(VLOOKUP($F29,Declarations!B$6:C$293,2,FALSE)," "))))</f>
        <v/>
      </c>
      <c r="D29" s="122" t="str">
        <f>IF(ISNA(VLOOKUP($F29,Declarations!$B$6:$F$293,5,FALSE)),"",IF(VLOOKUP($F29,Declarations!$B$6:$F$293,5,FALSE)="","NOT DECLARED",VLOOKUP($F29,Declarations!$B$6:$F$293,5,FALSE)))</f>
        <v/>
      </c>
      <c r="E29" s="120" t="str">
        <f>IF(ISNA(VLOOKUP($F29,Declarations!$B$6:$D$293,3,FALSE)),"",IF(VLOOKUP($F29,Declarations!$B$6:$D$293,3,FALSE)="","NOT DECLARED",VLOOKUP($F29,Declarations!$B$6:$D$293,3,FALSE)&amp;LEFT(VLOOKUP($F29,Declarations!$B$6:$E$293,4,FALSE))))</f>
        <v/>
      </c>
      <c r="F29" s="59"/>
      <c r="G29" s="130"/>
      <c r="H29" s="130"/>
      <c r="I29" s="122" t="str">
        <f>IF(ISNA(VLOOKUP(F29,Declarations!B$6:C$293,2,FALSE)),"",IF(VLOOKUP(F29,Declarations!B$6:C$293,2,FALSE)="","NOT DECLARED",VLOOKUP(F29,Declarations!B$6:C$293,2,FALSE)))</f>
        <v/>
      </c>
      <c r="J29" s="120">
        <f>IF(LOWER(G29)="dnf",1,IF(G29&lt;ScoringTable!B$3,ScoringTable!I$2,VLOOKUP((1000-G29),ScoringTable!G$2:I$95,3)))</f>
        <v>0</v>
      </c>
      <c r="K29" s="120" t="str" cm="1">
        <f t="array" ref="K29">IF(OR(E29="",G29=""),"",_xlfn.IFS(E29="U10B",_xlfn.XLOOKUP(G29,Data!$D$2:$L$2,Data!$D$1:$L$1,"",1,1),E29="U12B",_xlfn.XLOOKUP(G29,Data!$D$8:$L$8,Data!$D$1:$L$1,"",1,1),E29="U10G",_xlfn.XLOOKUP(G29,Data!$D$15:$L$15,Data!$D$1:$L$1,"",1,1),E29="U12G",_xlfn.XLOOKUP(G29,Data!$D$21:$L$21,Data!$D$1:$L$1,"",1,1)))</f>
        <v/>
      </c>
      <c r="L29" s="184" t="str" cm="1">
        <f t="array" ref="L29">IFERROR(_xlfn.IFNA(
                      _xlfn.IFS(
                      G29="", "",
                      AND(E29="U10B",G29&lt;=Data!$M$2), "U10 Boys record",
                      AND(E29="U12B",G29&lt;=Data!$M$8), "U12 Boys record",
                      AND(E29="U10G",G29&lt;=Data!$M$15), "U10 Girls record",
                      AND(E29="U12G",G29&lt;=Data!$M$21), "U12 Girls record"
                       ),""), "")</f>
        <v/>
      </c>
      <c r="M29" s="19" cm="1">
        <f t="array" ref="M29">_xlfn.IFS($G29="",0, AND(NOT(ISNUMBER($G29)),LOWER($G29)&lt;&gt;"dnf"),"Not a valid time",OR(LOWER($G29)="dnf",$G29&gt;ScoringTable!$M$161),1,RIGHT($E29,1)="B",_xlfn.XLOOKUP($G29,ScoringTable!$M$2:$M$161,ScoringTable!$L$2:$L$161,,1),TRUE,_xlfn.XLOOKUP($G29,ScoringTable!$S$2:$S$161,ScoringTable!$R$2:$R$161,,1))</f>
        <v>0</v>
      </c>
    </row>
    <row r="30" spans="1:13" s="7" customFormat="1" ht="16" customHeight="1">
      <c r="A30" s="280" t="s">
        <v>2</v>
      </c>
      <c r="B30" s="122" t="str">
        <f>IF(ISNA(VLOOKUP($F30,Declarations!B$6:C$293,2,FALSE)),"",IF(VLOOKUP($F30,Declarations!B$6:C$293,2,FALSE)="","NOT DECLARED",IF(ISNA(_xlfn.TEXTBEFORE(VLOOKUP($F30,Declarations!B$6:C$293,2,FALSE)," ")),VLOOKUP($F30,Declarations!B$6:C$293,2,FALSE),_xlfn.TEXTBEFORE(VLOOKUP($F30,Declarations!B$6:C$293,2,FALSE)," "))))</f>
        <v/>
      </c>
      <c r="C30" s="122" t="str">
        <f>IF(ISNA(VLOOKUP($F30,Declarations!B$6:C$293,2,FALSE)),"",IF(VLOOKUP($F30,Declarations!B$6:C$293,2,FALSE)="","NOT DECLARED",IF(ISNA(_xlfn.TEXTAFTER(VLOOKUP($F30,Declarations!B$6:C$293,2,FALSE)," ")),VLOOKUP($F30,Declarations!B$6:C$293,2,FALSE),_xlfn.TEXTAFTER(VLOOKUP($F30,Declarations!B$6:C$293,2,FALSE)," "))))</f>
        <v/>
      </c>
      <c r="D30" s="122" t="str">
        <f>IF(ISNA(VLOOKUP($F30,Declarations!$B$6:$F$293,5,FALSE)),"",IF(VLOOKUP($F30,Declarations!$B$6:$F$293,5,FALSE)="","NOT DECLARED",VLOOKUP($F30,Declarations!$B$6:$F$293,5,FALSE)))</f>
        <v/>
      </c>
      <c r="E30" s="120" t="str">
        <f>IF(ISNA(VLOOKUP($F30,Declarations!$B$6:$D$293,3,FALSE)),"",IF(VLOOKUP($F30,Declarations!$B$6:$D$293,3,FALSE)="","NOT DECLARED",VLOOKUP($F30,Declarations!$B$6:$D$293,3,FALSE)&amp;LEFT(VLOOKUP($F30,Declarations!$B$6:$E$293,4,FALSE))))</f>
        <v/>
      </c>
      <c r="F30" s="59"/>
      <c r="G30" s="130"/>
      <c r="H30" s="130"/>
      <c r="I30" s="122" t="str">
        <f>IF(ISNA(VLOOKUP(F30,Declarations!B$6:C$293,2,FALSE)),"",IF(VLOOKUP(F30,Declarations!B$6:C$293,2,FALSE)="","NOT DECLARED",VLOOKUP(F30,Declarations!B$6:C$293,2,FALSE)))</f>
        <v/>
      </c>
      <c r="J30" s="120">
        <f>IF(LOWER(G30)="dnf",1,IF(G30&lt;ScoringTable!B$3,ScoringTable!I$2,VLOOKUP((1000-G30),ScoringTable!G$2:I$95,3)))</f>
        <v>0</v>
      </c>
      <c r="K30" s="120" t="str" cm="1">
        <f t="array" ref="K30">IF(OR(E30="",G30=""),"",_xlfn.IFS(E30="U10B",_xlfn.XLOOKUP(G30,Data!$D$2:$L$2,Data!$D$1:$L$1,"",1,1),E30="U12B",_xlfn.XLOOKUP(G30,Data!$D$8:$L$8,Data!$D$1:$L$1,"",1,1),E30="U10G",_xlfn.XLOOKUP(G30,Data!$D$15:$L$15,Data!$D$1:$L$1,"",1,1),E30="U12G",_xlfn.XLOOKUP(G30,Data!$D$21:$L$21,Data!$D$1:$L$1,"",1,1)))</f>
        <v/>
      </c>
      <c r="L30" s="184" t="str" cm="1">
        <f t="array" ref="L30">IFERROR(_xlfn.IFNA(
                      _xlfn.IFS(
                      G30="", "",
                      AND(E30="U10B",G30&lt;=Data!$M$2), "U10 Boys record",
                      AND(E30="U12B",G30&lt;=Data!$M$8), "U12 Boys record",
                      AND(E30="U10G",G30&lt;=Data!$M$15), "U10 Girls record",
                      AND(E30="U12G",G30&lt;=Data!$M$21), "U12 Girls record"
                       ),""), "")</f>
        <v/>
      </c>
      <c r="M30" s="19" cm="1">
        <f t="array" ref="M30">_xlfn.IFS($G30="",0, AND(NOT(ISNUMBER($G30)),LOWER($G30)&lt;&gt;"dnf"),"Not a valid time",OR(LOWER($G30)="dnf",$G30&gt;ScoringTable!$M$161),1,RIGHT($E30,1)="B",_xlfn.XLOOKUP($G30,ScoringTable!$M$2:$M$161,ScoringTable!$L$2:$L$161,,1),TRUE,_xlfn.XLOOKUP($G30,ScoringTable!$S$2:$S$161,ScoringTable!$R$2:$R$161,,1))</f>
        <v>0</v>
      </c>
    </row>
    <row r="31" spans="1:13" s="7" customFormat="1" ht="16" customHeight="1">
      <c r="A31" s="280" t="s">
        <v>2</v>
      </c>
      <c r="B31" s="122" t="str">
        <f>IF(ISNA(VLOOKUP($F31,Declarations!B$6:C$293,2,FALSE)),"",IF(VLOOKUP($F31,Declarations!B$6:C$293,2,FALSE)="","NOT DECLARED",IF(ISNA(_xlfn.TEXTBEFORE(VLOOKUP($F31,Declarations!B$6:C$293,2,FALSE)," ")),VLOOKUP($F31,Declarations!B$6:C$293,2,FALSE),_xlfn.TEXTBEFORE(VLOOKUP($F31,Declarations!B$6:C$293,2,FALSE)," "))))</f>
        <v/>
      </c>
      <c r="C31" s="122" t="str">
        <f>IF(ISNA(VLOOKUP($F31,Declarations!B$6:C$293,2,FALSE)),"",IF(VLOOKUP($F31,Declarations!B$6:C$293,2,FALSE)="","NOT DECLARED",IF(ISNA(_xlfn.TEXTAFTER(VLOOKUP($F31,Declarations!B$6:C$293,2,FALSE)," ")),VLOOKUP($F31,Declarations!B$6:C$293,2,FALSE),_xlfn.TEXTAFTER(VLOOKUP($F31,Declarations!B$6:C$293,2,FALSE)," "))))</f>
        <v/>
      </c>
      <c r="D31" s="122" t="str">
        <f>IF(ISNA(VLOOKUP($F31,Declarations!$B$6:$F$293,5,FALSE)),"",IF(VLOOKUP($F31,Declarations!$B$6:$F$293,5,FALSE)="","NOT DECLARED",VLOOKUP($F31,Declarations!$B$6:$F$293,5,FALSE)))</f>
        <v/>
      </c>
      <c r="E31" s="120" t="str">
        <f>IF(ISNA(VLOOKUP($F31,Declarations!$B$6:$D$293,3,FALSE)),"",IF(VLOOKUP($F31,Declarations!$B$6:$D$293,3,FALSE)="","NOT DECLARED",VLOOKUP($F31,Declarations!$B$6:$D$293,3,FALSE)&amp;LEFT(VLOOKUP($F31,Declarations!$B$6:$E$293,4,FALSE))))</f>
        <v/>
      </c>
      <c r="F31" s="59"/>
      <c r="G31" s="130"/>
      <c r="H31" s="130"/>
      <c r="I31" s="122" t="str">
        <f>IF(ISNA(VLOOKUP(F31,Declarations!B$6:C$293,2,FALSE)),"",IF(VLOOKUP(F31,Declarations!B$6:C$293,2,FALSE)="","NOT DECLARED",VLOOKUP(F31,Declarations!B$6:C$293,2,FALSE)))</f>
        <v/>
      </c>
      <c r="J31" s="120">
        <f>IF(LOWER(G31)="dnf",1,IF(G31&lt;ScoringTable!B$3,ScoringTable!I$2,VLOOKUP((1000-G31),ScoringTable!G$2:I$95,3)))</f>
        <v>0</v>
      </c>
      <c r="K31" s="120" t="str" cm="1">
        <f t="array" ref="K31">IF(OR(E31="",G31=""),"",_xlfn.IFS(E31="U10B",_xlfn.XLOOKUP(G31,Data!$D$2:$L$2,Data!$D$1:$L$1,"",1,1),E31="U12B",_xlfn.XLOOKUP(G31,Data!$D$8:$L$8,Data!$D$1:$L$1,"",1,1),E31="U10G",_xlfn.XLOOKUP(G31,Data!$D$15:$L$15,Data!$D$1:$L$1,"",1,1),E31="U12G",_xlfn.XLOOKUP(G31,Data!$D$21:$L$21,Data!$D$1:$L$1,"",1,1)))</f>
        <v/>
      </c>
      <c r="L31" s="184" t="str" cm="1">
        <f t="array" ref="L31">IFERROR(_xlfn.IFNA(
                      _xlfn.IFS(
                      G31="", "",
                      AND(E31="U10B",G31&lt;=Data!$M$2), "U10 Boys record",
                      AND(E31="U12B",G31&lt;=Data!$M$8), "U12 Boys record",
                      AND(E31="U10G",G31&lt;=Data!$M$15), "U10 Girls record",
                      AND(E31="U12G",G31&lt;=Data!$M$21), "U12 Girls record"
                       ),""), "")</f>
        <v/>
      </c>
      <c r="M31" s="19" cm="1">
        <f t="array" ref="M31">_xlfn.IFS($G31="",0, AND(NOT(ISNUMBER($G31)),LOWER($G31)&lt;&gt;"dnf"),"Not a valid time",OR(LOWER($G31)="dnf",$G31&gt;ScoringTable!$M$161),1,RIGHT($E31,1)="B",_xlfn.XLOOKUP($G31,ScoringTable!$M$2:$M$161,ScoringTable!$L$2:$L$161,,1),TRUE,_xlfn.XLOOKUP($G31,ScoringTable!$S$2:$S$161,ScoringTable!$R$2:$R$161,,1))</f>
        <v>0</v>
      </c>
    </row>
    <row r="32" spans="1:13" s="7" customFormat="1" ht="16" customHeight="1">
      <c r="A32" s="280" t="s">
        <v>2</v>
      </c>
      <c r="B32" s="122" t="str">
        <f>IF(ISNA(VLOOKUP($F32,Declarations!B$6:C$293,2,FALSE)),"",IF(VLOOKUP($F32,Declarations!B$6:C$293,2,FALSE)="","NOT DECLARED",IF(ISNA(_xlfn.TEXTBEFORE(VLOOKUP($F32,Declarations!B$6:C$293,2,FALSE)," ")),VLOOKUP($F32,Declarations!B$6:C$293,2,FALSE),_xlfn.TEXTBEFORE(VLOOKUP($F32,Declarations!B$6:C$293,2,FALSE)," "))))</f>
        <v/>
      </c>
      <c r="C32" s="122" t="str">
        <f>IF(ISNA(VLOOKUP($F32,Declarations!B$6:C$293,2,FALSE)),"",IF(VLOOKUP($F32,Declarations!B$6:C$293,2,FALSE)="","NOT DECLARED",IF(ISNA(_xlfn.TEXTAFTER(VLOOKUP($F32,Declarations!B$6:C$293,2,FALSE)," ")),VLOOKUP($F32,Declarations!B$6:C$293,2,FALSE),_xlfn.TEXTAFTER(VLOOKUP($F32,Declarations!B$6:C$293,2,FALSE)," "))))</f>
        <v/>
      </c>
      <c r="D32" s="122" t="str">
        <f>IF(ISNA(VLOOKUP($F32,Declarations!$B$6:$F$293,5,FALSE)),"",IF(VLOOKUP($F32,Declarations!$B$6:$F$293,5,FALSE)="","NOT DECLARED",VLOOKUP($F32,Declarations!$B$6:$F$293,5,FALSE)))</f>
        <v/>
      </c>
      <c r="E32" s="120" t="str">
        <f>IF(ISNA(VLOOKUP($F32,Declarations!$B$6:$D$293,3,FALSE)),"",IF(VLOOKUP($F32,Declarations!$B$6:$D$293,3,FALSE)="","NOT DECLARED",VLOOKUP($F32,Declarations!$B$6:$D$293,3,FALSE)&amp;LEFT(VLOOKUP($F32,Declarations!$B$6:$E$293,4,FALSE))))</f>
        <v/>
      </c>
      <c r="F32" s="59"/>
      <c r="G32" s="130"/>
      <c r="H32" s="130"/>
      <c r="I32" s="122" t="str">
        <f>IF(ISNA(VLOOKUP(F32,Declarations!B$6:C$293,2,FALSE)),"",IF(VLOOKUP(F32,Declarations!B$6:C$293,2,FALSE)="","NOT DECLARED",VLOOKUP(F32,Declarations!B$6:C$293,2,FALSE)))</f>
        <v/>
      </c>
      <c r="J32" s="120">
        <f>IF(LOWER(G32)="dnf",1,IF(G32&lt;ScoringTable!B$3,ScoringTable!I$2,VLOOKUP((1000-G32),ScoringTable!G$2:I$95,3)))</f>
        <v>0</v>
      </c>
      <c r="K32" s="120" t="str" cm="1">
        <f t="array" ref="K32">IF(OR(E32="",G32=""),"",_xlfn.IFS(E32="U10B",_xlfn.XLOOKUP(G32,Data!$D$2:$L$2,Data!$D$1:$L$1,"",1,1),E32="U12B",_xlfn.XLOOKUP(G32,Data!$D$8:$L$8,Data!$D$1:$L$1,"",1,1),E32="U10G",_xlfn.XLOOKUP(G32,Data!$D$15:$L$15,Data!$D$1:$L$1,"",1,1),E32="U12G",_xlfn.XLOOKUP(G32,Data!$D$21:$L$21,Data!$D$1:$L$1,"",1,1)))</f>
        <v/>
      </c>
      <c r="L32" s="184" t="str" cm="1">
        <f t="array" ref="L32">IFERROR(_xlfn.IFNA(
                      _xlfn.IFS(
                      G32="", "",
                      AND(E32="U10B",G32&lt;=Data!$M$2), "U10 Boys record",
                      AND(E32="U12B",G32&lt;=Data!$M$8), "U12 Boys record",
                      AND(E32="U10G",G32&lt;=Data!$M$15), "U10 Girls record",
                      AND(E32="U12G",G32&lt;=Data!$M$21), "U12 Girls record"
                       ),""), "")</f>
        <v/>
      </c>
      <c r="M32" s="19" cm="1">
        <f t="array" ref="M32">_xlfn.IFS($G32="",0, AND(NOT(ISNUMBER($G32)),LOWER($G32)&lt;&gt;"dnf"),"Not a valid time",OR(LOWER($G32)="dnf",$G32&gt;ScoringTable!$M$161),1,RIGHT($E32,1)="B",_xlfn.XLOOKUP($G32,ScoringTable!$M$2:$M$161,ScoringTable!$L$2:$L$161,,1),TRUE,_xlfn.XLOOKUP($G32,ScoringTable!$S$2:$S$161,ScoringTable!$R$2:$R$161,,1))</f>
        <v>0</v>
      </c>
    </row>
    <row r="33" spans="1:13" s="7" customFormat="1" ht="16" customHeight="1">
      <c r="A33" s="280" t="s">
        <v>2</v>
      </c>
      <c r="B33" s="122" t="str">
        <f>IF(ISNA(VLOOKUP($F33,Declarations!B$6:C$293,2,FALSE)),"",IF(VLOOKUP($F33,Declarations!B$6:C$293,2,FALSE)="","NOT DECLARED",IF(ISNA(_xlfn.TEXTBEFORE(VLOOKUP($F33,Declarations!B$6:C$293,2,FALSE)," ")),VLOOKUP($F33,Declarations!B$6:C$293,2,FALSE),_xlfn.TEXTBEFORE(VLOOKUP($F33,Declarations!B$6:C$293,2,FALSE)," "))))</f>
        <v/>
      </c>
      <c r="C33" s="122" t="str">
        <f>IF(ISNA(VLOOKUP($F33,Declarations!B$6:C$293,2,FALSE)),"",IF(VLOOKUP($F33,Declarations!B$6:C$293,2,FALSE)="","NOT DECLARED",IF(ISNA(_xlfn.TEXTAFTER(VLOOKUP($F33,Declarations!B$6:C$293,2,FALSE)," ")),VLOOKUP($F33,Declarations!B$6:C$293,2,FALSE),_xlfn.TEXTAFTER(VLOOKUP($F33,Declarations!B$6:C$293,2,FALSE)," "))))</f>
        <v/>
      </c>
      <c r="D33" s="122" t="str">
        <f>IF(ISNA(VLOOKUP($F33,Declarations!$B$6:$F$293,5,FALSE)),"",IF(VLOOKUP($F33,Declarations!$B$6:$F$293,5,FALSE)="","NOT DECLARED",VLOOKUP($F33,Declarations!$B$6:$F$293,5,FALSE)))</f>
        <v/>
      </c>
      <c r="E33" s="120" t="str">
        <f>IF(ISNA(VLOOKUP($F33,Declarations!$B$6:$D$293,3,FALSE)),"",IF(VLOOKUP($F33,Declarations!$B$6:$D$293,3,FALSE)="","NOT DECLARED",VLOOKUP($F33,Declarations!$B$6:$D$293,3,FALSE)&amp;LEFT(VLOOKUP($F33,Declarations!$B$6:$E$293,4,FALSE))))</f>
        <v/>
      </c>
      <c r="F33" s="59"/>
      <c r="G33" s="130"/>
      <c r="H33" s="130"/>
      <c r="I33" s="122" t="str">
        <f>IF(ISNA(VLOOKUP(F33,Declarations!B$6:C$293,2,FALSE)),"",IF(VLOOKUP(F33,Declarations!B$6:C$293,2,FALSE)="","NOT DECLARED",VLOOKUP(F33,Declarations!B$6:C$293,2,FALSE)))</f>
        <v/>
      </c>
      <c r="J33" s="120">
        <f>IF(LOWER(G33)="dnf",1,IF(G33&lt;ScoringTable!B$3,ScoringTable!I$2,VLOOKUP((1000-G33),ScoringTable!G$2:I$95,3)))</f>
        <v>0</v>
      </c>
      <c r="K33" s="120" t="str" cm="1">
        <f t="array" ref="K33">IF(OR(E33="",G33=""),"",_xlfn.IFS(E33="U10B",_xlfn.XLOOKUP(G33,Data!$D$2:$L$2,Data!$D$1:$L$1,"",1,1),E33="U12B",_xlfn.XLOOKUP(G33,Data!$D$8:$L$8,Data!$D$1:$L$1,"",1,1),E33="U10G",_xlfn.XLOOKUP(G33,Data!$D$15:$L$15,Data!$D$1:$L$1,"",1,1),E33="U12G",_xlfn.XLOOKUP(G33,Data!$D$21:$L$21,Data!$D$1:$L$1,"",1,1)))</f>
        <v/>
      </c>
      <c r="L33" s="184" t="str" cm="1">
        <f t="array" ref="L33">IFERROR(_xlfn.IFNA(
                      _xlfn.IFS(
                      G33="", "",
                      AND(E33="U10B",G33&lt;=Data!$M$2), "U10 Boys record",
                      AND(E33="U12B",G33&lt;=Data!$M$8), "U12 Boys record",
                      AND(E33="U10G",G33&lt;=Data!$M$15), "U10 Girls record",
                      AND(E33="U12G",G33&lt;=Data!$M$21), "U12 Girls record"
                       ),""), "")</f>
        <v/>
      </c>
      <c r="M33" s="19" cm="1">
        <f t="array" ref="M33">_xlfn.IFS($G33="",0, AND(NOT(ISNUMBER($G33)),LOWER($G33)&lt;&gt;"dnf"),"Not a valid time",OR(LOWER($G33)="dnf",$G33&gt;ScoringTable!$M$161),1,RIGHT($E33,1)="B",_xlfn.XLOOKUP($G33,ScoringTable!$M$2:$M$161,ScoringTable!$L$2:$L$161,,1),TRUE,_xlfn.XLOOKUP($G33,ScoringTable!$S$2:$S$161,ScoringTable!$R$2:$R$161,,1))</f>
        <v>0</v>
      </c>
    </row>
    <row r="34" spans="1:13" s="7" customFormat="1" ht="16" customHeight="1">
      <c r="A34" s="280" t="s">
        <v>2</v>
      </c>
      <c r="B34" s="122" t="str">
        <f>IF(ISNA(VLOOKUP($F34,Declarations!B$6:C$293,2,FALSE)),"",IF(VLOOKUP($F34,Declarations!B$6:C$293,2,FALSE)="","NOT DECLARED",IF(ISNA(_xlfn.TEXTBEFORE(VLOOKUP($F34,Declarations!B$6:C$293,2,FALSE)," ")),VLOOKUP($F34,Declarations!B$6:C$293,2,FALSE),_xlfn.TEXTBEFORE(VLOOKUP($F34,Declarations!B$6:C$293,2,FALSE)," "))))</f>
        <v/>
      </c>
      <c r="C34" s="122" t="str">
        <f>IF(ISNA(VLOOKUP($F34,Declarations!B$6:C$293,2,FALSE)),"",IF(VLOOKUP($F34,Declarations!B$6:C$293,2,FALSE)="","NOT DECLARED",IF(ISNA(_xlfn.TEXTAFTER(VLOOKUP($F34,Declarations!B$6:C$293,2,FALSE)," ")),VLOOKUP($F34,Declarations!B$6:C$293,2,FALSE),_xlfn.TEXTAFTER(VLOOKUP($F34,Declarations!B$6:C$293,2,FALSE)," "))))</f>
        <v/>
      </c>
      <c r="D34" s="122" t="str">
        <f>IF(ISNA(VLOOKUP($F34,Declarations!$B$6:$F$293,5,FALSE)),"",IF(VLOOKUP($F34,Declarations!$B$6:$F$293,5,FALSE)="","NOT DECLARED",VLOOKUP($F34,Declarations!$B$6:$F$293,5,FALSE)))</f>
        <v/>
      </c>
      <c r="E34" s="120" t="str">
        <f>IF(ISNA(VLOOKUP($F34,Declarations!$B$6:$D$293,3,FALSE)),"",IF(VLOOKUP($F34,Declarations!$B$6:$D$293,3,FALSE)="","NOT DECLARED",VLOOKUP($F34,Declarations!$B$6:$D$293,3,FALSE)&amp;LEFT(VLOOKUP($F34,Declarations!$B$6:$E$293,4,FALSE))))</f>
        <v/>
      </c>
      <c r="F34" s="59"/>
      <c r="G34" s="130"/>
      <c r="H34" s="130"/>
      <c r="I34" s="122" t="str">
        <f>IF(ISNA(VLOOKUP(F34,Declarations!B$6:C$293,2,FALSE)),"",IF(VLOOKUP(F34,Declarations!B$6:C$293,2,FALSE)="","NOT DECLARED",VLOOKUP(F34,Declarations!B$6:C$293,2,FALSE)))</f>
        <v/>
      </c>
      <c r="J34" s="120">
        <f>IF(LOWER(G34)="dnf",1,IF(G34&lt;ScoringTable!B$3,ScoringTable!I$2,VLOOKUP((1000-G34),ScoringTable!G$2:I$95,3)))</f>
        <v>0</v>
      </c>
      <c r="K34" s="120" t="str" cm="1">
        <f t="array" ref="K34">IF(OR(E34="",G34=""),"",_xlfn.IFS(E34="U10B",_xlfn.XLOOKUP(G34,Data!$D$2:$L$2,Data!$D$1:$L$1,"",1,1),E34="U12B",_xlfn.XLOOKUP(G34,Data!$D$8:$L$8,Data!$D$1:$L$1,"",1,1),E34="U10G",_xlfn.XLOOKUP(G34,Data!$D$15:$L$15,Data!$D$1:$L$1,"",1,1),E34="U12G",_xlfn.XLOOKUP(G34,Data!$D$21:$L$21,Data!$D$1:$L$1,"",1,1)))</f>
        <v/>
      </c>
      <c r="L34" s="184" t="str" cm="1">
        <f t="array" ref="L34">IFERROR(_xlfn.IFNA(
                      _xlfn.IFS(
                      G34="", "",
                      AND(E34="U10B",G34&lt;=Data!$M$2), "U10 Boys record",
                      AND(E34="U12B",G34&lt;=Data!$M$8), "U12 Boys record",
                      AND(E34="U10G",G34&lt;=Data!$M$15), "U10 Girls record",
                      AND(E34="U12G",G34&lt;=Data!$M$21), "U12 Girls record"
                       ),""), "")</f>
        <v/>
      </c>
      <c r="M34" s="19" cm="1">
        <f t="array" ref="M34">_xlfn.IFS($G34="",0, AND(NOT(ISNUMBER($G34)),LOWER($G34)&lt;&gt;"dnf"),"Not a valid time",OR(LOWER($G34)="dnf",$G34&gt;ScoringTable!$M$161),1,RIGHT($E34,1)="B",_xlfn.XLOOKUP($G34,ScoringTable!$M$2:$M$161,ScoringTable!$L$2:$L$161,,1),TRUE,_xlfn.XLOOKUP($G34,ScoringTable!$S$2:$S$161,ScoringTable!$R$2:$R$161,,1))</f>
        <v>0</v>
      </c>
    </row>
    <row r="35" spans="1:13" s="7" customFormat="1" ht="16" customHeight="1">
      <c r="A35" s="280" t="s">
        <v>2</v>
      </c>
      <c r="B35" s="122" t="str">
        <f>IF(ISNA(VLOOKUP($F35,Declarations!B$6:C$293,2,FALSE)),"",IF(VLOOKUP($F35,Declarations!B$6:C$293,2,FALSE)="","NOT DECLARED",IF(ISNA(_xlfn.TEXTBEFORE(VLOOKUP($F35,Declarations!B$6:C$293,2,FALSE)," ")),VLOOKUP($F35,Declarations!B$6:C$293,2,FALSE),_xlfn.TEXTBEFORE(VLOOKUP($F35,Declarations!B$6:C$293,2,FALSE)," "))))</f>
        <v/>
      </c>
      <c r="C35" s="122" t="str">
        <f>IF(ISNA(VLOOKUP($F35,Declarations!B$6:C$293,2,FALSE)),"",IF(VLOOKUP($F35,Declarations!B$6:C$293,2,FALSE)="","NOT DECLARED",IF(ISNA(_xlfn.TEXTAFTER(VLOOKUP($F35,Declarations!B$6:C$293,2,FALSE)," ")),VLOOKUP($F35,Declarations!B$6:C$293,2,FALSE),_xlfn.TEXTAFTER(VLOOKUP($F35,Declarations!B$6:C$293,2,FALSE)," "))))</f>
        <v/>
      </c>
      <c r="D35" s="122" t="str">
        <f>IF(ISNA(VLOOKUP($F35,Declarations!$B$6:$F$293,5,FALSE)),"",IF(VLOOKUP($F35,Declarations!$B$6:$F$293,5,FALSE)="","NOT DECLARED",VLOOKUP($F35,Declarations!$B$6:$F$293,5,FALSE)))</f>
        <v/>
      </c>
      <c r="E35" s="120" t="str">
        <f>IF(ISNA(VLOOKUP($F35,Declarations!$B$6:$D$293,3,FALSE)),"",IF(VLOOKUP($F35,Declarations!$B$6:$D$293,3,FALSE)="","NOT DECLARED",VLOOKUP($F35,Declarations!$B$6:$D$293,3,FALSE)&amp;LEFT(VLOOKUP($F35,Declarations!$B$6:$E$293,4,FALSE))))</f>
        <v/>
      </c>
      <c r="F35" s="59"/>
      <c r="G35" s="130"/>
      <c r="H35" s="130"/>
      <c r="I35" s="122" t="str">
        <f>IF(ISNA(VLOOKUP(F35,Declarations!B$6:C$293,2,FALSE)),"",IF(VLOOKUP(F35,Declarations!B$6:C$293,2,FALSE)="","NOT DECLARED",VLOOKUP(F35,Declarations!B$6:C$293,2,FALSE)))</f>
        <v/>
      </c>
      <c r="J35" s="120">
        <f>IF(LOWER(G35)="dnf",1,IF(G35&lt;ScoringTable!B$3,ScoringTable!I$2,VLOOKUP((1000-G35),ScoringTable!G$2:I$95,3)))</f>
        <v>0</v>
      </c>
      <c r="K35" s="120" t="str" cm="1">
        <f t="array" ref="K35">IF(OR(E35="",G35=""),"",_xlfn.IFS(E35="U10B",_xlfn.XLOOKUP(G35,Data!$D$2:$L$2,Data!$D$1:$L$1,"",1,1),E35="U12B",_xlfn.XLOOKUP(G35,Data!$D$8:$L$8,Data!$D$1:$L$1,"",1,1),E35="U10G",_xlfn.XLOOKUP(G35,Data!$D$15:$L$15,Data!$D$1:$L$1,"",1,1),E35="U12G",_xlfn.XLOOKUP(G35,Data!$D$21:$L$21,Data!$D$1:$L$1,"",1,1)))</f>
        <v/>
      </c>
      <c r="L35" s="184" t="str" cm="1">
        <f t="array" ref="L35">IFERROR(_xlfn.IFNA(
                      _xlfn.IFS(
                      G35="", "",
                      AND(E35="U10B",G35&lt;=Data!$M$2), "U10 Boys record",
                      AND(E35="U12B",G35&lt;=Data!$M$8), "U12 Boys record",
                      AND(E35="U10G",G35&lt;=Data!$M$15), "U10 Girls record",
                      AND(E35="U12G",G35&lt;=Data!$M$21), "U12 Girls record"
                       ),""), "")</f>
        <v/>
      </c>
      <c r="M35" s="19" cm="1">
        <f t="array" ref="M35">_xlfn.IFS($G35="",0, AND(NOT(ISNUMBER($G35)),LOWER($G35)&lt;&gt;"dnf"),"Not a valid time",OR(LOWER($G35)="dnf",$G35&gt;ScoringTable!$M$161),1,RIGHT($E35,1)="B",_xlfn.XLOOKUP($G35,ScoringTable!$M$2:$M$161,ScoringTable!$L$2:$L$161,,1),TRUE,_xlfn.XLOOKUP($G35,ScoringTable!$S$2:$S$161,ScoringTable!$R$2:$R$161,,1))</f>
        <v>0</v>
      </c>
    </row>
    <row r="36" spans="1:13" s="7" customFormat="1" ht="16" customHeight="1">
      <c r="A36" s="280" t="s">
        <v>2</v>
      </c>
      <c r="B36" s="122" t="str">
        <f>IF(ISNA(VLOOKUP($F36,Declarations!B$6:C$293,2,FALSE)),"",IF(VLOOKUP($F36,Declarations!B$6:C$293,2,FALSE)="","NOT DECLARED",IF(ISNA(_xlfn.TEXTBEFORE(VLOOKUP($F36,Declarations!B$6:C$293,2,FALSE)," ")),VLOOKUP($F36,Declarations!B$6:C$293,2,FALSE),_xlfn.TEXTBEFORE(VLOOKUP($F36,Declarations!B$6:C$293,2,FALSE)," "))))</f>
        <v/>
      </c>
      <c r="C36" s="122" t="str">
        <f>IF(ISNA(VLOOKUP($F36,Declarations!B$6:C$293,2,FALSE)),"",IF(VLOOKUP($F36,Declarations!B$6:C$293,2,FALSE)="","NOT DECLARED",IF(ISNA(_xlfn.TEXTAFTER(VLOOKUP($F36,Declarations!B$6:C$293,2,FALSE)," ")),VLOOKUP($F36,Declarations!B$6:C$293,2,FALSE),_xlfn.TEXTAFTER(VLOOKUP($F36,Declarations!B$6:C$293,2,FALSE)," "))))</f>
        <v/>
      </c>
      <c r="D36" s="122" t="str">
        <f>IF(ISNA(VLOOKUP($F36,Declarations!$B$6:$F$293,5,FALSE)),"",IF(VLOOKUP($F36,Declarations!$B$6:$F$293,5,FALSE)="","NOT DECLARED",VLOOKUP($F36,Declarations!$B$6:$F$293,5,FALSE)))</f>
        <v/>
      </c>
      <c r="E36" s="120" t="str">
        <f>IF(ISNA(VLOOKUP($F36,Declarations!$B$6:$D$293,3,FALSE)),"",IF(VLOOKUP($F36,Declarations!$B$6:$D$293,3,FALSE)="","NOT DECLARED",VLOOKUP($F36,Declarations!$B$6:$D$293,3,FALSE)&amp;LEFT(VLOOKUP($F36,Declarations!$B$6:$E$293,4,FALSE))))</f>
        <v/>
      </c>
      <c r="F36" s="59"/>
      <c r="G36" s="130"/>
      <c r="H36" s="130"/>
      <c r="I36" s="122" t="str">
        <f>IF(ISNA(VLOOKUP(F36,Declarations!B$6:C$293,2,FALSE)),"",IF(VLOOKUP(F36,Declarations!B$6:C$293,2,FALSE)="","NOT DECLARED",VLOOKUP(F36,Declarations!B$6:C$293,2,FALSE)))</f>
        <v/>
      </c>
      <c r="J36" s="120">
        <f>IF(LOWER(G36)="dnf",1,IF(G36&lt;ScoringTable!B$3,ScoringTable!I$2,VLOOKUP((1000-G36),ScoringTable!G$2:I$95,3)))</f>
        <v>0</v>
      </c>
      <c r="K36" s="120" t="str" cm="1">
        <f t="array" ref="K36">IF(OR(E36="",G36=""),"",_xlfn.IFS(E36="U10B",_xlfn.XLOOKUP(G36,Data!$D$2:$L$2,Data!$D$1:$L$1,"",1,1),E36="U12B",_xlfn.XLOOKUP(G36,Data!$D$8:$L$8,Data!$D$1:$L$1,"",1,1),E36="U10G",_xlfn.XLOOKUP(G36,Data!$D$15:$L$15,Data!$D$1:$L$1,"",1,1),E36="U12G",_xlfn.XLOOKUP(G36,Data!$D$21:$L$21,Data!$D$1:$L$1,"",1,1)))</f>
        <v/>
      </c>
      <c r="L36" s="184" t="str" cm="1">
        <f t="array" ref="L36">IFERROR(_xlfn.IFNA(
                      _xlfn.IFS(
                      G36="", "",
                      AND(E36="U10B",G36&lt;=Data!$M$2), "U10 Boys record",
                      AND(E36="U12B",G36&lt;=Data!$M$8), "U12 Boys record",
                      AND(E36="U10G",G36&lt;=Data!$M$15), "U10 Girls record",
                      AND(E36="U12G",G36&lt;=Data!$M$21), "U12 Girls record"
                       ),""), "")</f>
        <v/>
      </c>
      <c r="M36" s="19" cm="1">
        <f t="array" ref="M36">_xlfn.IFS($G36="",0, AND(NOT(ISNUMBER($G36)),LOWER($G36)&lt;&gt;"dnf"),"Not a valid time",OR(LOWER($G36)="dnf",$G36&gt;ScoringTable!$M$161),1,RIGHT($E36,1)="B",_xlfn.XLOOKUP($G36,ScoringTable!$M$2:$M$161,ScoringTable!$L$2:$L$161,,1),TRUE,_xlfn.XLOOKUP($G36,ScoringTable!$S$2:$S$161,ScoringTable!$R$2:$R$161,,1))</f>
        <v>0</v>
      </c>
    </row>
    <row r="37" spans="1:13" s="7" customFormat="1" ht="16" customHeight="1">
      <c r="A37" s="280" t="s">
        <v>2</v>
      </c>
      <c r="B37" s="122" t="str">
        <f>IF(ISNA(VLOOKUP($F37,Declarations!B$6:C$293,2,FALSE)),"",IF(VLOOKUP($F37,Declarations!B$6:C$293,2,FALSE)="","NOT DECLARED",IF(ISNA(_xlfn.TEXTBEFORE(VLOOKUP($F37,Declarations!B$6:C$293,2,FALSE)," ")),VLOOKUP($F37,Declarations!B$6:C$293,2,FALSE),_xlfn.TEXTBEFORE(VLOOKUP($F37,Declarations!B$6:C$293,2,FALSE)," "))))</f>
        <v/>
      </c>
      <c r="C37" s="122" t="str">
        <f>IF(ISNA(VLOOKUP($F37,Declarations!B$6:C$293,2,FALSE)),"",IF(VLOOKUP($F37,Declarations!B$6:C$293,2,FALSE)="","NOT DECLARED",IF(ISNA(_xlfn.TEXTAFTER(VLOOKUP($F37,Declarations!B$6:C$293,2,FALSE)," ")),VLOOKUP($F37,Declarations!B$6:C$293,2,FALSE),_xlfn.TEXTAFTER(VLOOKUP($F37,Declarations!B$6:C$293,2,FALSE)," "))))</f>
        <v/>
      </c>
      <c r="D37" s="122" t="str">
        <f>IF(ISNA(VLOOKUP($F37,Declarations!$B$6:$F$293,5,FALSE)),"",IF(VLOOKUP($F37,Declarations!$B$6:$F$293,5,FALSE)="","NOT DECLARED",VLOOKUP($F37,Declarations!$B$6:$F$293,5,FALSE)))</f>
        <v/>
      </c>
      <c r="E37" s="120" t="str">
        <f>IF(ISNA(VLOOKUP($F37,Declarations!$B$6:$D$293,3,FALSE)),"",IF(VLOOKUP($F37,Declarations!$B$6:$D$293,3,FALSE)="","NOT DECLARED",VLOOKUP($F37,Declarations!$B$6:$D$293,3,FALSE)&amp;LEFT(VLOOKUP($F37,Declarations!$B$6:$E$293,4,FALSE))))</f>
        <v/>
      </c>
      <c r="F37" s="59"/>
      <c r="G37" s="130"/>
      <c r="H37" s="130"/>
      <c r="I37" s="122" t="str">
        <f>IF(ISNA(VLOOKUP(F37,Declarations!B$6:C$293,2,FALSE)),"",IF(VLOOKUP(F37,Declarations!B$6:C$293,2,FALSE)="","NOT DECLARED",VLOOKUP(F37,Declarations!B$6:C$293,2,FALSE)))</f>
        <v/>
      </c>
      <c r="J37" s="120">
        <f>IF(LOWER(G37)="dnf",1,IF(G37&lt;ScoringTable!B$3,ScoringTable!I$2,VLOOKUP((1000-G37),ScoringTable!G$2:I$95,3)))</f>
        <v>0</v>
      </c>
      <c r="K37" s="120" t="str" cm="1">
        <f t="array" ref="K37">IF(OR(E37="",G37=""),"",_xlfn.IFS(E37="U10B",_xlfn.XLOOKUP(G37,Data!$D$2:$L$2,Data!$D$1:$L$1,"",1,1),E37="U12B",_xlfn.XLOOKUP(G37,Data!$D$8:$L$8,Data!$D$1:$L$1,"",1,1),E37="U10G",_xlfn.XLOOKUP(G37,Data!$D$15:$L$15,Data!$D$1:$L$1,"",1,1),E37="U12G",_xlfn.XLOOKUP(G37,Data!$D$21:$L$21,Data!$D$1:$L$1,"",1,1)))</f>
        <v/>
      </c>
      <c r="L37" s="184" t="str" cm="1">
        <f t="array" ref="L37">IFERROR(_xlfn.IFNA(
                      _xlfn.IFS(
                      G37="", "",
                      AND(E37="U10B",G37&lt;=Data!$M$2), "U10 Boys record",
                      AND(E37="U12B",G37&lt;=Data!$M$8), "U12 Boys record",
                      AND(E37="U10G",G37&lt;=Data!$M$15), "U10 Girls record",
                      AND(E37="U12G",G37&lt;=Data!$M$21), "U12 Girls record"
                       ),""), "")</f>
        <v/>
      </c>
      <c r="M37" s="19" cm="1">
        <f t="array" ref="M37">_xlfn.IFS($G37="",0, AND(NOT(ISNUMBER($G37)),LOWER($G37)&lt;&gt;"dnf"),"Not a valid time",OR(LOWER($G37)="dnf",$G37&gt;ScoringTable!$M$161),1,RIGHT($E37,1)="B",_xlfn.XLOOKUP($G37,ScoringTable!$M$2:$M$161,ScoringTable!$L$2:$L$161,,1),TRUE,_xlfn.XLOOKUP($G37,ScoringTable!$S$2:$S$161,ScoringTable!$R$2:$R$161,,1))</f>
        <v>0</v>
      </c>
    </row>
    <row r="38" spans="1:13" s="7" customFormat="1" ht="16" customHeight="1">
      <c r="A38" s="280" t="s">
        <v>2</v>
      </c>
      <c r="B38" s="122" t="str">
        <f>IF(ISNA(VLOOKUP($F38,Declarations!B$6:C$293,2,FALSE)),"",IF(VLOOKUP($F38,Declarations!B$6:C$293,2,FALSE)="","NOT DECLARED",IF(ISNA(_xlfn.TEXTBEFORE(VLOOKUP($F38,Declarations!B$6:C$293,2,FALSE)," ")),VLOOKUP($F38,Declarations!B$6:C$293,2,FALSE),_xlfn.TEXTBEFORE(VLOOKUP($F38,Declarations!B$6:C$293,2,FALSE)," "))))</f>
        <v/>
      </c>
      <c r="C38" s="122" t="str">
        <f>IF(ISNA(VLOOKUP($F38,Declarations!B$6:C$293,2,FALSE)),"",IF(VLOOKUP($F38,Declarations!B$6:C$293,2,FALSE)="","NOT DECLARED",IF(ISNA(_xlfn.TEXTAFTER(VLOOKUP($F38,Declarations!B$6:C$293,2,FALSE)," ")),VLOOKUP($F38,Declarations!B$6:C$293,2,FALSE),_xlfn.TEXTAFTER(VLOOKUP($F38,Declarations!B$6:C$293,2,FALSE)," "))))</f>
        <v/>
      </c>
      <c r="D38" s="122" t="str">
        <f>IF(ISNA(VLOOKUP($F38,Declarations!$B$6:$F$293,5,FALSE)),"",IF(VLOOKUP($F38,Declarations!$B$6:$F$293,5,FALSE)="","NOT DECLARED",VLOOKUP($F38,Declarations!$B$6:$F$293,5,FALSE)))</f>
        <v/>
      </c>
      <c r="E38" s="120" t="str">
        <f>IF(ISNA(VLOOKUP($F38,Declarations!$B$6:$D$293,3,FALSE)),"",IF(VLOOKUP($F38,Declarations!$B$6:$D$293,3,FALSE)="","NOT DECLARED",VLOOKUP($F38,Declarations!$B$6:$D$293,3,FALSE)&amp;LEFT(VLOOKUP($F38,Declarations!$B$6:$E$293,4,FALSE))))</f>
        <v/>
      </c>
      <c r="F38" s="59"/>
      <c r="G38" s="130"/>
      <c r="H38" s="130"/>
      <c r="I38" s="122" t="str">
        <f>IF(ISNA(VLOOKUP(F38,Declarations!B$6:C$293,2,FALSE)),"",IF(VLOOKUP(F38,Declarations!B$6:C$293,2,FALSE)="","NOT DECLARED",VLOOKUP(F38,Declarations!B$6:C$293,2,FALSE)))</f>
        <v/>
      </c>
      <c r="J38" s="120">
        <f>IF(LOWER(G38)="dnf",1,IF(G38&lt;ScoringTable!B$3,ScoringTable!I$2,VLOOKUP((1000-G38),ScoringTable!G$2:I$95,3)))</f>
        <v>0</v>
      </c>
      <c r="K38" s="120" t="str" cm="1">
        <f t="array" ref="K38">IF(OR(E38="",G38=""),"",_xlfn.IFS(E38="U10B",_xlfn.XLOOKUP(G38,Data!$D$2:$L$2,Data!$D$1:$L$1,"",1,1),E38="U12B",_xlfn.XLOOKUP(G38,Data!$D$8:$L$8,Data!$D$1:$L$1,"",1,1),E38="U10G",_xlfn.XLOOKUP(G38,Data!$D$15:$L$15,Data!$D$1:$L$1,"",1,1),E38="U12G",_xlfn.XLOOKUP(G38,Data!$D$21:$L$21,Data!$D$1:$L$1,"",1,1)))</f>
        <v/>
      </c>
      <c r="L38" s="184" t="str" cm="1">
        <f t="array" ref="L38">IFERROR(_xlfn.IFNA(
                      _xlfn.IFS(
                      G38="", "",
                      AND(E38="U10B",G38&lt;=Data!$M$2), "U10 Boys record",
                      AND(E38="U12B",G38&lt;=Data!$M$8), "U12 Boys record",
                      AND(E38="U10G",G38&lt;=Data!$M$15), "U10 Girls record",
                      AND(E38="U12G",G38&lt;=Data!$M$21), "U12 Girls record"
                       ),""), "")</f>
        <v/>
      </c>
      <c r="M38" s="19" cm="1">
        <f t="array" ref="M38">_xlfn.IFS($G38="",0, AND(NOT(ISNUMBER($G38)),LOWER($G38)&lt;&gt;"dnf"),"Not a valid time",OR(LOWER($G38)="dnf",$G38&gt;ScoringTable!$M$161),1,RIGHT($E38,1)="B",_xlfn.XLOOKUP($G38,ScoringTable!$M$2:$M$161,ScoringTable!$L$2:$L$161,,1),TRUE,_xlfn.XLOOKUP($G38,ScoringTable!$S$2:$S$161,ScoringTable!$R$2:$R$161,,1))</f>
        <v>0</v>
      </c>
    </row>
    <row r="39" spans="1:13" s="7" customFormat="1" ht="16" customHeight="1">
      <c r="A39" s="280" t="s">
        <v>2</v>
      </c>
      <c r="B39" s="122" t="str">
        <f>IF(ISNA(VLOOKUP($F39,Declarations!B$6:C$293,2,FALSE)),"",IF(VLOOKUP($F39,Declarations!B$6:C$293,2,FALSE)="","NOT DECLARED",IF(ISNA(_xlfn.TEXTBEFORE(VLOOKUP($F39,Declarations!B$6:C$293,2,FALSE)," ")),VLOOKUP($F39,Declarations!B$6:C$293,2,FALSE),_xlfn.TEXTBEFORE(VLOOKUP($F39,Declarations!B$6:C$293,2,FALSE)," "))))</f>
        <v/>
      </c>
      <c r="C39" s="122" t="str">
        <f>IF(ISNA(VLOOKUP($F39,Declarations!B$6:C$293,2,FALSE)),"",IF(VLOOKUP($F39,Declarations!B$6:C$293,2,FALSE)="","NOT DECLARED",IF(ISNA(_xlfn.TEXTAFTER(VLOOKUP($F39,Declarations!B$6:C$293,2,FALSE)," ")),VLOOKUP($F39,Declarations!B$6:C$293,2,FALSE),_xlfn.TEXTAFTER(VLOOKUP($F39,Declarations!B$6:C$293,2,FALSE)," "))))</f>
        <v/>
      </c>
      <c r="D39" s="122" t="str">
        <f>IF(ISNA(VLOOKUP($F39,Declarations!$B$6:$F$293,5,FALSE)),"",IF(VLOOKUP($F39,Declarations!$B$6:$F$293,5,FALSE)="","NOT DECLARED",VLOOKUP($F39,Declarations!$B$6:$F$293,5,FALSE)))</f>
        <v/>
      </c>
      <c r="E39" s="120" t="str">
        <f>IF(ISNA(VLOOKUP($F39,Declarations!$B$6:$D$293,3,FALSE)),"",IF(VLOOKUP($F39,Declarations!$B$6:$D$293,3,FALSE)="","NOT DECLARED",VLOOKUP($F39,Declarations!$B$6:$D$293,3,FALSE)&amp;LEFT(VLOOKUP($F39,Declarations!$B$6:$E$293,4,FALSE))))</f>
        <v/>
      </c>
      <c r="F39" s="59"/>
      <c r="G39" s="130"/>
      <c r="H39" s="130"/>
      <c r="I39" s="122" t="str">
        <f>IF(ISNA(VLOOKUP(F39,Declarations!B$6:C$293,2,FALSE)),"",IF(VLOOKUP(F39,Declarations!B$6:C$293,2,FALSE)="","NOT DECLARED",VLOOKUP(F39,Declarations!B$6:C$293,2,FALSE)))</f>
        <v/>
      </c>
      <c r="J39" s="120">
        <f>IF(LOWER(G39)="dnf",1,IF(G39&lt;ScoringTable!B$3,ScoringTable!I$2,VLOOKUP((1000-G39),ScoringTable!G$2:I$95,3)))</f>
        <v>0</v>
      </c>
      <c r="K39" s="120" t="str" cm="1">
        <f t="array" ref="K39">IF(OR(E39="",G39=""),"",_xlfn.IFS(E39="U10B",_xlfn.XLOOKUP(G39,Data!$D$2:$L$2,Data!$D$1:$L$1,"",1,1),E39="U12B",_xlfn.XLOOKUP(G39,Data!$D$8:$L$8,Data!$D$1:$L$1,"",1,1),E39="U10G",_xlfn.XLOOKUP(G39,Data!$D$15:$L$15,Data!$D$1:$L$1,"",1,1),E39="U12G",_xlfn.XLOOKUP(G39,Data!$D$21:$L$21,Data!$D$1:$L$1,"",1,1)))</f>
        <v/>
      </c>
      <c r="L39" s="184" t="str" cm="1">
        <f t="array" ref="L39">IFERROR(_xlfn.IFNA(
                      _xlfn.IFS(
                      G39="", "",
                      AND(E39="U10B",G39&lt;=Data!$M$2), "U10 Boys record",
                      AND(E39="U12B",G39&lt;=Data!$M$8), "U12 Boys record",
                      AND(E39="U10G",G39&lt;=Data!$M$15), "U10 Girls record",
                      AND(E39="U12G",G39&lt;=Data!$M$21), "U12 Girls record"
                       ),""), "")</f>
        <v/>
      </c>
      <c r="M39" s="19" cm="1">
        <f t="array" ref="M39">_xlfn.IFS($G39="",0, AND(NOT(ISNUMBER($G39)),LOWER($G39)&lt;&gt;"dnf"),"Not a valid time",OR(LOWER($G39)="dnf",$G39&gt;ScoringTable!$M$161),1,RIGHT($E39,1)="B",_xlfn.XLOOKUP($G39,ScoringTable!$M$2:$M$161,ScoringTable!$L$2:$L$161,,1),TRUE,_xlfn.XLOOKUP($G39,ScoringTable!$S$2:$S$161,ScoringTable!$R$2:$R$161,,1))</f>
        <v>0</v>
      </c>
    </row>
    <row r="40" spans="1:13" s="7" customFormat="1" ht="16" customHeight="1">
      <c r="A40" s="280" t="s">
        <v>2</v>
      </c>
      <c r="B40" s="122" t="str">
        <f>IF(ISNA(VLOOKUP($F40,Declarations!B$6:C$293,2,FALSE)),"",IF(VLOOKUP($F40,Declarations!B$6:C$293,2,FALSE)="","NOT DECLARED",IF(ISNA(_xlfn.TEXTBEFORE(VLOOKUP($F40,Declarations!B$6:C$293,2,FALSE)," ")),VLOOKUP($F40,Declarations!B$6:C$293,2,FALSE),_xlfn.TEXTBEFORE(VLOOKUP($F40,Declarations!B$6:C$293,2,FALSE)," "))))</f>
        <v/>
      </c>
      <c r="C40" s="122" t="str">
        <f>IF(ISNA(VLOOKUP($F40,Declarations!B$6:C$293,2,FALSE)),"",IF(VLOOKUP($F40,Declarations!B$6:C$293,2,FALSE)="","NOT DECLARED",IF(ISNA(_xlfn.TEXTAFTER(VLOOKUP($F40,Declarations!B$6:C$293,2,FALSE)," ")),VLOOKUP($F40,Declarations!B$6:C$293,2,FALSE),_xlfn.TEXTAFTER(VLOOKUP($F40,Declarations!B$6:C$293,2,FALSE)," "))))</f>
        <v/>
      </c>
      <c r="D40" s="122" t="str">
        <f>IF(ISNA(VLOOKUP($F40,Declarations!$B$6:$F$293,5,FALSE)),"",IF(VLOOKUP($F40,Declarations!$B$6:$F$293,5,FALSE)="","NOT DECLARED",VLOOKUP($F40,Declarations!$B$6:$F$293,5,FALSE)))</f>
        <v/>
      </c>
      <c r="E40" s="120" t="str">
        <f>IF(ISNA(VLOOKUP($F40,Declarations!$B$6:$D$293,3,FALSE)),"",IF(VLOOKUP($F40,Declarations!$B$6:$D$293,3,FALSE)="","NOT DECLARED",VLOOKUP($F40,Declarations!$B$6:$D$293,3,FALSE)&amp;LEFT(VLOOKUP($F40,Declarations!$B$6:$E$293,4,FALSE))))</f>
        <v/>
      </c>
      <c r="F40" s="59"/>
      <c r="G40" s="130"/>
      <c r="H40" s="130"/>
      <c r="I40" s="122" t="str">
        <f>IF(ISNA(VLOOKUP(F40,Declarations!B$6:C$293,2,FALSE)),"",IF(VLOOKUP(F40,Declarations!B$6:C$293,2,FALSE)="","NOT DECLARED",VLOOKUP(F40,Declarations!B$6:C$293,2,FALSE)))</f>
        <v/>
      </c>
      <c r="J40" s="120">
        <f>IF(LOWER(G40)="dnf",1,IF(G40&lt;ScoringTable!B$3,ScoringTable!I$2,VLOOKUP((1000-G40),ScoringTable!G$2:I$95,3)))</f>
        <v>0</v>
      </c>
      <c r="K40" s="120" t="str" cm="1">
        <f t="array" ref="K40">IF(OR(E40="",G40=""),"",_xlfn.IFS(E40="U10B",_xlfn.XLOOKUP(G40,Data!$D$2:$L$2,Data!$D$1:$L$1,"",1,1),E40="U12B",_xlfn.XLOOKUP(G40,Data!$D$8:$L$8,Data!$D$1:$L$1,"",1,1),E40="U10G",_xlfn.XLOOKUP(G40,Data!$D$15:$L$15,Data!$D$1:$L$1,"",1,1),E40="U12G",_xlfn.XLOOKUP(G40,Data!$D$21:$L$21,Data!$D$1:$L$1,"",1,1)))</f>
        <v/>
      </c>
      <c r="L40" s="184" t="str" cm="1">
        <f t="array" ref="L40">IFERROR(_xlfn.IFNA(
                      _xlfn.IFS(
                      G40="", "",
                      AND(E40="U10B",G40&lt;=Data!$M$2), "U10 Boys record",
                      AND(E40="U12B",G40&lt;=Data!$M$8), "U12 Boys record",
                      AND(E40="U10G",G40&lt;=Data!$M$15), "U10 Girls record",
                      AND(E40="U12G",G40&lt;=Data!$M$21), "U12 Girls record"
                       ),""), "")</f>
        <v/>
      </c>
      <c r="M40" s="19" cm="1">
        <f t="array" ref="M40">_xlfn.IFS($G40="",0, AND(NOT(ISNUMBER($G40)),LOWER($G40)&lt;&gt;"dnf"),"Not a valid time",OR(LOWER($G40)="dnf",$G40&gt;ScoringTable!$M$161),1,RIGHT($E40,1)="B",_xlfn.XLOOKUP($G40,ScoringTable!$M$2:$M$161,ScoringTable!$L$2:$L$161,,1),TRUE,_xlfn.XLOOKUP($G40,ScoringTable!$S$2:$S$161,ScoringTable!$R$2:$R$161,,1))</f>
        <v>0</v>
      </c>
    </row>
    <row r="41" spans="1:13" s="7" customFormat="1" ht="16" customHeight="1">
      <c r="A41" s="280" t="s">
        <v>2</v>
      </c>
      <c r="B41" s="122" t="str">
        <f>IF(ISNA(VLOOKUP($F41,Declarations!B$6:C$293,2,FALSE)),"",IF(VLOOKUP($F41,Declarations!B$6:C$293,2,FALSE)="","NOT DECLARED",IF(ISNA(_xlfn.TEXTBEFORE(VLOOKUP($F41,Declarations!B$6:C$293,2,FALSE)," ")),VLOOKUP($F41,Declarations!B$6:C$293,2,FALSE),_xlfn.TEXTBEFORE(VLOOKUP($F41,Declarations!B$6:C$293,2,FALSE)," "))))</f>
        <v/>
      </c>
      <c r="C41" s="122" t="str">
        <f>IF(ISNA(VLOOKUP($F41,Declarations!B$6:C$293,2,FALSE)),"",IF(VLOOKUP($F41,Declarations!B$6:C$293,2,FALSE)="","NOT DECLARED",IF(ISNA(_xlfn.TEXTAFTER(VLOOKUP($F41,Declarations!B$6:C$293,2,FALSE)," ")),VLOOKUP($F41,Declarations!B$6:C$293,2,FALSE),_xlfn.TEXTAFTER(VLOOKUP($F41,Declarations!B$6:C$293,2,FALSE)," "))))</f>
        <v/>
      </c>
      <c r="D41" s="122" t="str">
        <f>IF(ISNA(VLOOKUP($F41,Declarations!$B$6:$F$293,5,FALSE)),"",IF(VLOOKUP($F41,Declarations!$B$6:$F$293,5,FALSE)="","NOT DECLARED",VLOOKUP($F41,Declarations!$B$6:$F$293,5,FALSE)))</f>
        <v/>
      </c>
      <c r="E41" s="120" t="str">
        <f>IF(ISNA(VLOOKUP($F41,Declarations!$B$6:$D$293,3,FALSE)),"",IF(VLOOKUP($F41,Declarations!$B$6:$D$293,3,FALSE)="","NOT DECLARED",VLOOKUP($F41,Declarations!$B$6:$D$293,3,FALSE)&amp;LEFT(VLOOKUP($F41,Declarations!$B$6:$E$293,4,FALSE))))</f>
        <v/>
      </c>
      <c r="F41" s="59"/>
      <c r="G41" s="130"/>
      <c r="H41" s="130"/>
      <c r="I41" s="122" t="str">
        <f>IF(ISNA(VLOOKUP(F41,Declarations!B$6:C$293,2,FALSE)),"",IF(VLOOKUP(F41,Declarations!B$6:C$293,2,FALSE)="","NOT DECLARED",VLOOKUP(F41,Declarations!B$6:C$293,2,FALSE)))</f>
        <v/>
      </c>
      <c r="J41" s="120">
        <f>IF(LOWER(G41)="dnf",1,IF(G41&lt;ScoringTable!B$3,ScoringTable!I$2,VLOOKUP((1000-G41),ScoringTable!G$2:I$95,3)))</f>
        <v>0</v>
      </c>
      <c r="K41" s="120" t="str" cm="1">
        <f t="array" ref="K41">IF(OR(E41="",G41=""),"",_xlfn.IFS(E41="U10B",_xlfn.XLOOKUP(G41,Data!$D$2:$L$2,Data!$D$1:$L$1,"",1,1),E41="U12B",_xlfn.XLOOKUP(G41,Data!$D$8:$L$8,Data!$D$1:$L$1,"",1,1),E41="U10G",_xlfn.XLOOKUP(G41,Data!$D$15:$L$15,Data!$D$1:$L$1,"",1,1),E41="U12G",_xlfn.XLOOKUP(G41,Data!$D$21:$L$21,Data!$D$1:$L$1,"",1,1)))</f>
        <v/>
      </c>
      <c r="L41" s="184" t="str" cm="1">
        <f t="array" ref="L41">IFERROR(_xlfn.IFNA(
                      _xlfn.IFS(
                      G41="", "",
                      AND(E41="U10B",G41&lt;=Data!$M$2), "U10 Boys record",
                      AND(E41="U12B",G41&lt;=Data!$M$8), "U12 Boys record",
                      AND(E41="U10G",G41&lt;=Data!$M$15), "U10 Girls record",
                      AND(E41="U12G",G41&lt;=Data!$M$21), "U12 Girls record"
                       ),""), "")</f>
        <v/>
      </c>
      <c r="M41" s="19" cm="1">
        <f t="array" ref="M41">_xlfn.IFS($G41="",0, AND(NOT(ISNUMBER($G41)),LOWER($G41)&lt;&gt;"dnf"),"Not a valid time",OR(LOWER($G41)="dnf",$G41&gt;ScoringTable!$M$161),1,RIGHT($E41,1)="B",_xlfn.XLOOKUP($G41,ScoringTable!$M$2:$M$161,ScoringTable!$L$2:$L$161,,1),TRUE,_xlfn.XLOOKUP($G41,ScoringTable!$S$2:$S$161,ScoringTable!$R$2:$R$161,,1))</f>
        <v>0</v>
      </c>
    </row>
    <row r="42" spans="1:13" s="7" customFormat="1" ht="16" customHeight="1">
      <c r="A42" s="280" t="s">
        <v>2</v>
      </c>
      <c r="B42" s="122" t="str">
        <f>IF(ISNA(VLOOKUP($F42,Declarations!B$6:C$293,2,FALSE)),"",IF(VLOOKUP($F42,Declarations!B$6:C$293,2,FALSE)="","NOT DECLARED",IF(ISNA(_xlfn.TEXTBEFORE(VLOOKUP($F42,Declarations!B$6:C$293,2,FALSE)," ")),VLOOKUP($F42,Declarations!B$6:C$293,2,FALSE),_xlfn.TEXTBEFORE(VLOOKUP($F42,Declarations!B$6:C$293,2,FALSE)," "))))</f>
        <v/>
      </c>
      <c r="C42" s="122" t="str">
        <f>IF(ISNA(VLOOKUP($F42,Declarations!B$6:C$293,2,FALSE)),"",IF(VLOOKUP($F42,Declarations!B$6:C$293,2,FALSE)="","NOT DECLARED",IF(ISNA(_xlfn.TEXTAFTER(VLOOKUP($F42,Declarations!B$6:C$293,2,FALSE)," ")),VLOOKUP($F42,Declarations!B$6:C$293,2,FALSE),_xlfn.TEXTAFTER(VLOOKUP($F42,Declarations!B$6:C$293,2,FALSE)," "))))</f>
        <v/>
      </c>
      <c r="D42" s="122" t="str">
        <f>IF(ISNA(VLOOKUP($F42,Declarations!$B$6:$F$293,5,FALSE)),"",IF(VLOOKUP($F42,Declarations!$B$6:$F$293,5,FALSE)="","NOT DECLARED",VLOOKUP($F42,Declarations!$B$6:$F$293,5,FALSE)))</f>
        <v/>
      </c>
      <c r="E42" s="120" t="str">
        <f>IF(ISNA(VLOOKUP($F42,Declarations!$B$6:$D$293,3,FALSE)),"",IF(VLOOKUP($F42,Declarations!$B$6:$D$293,3,FALSE)="","NOT DECLARED",VLOOKUP($F42,Declarations!$B$6:$D$293,3,FALSE)&amp;LEFT(VLOOKUP($F42,Declarations!$B$6:$E$293,4,FALSE))))</f>
        <v/>
      </c>
      <c r="F42" s="59"/>
      <c r="G42" s="130"/>
      <c r="H42" s="130"/>
      <c r="I42" s="122" t="str">
        <f>IF(ISNA(VLOOKUP(F42,Declarations!B$6:C$293,2,FALSE)),"",IF(VLOOKUP(F42,Declarations!B$6:C$293,2,FALSE)="","NOT DECLARED",VLOOKUP(F42,Declarations!B$6:C$293,2,FALSE)))</f>
        <v/>
      </c>
      <c r="J42" s="120">
        <f>IF(LOWER(G42)="dnf",1,IF(G42&lt;ScoringTable!B$3,ScoringTable!I$2,VLOOKUP((1000-G42),ScoringTable!G$2:I$95,3)))</f>
        <v>0</v>
      </c>
      <c r="K42" s="120" t="str" cm="1">
        <f t="array" ref="K42">IF(OR(E42="",G42=""),"",_xlfn.IFS(E42="U10B",_xlfn.XLOOKUP(G42,Data!$D$2:$L$2,Data!$D$1:$L$1,"",1,1),E42="U12B",_xlfn.XLOOKUP(G42,Data!$D$8:$L$8,Data!$D$1:$L$1,"",1,1),E42="U10G",_xlfn.XLOOKUP(G42,Data!$D$15:$L$15,Data!$D$1:$L$1,"",1,1),E42="U12G",_xlfn.XLOOKUP(G42,Data!$D$21:$L$21,Data!$D$1:$L$1,"",1,1)))</f>
        <v/>
      </c>
      <c r="L42" s="184" t="str" cm="1">
        <f t="array" ref="L42">IFERROR(_xlfn.IFNA(
                      _xlfn.IFS(
                      G42="", "",
                      AND(E42="U10B",G42&lt;=Data!$M$2), "U10 Boys record",
                      AND(E42="U12B",G42&lt;=Data!$M$8), "U12 Boys record",
                      AND(E42="U10G",G42&lt;=Data!$M$15), "U10 Girls record",
                      AND(E42="U12G",G42&lt;=Data!$M$21), "U12 Girls record"
                       ),""), "")</f>
        <v/>
      </c>
      <c r="M42" s="19" cm="1">
        <f t="array" ref="M42">_xlfn.IFS($G42="",0, AND(NOT(ISNUMBER($G42)),LOWER($G42)&lt;&gt;"dnf"),"Not a valid time",OR(LOWER($G42)="dnf",$G42&gt;ScoringTable!$M$161),1,RIGHT($E42,1)="B",_xlfn.XLOOKUP($G42,ScoringTable!$M$2:$M$161,ScoringTable!$L$2:$L$161,,1),TRUE,_xlfn.XLOOKUP($G42,ScoringTable!$S$2:$S$161,ScoringTable!$R$2:$R$161,,1))</f>
        <v>0</v>
      </c>
    </row>
    <row r="43" spans="1:13" s="7" customFormat="1" ht="16" customHeight="1">
      <c r="A43" s="280" t="s">
        <v>2</v>
      </c>
      <c r="B43" s="122" t="str">
        <f>IF(ISNA(VLOOKUP($F43,Declarations!B$6:C$293,2,FALSE)),"",IF(VLOOKUP($F43,Declarations!B$6:C$293,2,FALSE)="","NOT DECLARED",IF(ISNA(_xlfn.TEXTBEFORE(VLOOKUP($F43,Declarations!B$6:C$293,2,FALSE)," ")),VLOOKUP($F43,Declarations!B$6:C$293,2,FALSE),_xlfn.TEXTBEFORE(VLOOKUP($F43,Declarations!B$6:C$293,2,FALSE)," "))))</f>
        <v/>
      </c>
      <c r="C43" s="122" t="str">
        <f>IF(ISNA(VLOOKUP($F43,Declarations!B$6:C$293,2,FALSE)),"",IF(VLOOKUP($F43,Declarations!B$6:C$293,2,FALSE)="","NOT DECLARED",IF(ISNA(_xlfn.TEXTAFTER(VLOOKUP($F43,Declarations!B$6:C$293,2,FALSE)," ")),VLOOKUP($F43,Declarations!B$6:C$293,2,FALSE),_xlfn.TEXTAFTER(VLOOKUP($F43,Declarations!B$6:C$293,2,FALSE)," "))))</f>
        <v/>
      </c>
      <c r="D43" s="122" t="str">
        <f>IF(ISNA(VLOOKUP($F43,Declarations!$B$6:$F$293,5,FALSE)),"",IF(VLOOKUP($F43,Declarations!$B$6:$F$293,5,FALSE)="","NOT DECLARED",VLOOKUP($F43,Declarations!$B$6:$F$293,5,FALSE)))</f>
        <v/>
      </c>
      <c r="E43" s="120" t="str">
        <f>IF(ISNA(VLOOKUP($F43,Declarations!$B$6:$D$293,3,FALSE)),"",IF(VLOOKUP($F43,Declarations!$B$6:$D$293,3,FALSE)="","NOT DECLARED",VLOOKUP($F43,Declarations!$B$6:$D$293,3,FALSE)&amp;LEFT(VLOOKUP($F43,Declarations!$B$6:$E$293,4,FALSE))))</f>
        <v/>
      </c>
      <c r="F43" s="59"/>
      <c r="G43" s="130"/>
      <c r="H43" s="130"/>
      <c r="I43" s="122" t="str">
        <f>IF(ISNA(VLOOKUP(F43,Declarations!B$6:C$293,2,FALSE)),"",IF(VLOOKUP(F43,Declarations!B$6:C$293,2,FALSE)="","NOT DECLARED",VLOOKUP(F43,Declarations!B$6:C$293,2,FALSE)))</f>
        <v/>
      </c>
      <c r="J43" s="120">
        <f>IF(LOWER(G43)="dnf",1,IF(G43&lt;ScoringTable!B$3,ScoringTable!I$2,VLOOKUP((1000-G43),ScoringTable!G$2:I$95,3)))</f>
        <v>0</v>
      </c>
      <c r="K43" s="120" t="str" cm="1">
        <f t="array" ref="K43">IF(OR(E43="",G43=""),"",_xlfn.IFS(E43="U10B",_xlfn.XLOOKUP(G43,Data!$D$2:$L$2,Data!$D$1:$L$1,"",1,1),E43="U12B",_xlfn.XLOOKUP(G43,Data!$D$8:$L$8,Data!$D$1:$L$1,"",1,1),E43="U10G",_xlfn.XLOOKUP(G43,Data!$D$15:$L$15,Data!$D$1:$L$1,"",1,1),E43="U12G",_xlfn.XLOOKUP(G43,Data!$D$21:$L$21,Data!$D$1:$L$1,"",1,1)))</f>
        <v/>
      </c>
      <c r="L43" s="184" t="str" cm="1">
        <f t="array" ref="L43">IFERROR(_xlfn.IFNA(
                      _xlfn.IFS(
                      G43="", "",
                      AND(E43="U10B",G43&lt;=Data!$M$2), "U10 Boys record",
                      AND(E43="U12B",G43&lt;=Data!$M$8), "U12 Boys record",
                      AND(E43="U10G",G43&lt;=Data!$M$15), "U10 Girls record",
                      AND(E43="U12G",G43&lt;=Data!$M$21), "U12 Girls record"
                       ),""), "")</f>
        <v/>
      </c>
      <c r="M43" s="19" cm="1">
        <f t="array" ref="M43">_xlfn.IFS($G43="",0, AND(NOT(ISNUMBER($G43)),LOWER($G43)&lt;&gt;"dnf"),"Not a valid time",OR(LOWER($G43)="dnf",$G43&gt;ScoringTable!$M$161),1,RIGHT($E43,1)="B",_xlfn.XLOOKUP($G43,ScoringTable!$M$2:$M$161,ScoringTable!$L$2:$L$161,,1),TRUE,_xlfn.XLOOKUP($G43,ScoringTable!$S$2:$S$161,ScoringTable!$R$2:$R$161,,1))</f>
        <v>0</v>
      </c>
    </row>
    <row r="44" spans="1:13" s="7" customFormat="1" ht="16" customHeight="1">
      <c r="A44" s="280" t="s">
        <v>2</v>
      </c>
      <c r="B44" s="122" t="str">
        <f>IF(ISNA(VLOOKUP($F44,Declarations!B$6:C$293,2,FALSE)),"",IF(VLOOKUP($F44,Declarations!B$6:C$293,2,FALSE)="","NOT DECLARED",IF(ISNA(_xlfn.TEXTBEFORE(VLOOKUP($F44,Declarations!B$6:C$293,2,FALSE)," ")),VLOOKUP($F44,Declarations!B$6:C$293,2,FALSE),_xlfn.TEXTBEFORE(VLOOKUP($F44,Declarations!B$6:C$293,2,FALSE)," "))))</f>
        <v/>
      </c>
      <c r="C44" s="122" t="str">
        <f>IF(ISNA(VLOOKUP($F44,Declarations!B$6:C$293,2,FALSE)),"",IF(VLOOKUP($F44,Declarations!B$6:C$293,2,FALSE)="","NOT DECLARED",IF(ISNA(_xlfn.TEXTAFTER(VLOOKUP($F44,Declarations!B$6:C$293,2,FALSE)," ")),VLOOKUP($F44,Declarations!B$6:C$293,2,FALSE),_xlfn.TEXTAFTER(VLOOKUP($F44,Declarations!B$6:C$293,2,FALSE)," "))))</f>
        <v/>
      </c>
      <c r="D44" s="122" t="str">
        <f>IF(ISNA(VLOOKUP($F44,Declarations!$B$6:$F$293,5,FALSE)),"",IF(VLOOKUP($F44,Declarations!$B$6:$F$293,5,FALSE)="","NOT DECLARED",VLOOKUP($F44,Declarations!$B$6:$F$293,5,FALSE)))</f>
        <v/>
      </c>
      <c r="E44" s="120" t="str">
        <f>IF(ISNA(VLOOKUP($F44,Declarations!$B$6:$D$293,3,FALSE)),"",IF(VLOOKUP($F44,Declarations!$B$6:$D$293,3,FALSE)="","NOT DECLARED",VLOOKUP($F44,Declarations!$B$6:$D$293,3,FALSE)&amp;LEFT(VLOOKUP($F44,Declarations!$B$6:$E$293,4,FALSE))))</f>
        <v/>
      </c>
      <c r="F44" s="59"/>
      <c r="G44" s="130"/>
      <c r="H44" s="130"/>
      <c r="I44" s="122" t="str">
        <f>IF(ISNA(VLOOKUP(F44,Declarations!B$6:C$293,2,FALSE)),"",IF(VLOOKUP(F44,Declarations!B$6:C$293,2,FALSE)="","NOT DECLARED",VLOOKUP(F44,Declarations!B$6:C$293,2,FALSE)))</f>
        <v/>
      </c>
      <c r="J44" s="120">
        <f>IF(LOWER(G44)="dnf",1,IF(G44&lt;ScoringTable!B$3,ScoringTable!I$2,VLOOKUP((1000-G44),ScoringTable!G$2:I$95,3)))</f>
        <v>0</v>
      </c>
      <c r="K44" s="120" t="str" cm="1">
        <f t="array" ref="K44">IF(OR(E44="",G44=""),"",_xlfn.IFS(E44="U10B",_xlfn.XLOOKUP(G44,Data!$D$2:$L$2,Data!$D$1:$L$1,"",1,1),E44="U12B",_xlfn.XLOOKUP(G44,Data!$D$8:$L$8,Data!$D$1:$L$1,"",1,1),E44="U10G",_xlfn.XLOOKUP(G44,Data!$D$15:$L$15,Data!$D$1:$L$1,"",1,1),E44="U12G",_xlfn.XLOOKUP(G44,Data!$D$21:$L$21,Data!$D$1:$L$1,"",1,1)))</f>
        <v/>
      </c>
      <c r="L44" s="184" t="str" cm="1">
        <f t="array" ref="L44">IFERROR(_xlfn.IFNA(
                      _xlfn.IFS(
                      G44="", "",
                      AND(E44="U10B",G44&lt;=Data!$M$2), "U10 Boys record",
                      AND(E44="U12B",G44&lt;=Data!$M$8), "U12 Boys record",
                      AND(E44="U10G",G44&lt;=Data!$M$15), "U10 Girls record",
                      AND(E44="U12G",G44&lt;=Data!$M$21), "U12 Girls record"
                       ),""), "")</f>
        <v/>
      </c>
      <c r="M44" s="19" cm="1">
        <f t="array" ref="M44">_xlfn.IFS($G44="",0, AND(NOT(ISNUMBER($G44)),LOWER($G44)&lt;&gt;"dnf"),"Not a valid time",OR(LOWER($G44)="dnf",$G44&gt;ScoringTable!$M$161),1,RIGHT($E44,1)="B",_xlfn.XLOOKUP($G44,ScoringTable!$M$2:$M$161,ScoringTable!$L$2:$L$161,,1),TRUE,_xlfn.XLOOKUP($G44,ScoringTable!$S$2:$S$161,ScoringTable!$R$2:$R$161,,1))</f>
        <v>0</v>
      </c>
    </row>
    <row r="45" spans="1:13" s="7" customFormat="1" ht="16" customHeight="1">
      <c r="A45" s="280" t="s">
        <v>2</v>
      </c>
      <c r="B45" s="122" t="str">
        <f>IF(ISNA(VLOOKUP($F45,Declarations!B$6:C$293,2,FALSE)),"",IF(VLOOKUP($F45,Declarations!B$6:C$293,2,FALSE)="","NOT DECLARED",IF(ISNA(_xlfn.TEXTBEFORE(VLOOKUP($F45,Declarations!B$6:C$293,2,FALSE)," ")),VLOOKUP($F45,Declarations!B$6:C$293,2,FALSE),_xlfn.TEXTBEFORE(VLOOKUP($F45,Declarations!B$6:C$293,2,FALSE)," "))))</f>
        <v/>
      </c>
      <c r="C45" s="122" t="str">
        <f>IF(ISNA(VLOOKUP($F45,Declarations!B$6:C$293,2,FALSE)),"",IF(VLOOKUP($F45,Declarations!B$6:C$293,2,FALSE)="","NOT DECLARED",IF(ISNA(_xlfn.TEXTAFTER(VLOOKUP($F45,Declarations!B$6:C$293,2,FALSE)," ")),VLOOKUP($F45,Declarations!B$6:C$293,2,FALSE),_xlfn.TEXTAFTER(VLOOKUP($F45,Declarations!B$6:C$293,2,FALSE)," "))))</f>
        <v/>
      </c>
      <c r="D45" s="122" t="str">
        <f>IF(ISNA(VLOOKUP($F45,Declarations!$B$6:$F$293,5,FALSE)),"",IF(VLOOKUP($F45,Declarations!$B$6:$F$293,5,FALSE)="","NOT DECLARED",VLOOKUP($F45,Declarations!$B$6:$F$293,5,FALSE)))</f>
        <v/>
      </c>
      <c r="E45" s="120" t="str">
        <f>IF(ISNA(VLOOKUP($F45,Declarations!$B$6:$D$293,3,FALSE)),"",IF(VLOOKUP($F45,Declarations!$B$6:$D$293,3,FALSE)="","NOT DECLARED",VLOOKUP($F45,Declarations!$B$6:$D$293,3,FALSE)&amp;LEFT(VLOOKUP($F45,Declarations!$B$6:$E$293,4,FALSE))))</f>
        <v/>
      </c>
      <c r="F45" s="59"/>
      <c r="G45" s="130"/>
      <c r="H45" s="130"/>
      <c r="I45" s="122" t="str">
        <f>IF(ISNA(VLOOKUP(F45,Declarations!B$6:C$293,2,FALSE)),"",IF(VLOOKUP(F45,Declarations!B$6:C$293,2,FALSE)="","NOT DECLARED",VLOOKUP(F45,Declarations!B$6:C$293,2,FALSE)))</f>
        <v/>
      </c>
      <c r="J45" s="120">
        <f>IF(LOWER(G45)="dnf",1,IF(G45&lt;ScoringTable!B$3,ScoringTable!I$2,VLOOKUP((1000-G45),ScoringTable!G$2:I$95,3)))</f>
        <v>0</v>
      </c>
      <c r="K45" s="120" t="str" cm="1">
        <f t="array" ref="K45">IF(OR(E45="",G45=""),"",_xlfn.IFS(E45="U10B",_xlfn.XLOOKUP(G45,Data!$D$2:$L$2,Data!$D$1:$L$1,"",1,1),E45="U12B",_xlfn.XLOOKUP(G45,Data!$D$8:$L$8,Data!$D$1:$L$1,"",1,1),E45="U10G",_xlfn.XLOOKUP(G45,Data!$D$15:$L$15,Data!$D$1:$L$1,"",1,1),E45="U12G",_xlfn.XLOOKUP(G45,Data!$D$21:$L$21,Data!$D$1:$L$1,"",1,1)))</f>
        <v/>
      </c>
      <c r="L45" s="184" t="str" cm="1">
        <f t="array" ref="L45">IFERROR(_xlfn.IFNA(
                      _xlfn.IFS(
                      G45="", "",
                      AND(E45="U10B",G45&lt;=Data!$M$2), "U10 Boys record",
                      AND(E45="U12B",G45&lt;=Data!$M$8), "U12 Boys record",
                      AND(E45="U10G",G45&lt;=Data!$M$15), "U10 Girls record",
                      AND(E45="U12G",G45&lt;=Data!$M$21), "U12 Girls record"
                       ),""), "")</f>
        <v/>
      </c>
      <c r="M45" s="19" cm="1">
        <f t="array" ref="M45">_xlfn.IFS($G45="",0, AND(NOT(ISNUMBER($G45)),LOWER($G45)&lt;&gt;"dnf"),"Not a valid time",OR(LOWER($G45)="dnf",$G45&gt;ScoringTable!$M$161),1,RIGHT($E45,1)="B",_xlfn.XLOOKUP($G45,ScoringTable!$M$2:$M$161,ScoringTable!$L$2:$L$161,,1),TRUE,_xlfn.XLOOKUP($G45,ScoringTable!$S$2:$S$161,ScoringTable!$R$2:$R$161,,1))</f>
        <v>0</v>
      </c>
    </row>
    <row r="46" spans="1:13" s="7" customFormat="1" ht="16" customHeight="1">
      <c r="A46" s="280" t="s">
        <v>2</v>
      </c>
      <c r="B46" s="122" t="str">
        <f>IF(ISNA(VLOOKUP($F46,Declarations!B$6:C$293,2,FALSE)),"",IF(VLOOKUP($F46,Declarations!B$6:C$293,2,FALSE)="","NOT DECLARED",IF(ISNA(_xlfn.TEXTBEFORE(VLOOKUP($F46,Declarations!B$6:C$293,2,FALSE)," ")),VLOOKUP($F46,Declarations!B$6:C$293,2,FALSE),_xlfn.TEXTBEFORE(VLOOKUP($F46,Declarations!B$6:C$293,2,FALSE)," "))))</f>
        <v/>
      </c>
      <c r="C46" s="122" t="str">
        <f>IF(ISNA(VLOOKUP($F46,Declarations!B$6:C$293,2,FALSE)),"",IF(VLOOKUP($F46,Declarations!B$6:C$293,2,FALSE)="","NOT DECLARED",IF(ISNA(_xlfn.TEXTAFTER(VLOOKUP($F46,Declarations!B$6:C$293,2,FALSE)," ")),VLOOKUP($F46,Declarations!B$6:C$293,2,FALSE),_xlfn.TEXTAFTER(VLOOKUP($F46,Declarations!B$6:C$293,2,FALSE)," "))))</f>
        <v/>
      </c>
      <c r="D46" s="122" t="str">
        <f>IF(ISNA(VLOOKUP($F46,Declarations!$B$6:$F$293,5,FALSE)),"",IF(VLOOKUP($F46,Declarations!$B$6:$F$293,5,FALSE)="","NOT DECLARED",VLOOKUP($F46,Declarations!$B$6:$F$293,5,FALSE)))</f>
        <v/>
      </c>
      <c r="E46" s="120" t="str">
        <f>IF(ISNA(VLOOKUP($F46,Declarations!$B$6:$D$293,3,FALSE)),"",IF(VLOOKUP($F46,Declarations!$B$6:$D$293,3,FALSE)="","NOT DECLARED",VLOOKUP($F46,Declarations!$B$6:$D$293,3,FALSE)&amp;LEFT(VLOOKUP($F46,Declarations!$B$6:$E$293,4,FALSE))))</f>
        <v/>
      </c>
      <c r="F46" s="59"/>
      <c r="G46" s="130"/>
      <c r="H46" s="130"/>
      <c r="I46" s="122" t="str">
        <f>IF(ISNA(VLOOKUP(F46,Declarations!B$6:C$293,2,FALSE)),"",IF(VLOOKUP(F46,Declarations!B$6:C$293,2,FALSE)="","NOT DECLARED",VLOOKUP(F46,Declarations!B$6:C$293,2,FALSE)))</f>
        <v/>
      </c>
      <c r="J46" s="120">
        <f>IF(LOWER(G46)="dnf",1,IF(G46&lt;ScoringTable!B$3,ScoringTable!I$2,VLOOKUP((1000-G46),ScoringTable!G$2:I$95,3)))</f>
        <v>0</v>
      </c>
      <c r="K46" s="120" t="str" cm="1">
        <f t="array" ref="K46">IF(OR(E46="",G46=""),"",_xlfn.IFS(E46="U10B",_xlfn.XLOOKUP(G46,Data!$D$2:$L$2,Data!$D$1:$L$1,"",1,1),E46="U12B",_xlfn.XLOOKUP(G46,Data!$D$8:$L$8,Data!$D$1:$L$1,"",1,1),E46="U10G",_xlfn.XLOOKUP(G46,Data!$D$15:$L$15,Data!$D$1:$L$1,"",1,1),E46="U12G",_xlfn.XLOOKUP(G46,Data!$D$21:$L$21,Data!$D$1:$L$1,"",1,1)))</f>
        <v/>
      </c>
      <c r="L46" s="184" t="str" cm="1">
        <f t="array" ref="L46">IFERROR(_xlfn.IFNA(
                      _xlfn.IFS(
                      G46="", "",
                      AND(E46="U10B",G46&lt;=Data!$M$2), "U10 Boys record",
                      AND(E46="U12B",G46&lt;=Data!$M$8), "U12 Boys record",
                      AND(E46="U10G",G46&lt;=Data!$M$15), "U10 Girls record",
                      AND(E46="U12G",G46&lt;=Data!$M$21), "U12 Girls record"
                       ),""), "")</f>
        <v/>
      </c>
      <c r="M46" s="19" cm="1">
        <f t="array" ref="M46">_xlfn.IFS($G46="",0, AND(NOT(ISNUMBER($G46)),LOWER($G46)&lt;&gt;"dnf"),"Not a valid time",OR(LOWER($G46)="dnf",$G46&gt;ScoringTable!$M$161),1,RIGHT($E46,1)="B",_xlfn.XLOOKUP($G46,ScoringTable!$M$2:$M$161,ScoringTable!$L$2:$L$161,,1),TRUE,_xlfn.XLOOKUP($G46,ScoringTable!$S$2:$S$161,ScoringTable!$R$2:$R$161,,1))</f>
        <v>0</v>
      </c>
    </row>
    <row r="47" spans="1:13" s="7" customFormat="1" ht="16" customHeight="1">
      <c r="A47" s="280" t="s">
        <v>2</v>
      </c>
      <c r="B47" s="122" t="str">
        <f>IF(ISNA(VLOOKUP($F47,Declarations!B$6:C$293,2,FALSE)),"",IF(VLOOKUP($F47,Declarations!B$6:C$293,2,FALSE)="","NOT DECLARED",IF(ISNA(_xlfn.TEXTBEFORE(VLOOKUP($F47,Declarations!B$6:C$293,2,FALSE)," ")),VLOOKUP($F47,Declarations!B$6:C$293,2,FALSE),_xlfn.TEXTBEFORE(VLOOKUP($F47,Declarations!B$6:C$293,2,FALSE)," "))))</f>
        <v/>
      </c>
      <c r="C47" s="122" t="str">
        <f>IF(ISNA(VLOOKUP($F47,Declarations!B$6:C$293,2,FALSE)),"",IF(VLOOKUP($F47,Declarations!B$6:C$293,2,FALSE)="","NOT DECLARED",IF(ISNA(_xlfn.TEXTAFTER(VLOOKUP($F47,Declarations!B$6:C$293,2,FALSE)," ")),VLOOKUP($F47,Declarations!B$6:C$293,2,FALSE),_xlfn.TEXTAFTER(VLOOKUP($F47,Declarations!B$6:C$293,2,FALSE)," "))))</f>
        <v/>
      </c>
      <c r="D47" s="122" t="str">
        <f>IF(ISNA(VLOOKUP($F47,Declarations!$B$6:$F$293,5,FALSE)),"",IF(VLOOKUP($F47,Declarations!$B$6:$F$293,5,FALSE)="","NOT DECLARED",VLOOKUP($F47,Declarations!$B$6:$F$293,5,FALSE)))</f>
        <v/>
      </c>
      <c r="E47" s="120" t="str">
        <f>IF(ISNA(VLOOKUP($F47,Declarations!$B$6:$D$293,3,FALSE)),"",IF(VLOOKUP($F47,Declarations!$B$6:$D$293,3,FALSE)="","NOT DECLARED",VLOOKUP($F47,Declarations!$B$6:$D$293,3,FALSE)&amp;LEFT(VLOOKUP($F47,Declarations!$B$6:$E$293,4,FALSE))))</f>
        <v/>
      </c>
      <c r="F47" s="59"/>
      <c r="G47" s="130"/>
      <c r="H47" s="130"/>
      <c r="I47" s="122" t="str">
        <f>IF(ISNA(VLOOKUP(F47,Declarations!B$6:C$293,2,FALSE)),"",IF(VLOOKUP(F47,Declarations!B$6:C$293,2,FALSE)="","NOT DECLARED",VLOOKUP(F47,Declarations!B$6:C$293,2,FALSE)))</f>
        <v/>
      </c>
      <c r="J47" s="120">
        <f>IF(LOWER(G47)="dnf",1,IF(G47&lt;ScoringTable!B$3,ScoringTable!I$2,VLOOKUP((1000-G47),ScoringTable!G$2:I$95,3)))</f>
        <v>0</v>
      </c>
      <c r="K47" s="120" t="str" cm="1">
        <f t="array" ref="K47">IF(OR(E47="",G47=""),"",_xlfn.IFS(E47="U10B",_xlfn.XLOOKUP(G47,Data!$D$2:$L$2,Data!$D$1:$L$1,"",1,1),E47="U12B",_xlfn.XLOOKUP(G47,Data!$D$8:$L$8,Data!$D$1:$L$1,"",1,1),E47="U10G",_xlfn.XLOOKUP(G47,Data!$D$15:$L$15,Data!$D$1:$L$1,"",1,1),E47="U12G",_xlfn.XLOOKUP(G47,Data!$D$21:$L$21,Data!$D$1:$L$1,"",1,1)))</f>
        <v/>
      </c>
      <c r="L47" s="184" t="str" cm="1">
        <f t="array" ref="L47">IFERROR(_xlfn.IFNA(
                      _xlfn.IFS(
                      G47="", "",
                      AND(E47="U10B",G47&lt;=Data!$M$2), "U10 Boys record",
                      AND(E47="U12B",G47&lt;=Data!$M$8), "U12 Boys record",
                      AND(E47="U10G",G47&lt;=Data!$M$15), "U10 Girls record",
                      AND(E47="U12G",G47&lt;=Data!$M$21), "U12 Girls record"
                       ),""), "")</f>
        <v/>
      </c>
      <c r="M47" s="19" cm="1">
        <f t="array" ref="M47">_xlfn.IFS($G47="",0, AND(NOT(ISNUMBER($G47)),LOWER($G47)&lt;&gt;"dnf"),"Not a valid time",OR(LOWER($G47)="dnf",$G47&gt;ScoringTable!$M$161),1,RIGHT($E47,1)="B",_xlfn.XLOOKUP($G47,ScoringTable!$M$2:$M$161,ScoringTable!$L$2:$L$161,,1),TRUE,_xlfn.XLOOKUP($G47,ScoringTable!$S$2:$S$161,ScoringTable!$R$2:$R$161,,1))</f>
        <v>0</v>
      </c>
    </row>
    <row r="48" spans="1:13" s="7" customFormat="1" ht="16" customHeight="1">
      <c r="A48" s="280" t="s">
        <v>2</v>
      </c>
      <c r="B48" s="122" t="str">
        <f>IF(ISNA(VLOOKUP($F48,Declarations!B$6:C$293,2,FALSE)),"",IF(VLOOKUP($F48,Declarations!B$6:C$293,2,FALSE)="","NOT DECLARED",IF(ISNA(_xlfn.TEXTBEFORE(VLOOKUP($F48,Declarations!B$6:C$293,2,FALSE)," ")),VLOOKUP($F48,Declarations!B$6:C$293,2,FALSE),_xlfn.TEXTBEFORE(VLOOKUP($F48,Declarations!B$6:C$293,2,FALSE)," "))))</f>
        <v/>
      </c>
      <c r="C48" s="122" t="str">
        <f>IF(ISNA(VLOOKUP($F48,Declarations!B$6:C$293,2,FALSE)),"",IF(VLOOKUP($F48,Declarations!B$6:C$293,2,FALSE)="","NOT DECLARED",IF(ISNA(_xlfn.TEXTAFTER(VLOOKUP($F48,Declarations!B$6:C$293,2,FALSE)," ")),VLOOKUP($F48,Declarations!B$6:C$293,2,FALSE),_xlfn.TEXTAFTER(VLOOKUP($F48,Declarations!B$6:C$293,2,FALSE)," "))))</f>
        <v/>
      </c>
      <c r="D48" s="122" t="str">
        <f>IF(ISNA(VLOOKUP($F48,Declarations!$B$6:$F$293,5,FALSE)),"",IF(VLOOKUP($F48,Declarations!$B$6:$F$293,5,FALSE)="","NOT DECLARED",VLOOKUP($F48,Declarations!$B$6:$F$293,5,FALSE)))</f>
        <v/>
      </c>
      <c r="E48" s="120" t="str">
        <f>IF(ISNA(VLOOKUP($F48,Declarations!$B$6:$D$293,3,FALSE)),"",IF(VLOOKUP($F48,Declarations!$B$6:$D$293,3,FALSE)="","NOT DECLARED",VLOOKUP($F48,Declarations!$B$6:$D$293,3,FALSE)&amp;LEFT(VLOOKUP($F48,Declarations!$B$6:$E$293,4,FALSE))))</f>
        <v/>
      </c>
      <c r="F48" s="59"/>
      <c r="G48" s="130"/>
      <c r="H48" s="130"/>
      <c r="I48" s="122" t="str">
        <f>IF(ISNA(VLOOKUP(F48,Declarations!B$6:C$293,2,FALSE)),"",IF(VLOOKUP(F48,Declarations!B$6:C$293,2,FALSE)="","NOT DECLARED",VLOOKUP(F48,Declarations!B$6:C$293,2,FALSE)))</f>
        <v/>
      </c>
      <c r="J48" s="120">
        <f>IF(LOWER(G48)="dnf",1,IF(G48&lt;ScoringTable!B$3,ScoringTable!I$2,VLOOKUP((1000-G48),ScoringTable!G$2:I$95,3)))</f>
        <v>0</v>
      </c>
      <c r="K48" s="120" t="str" cm="1">
        <f t="array" ref="K48">IF(OR(E48="",G48=""),"",_xlfn.IFS(E48="U10B",_xlfn.XLOOKUP(G48,Data!$D$2:$L$2,Data!$D$1:$L$1,"",1,1),E48="U12B",_xlfn.XLOOKUP(G48,Data!$D$8:$L$8,Data!$D$1:$L$1,"",1,1),E48="U10G",_xlfn.XLOOKUP(G48,Data!$D$15:$L$15,Data!$D$1:$L$1,"",1,1),E48="U12G",_xlfn.XLOOKUP(G48,Data!$D$21:$L$21,Data!$D$1:$L$1,"",1,1)))</f>
        <v/>
      </c>
      <c r="L48" s="184" t="str" cm="1">
        <f t="array" ref="L48">IFERROR(_xlfn.IFNA(
                      _xlfn.IFS(
                      G48="", "",
                      AND(E48="U10B",G48&lt;=Data!$M$2), "U10 Boys record",
                      AND(E48="U12B",G48&lt;=Data!$M$8), "U12 Boys record",
                      AND(E48="U10G",G48&lt;=Data!$M$15), "U10 Girls record",
                      AND(E48="U12G",G48&lt;=Data!$M$21), "U12 Girls record"
                       ),""), "")</f>
        <v/>
      </c>
      <c r="M48" s="19" cm="1">
        <f t="array" ref="M48">_xlfn.IFS($G48="",0, AND(NOT(ISNUMBER($G48)),LOWER($G48)&lt;&gt;"dnf"),"Not a valid time",OR(LOWER($G48)="dnf",$G48&gt;ScoringTable!$M$161),1,RIGHT($E48,1)="B",_xlfn.XLOOKUP($G48,ScoringTable!$M$2:$M$161,ScoringTable!$L$2:$L$161,,1),TRUE,_xlfn.XLOOKUP($G48,ScoringTable!$S$2:$S$161,ScoringTable!$R$2:$R$161,,1))</f>
        <v>0</v>
      </c>
    </row>
    <row r="49" spans="1:13" s="7" customFormat="1" ht="16" customHeight="1">
      <c r="A49" s="280" t="s">
        <v>2</v>
      </c>
      <c r="B49" s="122" t="str">
        <f>IF(ISNA(VLOOKUP($F49,Declarations!B$6:C$293,2,FALSE)),"",IF(VLOOKUP($F49,Declarations!B$6:C$293,2,FALSE)="","NOT DECLARED",IF(ISNA(_xlfn.TEXTBEFORE(VLOOKUP($F49,Declarations!B$6:C$293,2,FALSE)," ")),VLOOKUP($F49,Declarations!B$6:C$293,2,FALSE),_xlfn.TEXTBEFORE(VLOOKUP($F49,Declarations!B$6:C$293,2,FALSE)," "))))</f>
        <v/>
      </c>
      <c r="C49" s="122" t="str">
        <f>IF(ISNA(VLOOKUP($F49,Declarations!B$6:C$293,2,FALSE)),"",IF(VLOOKUP($F49,Declarations!B$6:C$293,2,FALSE)="","NOT DECLARED",IF(ISNA(_xlfn.TEXTAFTER(VLOOKUP($F49,Declarations!B$6:C$293,2,FALSE)," ")),VLOOKUP($F49,Declarations!B$6:C$293,2,FALSE),_xlfn.TEXTAFTER(VLOOKUP($F49,Declarations!B$6:C$293,2,FALSE)," "))))</f>
        <v/>
      </c>
      <c r="D49" s="122" t="str">
        <f>IF(ISNA(VLOOKUP($F49,Declarations!$B$6:$F$293,5,FALSE)),"",IF(VLOOKUP($F49,Declarations!$B$6:$F$293,5,FALSE)="","NOT DECLARED",VLOOKUP($F49,Declarations!$B$6:$F$293,5,FALSE)))</f>
        <v/>
      </c>
      <c r="E49" s="120" t="str">
        <f>IF(ISNA(VLOOKUP($F49,Declarations!$B$6:$D$293,3,FALSE)),"",IF(VLOOKUP($F49,Declarations!$B$6:$D$293,3,FALSE)="","NOT DECLARED",VLOOKUP($F49,Declarations!$B$6:$D$293,3,FALSE)&amp;LEFT(VLOOKUP($F49,Declarations!$B$6:$E$293,4,FALSE))))</f>
        <v/>
      </c>
      <c r="F49" s="59"/>
      <c r="G49" s="130"/>
      <c r="H49" s="130"/>
      <c r="I49" s="122" t="str">
        <f>IF(ISNA(VLOOKUP(F49,Declarations!B$6:C$293,2,FALSE)),"",IF(VLOOKUP(F49,Declarations!B$6:C$293,2,FALSE)="","NOT DECLARED",VLOOKUP(F49,Declarations!B$6:C$293,2,FALSE)))</f>
        <v/>
      </c>
      <c r="J49" s="120">
        <f>IF(LOWER(G49)="dnf",1,IF(G49&lt;ScoringTable!B$3,ScoringTable!I$2,VLOOKUP((1000-G49),ScoringTable!G$2:I$95,3)))</f>
        <v>0</v>
      </c>
      <c r="K49" s="120" t="str" cm="1">
        <f t="array" ref="K49">IF(OR(E49="",G49=""),"",_xlfn.IFS(E49="U10B",_xlfn.XLOOKUP(G49,Data!$D$2:$L$2,Data!$D$1:$L$1,"",1,1),E49="U12B",_xlfn.XLOOKUP(G49,Data!$D$8:$L$8,Data!$D$1:$L$1,"",1,1),E49="U10G",_xlfn.XLOOKUP(G49,Data!$D$15:$L$15,Data!$D$1:$L$1,"",1,1),E49="U12G",_xlfn.XLOOKUP(G49,Data!$D$21:$L$21,Data!$D$1:$L$1,"",1,1)))</f>
        <v/>
      </c>
      <c r="L49" s="184" t="str" cm="1">
        <f t="array" ref="L49">IFERROR(_xlfn.IFNA(
                      _xlfn.IFS(
                      G49="", "",
                      AND(E49="U10B",G49&lt;=Data!$M$2), "U10 Boys record",
                      AND(E49="U12B",G49&lt;=Data!$M$8), "U12 Boys record",
                      AND(E49="U10G",G49&lt;=Data!$M$15), "U10 Girls record",
                      AND(E49="U12G",G49&lt;=Data!$M$21), "U12 Girls record"
                       ),""), "")</f>
        <v/>
      </c>
      <c r="M49" s="19" cm="1">
        <f t="array" ref="M49">_xlfn.IFS($G49="",0, AND(NOT(ISNUMBER($G49)),LOWER($G49)&lt;&gt;"dnf"),"Not a valid time",OR(LOWER($G49)="dnf",$G49&gt;ScoringTable!$M$161),1,RIGHT($E49,1)="B",_xlfn.XLOOKUP($G49,ScoringTable!$M$2:$M$161,ScoringTable!$L$2:$L$161,,1),TRUE,_xlfn.XLOOKUP($G49,ScoringTable!$S$2:$S$161,ScoringTable!$R$2:$R$161,,1))</f>
        <v>0</v>
      </c>
    </row>
    <row r="50" spans="1:13" s="7" customFormat="1" ht="16" customHeight="1">
      <c r="A50" s="280" t="s">
        <v>2</v>
      </c>
      <c r="B50" s="122" t="str">
        <f>IF(ISNA(VLOOKUP($F50,Declarations!B$6:C$293,2,FALSE)),"",IF(VLOOKUP($F50,Declarations!B$6:C$293,2,FALSE)="","NOT DECLARED",IF(ISNA(_xlfn.TEXTBEFORE(VLOOKUP($F50,Declarations!B$6:C$293,2,FALSE)," ")),VLOOKUP($F50,Declarations!B$6:C$293,2,FALSE),_xlfn.TEXTBEFORE(VLOOKUP($F50,Declarations!B$6:C$293,2,FALSE)," "))))</f>
        <v/>
      </c>
      <c r="C50" s="122" t="str">
        <f>IF(ISNA(VLOOKUP($F50,Declarations!B$6:C$293,2,FALSE)),"",IF(VLOOKUP($F50,Declarations!B$6:C$293,2,FALSE)="","NOT DECLARED",IF(ISNA(_xlfn.TEXTAFTER(VLOOKUP($F50,Declarations!B$6:C$293,2,FALSE)," ")),VLOOKUP($F50,Declarations!B$6:C$293,2,FALSE),_xlfn.TEXTAFTER(VLOOKUP($F50,Declarations!B$6:C$293,2,FALSE)," "))))</f>
        <v/>
      </c>
      <c r="D50" s="122" t="str">
        <f>IF(ISNA(VLOOKUP($F50,Declarations!$B$6:$F$293,5,FALSE)),"",IF(VLOOKUP($F50,Declarations!$B$6:$F$293,5,FALSE)="","NOT DECLARED",VLOOKUP($F50,Declarations!$B$6:$F$293,5,FALSE)))</f>
        <v/>
      </c>
      <c r="E50" s="120" t="str">
        <f>IF(ISNA(VLOOKUP($F50,Declarations!$B$6:$D$293,3,FALSE)),"",IF(VLOOKUP($F50,Declarations!$B$6:$D$293,3,FALSE)="","NOT DECLARED",VLOOKUP($F50,Declarations!$B$6:$D$293,3,FALSE)&amp;LEFT(VLOOKUP($F50,Declarations!$B$6:$E$293,4,FALSE))))</f>
        <v/>
      </c>
      <c r="F50" s="59"/>
      <c r="G50" s="130"/>
      <c r="H50" s="130"/>
      <c r="I50" s="122" t="str">
        <f>IF(ISNA(VLOOKUP(F50,Declarations!B$6:C$293,2,FALSE)),"",IF(VLOOKUP(F50,Declarations!B$6:C$293,2,FALSE)="","NOT DECLARED",VLOOKUP(F50,Declarations!B$6:C$293,2,FALSE)))</f>
        <v/>
      </c>
      <c r="J50" s="120">
        <f>IF(LOWER(G50)="dnf",1,IF(G50&lt;ScoringTable!B$3,ScoringTable!I$2,VLOOKUP((1000-G50),ScoringTable!G$2:I$95,3)))</f>
        <v>0</v>
      </c>
      <c r="K50" s="120" t="str" cm="1">
        <f t="array" ref="K50">IF(OR(E50="",G50=""),"",_xlfn.IFS(E50="U10B",_xlfn.XLOOKUP(G50,Data!$D$2:$L$2,Data!$D$1:$L$1,"",1,1),E50="U12B",_xlfn.XLOOKUP(G50,Data!$D$8:$L$8,Data!$D$1:$L$1,"",1,1),E50="U10G",_xlfn.XLOOKUP(G50,Data!$D$15:$L$15,Data!$D$1:$L$1,"",1,1),E50="U12G",_xlfn.XLOOKUP(G50,Data!$D$21:$L$21,Data!$D$1:$L$1,"",1,1)))</f>
        <v/>
      </c>
      <c r="L50" s="184" t="str" cm="1">
        <f t="array" ref="L50">IFERROR(_xlfn.IFNA(
                      _xlfn.IFS(
                      G50="", "",
                      AND(E50="U10B",G50&lt;=Data!$M$2), "U10 Boys record",
                      AND(E50="U12B",G50&lt;=Data!$M$8), "U12 Boys record",
                      AND(E50="U10G",G50&lt;=Data!$M$15), "U10 Girls record",
                      AND(E50="U12G",G50&lt;=Data!$M$21), "U12 Girls record"
                       ),""), "")</f>
        <v/>
      </c>
      <c r="M50" s="19" cm="1">
        <f t="array" ref="M50">_xlfn.IFS($G50="",0, AND(NOT(ISNUMBER($G50)),LOWER($G50)&lt;&gt;"dnf"),"Not a valid time",OR(LOWER($G50)="dnf",$G50&gt;ScoringTable!$M$161),1,RIGHT($E50,1)="B",_xlfn.XLOOKUP($G50,ScoringTable!$M$2:$M$161,ScoringTable!$L$2:$L$161,,1),TRUE,_xlfn.XLOOKUP($G50,ScoringTable!$S$2:$S$161,ScoringTable!$R$2:$R$161,,1))</f>
        <v>0</v>
      </c>
    </row>
    <row r="51" spans="1:13" s="7" customFormat="1" ht="16" customHeight="1">
      <c r="A51" s="280" t="s">
        <v>2</v>
      </c>
      <c r="B51" s="122" t="str">
        <f>IF(ISNA(VLOOKUP($F51,Declarations!B$6:C$293,2,FALSE)),"",IF(VLOOKUP($F51,Declarations!B$6:C$293,2,FALSE)="","NOT DECLARED",IF(ISNA(_xlfn.TEXTBEFORE(VLOOKUP($F51,Declarations!B$6:C$293,2,FALSE)," ")),VLOOKUP($F51,Declarations!B$6:C$293,2,FALSE),_xlfn.TEXTBEFORE(VLOOKUP($F51,Declarations!B$6:C$293,2,FALSE)," "))))</f>
        <v/>
      </c>
      <c r="C51" s="122" t="str">
        <f>IF(ISNA(VLOOKUP($F51,Declarations!B$6:C$293,2,FALSE)),"",IF(VLOOKUP($F51,Declarations!B$6:C$293,2,FALSE)="","NOT DECLARED",IF(ISNA(_xlfn.TEXTAFTER(VLOOKUP($F51,Declarations!B$6:C$293,2,FALSE)," ")),VLOOKUP($F51,Declarations!B$6:C$293,2,FALSE),_xlfn.TEXTAFTER(VLOOKUP($F51,Declarations!B$6:C$293,2,FALSE)," "))))</f>
        <v/>
      </c>
      <c r="D51" s="122" t="str">
        <f>IF(ISNA(VLOOKUP($F51,Declarations!$B$6:$F$293,5,FALSE)),"",IF(VLOOKUP($F51,Declarations!$B$6:$F$293,5,FALSE)="","NOT DECLARED",VLOOKUP($F51,Declarations!$B$6:$F$293,5,FALSE)))</f>
        <v/>
      </c>
      <c r="E51" s="120" t="str">
        <f>IF(ISNA(VLOOKUP($F51,Declarations!$B$6:$D$293,3,FALSE)),"",IF(VLOOKUP($F51,Declarations!$B$6:$D$293,3,FALSE)="","NOT DECLARED",VLOOKUP($F51,Declarations!$B$6:$D$293,3,FALSE)&amp;LEFT(VLOOKUP($F51,Declarations!$B$6:$E$293,4,FALSE))))</f>
        <v/>
      </c>
      <c r="F51" s="59"/>
      <c r="G51" s="130"/>
      <c r="H51" s="130"/>
      <c r="I51" s="122" t="str">
        <f>IF(ISNA(VLOOKUP(F51,Declarations!B$6:C$293,2,FALSE)),"",IF(VLOOKUP(F51,Declarations!B$6:C$293,2,FALSE)="","NOT DECLARED",VLOOKUP(F51,Declarations!B$6:C$293,2,FALSE)))</f>
        <v/>
      </c>
      <c r="J51" s="120">
        <f>IF(LOWER(G51)="dnf",1,IF(G51&lt;ScoringTable!B$3,ScoringTable!I$2,VLOOKUP((1000-G51),ScoringTable!G$2:I$95,3)))</f>
        <v>0</v>
      </c>
      <c r="K51" s="120" t="str" cm="1">
        <f t="array" ref="K51">IF(OR(E51="",G51=""),"",_xlfn.IFS(E51="U10B",_xlfn.XLOOKUP(G51,Data!$D$2:$L$2,Data!$D$1:$L$1,"",1,1),E51="U12B",_xlfn.XLOOKUP(G51,Data!$D$8:$L$8,Data!$D$1:$L$1,"",1,1),E51="U10G",_xlfn.XLOOKUP(G51,Data!$D$15:$L$15,Data!$D$1:$L$1,"",1,1),E51="U12G",_xlfn.XLOOKUP(G51,Data!$D$21:$L$21,Data!$D$1:$L$1,"",1,1)))</f>
        <v/>
      </c>
      <c r="L51" s="184" t="str" cm="1">
        <f t="array" ref="L51">IFERROR(_xlfn.IFNA(
                      _xlfn.IFS(
                      G51="", "",
                      AND(E51="U10B",G51&lt;=Data!$M$2), "U10 Boys record",
                      AND(E51="U12B",G51&lt;=Data!$M$8), "U12 Boys record",
                      AND(E51="U10G",G51&lt;=Data!$M$15), "U10 Girls record",
                      AND(E51="U12G",G51&lt;=Data!$M$21), "U12 Girls record"
                       ),""), "")</f>
        <v/>
      </c>
      <c r="M51" s="19" cm="1">
        <f t="array" ref="M51">_xlfn.IFS($G51="",0, AND(NOT(ISNUMBER($G51)),LOWER($G51)&lt;&gt;"dnf"),"Not a valid time",OR(LOWER($G51)="dnf",$G51&gt;ScoringTable!$M$161),1,RIGHT($E51,1)="B",_xlfn.XLOOKUP($G51,ScoringTable!$M$2:$M$161,ScoringTable!$L$2:$L$161,,1),TRUE,_xlfn.XLOOKUP($G51,ScoringTable!$S$2:$S$161,ScoringTable!$R$2:$R$161,,1))</f>
        <v>0</v>
      </c>
    </row>
    <row r="52" spans="1:13" s="7" customFormat="1" ht="16" customHeight="1">
      <c r="A52" s="280" t="s">
        <v>2</v>
      </c>
      <c r="B52" s="122" t="str">
        <f>IF(ISNA(VLOOKUP($F52,Declarations!B$6:C$293,2,FALSE)),"",IF(VLOOKUP($F52,Declarations!B$6:C$293,2,FALSE)="","NOT DECLARED",IF(ISNA(_xlfn.TEXTBEFORE(VLOOKUP($F52,Declarations!B$6:C$293,2,FALSE)," ")),VLOOKUP($F52,Declarations!B$6:C$293,2,FALSE),_xlfn.TEXTBEFORE(VLOOKUP($F52,Declarations!B$6:C$293,2,FALSE)," "))))</f>
        <v/>
      </c>
      <c r="C52" s="122" t="str">
        <f>IF(ISNA(VLOOKUP($F52,Declarations!B$6:C$293,2,FALSE)),"",IF(VLOOKUP($F52,Declarations!B$6:C$293,2,FALSE)="","NOT DECLARED",IF(ISNA(_xlfn.TEXTAFTER(VLOOKUP($F52,Declarations!B$6:C$293,2,FALSE)," ")),VLOOKUP($F52,Declarations!B$6:C$293,2,FALSE),_xlfn.TEXTAFTER(VLOOKUP($F52,Declarations!B$6:C$293,2,FALSE)," "))))</f>
        <v/>
      </c>
      <c r="D52" s="122" t="str">
        <f>IF(ISNA(VLOOKUP($F52,Declarations!$B$6:$F$293,5,FALSE)),"",IF(VLOOKUP($F52,Declarations!$B$6:$F$293,5,FALSE)="","NOT DECLARED",VLOOKUP($F52,Declarations!$B$6:$F$293,5,FALSE)))</f>
        <v/>
      </c>
      <c r="E52" s="120" t="str">
        <f>IF(ISNA(VLOOKUP($F52,Declarations!$B$6:$D$293,3,FALSE)),"",IF(VLOOKUP($F52,Declarations!$B$6:$D$293,3,FALSE)="","NOT DECLARED",VLOOKUP($F52,Declarations!$B$6:$D$293,3,FALSE)&amp;LEFT(VLOOKUP($F52,Declarations!$B$6:$E$293,4,FALSE))))</f>
        <v/>
      </c>
      <c r="F52" s="59"/>
      <c r="G52" s="130"/>
      <c r="H52" s="130"/>
      <c r="I52" s="122" t="str">
        <f>IF(ISNA(VLOOKUP(F52,Declarations!B$6:C$293,2,FALSE)),"",IF(VLOOKUP(F52,Declarations!B$6:C$293,2,FALSE)="","NOT DECLARED",VLOOKUP(F52,Declarations!B$6:C$293,2,FALSE)))</f>
        <v/>
      </c>
      <c r="J52" s="120">
        <f>IF(LOWER(G52)="dnf",1,IF(G52&lt;ScoringTable!B$3,ScoringTable!I$2,VLOOKUP((1000-G52),ScoringTable!G$2:I$95,3)))</f>
        <v>0</v>
      </c>
      <c r="K52" s="120" t="str" cm="1">
        <f t="array" ref="K52">IF(OR(E52="",G52=""),"",_xlfn.IFS(E52="U10B",_xlfn.XLOOKUP(G52,Data!$D$2:$L$2,Data!$D$1:$L$1,"",1,1),E52="U12B",_xlfn.XLOOKUP(G52,Data!$D$8:$L$8,Data!$D$1:$L$1,"",1,1),E52="U10G",_xlfn.XLOOKUP(G52,Data!$D$15:$L$15,Data!$D$1:$L$1,"",1,1),E52="U12G",_xlfn.XLOOKUP(G52,Data!$D$21:$L$21,Data!$D$1:$L$1,"",1,1)))</f>
        <v/>
      </c>
      <c r="L52" s="184" t="str" cm="1">
        <f t="array" ref="L52">IFERROR(_xlfn.IFNA(
                      _xlfn.IFS(
                      G52="", "",
                      AND(E52="U10B",G52&lt;=Data!$M$2), "U10 Boys record",
                      AND(E52="U12B",G52&lt;=Data!$M$8), "U12 Boys record",
                      AND(E52="U10G",G52&lt;=Data!$M$15), "U10 Girls record",
                      AND(E52="U12G",G52&lt;=Data!$M$21), "U12 Girls record"
                       ),""), "")</f>
        <v/>
      </c>
      <c r="M52" s="19" cm="1">
        <f t="array" ref="M52">_xlfn.IFS($G52="",0, AND(NOT(ISNUMBER($G52)),LOWER($G52)&lt;&gt;"dnf"),"Not a valid time",OR(LOWER($G52)="dnf",$G52&gt;ScoringTable!$M$161),1,RIGHT($E52,1)="B",_xlfn.XLOOKUP($G52,ScoringTable!$M$2:$M$161,ScoringTable!$L$2:$L$161,,1),TRUE,_xlfn.XLOOKUP($G52,ScoringTable!$S$2:$S$161,ScoringTable!$R$2:$R$161,,1))</f>
        <v>0</v>
      </c>
    </row>
    <row r="53" spans="1:13" s="7" customFormat="1" ht="16" customHeight="1">
      <c r="A53" s="280" t="s">
        <v>2</v>
      </c>
      <c r="B53" s="122" t="str">
        <f>IF(ISNA(VLOOKUP($F53,Declarations!B$6:C$293,2,FALSE)),"",IF(VLOOKUP($F53,Declarations!B$6:C$293,2,FALSE)="","NOT DECLARED",IF(ISNA(_xlfn.TEXTBEFORE(VLOOKUP($F53,Declarations!B$6:C$293,2,FALSE)," ")),VLOOKUP($F53,Declarations!B$6:C$293,2,FALSE),_xlfn.TEXTBEFORE(VLOOKUP($F53,Declarations!B$6:C$293,2,FALSE)," "))))</f>
        <v/>
      </c>
      <c r="C53" s="122" t="str">
        <f>IF(ISNA(VLOOKUP($F53,Declarations!B$6:C$293,2,FALSE)),"",IF(VLOOKUP($F53,Declarations!B$6:C$293,2,FALSE)="","NOT DECLARED",IF(ISNA(_xlfn.TEXTAFTER(VLOOKUP($F53,Declarations!B$6:C$293,2,FALSE)," ")),VLOOKUP($F53,Declarations!B$6:C$293,2,FALSE),_xlfn.TEXTAFTER(VLOOKUP($F53,Declarations!B$6:C$293,2,FALSE)," "))))</f>
        <v/>
      </c>
      <c r="D53" s="122" t="str">
        <f>IF(ISNA(VLOOKUP($F53,Declarations!$B$6:$F$293,5,FALSE)),"",IF(VLOOKUP($F53,Declarations!$B$6:$F$293,5,FALSE)="","NOT DECLARED",VLOOKUP($F53,Declarations!$B$6:$F$293,5,FALSE)))</f>
        <v/>
      </c>
      <c r="E53" s="120" t="str">
        <f>IF(ISNA(VLOOKUP($F53,Declarations!$B$6:$D$293,3,FALSE)),"",IF(VLOOKUP($F53,Declarations!$B$6:$D$293,3,FALSE)="","NOT DECLARED",VLOOKUP($F53,Declarations!$B$6:$D$293,3,FALSE)&amp;LEFT(VLOOKUP($F53,Declarations!$B$6:$E$293,4,FALSE))))</f>
        <v/>
      </c>
      <c r="F53" s="59"/>
      <c r="G53" s="130"/>
      <c r="H53" s="130"/>
      <c r="I53" s="122" t="str">
        <f>IF(ISNA(VLOOKUP(F53,Declarations!B$6:C$293,2,FALSE)),"",IF(VLOOKUP(F53,Declarations!B$6:C$293,2,FALSE)="","NOT DECLARED",VLOOKUP(F53,Declarations!B$6:C$293,2,FALSE)))</f>
        <v/>
      </c>
      <c r="J53" s="120">
        <f>IF(LOWER(G53)="dnf",1,IF(G53&lt;ScoringTable!B$3,ScoringTable!I$2,VLOOKUP((1000-G53),ScoringTable!G$2:I$95,3)))</f>
        <v>0</v>
      </c>
      <c r="K53" s="120" t="str" cm="1">
        <f t="array" ref="K53">IF(OR(E53="",G53=""),"",_xlfn.IFS(E53="U10B",_xlfn.XLOOKUP(G53,Data!$D$2:$L$2,Data!$D$1:$L$1,"",1,1),E53="U12B",_xlfn.XLOOKUP(G53,Data!$D$8:$L$8,Data!$D$1:$L$1,"",1,1),E53="U10G",_xlfn.XLOOKUP(G53,Data!$D$15:$L$15,Data!$D$1:$L$1,"",1,1),E53="U12G",_xlfn.XLOOKUP(G53,Data!$D$21:$L$21,Data!$D$1:$L$1,"",1,1)))</f>
        <v/>
      </c>
      <c r="L53" s="184" t="str" cm="1">
        <f t="array" ref="L53">IFERROR(_xlfn.IFNA(
                      _xlfn.IFS(
                      G53="", "",
                      AND(E53="U10B",G53&lt;=Data!$M$2), "U10 Boys record",
                      AND(E53="U12B",G53&lt;=Data!$M$8), "U12 Boys record",
                      AND(E53="U10G",G53&lt;=Data!$M$15), "U10 Girls record",
                      AND(E53="U12G",G53&lt;=Data!$M$21), "U12 Girls record"
                       ),""), "")</f>
        <v/>
      </c>
      <c r="M53" s="19" cm="1">
        <f t="array" ref="M53">_xlfn.IFS($G53="",0, AND(NOT(ISNUMBER($G53)),LOWER($G53)&lt;&gt;"dnf"),"Not a valid time",OR(LOWER($G53)="dnf",$G53&gt;ScoringTable!$M$161),1,RIGHT($E53,1)="B",_xlfn.XLOOKUP($G53,ScoringTable!$M$2:$M$161,ScoringTable!$L$2:$L$161,,1),TRUE,_xlfn.XLOOKUP($G53,ScoringTable!$S$2:$S$161,ScoringTable!$R$2:$R$161,,1))</f>
        <v>0</v>
      </c>
    </row>
    <row r="54" spans="1:13" s="7" customFormat="1" ht="16" customHeight="1">
      <c r="A54" s="280" t="s">
        <v>2</v>
      </c>
      <c r="B54" s="122" t="str">
        <f>IF(ISNA(VLOOKUP($F54,Declarations!B$6:C$293,2,FALSE)),"",IF(VLOOKUP($F54,Declarations!B$6:C$293,2,FALSE)="","NOT DECLARED",IF(ISNA(_xlfn.TEXTBEFORE(VLOOKUP($F54,Declarations!B$6:C$293,2,FALSE)," ")),VLOOKUP($F54,Declarations!B$6:C$293,2,FALSE),_xlfn.TEXTBEFORE(VLOOKUP($F54,Declarations!B$6:C$293,2,FALSE)," "))))</f>
        <v/>
      </c>
      <c r="C54" s="122" t="str">
        <f>IF(ISNA(VLOOKUP($F54,Declarations!B$6:C$293,2,FALSE)),"",IF(VLOOKUP($F54,Declarations!B$6:C$293,2,FALSE)="","NOT DECLARED",IF(ISNA(_xlfn.TEXTAFTER(VLOOKUP($F54,Declarations!B$6:C$293,2,FALSE)," ")),VLOOKUP($F54,Declarations!B$6:C$293,2,FALSE),_xlfn.TEXTAFTER(VLOOKUP($F54,Declarations!B$6:C$293,2,FALSE)," "))))</f>
        <v/>
      </c>
      <c r="D54" s="122" t="str">
        <f>IF(ISNA(VLOOKUP($F54,Declarations!$B$6:$F$293,5,FALSE)),"",IF(VLOOKUP($F54,Declarations!$B$6:$F$293,5,FALSE)="","NOT DECLARED",VLOOKUP($F54,Declarations!$B$6:$F$293,5,FALSE)))</f>
        <v/>
      </c>
      <c r="E54" s="120" t="str">
        <f>IF(ISNA(VLOOKUP($F54,Declarations!$B$6:$D$293,3,FALSE)),"",IF(VLOOKUP($F54,Declarations!$B$6:$D$293,3,FALSE)="","NOT DECLARED",VLOOKUP($F54,Declarations!$B$6:$D$293,3,FALSE)&amp;LEFT(VLOOKUP($F54,Declarations!$B$6:$E$293,4,FALSE))))</f>
        <v/>
      </c>
      <c r="F54" s="59"/>
      <c r="G54" s="130"/>
      <c r="H54" s="130"/>
      <c r="I54" s="122" t="str">
        <f>IF(ISNA(VLOOKUP(F54,Declarations!B$6:C$293,2,FALSE)),"",IF(VLOOKUP(F54,Declarations!B$6:C$293,2,FALSE)="","NOT DECLARED",VLOOKUP(F54,Declarations!B$6:C$293,2,FALSE)))</f>
        <v/>
      </c>
      <c r="J54" s="120">
        <f>IF(LOWER(G54)="dnf",1,IF(G54&lt;ScoringTable!B$3,ScoringTable!I$2,VLOOKUP((1000-G54),ScoringTable!G$2:I$95,3)))</f>
        <v>0</v>
      </c>
      <c r="K54" s="120" t="str" cm="1">
        <f t="array" ref="K54">IF(OR(E54="",G54=""),"",_xlfn.IFS(E54="U10B",_xlfn.XLOOKUP(G54,Data!$D$2:$L$2,Data!$D$1:$L$1,"",1,1),E54="U12B",_xlfn.XLOOKUP(G54,Data!$D$8:$L$8,Data!$D$1:$L$1,"",1,1),E54="U10G",_xlfn.XLOOKUP(G54,Data!$D$15:$L$15,Data!$D$1:$L$1,"",1,1),E54="U12G",_xlfn.XLOOKUP(G54,Data!$D$21:$L$21,Data!$D$1:$L$1,"",1,1)))</f>
        <v/>
      </c>
      <c r="L54" s="184" t="str" cm="1">
        <f t="array" ref="L54">IFERROR(_xlfn.IFNA(
                      _xlfn.IFS(
                      G54="", "",
                      AND(E54="U10B",G54&lt;=Data!$M$2), "U10 Boys record",
                      AND(E54="U12B",G54&lt;=Data!$M$8), "U12 Boys record",
                      AND(E54="U10G",G54&lt;=Data!$M$15), "U10 Girls record",
                      AND(E54="U12G",G54&lt;=Data!$M$21), "U12 Girls record"
                       ),""), "")</f>
        <v/>
      </c>
      <c r="M54" s="19" cm="1">
        <f t="array" ref="M54">_xlfn.IFS($G54="",0, AND(NOT(ISNUMBER($G54)),LOWER($G54)&lt;&gt;"dnf"),"Not a valid time",OR(LOWER($G54)="dnf",$G54&gt;ScoringTable!$M$161),1,RIGHT($E54,1)="B",_xlfn.XLOOKUP($G54,ScoringTable!$M$2:$M$161,ScoringTable!$L$2:$L$161,,1),TRUE,_xlfn.XLOOKUP($G54,ScoringTable!$S$2:$S$161,ScoringTable!$R$2:$R$161,,1))</f>
        <v>0</v>
      </c>
    </row>
    <row r="55" spans="1:13" s="7" customFormat="1" ht="16" customHeight="1">
      <c r="A55" s="280" t="s">
        <v>2</v>
      </c>
      <c r="B55" s="122" t="str">
        <f>IF(ISNA(VLOOKUP($F55,Declarations!B$6:C$293,2,FALSE)),"",IF(VLOOKUP($F55,Declarations!B$6:C$293,2,FALSE)="","NOT DECLARED",IF(ISNA(_xlfn.TEXTBEFORE(VLOOKUP($F55,Declarations!B$6:C$293,2,FALSE)," ")),VLOOKUP($F55,Declarations!B$6:C$293,2,FALSE),_xlfn.TEXTBEFORE(VLOOKUP($F55,Declarations!B$6:C$293,2,FALSE)," "))))</f>
        <v/>
      </c>
      <c r="C55" s="122" t="str">
        <f>IF(ISNA(VLOOKUP($F55,Declarations!B$6:C$293,2,FALSE)),"",IF(VLOOKUP($F55,Declarations!B$6:C$293,2,FALSE)="","NOT DECLARED",IF(ISNA(_xlfn.TEXTAFTER(VLOOKUP($F55,Declarations!B$6:C$293,2,FALSE)," ")),VLOOKUP($F55,Declarations!B$6:C$293,2,FALSE),_xlfn.TEXTAFTER(VLOOKUP($F55,Declarations!B$6:C$293,2,FALSE)," "))))</f>
        <v/>
      </c>
      <c r="D55" s="122" t="str">
        <f>IF(ISNA(VLOOKUP($F55,Declarations!$B$6:$F$293,5,FALSE)),"",IF(VLOOKUP($F55,Declarations!$B$6:$F$293,5,FALSE)="","NOT DECLARED",VLOOKUP($F55,Declarations!$B$6:$F$293,5,FALSE)))</f>
        <v/>
      </c>
      <c r="E55" s="120" t="str">
        <f>IF(ISNA(VLOOKUP($F55,Declarations!$B$6:$D$293,3,FALSE)),"",IF(VLOOKUP($F55,Declarations!$B$6:$D$293,3,FALSE)="","NOT DECLARED",VLOOKUP($F55,Declarations!$B$6:$D$293,3,FALSE)&amp;LEFT(VLOOKUP($F55,Declarations!$B$6:$E$293,4,FALSE))))</f>
        <v/>
      </c>
      <c r="F55" s="59"/>
      <c r="G55" s="130"/>
      <c r="H55" s="130"/>
      <c r="I55" s="122" t="str">
        <f>IF(ISNA(VLOOKUP(F55,Declarations!B$6:C$293,2,FALSE)),"",IF(VLOOKUP(F55,Declarations!B$6:C$293,2,FALSE)="","NOT DECLARED",VLOOKUP(F55,Declarations!B$6:C$293,2,FALSE)))</f>
        <v/>
      </c>
      <c r="J55" s="120">
        <f>IF(LOWER(G55)="dnf",1,IF(G55&lt;ScoringTable!B$3,ScoringTable!I$2,VLOOKUP((1000-G55),ScoringTable!G$2:I$95,3)))</f>
        <v>0</v>
      </c>
      <c r="K55" s="120" t="str" cm="1">
        <f t="array" ref="K55">IF(OR(E55="",G55=""),"",_xlfn.IFS(E55="U10B",_xlfn.XLOOKUP(G55,Data!$D$2:$L$2,Data!$D$1:$L$1,"",1,1),E55="U12B",_xlfn.XLOOKUP(G55,Data!$D$8:$L$8,Data!$D$1:$L$1,"",1,1),E55="U10G",_xlfn.XLOOKUP(G55,Data!$D$15:$L$15,Data!$D$1:$L$1,"",1,1),E55="U12G",_xlfn.XLOOKUP(G55,Data!$D$21:$L$21,Data!$D$1:$L$1,"",1,1)))</f>
        <v/>
      </c>
      <c r="L55" s="184" t="str" cm="1">
        <f t="array" ref="L55">IFERROR(_xlfn.IFNA(
                      _xlfn.IFS(
                      G55="", "",
                      AND(E55="U10B",G55&lt;=Data!$M$2), "U10 Boys record",
                      AND(E55="U12B",G55&lt;=Data!$M$8), "U12 Boys record",
                      AND(E55="U10G",G55&lt;=Data!$M$15), "U10 Girls record",
                      AND(E55="U12G",G55&lt;=Data!$M$21), "U12 Girls record"
                       ),""), "")</f>
        <v/>
      </c>
      <c r="M55" s="19" cm="1">
        <f t="array" ref="M55">_xlfn.IFS($G55="",0, AND(NOT(ISNUMBER($G55)),LOWER($G55)&lt;&gt;"dnf"),"Not a valid time",OR(LOWER($G55)="dnf",$G55&gt;ScoringTable!$M$161),1,RIGHT($E55,1)="B",_xlfn.XLOOKUP($G55,ScoringTable!$M$2:$M$161,ScoringTable!$L$2:$L$161,,1),TRUE,_xlfn.XLOOKUP($G55,ScoringTable!$S$2:$S$161,ScoringTable!$R$2:$R$161,,1))</f>
        <v>0</v>
      </c>
    </row>
    <row r="56" spans="1:13" s="7" customFormat="1" ht="16" customHeight="1">
      <c r="A56" s="280" t="s">
        <v>2</v>
      </c>
      <c r="B56" s="122" t="str">
        <f>IF(ISNA(VLOOKUP($F56,Declarations!B$6:C$293,2,FALSE)),"",IF(VLOOKUP($F56,Declarations!B$6:C$293,2,FALSE)="","NOT DECLARED",IF(ISNA(_xlfn.TEXTBEFORE(VLOOKUP($F56,Declarations!B$6:C$293,2,FALSE)," ")),VLOOKUP($F56,Declarations!B$6:C$293,2,FALSE),_xlfn.TEXTBEFORE(VLOOKUP($F56,Declarations!B$6:C$293,2,FALSE)," "))))</f>
        <v/>
      </c>
      <c r="C56" s="122" t="str">
        <f>IF(ISNA(VLOOKUP($F56,Declarations!B$6:C$293,2,FALSE)),"",IF(VLOOKUP($F56,Declarations!B$6:C$293,2,FALSE)="","NOT DECLARED",IF(ISNA(_xlfn.TEXTAFTER(VLOOKUP($F56,Declarations!B$6:C$293,2,FALSE)," ")),VLOOKUP($F56,Declarations!B$6:C$293,2,FALSE),_xlfn.TEXTAFTER(VLOOKUP($F56,Declarations!B$6:C$293,2,FALSE)," "))))</f>
        <v/>
      </c>
      <c r="D56" s="122" t="str">
        <f>IF(ISNA(VLOOKUP($F56,Declarations!$B$6:$F$293,5,FALSE)),"",IF(VLOOKUP($F56,Declarations!$B$6:$F$293,5,FALSE)="","NOT DECLARED",VLOOKUP($F56,Declarations!$B$6:$F$293,5,FALSE)))</f>
        <v/>
      </c>
      <c r="E56" s="120" t="str">
        <f>IF(ISNA(VLOOKUP($F56,Declarations!$B$6:$D$293,3,FALSE)),"",IF(VLOOKUP($F56,Declarations!$B$6:$D$293,3,FALSE)="","NOT DECLARED",VLOOKUP($F56,Declarations!$B$6:$D$293,3,FALSE)&amp;LEFT(VLOOKUP($F56,Declarations!$B$6:$E$293,4,FALSE))))</f>
        <v/>
      </c>
      <c r="F56" s="59"/>
      <c r="G56" s="130"/>
      <c r="H56" s="130"/>
      <c r="I56" s="122" t="str">
        <f>IF(ISNA(VLOOKUP(F56,Declarations!B$6:C$293,2,FALSE)),"",IF(VLOOKUP(F56,Declarations!B$6:C$293,2,FALSE)="","NOT DECLARED",VLOOKUP(F56,Declarations!B$6:C$293,2,FALSE)))</f>
        <v/>
      </c>
      <c r="J56" s="120">
        <f>IF(LOWER(G56)="dnf",1,IF(G56&lt;ScoringTable!B$3,ScoringTable!I$2,VLOOKUP((1000-G56),ScoringTable!G$2:I$95,3)))</f>
        <v>0</v>
      </c>
      <c r="K56" s="120" t="str" cm="1">
        <f t="array" ref="K56">IF(OR(E56="",G56=""),"",_xlfn.IFS(E56="U10B",_xlfn.XLOOKUP(G56,Data!$D$2:$L$2,Data!$D$1:$L$1,"",1,1),E56="U12B",_xlfn.XLOOKUP(G56,Data!$D$8:$L$8,Data!$D$1:$L$1,"",1,1),E56="U10G",_xlfn.XLOOKUP(G56,Data!$D$15:$L$15,Data!$D$1:$L$1,"",1,1),E56="U12G",_xlfn.XLOOKUP(G56,Data!$D$21:$L$21,Data!$D$1:$L$1,"",1,1)))</f>
        <v/>
      </c>
      <c r="L56" s="184" t="str" cm="1">
        <f t="array" ref="L56">IFERROR(_xlfn.IFNA(
                      _xlfn.IFS(
                      G56="", "",
                      AND(E56="U10B",G56&lt;=Data!$M$2), "U10 Boys record",
                      AND(E56="U12B",G56&lt;=Data!$M$8), "U12 Boys record",
                      AND(E56="U10G",G56&lt;=Data!$M$15), "U10 Girls record",
                      AND(E56="U12G",G56&lt;=Data!$M$21), "U12 Girls record"
                       ),""), "")</f>
        <v/>
      </c>
      <c r="M56" s="19" cm="1">
        <f t="array" ref="M56">_xlfn.IFS($G56="",0, AND(NOT(ISNUMBER($G56)),LOWER($G56)&lt;&gt;"dnf"),"Not a valid time",OR(LOWER($G56)="dnf",$G56&gt;ScoringTable!$M$161),1,RIGHT($E56,1)="B",_xlfn.XLOOKUP($G56,ScoringTable!$M$2:$M$161,ScoringTable!$L$2:$L$161,,1),TRUE,_xlfn.XLOOKUP($G56,ScoringTable!$S$2:$S$161,ScoringTable!$R$2:$R$161,,1))</f>
        <v>0</v>
      </c>
    </row>
    <row r="57" spans="1:13" s="7" customFormat="1" ht="16" customHeight="1">
      <c r="A57" s="280" t="s">
        <v>2</v>
      </c>
      <c r="B57" s="122" t="str">
        <f>IF(ISNA(VLOOKUP($F57,Declarations!B$6:C$293,2,FALSE)),"",IF(VLOOKUP($F57,Declarations!B$6:C$293,2,FALSE)="","NOT DECLARED",IF(ISNA(_xlfn.TEXTBEFORE(VLOOKUP($F57,Declarations!B$6:C$293,2,FALSE)," ")),VLOOKUP($F57,Declarations!B$6:C$293,2,FALSE),_xlfn.TEXTBEFORE(VLOOKUP($F57,Declarations!B$6:C$293,2,FALSE)," "))))</f>
        <v/>
      </c>
      <c r="C57" s="122" t="str">
        <f>IF(ISNA(VLOOKUP($F57,Declarations!B$6:C$293,2,FALSE)),"",IF(VLOOKUP($F57,Declarations!B$6:C$293,2,FALSE)="","NOT DECLARED",IF(ISNA(_xlfn.TEXTAFTER(VLOOKUP($F57,Declarations!B$6:C$293,2,FALSE)," ")),VLOOKUP($F57,Declarations!B$6:C$293,2,FALSE),_xlfn.TEXTAFTER(VLOOKUP($F57,Declarations!B$6:C$293,2,FALSE)," "))))</f>
        <v/>
      </c>
      <c r="D57" s="122" t="str">
        <f>IF(ISNA(VLOOKUP($F57,Declarations!$B$6:$F$293,5,FALSE)),"",IF(VLOOKUP($F57,Declarations!$B$6:$F$293,5,FALSE)="","NOT DECLARED",VLOOKUP($F57,Declarations!$B$6:$F$293,5,FALSE)))</f>
        <v/>
      </c>
      <c r="E57" s="120" t="str">
        <f>IF(ISNA(VLOOKUP($F57,Declarations!$B$6:$D$293,3,FALSE)),"",IF(VLOOKUP($F57,Declarations!$B$6:$D$293,3,FALSE)="","NOT DECLARED",VLOOKUP($F57,Declarations!$B$6:$D$293,3,FALSE)&amp;LEFT(VLOOKUP($F57,Declarations!$B$6:$E$293,4,FALSE))))</f>
        <v/>
      </c>
      <c r="F57" s="59"/>
      <c r="G57" s="130"/>
      <c r="H57" s="130"/>
      <c r="I57" s="122" t="str">
        <f>IF(ISNA(VLOOKUP(F57,Declarations!B$6:C$293,2,FALSE)),"",IF(VLOOKUP(F57,Declarations!B$6:C$293,2,FALSE)="","NOT DECLARED",VLOOKUP(F57,Declarations!B$6:C$293,2,FALSE)))</f>
        <v/>
      </c>
      <c r="J57" s="120">
        <f>IF(LOWER(G57)="dnf",1,IF(G57&lt;ScoringTable!B$3,ScoringTable!I$2,VLOOKUP((1000-G57),ScoringTable!G$2:I$95,3)))</f>
        <v>0</v>
      </c>
      <c r="K57" s="120" t="str" cm="1">
        <f t="array" ref="K57">IF(OR(E57="",G57=""),"",_xlfn.IFS(E57="U10B",_xlfn.XLOOKUP(G57,Data!$D$2:$L$2,Data!$D$1:$L$1,"",1,1),E57="U12B",_xlfn.XLOOKUP(G57,Data!$D$8:$L$8,Data!$D$1:$L$1,"",1,1),E57="U10G",_xlfn.XLOOKUP(G57,Data!$D$15:$L$15,Data!$D$1:$L$1,"",1,1),E57="U12G",_xlfn.XLOOKUP(G57,Data!$D$21:$L$21,Data!$D$1:$L$1,"",1,1)))</f>
        <v/>
      </c>
      <c r="L57" s="184" t="str" cm="1">
        <f t="array" ref="L57">IFERROR(_xlfn.IFNA(
                      _xlfn.IFS(
                      G57="", "",
                      AND(E57="U10B",G57&lt;=Data!$M$2), "U10 Boys record",
                      AND(E57="U12B",G57&lt;=Data!$M$8), "U12 Boys record",
                      AND(E57="U10G",G57&lt;=Data!$M$15), "U10 Girls record",
                      AND(E57="U12G",G57&lt;=Data!$M$21), "U12 Girls record"
                       ),""), "")</f>
        <v/>
      </c>
      <c r="M57" s="19" cm="1">
        <f t="array" ref="M57">_xlfn.IFS($G57="",0, AND(NOT(ISNUMBER($G57)),LOWER($G57)&lt;&gt;"dnf"),"Not a valid time",OR(LOWER($G57)="dnf",$G57&gt;ScoringTable!$M$161),1,RIGHT($E57,1)="B",_xlfn.XLOOKUP($G57,ScoringTable!$M$2:$M$161,ScoringTable!$L$2:$L$161,,1),TRUE,_xlfn.XLOOKUP($G57,ScoringTable!$S$2:$S$161,ScoringTable!$R$2:$R$161,,1))</f>
        <v>0</v>
      </c>
    </row>
    <row r="58" spans="1:13" s="7" customFormat="1" ht="16" customHeight="1">
      <c r="A58" s="280" t="s">
        <v>2</v>
      </c>
      <c r="B58" s="122" t="str">
        <f>IF(ISNA(VLOOKUP($F58,Declarations!B$6:C$293,2,FALSE)),"",IF(VLOOKUP($F58,Declarations!B$6:C$293,2,FALSE)="","NOT DECLARED",IF(ISNA(_xlfn.TEXTBEFORE(VLOOKUP($F58,Declarations!B$6:C$293,2,FALSE)," ")),VLOOKUP($F58,Declarations!B$6:C$293,2,FALSE),_xlfn.TEXTBEFORE(VLOOKUP($F58,Declarations!B$6:C$293,2,FALSE)," "))))</f>
        <v/>
      </c>
      <c r="C58" s="122" t="str">
        <f>IF(ISNA(VLOOKUP($F58,Declarations!B$6:C$293,2,FALSE)),"",IF(VLOOKUP($F58,Declarations!B$6:C$293,2,FALSE)="","NOT DECLARED",IF(ISNA(_xlfn.TEXTAFTER(VLOOKUP($F58,Declarations!B$6:C$293,2,FALSE)," ")),VLOOKUP($F58,Declarations!B$6:C$293,2,FALSE),_xlfn.TEXTAFTER(VLOOKUP($F58,Declarations!B$6:C$293,2,FALSE)," "))))</f>
        <v/>
      </c>
      <c r="D58" s="122" t="str">
        <f>IF(ISNA(VLOOKUP($F58,Declarations!$B$6:$F$293,5,FALSE)),"",IF(VLOOKUP($F58,Declarations!$B$6:$F$293,5,FALSE)="","NOT DECLARED",VLOOKUP($F58,Declarations!$B$6:$F$293,5,FALSE)))</f>
        <v/>
      </c>
      <c r="E58" s="120" t="str">
        <f>IF(ISNA(VLOOKUP($F58,Declarations!$B$6:$D$293,3,FALSE)),"",IF(VLOOKUP($F58,Declarations!$B$6:$D$293,3,FALSE)="","NOT DECLARED",VLOOKUP($F58,Declarations!$B$6:$D$293,3,FALSE)&amp;LEFT(VLOOKUP($F58,Declarations!$B$6:$E$293,4,FALSE))))</f>
        <v/>
      </c>
      <c r="F58" s="59"/>
      <c r="G58" s="130"/>
      <c r="H58" s="130"/>
      <c r="I58" s="122" t="str">
        <f>IF(ISNA(VLOOKUP(F58,Declarations!B$6:C$293,2,FALSE)),"",IF(VLOOKUP(F58,Declarations!B$6:C$293,2,FALSE)="","NOT DECLARED",VLOOKUP(F58,Declarations!B$6:C$293,2,FALSE)))</f>
        <v/>
      </c>
      <c r="J58" s="120">
        <f>IF(LOWER(G58)="dnf",1,IF(G58&lt;ScoringTable!B$3,ScoringTable!I$2,VLOOKUP((1000-G58),ScoringTable!G$2:I$95,3)))</f>
        <v>0</v>
      </c>
      <c r="K58" s="120" t="str" cm="1">
        <f t="array" ref="K58">IF(OR(E58="",G58=""),"",_xlfn.IFS(E58="U10B",_xlfn.XLOOKUP(G58,Data!$D$2:$L$2,Data!$D$1:$L$1,"",1,1),E58="U12B",_xlfn.XLOOKUP(G58,Data!$D$8:$L$8,Data!$D$1:$L$1,"",1,1),E58="U10G",_xlfn.XLOOKUP(G58,Data!$D$15:$L$15,Data!$D$1:$L$1,"",1,1),E58="U12G",_xlfn.XLOOKUP(G58,Data!$D$21:$L$21,Data!$D$1:$L$1,"",1,1)))</f>
        <v/>
      </c>
      <c r="L58" s="184" t="str" cm="1">
        <f t="array" ref="L58">IFERROR(_xlfn.IFNA(
                      _xlfn.IFS(
                      G58="", "",
                      AND(E58="U10B",G58&lt;=Data!$M$2), "U10 Boys record",
                      AND(E58="U12B",G58&lt;=Data!$M$8), "U12 Boys record",
                      AND(E58="U10G",G58&lt;=Data!$M$15), "U10 Girls record",
                      AND(E58="U12G",G58&lt;=Data!$M$21), "U12 Girls record"
                       ),""), "")</f>
        <v/>
      </c>
      <c r="M58" s="19" cm="1">
        <f t="array" ref="M58">_xlfn.IFS($G58="",0, AND(NOT(ISNUMBER($G58)),LOWER($G58)&lt;&gt;"dnf"),"Not a valid time",OR(LOWER($G58)="dnf",$G58&gt;ScoringTable!$M$161),1,RIGHT($E58,1)="B",_xlfn.XLOOKUP($G58,ScoringTable!$M$2:$M$161,ScoringTable!$L$2:$L$161,,1),TRUE,_xlfn.XLOOKUP($G58,ScoringTable!$S$2:$S$161,ScoringTable!$R$2:$R$161,,1))</f>
        <v>0</v>
      </c>
    </row>
    <row r="59" spans="1:13" s="7" customFormat="1" ht="16" customHeight="1">
      <c r="A59" s="280" t="s">
        <v>2</v>
      </c>
      <c r="B59" s="122" t="str">
        <f>IF(ISNA(VLOOKUP($F59,Declarations!B$6:C$293,2,FALSE)),"",IF(VLOOKUP($F59,Declarations!B$6:C$293,2,FALSE)="","NOT DECLARED",IF(ISNA(_xlfn.TEXTBEFORE(VLOOKUP($F59,Declarations!B$6:C$293,2,FALSE)," ")),VLOOKUP($F59,Declarations!B$6:C$293,2,FALSE),_xlfn.TEXTBEFORE(VLOOKUP($F59,Declarations!B$6:C$293,2,FALSE)," "))))</f>
        <v/>
      </c>
      <c r="C59" s="122" t="str">
        <f>IF(ISNA(VLOOKUP($F59,Declarations!B$6:C$293,2,FALSE)),"",IF(VLOOKUP($F59,Declarations!B$6:C$293,2,FALSE)="","NOT DECLARED",IF(ISNA(_xlfn.TEXTAFTER(VLOOKUP($F59,Declarations!B$6:C$293,2,FALSE)," ")),VLOOKUP($F59,Declarations!B$6:C$293,2,FALSE),_xlfn.TEXTAFTER(VLOOKUP($F59,Declarations!B$6:C$293,2,FALSE)," "))))</f>
        <v/>
      </c>
      <c r="D59" s="122" t="str">
        <f>IF(ISNA(VLOOKUP($F59,Declarations!$B$6:$F$293,5,FALSE)),"",IF(VLOOKUP($F59,Declarations!$B$6:$F$293,5,FALSE)="","NOT DECLARED",VLOOKUP($F59,Declarations!$B$6:$F$293,5,FALSE)))</f>
        <v/>
      </c>
      <c r="E59" s="120" t="str">
        <f>IF(ISNA(VLOOKUP($F59,Declarations!$B$6:$D$293,3,FALSE)),"",IF(VLOOKUP($F59,Declarations!$B$6:$D$293,3,FALSE)="","NOT DECLARED",VLOOKUP($F59,Declarations!$B$6:$D$293,3,FALSE)&amp;LEFT(VLOOKUP($F59,Declarations!$B$6:$E$293,4,FALSE))))</f>
        <v/>
      </c>
      <c r="F59" s="59"/>
      <c r="G59" s="130"/>
      <c r="H59" s="130"/>
      <c r="I59" s="122" t="str">
        <f>IF(ISNA(VLOOKUP(F59,Declarations!B$6:C$293,2,FALSE)),"",IF(VLOOKUP(F59,Declarations!B$6:C$293,2,FALSE)="","NOT DECLARED",VLOOKUP(F59,Declarations!B$6:C$293,2,FALSE)))</f>
        <v/>
      </c>
      <c r="J59" s="120">
        <f>IF(LOWER(G59)="dnf",1,IF(G59&lt;ScoringTable!B$3,ScoringTable!I$2,VLOOKUP((1000-G59),ScoringTable!G$2:I$95,3)))</f>
        <v>0</v>
      </c>
      <c r="K59" s="120" t="str" cm="1">
        <f t="array" ref="K59">IF(OR(E59="",G59=""),"",_xlfn.IFS(E59="U10B",_xlfn.XLOOKUP(G59,Data!$D$2:$L$2,Data!$D$1:$L$1,"",1,1),E59="U12B",_xlfn.XLOOKUP(G59,Data!$D$8:$L$8,Data!$D$1:$L$1,"",1,1),E59="U10G",_xlfn.XLOOKUP(G59,Data!$D$15:$L$15,Data!$D$1:$L$1,"",1,1),E59="U12G",_xlfn.XLOOKUP(G59,Data!$D$21:$L$21,Data!$D$1:$L$1,"",1,1)))</f>
        <v/>
      </c>
      <c r="L59" s="184" t="str" cm="1">
        <f t="array" ref="L59">IFERROR(_xlfn.IFNA(
                      _xlfn.IFS(
                      G59="", "",
                      AND(E59="U10B",G59&lt;=Data!$M$2), "U10 Boys record",
                      AND(E59="U12B",G59&lt;=Data!$M$8), "U12 Boys record",
                      AND(E59="U10G",G59&lt;=Data!$M$15), "U10 Girls record",
                      AND(E59="U12G",G59&lt;=Data!$M$21), "U12 Girls record"
                       ),""), "")</f>
        <v/>
      </c>
      <c r="M59" s="19" cm="1">
        <f t="array" ref="M59">_xlfn.IFS($G59="",0, AND(NOT(ISNUMBER($G59)),LOWER($G59)&lt;&gt;"dnf"),"Not a valid time",OR(LOWER($G59)="dnf",$G59&gt;ScoringTable!$M$161),1,RIGHT($E59,1)="B",_xlfn.XLOOKUP($G59,ScoringTable!$M$2:$M$161,ScoringTable!$L$2:$L$161,,1),TRUE,_xlfn.XLOOKUP($G59,ScoringTable!$S$2:$S$161,ScoringTable!$R$2:$R$161,,1))</f>
        <v>0</v>
      </c>
    </row>
    <row r="60" spans="1:13" s="7" customFormat="1" ht="16" customHeight="1">
      <c r="A60" s="280" t="s">
        <v>2</v>
      </c>
      <c r="B60" s="122" t="str">
        <f>IF(ISNA(VLOOKUP($F60,Declarations!B$6:C$293,2,FALSE)),"",IF(VLOOKUP($F60,Declarations!B$6:C$293,2,FALSE)="","NOT DECLARED",IF(ISNA(_xlfn.TEXTBEFORE(VLOOKUP($F60,Declarations!B$6:C$293,2,FALSE)," ")),VLOOKUP($F60,Declarations!B$6:C$293,2,FALSE),_xlfn.TEXTBEFORE(VLOOKUP($F60,Declarations!B$6:C$293,2,FALSE)," "))))</f>
        <v/>
      </c>
      <c r="C60" s="122" t="str">
        <f>IF(ISNA(VLOOKUP($F60,Declarations!B$6:C$293,2,FALSE)),"",IF(VLOOKUP($F60,Declarations!B$6:C$293,2,FALSE)="","NOT DECLARED",IF(ISNA(_xlfn.TEXTAFTER(VLOOKUP($F60,Declarations!B$6:C$293,2,FALSE)," ")),VLOOKUP($F60,Declarations!B$6:C$293,2,FALSE),_xlfn.TEXTAFTER(VLOOKUP($F60,Declarations!B$6:C$293,2,FALSE)," "))))</f>
        <v/>
      </c>
      <c r="D60" s="122" t="str">
        <f>IF(ISNA(VLOOKUP($F60,Declarations!$B$6:$F$293,5,FALSE)),"",IF(VLOOKUP($F60,Declarations!$B$6:$F$293,5,FALSE)="","NOT DECLARED",VLOOKUP($F60,Declarations!$B$6:$F$293,5,FALSE)))</f>
        <v/>
      </c>
      <c r="E60" s="120" t="str">
        <f>IF(ISNA(VLOOKUP($F60,Declarations!$B$6:$D$293,3,FALSE)),"",IF(VLOOKUP($F60,Declarations!$B$6:$D$293,3,FALSE)="","NOT DECLARED",VLOOKUP($F60,Declarations!$B$6:$D$293,3,FALSE)&amp;LEFT(VLOOKUP($F60,Declarations!$B$6:$E$293,4,FALSE))))</f>
        <v/>
      </c>
      <c r="F60" s="59"/>
      <c r="G60" s="130"/>
      <c r="H60" s="130"/>
      <c r="I60" s="122" t="str">
        <f>IF(ISNA(VLOOKUP(F60,Declarations!B$6:C$293,2,FALSE)),"",IF(VLOOKUP(F60,Declarations!B$6:C$293,2,FALSE)="","NOT DECLARED",VLOOKUP(F60,Declarations!B$6:C$293,2,FALSE)))</f>
        <v/>
      </c>
      <c r="J60" s="120">
        <f>IF(LOWER(G60)="dnf",1,IF(G60&lt;ScoringTable!B$3,ScoringTable!I$2,VLOOKUP((1000-G60),ScoringTable!G$2:I$95,3)))</f>
        <v>0</v>
      </c>
      <c r="K60" s="120" t="str" cm="1">
        <f t="array" ref="K60">IF(OR(E60="",G60=""),"",_xlfn.IFS(E60="U10B",_xlfn.XLOOKUP(G60,Data!$D$2:$L$2,Data!$D$1:$L$1,"",1,1),E60="U12B",_xlfn.XLOOKUP(G60,Data!$D$8:$L$8,Data!$D$1:$L$1,"",1,1),E60="U10G",_xlfn.XLOOKUP(G60,Data!$D$15:$L$15,Data!$D$1:$L$1,"",1,1),E60="U12G",_xlfn.XLOOKUP(G60,Data!$D$21:$L$21,Data!$D$1:$L$1,"",1,1)))</f>
        <v/>
      </c>
      <c r="L60" s="184" t="str" cm="1">
        <f t="array" ref="L60">IFERROR(_xlfn.IFNA(
                      _xlfn.IFS(
                      G60="", "",
                      AND(E60="U10B",G60&lt;=Data!$M$2), "U10 Boys record",
                      AND(E60="U12B",G60&lt;=Data!$M$8), "U12 Boys record",
                      AND(E60="U10G",G60&lt;=Data!$M$15), "U10 Girls record",
                      AND(E60="U12G",G60&lt;=Data!$M$21), "U12 Girls record"
                       ),""), "")</f>
        <v/>
      </c>
      <c r="M60" s="19" cm="1">
        <f t="array" ref="M60">_xlfn.IFS($G60="",0, AND(NOT(ISNUMBER($G60)),LOWER($G60)&lt;&gt;"dnf"),"Not a valid time",OR(LOWER($G60)="dnf",$G60&gt;ScoringTable!$M$161),1,RIGHT($E60,1)="B",_xlfn.XLOOKUP($G60,ScoringTable!$M$2:$M$161,ScoringTable!$L$2:$L$161,,1),TRUE,_xlfn.XLOOKUP($G60,ScoringTable!$S$2:$S$161,ScoringTable!$R$2:$R$161,,1))</f>
        <v>0</v>
      </c>
    </row>
    <row r="61" spans="1:13" s="7" customFormat="1" ht="16" customHeight="1">
      <c r="A61" s="280" t="s">
        <v>2</v>
      </c>
      <c r="B61" s="122" t="str">
        <f>IF(ISNA(VLOOKUP($F61,Declarations!B$6:C$293,2,FALSE)),"",IF(VLOOKUP($F61,Declarations!B$6:C$293,2,FALSE)="","NOT DECLARED",IF(ISNA(_xlfn.TEXTBEFORE(VLOOKUP($F61,Declarations!B$6:C$293,2,FALSE)," ")),VLOOKUP($F61,Declarations!B$6:C$293,2,FALSE),_xlfn.TEXTBEFORE(VLOOKUP($F61,Declarations!B$6:C$293,2,FALSE)," "))))</f>
        <v/>
      </c>
      <c r="C61" s="122" t="str">
        <f>IF(ISNA(VLOOKUP($F61,Declarations!B$6:C$293,2,FALSE)),"",IF(VLOOKUP($F61,Declarations!B$6:C$293,2,FALSE)="","NOT DECLARED",IF(ISNA(_xlfn.TEXTAFTER(VLOOKUP($F61,Declarations!B$6:C$293,2,FALSE)," ")),VLOOKUP($F61,Declarations!B$6:C$293,2,FALSE),_xlfn.TEXTAFTER(VLOOKUP($F61,Declarations!B$6:C$293,2,FALSE)," "))))</f>
        <v/>
      </c>
      <c r="D61" s="122" t="str">
        <f>IF(ISNA(VLOOKUP($F61,Declarations!$B$6:$F$293,5,FALSE)),"",IF(VLOOKUP($F61,Declarations!$B$6:$F$293,5,FALSE)="","NOT DECLARED",VLOOKUP($F61,Declarations!$B$6:$F$293,5,FALSE)))</f>
        <v/>
      </c>
      <c r="E61" s="120" t="str">
        <f>IF(ISNA(VLOOKUP($F61,Declarations!$B$6:$D$293,3,FALSE)),"",IF(VLOOKUP($F61,Declarations!$B$6:$D$293,3,FALSE)="","NOT DECLARED",VLOOKUP($F61,Declarations!$B$6:$D$293,3,FALSE)&amp;LEFT(VLOOKUP($F61,Declarations!$B$6:$E$293,4,FALSE))))</f>
        <v/>
      </c>
      <c r="F61" s="59"/>
      <c r="G61" s="130"/>
      <c r="H61" s="130"/>
      <c r="I61" s="122" t="str">
        <f>IF(ISNA(VLOOKUP(F61,Declarations!B$6:C$293,2,FALSE)),"",IF(VLOOKUP(F61,Declarations!B$6:C$293,2,FALSE)="","NOT DECLARED",VLOOKUP(F61,Declarations!B$6:C$293,2,FALSE)))</f>
        <v/>
      </c>
      <c r="J61" s="120">
        <f>IF(LOWER(G61)="dnf",1,IF(G61&lt;ScoringTable!B$3,ScoringTable!I$2,VLOOKUP((1000-G61),ScoringTable!G$2:I$95,3)))</f>
        <v>0</v>
      </c>
      <c r="K61" s="120" t="str" cm="1">
        <f t="array" ref="K61">IF(OR(E61="",G61=""),"",_xlfn.IFS(E61="U10B",_xlfn.XLOOKUP(G61,Data!$D$2:$L$2,Data!$D$1:$L$1,"",1,1),E61="U12B",_xlfn.XLOOKUP(G61,Data!$D$8:$L$8,Data!$D$1:$L$1,"",1,1),E61="U10G",_xlfn.XLOOKUP(G61,Data!$D$15:$L$15,Data!$D$1:$L$1,"",1,1),E61="U12G",_xlfn.XLOOKUP(G61,Data!$D$21:$L$21,Data!$D$1:$L$1,"",1,1)))</f>
        <v/>
      </c>
      <c r="L61" s="184" t="str" cm="1">
        <f t="array" ref="L61">IFERROR(_xlfn.IFNA(
                      _xlfn.IFS(
                      G61="", "",
                      AND(E61="U10B",G61&lt;=Data!$M$2), "U10 Boys record",
                      AND(E61="U12B",G61&lt;=Data!$M$8), "U12 Boys record",
                      AND(E61="U10G",G61&lt;=Data!$M$15), "U10 Girls record",
                      AND(E61="U12G",G61&lt;=Data!$M$21), "U12 Girls record"
                       ),""), "")</f>
        <v/>
      </c>
      <c r="M61" s="19" cm="1">
        <f t="array" ref="M61">_xlfn.IFS($G61="",0, AND(NOT(ISNUMBER($G61)),LOWER($G61)&lt;&gt;"dnf"),"Not a valid time",OR(LOWER($G61)="dnf",$G61&gt;ScoringTable!$M$161),1,RIGHT($E61,1)="B",_xlfn.XLOOKUP($G61,ScoringTable!$M$2:$M$161,ScoringTable!$L$2:$L$161,,1),TRUE,_xlfn.XLOOKUP($G61,ScoringTable!$S$2:$S$161,ScoringTable!$R$2:$R$161,,1))</f>
        <v>0</v>
      </c>
    </row>
    <row r="62" spans="1:13" s="7" customFormat="1" ht="16" customHeight="1">
      <c r="A62" s="280" t="s">
        <v>2</v>
      </c>
      <c r="B62" s="122" t="str">
        <f>IF(ISNA(VLOOKUP($F62,Declarations!B$6:C$293,2,FALSE)),"",IF(VLOOKUP($F62,Declarations!B$6:C$293,2,FALSE)="","NOT DECLARED",IF(ISNA(_xlfn.TEXTBEFORE(VLOOKUP($F62,Declarations!B$6:C$293,2,FALSE)," ")),VLOOKUP($F62,Declarations!B$6:C$293,2,FALSE),_xlfn.TEXTBEFORE(VLOOKUP($F62,Declarations!B$6:C$293,2,FALSE)," "))))</f>
        <v/>
      </c>
      <c r="C62" s="122" t="str">
        <f>IF(ISNA(VLOOKUP($F62,Declarations!B$6:C$293,2,FALSE)),"",IF(VLOOKUP($F62,Declarations!B$6:C$293,2,FALSE)="","NOT DECLARED",IF(ISNA(_xlfn.TEXTAFTER(VLOOKUP($F62,Declarations!B$6:C$293,2,FALSE)," ")),VLOOKUP($F62,Declarations!B$6:C$293,2,FALSE),_xlfn.TEXTAFTER(VLOOKUP($F62,Declarations!B$6:C$293,2,FALSE)," "))))</f>
        <v/>
      </c>
      <c r="D62" s="122" t="str">
        <f>IF(ISNA(VLOOKUP($F62,Declarations!$B$6:$F$293,5,FALSE)),"",IF(VLOOKUP($F62,Declarations!$B$6:$F$293,5,FALSE)="","NOT DECLARED",VLOOKUP($F62,Declarations!$B$6:$F$293,5,FALSE)))</f>
        <v/>
      </c>
      <c r="E62" s="120" t="str">
        <f>IF(ISNA(VLOOKUP($F62,Declarations!$B$6:$D$293,3,FALSE)),"",IF(VLOOKUP($F62,Declarations!$B$6:$D$293,3,FALSE)="","NOT DECLARED",VLOOKUP($F62,Declarations!$B$6:$D$293,3,FALSE)&amp;LEFT(VLOOKUP($F62,Declarations!$B$6:$E$293,4,FALSE))))</f>
        <v/>
      </c>
      <c r="F62" s="59"/>
      <c r="G62" s="130"/>
      <c r="H62" s="130"/>
      <c r="I62" s="122" t="str">
        <f>IF(ISNA(VLOOKUP(F62,Declarations!B$6:C$293,2,FALSE)),"",IF(VLOOKUP(F62,Declarations!B$6:C$293,2,FALSE)="","NOT DECLARED",VLOOKUP(F62,Declarations!B$6:C$293,2,FALSE)))</f>
        <v/>
      </c>
      <c r="J62" s="120">
        <f>IF(LOWER(G62)="dnf",1,IF(G62&lt;ScoringTable!B$3,ScoringTable!I$2,VLOOKUP((1000-G62),ScoringTable!G$2:I$95,3)))</f>
        <v>0</v>
      </c>
      <c r="K62" s="120" t="str" cm="1">
        <f t="array" ref="K62">IF(OR(E62="",G62=""),"",_xlfn.IFS(E62="U10B",_xlfn.XLOOKUP(G62,Data!$D$2:$L$2,Data!$D$1:$L$1,"",1,1),E62="U12B",_xlfn.XLOOKUP(G62,Data!$D$8:$L$8,Data!$D$1:$L$1,"",1,1),E62="U10G",_xlfn.XLOOKUP(G62,Data!$D$15:$L$15,Data!$D$1:$L$1,"",1,1),E62="U12G",_xlfn.XLOOKUP(G62,Data!$D$21:$L$21,Data!$D$1:$L$1,"",1,1)))</f>
        <v/>
      </c>
      <c r="L62" s="184" t="str" cm="1">
        <f t="array" ref="L62">IFERROR(_xlfn.IFNA(
                      _xlfn.IFS(
                      G62="", "",
                      AND(E62="U10B",G62&lt;=Data!$M$2), "U10 Boys record",
                      AND(E62="U12B",G62&lt;=Data!$M$8), "U12 Boys record",
                      AND(E62="U10G",G62&lt;=Data!$M$15), "U10 Girls record",
                      AND(E62="U12G",G62&lt;=Data!$M$21), "U12 Girls record"
                       ),""), "")</f>
        <v/>
      </c>
      <c r="M62" s="19" cm="1">
        <f t="array" ref="M62">_xlfn.IFS($G62="",0, AND(NOT(ISNUMBER($G62)),LOWER($G62)&lt;&gt;"dnf"),"Not a valid time",OR(LOWER($G62)="dnf",$G62&gt;ScoringTable!$M$161),1,RIGHT($E62,1)="B",_xlfn.XLOOKUP($G62,ScoringTable!$M$2:$M$161,ScoringTable!$L$2:$L$161,,1),TRUE,_xlfn.XLOOKUP($G62,ScoringTable!$S$2:$S$161,ScoringTable!$R$2:$R$161,,1))</f>
        <v>0</v>
      </c>
    </row>
    <row r="63" spans="1:13" s="7" customFormat="1" ht="16" customHeight="1">
      <c r="A63" s="280" t="s">
        <v>2</v>
      </c>
      <c r="B63" s="122" t="str">
        <f>IF(ISNA(VLOOKUP($F63,Declarations!B$6:C$293,2,FALSE)),"",IF(VLOOKUP($F63,Declarations!B$6:C$293,2,FALSE)="","NOT DECLARED",IF(ISNA(_xlfn.TEXTBEFORE(VLOOKUP($F63,Declarations!B$6:C$293,2,FALSE)," ")),VLOOKUP($F63,Declarations!B$6:C$293,2,FALSE),_xlfn.TEXTBEFORE(VLOOKUP($F63,Declarations!B$6:C$293,2,FALSE)," "))))</f>
        <v/>
      </c>
      <c r="C63" s="122" t="str">
        <f>IF(ISNA(VLOOKUP($F63,Declarations!B$6:C$293,2,FALSE)),"",IF(VLOOKUP($F63,Declarations!B$6:C$293,2,FALSE)="","NOT DECLARED",IF(ISNA(_xlfn.TEXTAFTER(VLOOKUP($F63,Declarations!B$6:C$293,2,FALSE)," ")),VLOOKUP($F63,Declarations!B$6:C$293,2,FALSE),_xlfn.TEXTAFTER(VLOOKUP($F63,Declarations!B$6:C$293,2,FALSE)," "))))</f>
        <v/>
      </c>
      <c r="D63" s="122" t="str">
        <f>IF(ISNA(VLOOKUP($F63,Declarations!$B$6:$F$293,5,FALSE)),"",IF(VLOOKUP($F63,Declarations!$B$6:$F$293,5,FALSE)="","NOT DECLARED",VLOOKUP($F63,Declarations!$B$6:$F$293,5,FALSE)))</f>
        <v/>
      </c>
      <c r="E63" s="120" t="str">
        <f>IF(ISNA(VLOOKUP($F63,Declarations!$B$6:$D$293,3,FALSE)),"",IF(VLOOKUP($F63,Declarations!$B$6:$D$293,3,FALSE)="","NOT DECLARED",VLOOKUP($F63,Declarations!$B$6:$D$293,3,FALSE)&amp;LEFT(VLOOKUP($F63,Declarations!$B$6:$E$293,4,FALSE))))</f>
        <v/>
      </c>
      <c r="F63" s="59"/>
      <c r="G63" s="130"/>
      <c r="H63" s="130"/>
      <c r="I63" s="122" t="str">
        <f>IF(ISNA(VLOOKUP(F63,Declarations!B$6:C$293,2,FALSE)),"",IF(VLOOKUP(F63,Declarations!B$6:C$293,2,FALSE)="","NOT DECLARED",VLOOKUP(F63,Declarations!B$6:C$293,2,FALSE)))</f>
        <v/>
      </c>
      <c r="J63" s="120">
        <f>IF(LOWER(G63)="dnf",1,IF(G63&lt;ScoringTable!B$3,ScoringTable!I$2,VLOOKUP((1000-G63),ScoringTable!G$2:I$95,3)))</f>
        <v>0</v>
      </c>
      <c r="K63" s="120" t="str" cm="1">
        <f t="array" ref="K63">IF(OR(E63="",G63=""),"",_xlfn.IFS(E63="U10B",_xlfn.XLOOKUP(G63,Data!$D$2:$L$2,Data!$D$1:$L$1,"",1,1),E63="U12B",_xlfn.XLOOKUP(G63,Data!$D$8:$L$8,Data!$D$1:$L$1,"",1,1),E63="U10G",_xlfn.XLOOKUP(G63,Data!$D$15:$L$15,Data!$D$1:$L$1,"",1,1),E63="U12G",_xlfn.XLOOKUP(G63,Data!$D$21:$L$21,Data!$D$1:$L$1,"",1,1)))</f>
        <v/>
      </c>
      <c r="L63" s="184" t="str" cm="1">
        <f t="array" ref="L63">IFERROR(_xlfn.IFNA(
                      _xlfn.IFS(
                      G63="", "",
                      AND(E63="U10B",G63&lt;=Data!$M$2), "U10 Boys record",
                      AND(E63="U12B",G63&lt;=Data!$M$8), "U12 Boys record",
                      AND(E63="U10G",G63&lt;=Data!$M$15), "U10 Girls record",
                      AND(E63="U12G",G63&lt;=Data!$M$21), "U12 Girls record"
                       ),""), "")</f>
        <v/>
      </c>
      <c r="M63" s="19" cm="1">
        <f t="array" ref="M63">_xlfn.IFS($G63="",0, AND(NOT(ISNUMBER($G63)),LOWER($G63)&lt;&gt;"dnf"),"Not a valid time",OR(LOWER($G63)="dnf",$G63&gt;ScoringTable!$M$161),1,RIGHT($E63,1)="B",_xlfn.XLOOKUP($G63,ScoringTable!$M$2:$M$161,ScoringTable!$L$2:$L$161,,1),TRUE,_xlfn.XLOOKUP($G63,ScoringTable!$S$2:$S$161,ScoringTable!$R$2:$R$161,,1))</f>
        <v>0</v>
      </c>
    </row>
    <row r="64" spans="1:13" s="7" customFormat="1" ht="16" customHeight="1">
      <c r="A64" s="280" t="s">
        <v>2</v>
      </c>
      <c r="B64" s="122" t="str">
        <f>IF(ISNA(VLOOKUP($F64,Declarations!B$6:C$293,2,FALSE)),"",IF(VLOOKUP($F64,Declarations!B$6:C$293,2,FALSE)="","NOT DECLARED",IF(ISNA(_xlfn.TEXTBEFORE(VLOOKUP($F64,Declarations!B$6:C$293,2,FALSE)," ")),VLOOKUP($F64,Declarations!B$6:C$293,2,FALSE),_xlfn.TEXTBEFORE(VLOOKUP($F64,Declarations!B$6:C$293,2,FALSE)," "))))</f>
        <v/>
      </c>
      <c r="C64" s="122" t="str">
        <f>IF(ISNA(VLOOKUP($F64,Declarations!B$6:C$293,2,FALSE)),"",IF(VLOOKUP($F64,Declarations!B$6:C$293,2,FALSE)="","NOT DECLARED",IF(ISNA(_xlfn.TEXTAFTER(VLOOKUP($F64,Declarations!B$6:C$293,2,FALSE)," ")),VLOOKUP($F64,Declarations!B$6:C$293,2,FALSE),_xlfn.TEXTAFTER(VLOOKUP($F64,Declarations!B$6:C$293,2,FALSE)," "))))</f>
        <v/>
      </c>
      <c r="D64" s="122" t="str">
        <f>IF(ISNA(VLOOKUP($F64,Declarations!$B$6:$F$293,5,FALSE)),"",IF(VLOOKUP($F64,Declarations!$B$6:$F$293,5,FALSE)="","NOT DECLARED",VLOOKUP($F64,Declarations!$B$6:$F$293,5,FALSE)))</f>
        <v/>
      </c>
      <c r="E64" s="120" t="str">
        <f>IF(ISNA(VLOOKUP($F64,Declarations!$B$6:$D$293,3,FALSE)),"",IF(VLOOKUP($F64,Declarations!$B$6:$D$293,3,FALSE)="","NOT DECLARED",VLOOKUP($F64,Declarations!$B$6:$D$293,3,FALSE)&amp;LEFT(VLOOKUP($F64,Declarations!$B$6:$E$293,4,FALSE))))</f>
        <v/>
      </c>
      <c r="F64" s="59"/>
      <c r="G64" s="130"/>
      <c r="H64" s="130"/>
      <c r="I64" s="122" t="str">
        <f>IF(ISNA(VLOOKUP(F64,Declarations!B$6:C$293,2,FALSE)),"",IF(VLOOKUP(F64,Declarations!B$6:C$293,2,FALSE)="","NOT DECLARED",VLOOKUP(F64,Declarations!B$6:C$293,2,FALSE)))</f>
        <v/>
      </c>
      <c r="J64" s="120">
        <f>IF(LOWER(G64)="dnf",1,IF(G64&lt;ScoringTable!B$3,ScoringTable!I$2,VLOOKUP((1000-G64),ScoringTable!G$2:I$95,3)))</f>
        <v>0</v>
      </c>
      <c r="K64" s="120" t="str" cm="1">
        <f t="array" ref="K64">IF(OR(E64="",G64=""),"",_xlfn.IFS(E64="U10B",_xlfn.XLOOKUP(G64,Data!$D$2:$L$2,Data!$D$1:$L$1,"",1,1),E64="U12B",_xlfn.XLOOKUP(G64,Data!$D$8:$L$8,Data!$D$1:$L$1,"",1,1),E64="U10G",_xlfn.XLOOKUP(G64,Data!$D$15:$L$15,Data!$D$1:$L$1,"",1,1),E64="U12G",_xlfn.XLOOKUP(G64,Data!$D$21:$L$21,Data!$D$1:$L$1,"",1,1)))</f>
        <v/>
      </c>
      <c r="L64" s="184" t="str" cm="1">
        <f t="array" ref="L64">IFERROR(_xlfn.IFNA(
                      _xlfn.IFS(
                      G64="", "",
                      AND(E64="U10B",G64&lt;=Data!$M$2), "U10 Boys record",
                      AND(E64="U12B",G64&lt;=Data!$M$8), "U12 Boys record",
                      AND(E64="U10G",G64&lt;=Data!$M$15), "U10 Girls record",
                      AND(E64="U12G",G64&lt;=Data!$M$21), "U12 Girls record"
                       ),""), "")</f>
        <v/>
      </c>
      <c r="M64" s="19" cm="1">
        <f t="array" ref="M64">_xlfn.IFS($G64="",0, AND(NOT(ISNUMBER($G64)),LOWER($G64)&lt;&gt;"dnf"),"Not a valid time",OR(LOWER($G64)="dnf",$G64&gt;ScoringTable!$M$161),1,RIGHT($E64,1)="B",_xlfn.XLOOKUP($G64,ScoringTable!$M$2:$M$161,ScoringTable!$L$2:$L$161,,1),TRUE,_xlfn.XLOOKUP($G64,ScoringTable!$S$2:$S$161,ScoringTable!$R$2:$R$161,,1))</f>
        <v>0</v>
      </c>
    </row>
    <row r="65" spans="1:13" s="7" customFormat="1" ht="16" customHeight="1">
      <c r="A65" s="280" t="s">
        <v>2</v>
      </c>
      <c r="B65" s="122" t="str">
        <f>IF(ISNA(VLOOKUP($F65,Declarations!B$6:C$293,2,FALSE)),"",IF(VLOOKUP($F65,Declarations!B$6:C$293,2,FALSE)="","NOT DECLARED",IF(ISNA(_xlfn.TEXTBEFORE(VLOOKUP($F65,Declarations!B$6:C$293,2,FALSE)," ")),VLOOKUP($F65,Declarations!B$6:C$293,2,FALSE),_xlfn.TEXTBEFORE(VLOOKUP($F65,Declarations!B$6:C$293,2,FALSE)," "))))</f>
        <v/>
      </c>
      <c r="C65" s="122" t="str">
        <f>IF(ISNA(VLOOKUP($F65,Declarations!B$6:C$293,2,FALSE)),"",IF(VLOOKUP($F65,Declarations!B$6:C$293,2,FALSE)="","NOT DECLARED",IF(ISNA(_xlfn.TEXTAFTER(VLOOKUP($F65,Declarations!B$6:C$293,2,FALSE)," ")),VLOOKUP($F65,Declarations!B$6:C$293,2,FALSE),_xlfn.TEXTAFTER(VLOOKUP($F65,Declarations!B$6:C$293,2,FALSE)," "))))</f>
        <v/>
      </c>
      <c r="D65" s="122" t="str">
        <f>IF(ISNA(VLOOKUP($F65,Declarations!$B$6:$F$293,5,FALSE)),"",IF(VLOOKUP($F65,Declarations!$B$6:$F$293,5,FALSE)="","NOT DECLARED",VLOOKUP($F65,Declarations!$B$6:$F$293,5,FALSE)))</f>
        <v/>
      </c>
      <c r="E65" s="120" t="str">
        <f>IF(ISNA(VLOOKUP($F65,Declarations!$B$6:$D$293,3,FALSE)),"",IF(VLOOKUP($F65,Declarations!$B$6:$D$293,3,FALSE)="","NOT DECLARED",VLOOKUP($F65,Declarations!$B$6:$D$293,3,FALSE)&amp;LEFT(VLOOKUP($F65,Declarations!$B$6:$E$293,4,FALSE))))</f>
        <v/>
      </c>
      <c r="F65" s="59"/>
      <c r="G65" s="130"/>
      <c r="H65" s="130"/>
      <c r="I65" s="122" t="str">
        <f>IF(ISNA(VLOOKUP(F65,Declarations!B$6:C$293,2,FALSE)),"",IF(VLOOKUP(F65,Declarations!B$6:C$293,2,FALSE)="","NOT DECLARED",VLOOKUP(F65,Declarations!B$6:C$293,2,FALSE)))</f>
        <v/>
      </c>
      <c r="J65" s="120">
        <f>IF(LOWER(G65)="dnf",1,IF(G65&lt;ScoringTable!B$3,ScoringTable!I$2,VLOOKUP((1000-G65),ScoringTable!G$2:I$95,3)))</f>
        <v>0</v>
      </c>
      <c r="K65" s="120" t="str" cm="1">
        <f t="array" ref="K65">IF(OR(E65="",G65=""),"",_xlfn.IFS(E65="U10B",_xlfn.XLOOKUP(G65,Data!$D$2:$L$2,Data!$D$1:$L$1,"",1,1),E65="U12B",_xlfn.XLOOKUP(G65,Data!$D$8:$L$8,Data!$D$1:$L$1,"",1,1),E65="U10G",_xlfn.XLOOKUP(G65,Data!$D$15:$L$15,Data!$D$1:$L$1,"",1,1),E65="U12G",_xlfn.XLOOKUP(G65,Data!$D$21:$L$21,Data!$D$1:$L$1,"",1,1)))</f>
        <v/>
      </c>
      <c r="L65" s="184" t="str" cm="1">
        <f t="array" ref="L65">IFERROR(_xlfn.IFNA(
                      _xlfn.IFS(
                      G65="", "",
                      AND(E65="U10B",G65&lt;=Data!$M$2), "U10 Boys record",
                      AND(E65="U12B",G65&lt;=Data!$M$8), "U12 Boys record",
                      AND(E65="U10G",G65&lt;=Data!$M$15), "U10 Girls record",
                      AND(E65="U12G",G65&lt;=Data!$M$21), "U12 Girls record"
                       ),""), "")</f>
        <v/>
      </c>
      <c r="M65" s="19" cm="1">
        <f t="array" ref="M65">_xlfn.IFS($G65="",0, AND(NOT(ISNUMBER($G65)),LOWER($G65)&lt;&gt;"dnf"),"Not a valid time",OR(LOWER($G65)="dnf",$G65&gt;ScoringTable!$M$161),1,RIGHT($E65,1)="B",_xlfn.XLOOKUP($G65,ScoringTable!$M$2:$M$161,ScoringTable!$L$2:$L$161,,1),TRUE,_xlfn.XLOOKUP($G65,ScoringTable!$S$2:$S$161,ScoringTable!$R$2:$R$161,,1))</f>
        <v>0</v>
      </c>
    </row>
    <row r="66" spans="1:13" s="7" customFormat="1" ht="16" customHeight="1">
      <c r="A66" s="280" t="s">
        <v>2</v>
      </c>
      <c r="B66" s="122" t="str">
        <f>IF(ISNA(VLOOKUP($F66,Declarations!B$6:C$293,2,FALSE)),"",IF(VLOOKUP($F66,Declarations!B$6:C$293,2,FALSE)="","NOT DECLARED",IF(ISNA(_xlfn.TEXTBEFORE(VLOOKUP($F66,Declarations!B$6:C$293,2,FALSE)," ")),VLOOKUP($F66,Declarations!B$6:C$293,2,FALSE),_xlfn.TEXTBEFORE(VLOOKUP($F66,Declarations!B$6:C$293,2,FALSE)," "))))</f>
        <v/>
      </c>
      <c r="C66" s="122" t="str">
        <f>IF(ISNA(VLOOKUP($F66,Declarations!B$6:C$293,2,FALSE)),"",IF(VLOOKUP($F66,Declarations!B$6:C$293,2,FALSE)="","NOT DECLARED",IF(ISNA(_xlfn.TEXTAFTER(VLOOKUP($F66,Declarations!B$6:C$293,2,FALSE)," ")),VLOOKUP($F66,Declarations!B$6:C$293,2,FALSE),_xlfn.TEXTAFTER(VLOOKUP($F66,Declarations!B$6:C$293,2,FALSE)," "))))</f>
        <v/>
      </c>
      <c r="D66" s="122" t="str">
        <f>IF(ISNA(VLOOKUP($F66,Declarations!$B$6:$F$293,5,FALSE)),"",IF(VLOOKUP($F66,Declarations!$B$6:$F$293,5,FALSE)="","NOT DECLARED",VLOOKUP($F66,Declarations!$B$6:$F$293,5,FALSE)))</f>
        <v/>
      </c>
      <c r="E66" s="120" t="str">
        <f>IF(ISNA(VLOOKUP($F66,Declarations!$B$6:$D$293,3,FALSE)),"",IF(VLOOKUP($F66,Declarations!$B$6:$D$293,3,FALSE)="","NOT DECLARED",VLOOKUP($F66,Declarations!$B$6:$D$293,3,FALSE)&amp;LEFT(VLOOKUP($F66,Declarations!$B$6:$E$293,4,FALSE))))</f>
        <v/>
      </c>
      <c r="F66" s="59"/>
      <c r="G66" s="130"/>
      <c r="H66" s="130"/>
      <c r="I66" s="122" t="str">
        <f>IF(ISNA(VLOOKUP(F66,Declarations!B$6:C$293,2,FALSE)),"",IF(VLOOKUP(F66,Declarations!B$6:C$293,2,FALSE)="","NOT DECLARED",VLOOKUP(F66,Declarations!B$6:C$293,2,FALSE)))</f>
        <v/>
      </c>
      <c r="J66" s="120">
        <f>IF(LOWER(G66)="dnf",1,IF(G66&lt;ScoringTable!B$3,ScoringTable!I$2,VLOOKUP((1000-G66),ScoringTable!G$2:I$95,3)))</f>
        <v>0</v>
      </c>
      <c r="K66" s="120" t="str" cm="1">
        <f t="array" ref="K66">IF(OR(E66="",G66=""),"",_xlfn.IFS(E66="U10B",_xlfn.XLOOKUP(G66,Data!$D$2:$L$2,Data!$D$1:$L$1,"",1,1),E66="U12B",_xlfn.XLOOKUP(G66,Data!$D$8:$L$8,Data!$D$1:$L$1,"",1,1),E66="U10G",_xlfn.XLOOKUP(G66,Data!$D$15:$L$15,Data!$D$1:$L$1,"",1,1),E66="U12G",_xlfn.XLOOKUP(G66,Data!$D$21:$L$21,Data!$D$1:$L$1,"",1,1)))</f>
        <v/>
      </c>
      <c r="L66" s="184" t="str" cm="1">
        <f t="array" ref="L66">IFERROR(_xlfn.IFNA(
                      _xlfn.IFS(
                      G66="", "",
                      AND(E66="U10B",G66&lt;=Data!$M$2), "U10 Boys record",
                      AND(E66="U12B",G66&lt;=Data!$M$8), "U12 Boys record",
                      AND(E66="U10G",G66&lt;=Data!$M$15), "U10 Girls record",
                      AND(E66="U12G",G66&lt;=Data!$M$21), "U12 Girls record"
                       ),""), "")</f>
        <v/>
      </c>
      <c r="M66" s="19" cm="1">
        <f t="array" ref="M66">_xlfn.IFS($G66="",0, AND(NOT(ISNUMBER($G66)),LOWER($G66)&lt;&gt;"dnf"),"Not a valid time",OR(LOWER($G66)="dnf",$G66&gt;ScoringTable!$M$161),1,RIGHT($E66,1)="B",_xlfn.XLOOKUP($G66,ScoringTable!$M$2:$M$161,ScoringTable!$L$2:$L$161,,1),TRUE,_xlfn.XLOOKUP($G66,ScoringTable!$S$2:$S$161,ScoringTable!$R$2:$R$161,,1))</f>
        <v>0</v>
      </c>
    </row>
    <row r="67" spans="1:13" s="7" customFormat="1" ht="16" customHeight="1">
      <c r="A67" s="280" t="s">
        <v>2</v>
      </c>
      <c r="B67" s="122" t="str">
        <f>IF(ISNA(VLOOKUP($F67,Declarations!B$6:C$293,2,FALSE)),"",IF(VLOOKUP($F67,Declarations!B$6:C$293,2,FALSE)="","NOT DECLARED",IF(ISNA(_xlfn.TEXTBEFORE(VLOOKUP($F67,Declarations!B$6:C$293,2,FALSE)," ")),VLOOKUP($F67,Declarations!B$6:C$293,2,FALSE),_xlfn.TEXTBEFORE(VLOOKUP($F67,Declarations!B$6:C$293,2,FALSE)," "))))</f>
        <v/>
      </c>
      <c r="C67" s="122" t="str">
        <f>IF(ISNA(VLOOKUP($F67,Declarations!B$6:C$293,2,FALSE)),"",IF(VLOOKUP($F67,Declarations!B$6:C$293,2,FALSE)="","NOT DECLARED",IF(ISNA(_xlfn.TEXTAFTER(VLOOKUP($F67,Declarations!B$6:C$293,2,FALSE)," ")),VLOOKUP($F67,Declarations!B$6:C$293,2,FALSE),_xlfn.TEXTAFTER(VLOOKUP($F67,Declarations!B$6:C$293,2,FALSE)," "))))</f>
        <v/>
      </c>
      <c r="D67" s="122" t="str">
        <f>IF(ISNA(VLOOKUP($F67,Declarations!$B$6:$F$293,5,FALSE)),"",IF(VLOOKUP($F67,Declarations!$B$6:$F$293,5,FALSE)="","NOT DECLARED",VLOOKUP($F67,Declarations!$B$6:$F$293,5,FALSE)))</f>
        <v/>
      </c>
      <c r="E67" s="120" t="str">
        <f>IF(ISNA(VLOOKUP($F67,Declarations!$B$6:$D$293,3,FALSE)),"",IF(VLOOKUP($F67,Declarations!$B$6:$D$293,3,FALSE)="","NOT DECLARED",VLOOKUP($F67,Declarations!$B$6:$D$293,3,FALSE)&amp;LEFT(VLOOKUP($F67,Declarations!$B$6:$E$293,4,FALSE))))</f>
        <v/>
      </c>
      <c r="F67" s="59"/>
      <c r="G67" s="130"/>
      <c r="H67" s="130"/>
      <c r="I67" s="122" t="str">
        <f>IF(ISNA(VLOOKUP(F67,Declarations!B$6:C$293,2,FALSE)),"",IF(VLOOKUP(F67,Declarations!B$6:C$293,2,FALSE)="","NOT DECLARED",VLOOKUP(F67,Declarations!B$6:C$293,2,FALSE)))</f>
        <v/>
      </c>
      <c r="J67" s="120">
        <f>IF(LOWER(G67)="dnf",1,IF(G67&lt;ScoringTable!B$3,ScoringTable!I$2,VLOOKUP((1000-G67),ScoringTable!G$2:I$95,3)))</f>
        <v>0</v>
      </c>
      <c r="K67" s="120" t="str" cm="1">
        <f t="array" ref="K67">IF(OR(E67="",G67=""),"",_xlfn.IFS(E67="U10B",_xlfn.XLOOKUP(G67,Data!$D$2:$L$2,Data!$D$1:$L$1,"",1,1),E67="U12B",_xlfn.XLOOKUP(G67,Data!$D$8:$L$8,Data!$D$1:$L$1,"",1,1),E67="U10G",_xlfn.XLOOKUP(G67,Data!$D$15:$L$15,Data!$D$1:$L$1,"",1,1),E67="U12G",_xlfn.XLOOKUP(G67,Data!$D$21:$L$21,Data!$D$1:$L$1,"",1,1)))</f>
        <v/>
      </c>
      <c r="L67" s="184" t="str" cm="1">
        <f t="array" ref="L67">IFERROR(_xlfn.IFNA(
                      _xlfn.IFS(
                      G67="", "",
                      AND(E67="U10B",G67&lt;=Data!$M$2), "U10 Boys record",
                      AND(E67="U12B",G67&lt;=Data!$M$8), "U12 Boys record",
                      AND(E67="U10G",G67&lt;=Data!$M$15), "U10 Girls record",
                      AND(E67="U12G",G67&lt;=Data!$M$21), "U12 Girls record"
                       ),""), "")</f>
        <v/>
      </c>
      <c r="M67" s="19" cm="1">
        <f t="array" ref="M67">_xlfn.IFS($G67="",0, AND(NOT(ISNUMBER($G67)),LOWER($G67)&lt;&gt;"dnf"),"Not a valid time",OR(LOWER($G67)="dnf",$G67&gt;ScoringTable!$M$161),1,RIGHT($E67,1)="B",_xlfn.XLOOKUP($G67,ScoringTable!$M$2:$M$161,ScoringTable!$L$2:$L$161,,1),TRUE,_xlfn.XLOOKUP($G67,ScoringTable!$S$2:$S$161,ScoringTable!$R$2:$R$161,,1))</f>
        <v>0</v>
      </c>
    </row>
    <row r="68" spans="1:13" s="7" customFormat="1" ht="16" customHeight="1">
      <c r="A68" s="280" t="s">
        <v>2</v>
      </c>
      <c r="B68" s="122" t="str">
        <f>IF(ISNA(VLOOKUP($F68,Declarations!B$6:C$293,2,FALSE)),"",IF(VLOOKUP($F68,Declarations!B$6:C$293,2,FALSE)="","NOT DECLARED",IF(ISNA(_xlfn.TEXTBEFORE(VLOOKUP($F68,Declarations!B$6:C$293,2,FALSE)," ")),VLOOKUP($F68,Declarations!B$6:C$293,2,FALSE),_xlfn.TEXTBEFORE(VLOOKUP($F68,Declarations!B$6:C$293,2,FALSE)," "))))</f>
        <v/>
      </c>
      <c r="C68" s="122" t="str">
        <f>IF(ISNA(VLOOKUP($F68,Declarations!B$6:C$293,2,FALSE)),"",IF(VLOOKUP($F68,Declarations!B$6:C$293,2,FALSE)="","NOT DECLARED",IF(ISNA(_xlfn.TEXTAFTER(VLOOKUP($F68,Declarations!B$6:C$293,2,FALSE)," ")),VLOOKUP($F68,Declarations!B$6:C$293,2,FALSE),_xlfn.TEXTAFTER(VLOOKUP($F68,Declarations!B$6:C$293,2,FALSE)," "))))</f>
        <v/>
      </c>
      <c r="D68" s="122" t="str">
        <f>IF(ISNA(VLOOKUP($F68,Declarations!$B$6:$F$293,5,FALSE)),"",IF(VLOOKUP($F68,Declarations!$B$6:$F$293,5,FALSE)="","NOT DECLARED",VLOOKUP($F68,Declarations!$B$6:$F$293,5,FALSE)))</f>
        <v/>
      </c>
      <c r="E68" s="120" t="str">
        <f>IF(ISNA(VLOOKUP($F68,Declarations!$B$6:$D$293,3,FALSE)),"",IF(VLOOKUP($F68,Declarations!$B$6:$D$293,3,FALSE)="","NOT DECLARED",VLOOKUP($F68,Declarations!$B$6:$D$293,3,FALSE)&amp;LEFT(VLOOKUP($F68,Declarations!$B$6:$E$293,4,FALSE))))</f>
        <v/>
      </c>
      <c r="F68" s="59"/>
      <c r="G68" s="130"/>
      <c r="H68" s="130"/>
      <c r="I68" s="122" t="str">
        <f>IF(ISNA(VLOOKUP(F68,Declarations!B$6:C$293,2,FALSE)),"",IF(VLOOKUP(F68,Declarations!B$6:C$293,2,FALSE)="","NOT DECLARED",VLOOKUP(F68,Declarations!B$6:C$293,2,FALSE)))</f>
        <v/>
      </c>
      <c r="J68" s="120">
        <f>IF(LOWER(G68)="dnf",1,IF(G68&lt;ScoringTable!B$3,ScoringTable!I$2,VLOOKUP((1000-G68),ScoringTable!G$2:I$95,3)))</f>
        <v>0</v>
      </c>
      <c r="K68" s="120" t="str" cm="1">
        <f t="array" ref="K68">IF(OR(E68="",G68=""),"",_xlfn.IFS(E68="U10B",_xlfn.XLOOKUP(G68,Data!$D$2:$L$2,Data!$D$1:$L$1,"",1,1),E68="U12B",_xlfn.XLOOKUP(G68,Data!$D$8:$L$8,Data!$D$1:$L$1,"",1,1),E68="U10G",_xlfn.XLOOKUP(G68,Data!$D$15:$L$15,Data!$D$1:$L$1,"",1,1),E68="U12G",_xlfn.XLOOKUP(G68,Data!$D$21:$L$21,Data!$D$1:$L$1,"",1,1)))</f>
        <v/>
      </c>
      <c r="L68" s="184" t="str" cm="1">
        <f t="array" ref="L68">IFERROR(_xlfn.IFNA(
                      _xlfn.IFS(
                      G68="", "",
                      AND(E68="U10B",G68&lt;=Data!$M$2), "U10 Boys record",
                      AND(E68="U12B",G68&lt;=Data!$M$8), "U12 Boys record",
                      AND(E68="U10G",G68&lt;=Data!$M$15), "U10 Girls record",
                      AND(E68="U12G",G68&lt;=Data!$M$21), "U12 Girls record"
                       ),""), "")</f>
        <v/>
      </c>
      <c r="M68" s="19" cm="1">
        <f t="array" ref="M68">_xlfn.IFS($G68="",0, AND(NOT(ISNUMBER($G68)),LOWER($G68)&lt;&gt;"dnf"),"Not a valid time",OR(LOWER($G68)="dnf",$G68&gt;ScoringTable!$M$161),1,RIGHT($E68,1)="B",_xlfn.XLOOKUP($G68,ScoringTable!$M$2:$M$161,ScoringTable!$L$2:$L$161,,1),TRUE,_xlfn.XLOOKUP($G68,ScoringTable!$S$2:$S$161,ScoringTable!$R$2:$R$161,,1))</f>
        <v>0</v>
      </c>
    </row>
    <row r="69" spans="1:13" s="7" customFormat="1" ht="16" customHeight="1">
      <c r="A69" s="280" t="s">
        <v>2</v>
      </c>
      <c r="B69" s="122" t="str">
        <f>IF(ISNA(VLOOKUP($F69,Declarations!B$6:C$293,2,FALSE)),"",IF(VLOOKUP($F69,Declarations!B$6:C$293,2,FALSE)="","NOT DECLARED",IF(ISNA(_xlfn.TEXTBEFORE(VLOOKUP($F69,Declarations!B$6:C$293,2,FALSE)," ")),VLOOKUP($F69,Declarations!B$6:C$293,2,FALSE),_xlfn.TEXTBEFORE(VLOOKUP($F69,Declarations!B$6:C$293,2,FALSE)," "))))</f>
        <v/>
      </c>
      <c r="C69" s="122" t="str">
        <f>IF(ISNA(VLOOKUP($F69,Declarations!B$6:C$293,2,FALSE)),"",IF(VLOOKUP($F69,Declarations!B$6:C$293,2,FALSE)="","NOT DECLARED",IF(ISNA(_xlfn.TEXTAFTER(VLOOKUP($F69,Declarations!B$6:C$293,2,FALSE)," ")),VLOOKUP($F69,Declarations!B$6:C$293,2,FALSE),_xlfn.TEXTAFTER(VLOOKUP($F69,Declarations!B$6:C$293,2,FALSE)," "))))</f>
        <v/>
      </c>
      <c r="D69" s="122" t="str">
        <f>IF(ISNA(VLOOKUP($F69,Declarations!$B$6:$F$293,5,FALSE)),"",IF(VLOOKUP($F69,Declarations!$B$6:$F$293,5,FALSE)="","NOT DECLARED",VLOOKUP($F69,Declarations!$B$6:$F$293,5,FALSE)))</f>
        <v/>
      </c>
      <c r="E69" s="120" t="str">
        <f>IF(ISNA(VLOOKUP($F69,Declarations!$B$6:$D$293,3,FALSE)),"",IF(VLOOKUP($F69,Declarations!$B$6:$D$293,3,FALSE)="","NOT DECLARED",VLOOKUP($F69,Declarations!$B$6:$D$293,3,FALSE)&amp;LEFT(VLOOKUP($F69,Declarations!$B$6:$E$293,4,FALSE))))</f>
        <v/>
      </c>
      <c r="F69" s="59"/>
      <c r="G69" s="130"/>
      <c r="H69" s="130"/>
      <c r="I69" s="122" t="str">
        <f>IF(ISNA(VLOOKUP(F69,Declarations!B$6:C$293,2,FALSE)),"",IF(VLOOKUP(F69,Declarations!B$6:C$293,2,FALSE)="","NOT DECLARED",VLOOKUP(F69,Declarations!B$6:C$293,2,FALSE)))</f>
        <v/>
      </c>
      <c r="J69" s="120">
        <f>IF(LOWER(G69)="dnf",1,IF(G69&lt;ScoringTable!B$3,ScoringTable!I$2,VLOOKUP((1000-G69),ScoringTable!G$2:I$95,3)))</f>
        <v>0</v>
      </c>
      <c r="K69" s="120" t="str" cm="1">
        <f t="array" ref="K69">IF(OR(E69="",G69=""),"",_xlfn.IFS(E69="U10B",_xlfn.XLOOKUP(G69,Data!$D$2:$L$2,Data!$D$1:$L$1,"",1,1),E69="U12B",_xlfn.XLOOKUP(G69,Data!$D$8:$L$8,Data!$D$1:$L$1,"",1,1),E69="U10G",_xlfn.XLOOKUP(G69,Data!$D$15:$L$15,Data!$D$1:$L$1,"",1,1),E69="U12G",_xlfn.XLOOKUP(G69,Data!$D$21:$L$21,Data!$D$1:$L$1,"",1,1)))</f>
        <v/>
      </c>
      <c r="L69" s="184" t="str" cm="1">
        <f t="array" ref="L69">IFERROR(_xlfn.IFNA(
                      _xlfn.IFS(
                      G69="", "",
                      AND(E69="U10B",G69&lt;=Data!$M$2), "U10 Boys record",
                      AND(E69="U12B",G69&lt;=Data!$M$8), "U12 Boys record",
                      AND(E69="U10G",G69&lt;=Data!$M$15), "U10 Girls record",
                      AND(E69="U12G",G69&lt;=Data!$M$21), "U12 Girls record"
                       ),""), "")</f>
        <v/>
      </c>
      <c r="M69" s="19" cm="1">
        <f t="array" ref="M69">_xlfn.IFS($G69="",0, AND(NOT(ISNUMBER($G69)),LOWER($G69)&lt;&gt;"dnf"),"Not a valid time",OR(LOWER($G69)="dnf",$G69&gt;ScoringTable!$M$161),1,RIGHT($E69,1)="B",_xlfn.XLOOKUP($G69,ScoringTable!$M$2:$M$161,ScoringTable!$L$2:$L$161,,1),TRUE,_xlfn.XLOOKUP($G69,ScoringTable!$S$2:$S$161,ScoringTable!$R$2:$R$161,,1))</f>
        <v>0</v>
      </c>
    </row>
    <row r="70" spans="1:13" s="7" customFormat="1" ht="16" customHeight="1">
      <c r="A70" s="280" t="s">
        <v>2</v>
      </c>
      <c r="B70" s="122" t="str">
        <f>IF(ISNA(VLOOKUP($F70,Declarations!B$6:C$293,2,FALSE)),"",IF(VLOOKUP($F70,Declarations!B$6:C$293,2,FALSE)="","NOT DECLARED",IF(ISNA(_xlfn.TEXTBEFORE(VLOOKUP($F70,Declarations!B$6:C$293,2,FALSE)," ")),VLOOKUP($F70,Declarations!B$6:C$293,2,FALSE),_xlfn.TEXTBEFORE(VLOOKUP($F70,Declarations!B$6:C$293,2,FALSE)," "))))</f>
        <v/>
      </c>
      <c r="C70" s="122" t="str">
        <f>IF(ISNA(VLOOKUP($F70,Declarations!B$6:C$293,2,FALSE)),"",IF(VLOOKUP($F70,Declarations!B$6:C$293,2,FALSE)="","NOT DECLARED",IF(ISNA(_xlfn.TEXTAFTER(VLOOKUP($F70,Declarations!B$6:C$293,2,FALSE)," ")),VLOOKUP($F70,Declarations!B$6:C$293,2,FALSE),_xlfn.TEXTAFTER(VLOOKUP($F70,Declarations!B$6:C$293,2,FALSE)," "))))</f>
        <v/>
      </c>
      <c r="D70" s="122" t="str">
        <f>IF(ISNA(VLOOKUP($F70,Declarations!$B$6:$F$293,5,FALSE)),"",IF(VLOOKUP($F70,Declarations!$B$6:$F$293,5,FALSE)="","NOT DECLARED",VLOOKUP($F70,Declarations!$B$6:$F$293,5,FALSE)))</f>
        <v/>
      </c>
      <c r="E70" s="120" t="str">
        <f>IF(ISNA(VLOOKUP($F70,Declarations!$B$6:$D$293,3,FALSE)),"",IF(VLOOKUP($F70,Declarations!$B$6:$D$293,3,FALSE)="","NOT DECLARED",VLOOKUP($F70,Declarations!$B$6:$D$293,3,FALSE)&amp;LEFT(VLOOKUP($F70,Declarations!$B$6:$E$293,4,FALSE))))</f>
        <v/>
      </c>
      <c r="F70" s="59"/>
      <c r="G70" s="130"/>
      <c r="H70" s="130"/>
      <c r="I70" s="122" t="str">
        <f>IF(ISNA(VLOOKUP(F70,Declarations!B$6:C$293,2,FALSE)),"",IF(VLOOKUP(F70,Declarations!B$6:C$293,2,FALSE)="","NOT DECLARED",VLOOKUP(F70,Declarations!B$6:C$293,2,FALSE)))</f>
        <v/>
      </c>
      <c r="J70" s="120">
        <f>IF(LOWER(G70)="dnf",1,IF(G70&lt;ScoringTable!B$3,ScoringTable!I$2,VLOOKUP((1000-G70),ScoringTable!G$2:I$95,3)))</f>
        <v>0</v>
      </c>
      <c r="K70" s="120" t="str" cm="1">
        <f t="array" ref="K70">IF(OR(E70="",G70=""),"",_xlfn.IFS(E70="U10B",_xlfn.XLOOKUP(G70,Data!$D$2:$L$2,Data!$D$1:$L$1,"",1,1),E70="U12B",_xlfn.XLOOKUP(G70,Data!$D$8:$L$8,Data!$D$1:$L$1,"",1,1),E70="U10G",_xlfn.XLOOKUP(G70,Data!$D$15:$L$15,Data!$D$1:$L$1,"",1,1),E70="U12G",_xlfn.XLOOKUP(G70,Data!$D$21:$L$21,Data!$D$1:$L$1,"",1,1)))</f>
        <v/>
      </c>
      <c r="L70" s="184" t="str" cm="1">
        <f t="array" ref="L70">IFERROR(_xlfn.IFNA(
                      _xlfn.IFS(
                      G70="", "",
                      AND(E70="U10B",G70&lt;=Data!$M$2), "U10 Boys record",
                      AND(E70="U12B",G70&lt;=Data!$M$8), "U12 Boys record",
                      AND(E70="U10G",G70&lt;=Data!$M$15), "U10 Girls record",
                      AND(E70="U12G",G70&lt;=Data!$M$21), "U12 Girls record"
                       ),""), "")</f>
        <v/>
      </c>
      <c r="M70" s="19" cm="1">
        <f t="array" ref="M70">_xlfn.IFS($G70="",0, AND(NOT(ISNUMBER($G70)),LOWER($G70)&lt;&gt;"dnf"),"Not a valid time",OR(LOWER($G70)="dnf",$G70&gt;ScoringTable!$M$161),1,RIGHT($E70,1)="B",_xlfn.XLOOKUP($G70,ScoringTable!$M$2:$M$161,ScoringTable!$L$2:$L$161,,1),TRUE,_xlfn.XLOOKUP($G70,ScoringTable!$S$2:$S$161,ScoringTable!$R$2:$R$161,,1))</f>
        <v>0</v>
      </c>
    </row>
    <row r="71" spans="1:13" s="7" customFormat="1" ht="16" customHeight="1">
      <c r="A71" s="280" t="s">
        <v>2</v>
      </c>
      <c r="B71" s="122" t="str">
        <f>IF(ISNA(VLOOKUP($F71,Declarations!B$6:C$293,2,FALSE)),"",IF(VLOOKUP($F71,Declarations!B$6:C$293,2,FALSE)="","NOT DECLARED",IF(ISNA(_xlfn.TEXTBEFORE(VLOOKUP($F71,Declarations!B$6:C$293,2,FALSE)," ")),VLOOKUP($F71,Declarations!B$6:C$293,2,FALSE),_xlfn.TEXTBEFORE(VLOOKUP($F71,Declarations!B$6:C$293,2,FALSE)," "))))</f>
        <v/>
      </c>
      <c r="C71" s="122" t="str">
        <f>IF(ISNA(VLOOKUP($F71,Declarations!B$6:C$293,2,FALSE)),"",IF(VLOOKUP($F71,Declarations!B$6:C$293,2,FALSE)="","NOT DECLARED",IF(ISNA(_xlfn.TEXTAFTER(VLOOKUP($F71,Declarations!B$6:C$293,2,FALSE)," ")),VLOOKUP($F71,Declarations!B$6:C$293,2,FALSE),_xlfn.TEXTAFTER(VLOOKUP($F71,Declarations!B$6:C$293,2,FALSE)," "))))</f>
        <v/>
      </c>
      <c r="D71" s="122" t="str">
        <f>IF(ISNA(VLOOKUP($F71,Declarations!$B$6:$F$293,5,FALSE)),"",IF(VLOOKUP($F71,Declarations!$B$6:$F$293,5,FALSE)="","NOT DECLARED",VLOOKUP($F71,Declarations!$B$6:$F$293,5,FALSE)))</f>
        <v/>
      </c>
      <c r="E71" s="120" t="str">
        <f>IF(ISNA(VLOOKUP($F71,Declarations!$B$6:$D$293,3,FALSE)),"",IF(VLOOKUP($F71,Declarations!$B$6:$D$293,3,FALSE)="","NOT DECLARED",VLOOKUP($F71,Declarations!$B$6:$D$293,3,FALSE)&amp;LEFT(VLOOKUP($F71,Declarations!$B$6:$E$293,4,FALSE))))</f>
        <v/>
      </c>
      <c r="F71" s="59"/>
      <c r="G71" s="130"/>
      <c r="H71" s="130"/>
      <c r="I71" s="122" t="str">
        <f>IF(ISNA(VLOOKUP(F71,Declarations!B$6:C$293,2,FALSE)),"",IF(VLOOKUP(F71,Declarations!B$6:C$293,2,FALSE)="","NOT DECLARED",VLOOKUP(F71,Declarations!B$6:C$293,2,FALSE)))</f>
        <v/>
      </c>
      <c r="J71" s="120">
        <f>IF(LOWER(G71)="dnf",1,IF(G71&lt;ScoringTable!B$3,ScoringTable!I$2,VLOOKUP((1000-G71),ScoringTable!G$2:I$95,3)))</f>
        <v>0</v>
      </c>
      <c r="K71" s="120" t="str" cm="1">
        <f t="array" ref="K71">IF(OR(E71="",G71=""),"",_xlfn.IFS(E71="U10B",_xlfn.XLOOKUP(G71,Data!$D$2:$L$2,Data!$D$1:$L$1,"",1,1),E71="U12B",_xlfn.XLOOKUP(G71,Data!$D$8:$L$8,Data!$D$1:$L$1,"",1,1),E71="U10G",_xlfn.XLOOKUP(G71,Data!$D$15:$L$15,Data!$D$1:$L$1,"",1,1),E71="U12G",_xlfn.XLOOKUP(G71,Data!$D$21:$L$21,Data!$D$1:$L$1,"",1,1)))</f>
        <v/>
      </c>
      <c r="L71" s="184" t="str" cm="1">
        <f t="array" ref="L71">IFERROR(_xlfn.IFNA(
                      _xlfn.IFS(
                      G71="", "",
                      AND(E71="U10B",G71&lt;=Data!$M$2), "U10 Boys record",
                      AND(E71="U12B",G71&lt;=Data!$M$8), "U12 Boys record",
                      AND(E71="U10G",G71&lt;=Data!$M$15), "U10 Girls record",
                      AND(E71="U12G",G71&lt;=Data!$M$21), "U12 Girls record"
                       ),""), "")</f>
        <v/>
      </c>
      <c r="M71" s="19" cm="1">
        <f t="array" ref="M71">_xlfn.IFS($G71="",0, AND(NOT(ISNUMBER($G71)),LOWER($G71)&lt;&gt;"dnf"),"Not a valid time",OR(LOWER($G71)="dnf",$G71&gt;ScoringTable!$M$161),1,RIGHT($E71,1)="B",_xlfn.XLOOKUP($G71,ScoringTable!$M$2:$M$161,ScoringTable!$L$2:$L$161,,1),TRUE,_xlfn.XLOOKUP($G71,ScoringTable!$S$2:$S$161,ScoringTable!$R$2:$R$161,,1))</f>
        <v>0</v>
      </c>
    </row>
    <row r="72" spans="1:13" s="7" customFormat="1" ht="16" customHeight="1">
      <c r="A72" s="280" t="s">
        <v>2</v>
      </c>
      <c r="B72" s="122" t="str">
        <f>IF(ISNA(VLOOKUP($F72,Declarations!B$6:C$293,2,FALSE)),"",IF(VLOOKUP($F72,Declarations!B$6:C$293,2,FALSE)="","NOT DECLARED",IF(ISNA(_xlfn.TEXTBEFORE(VLOOKUP($F72,Declarations!B$6:C$293,2,FALSE)," ")),VLOOKUP($F72,Declarations!B$6:C$293,2,FALSE),_xlfn.TEXTBEFORE(VLOOKUP($F72,Declarations!B$6:C$293,2,FALSE)," "))))</f>
        <v/>
      </c>
      <c r="C72" s="122" t="str">
        <f>IF(ISNA(VLOOKUP($F72,Declarations!B$6:C$293,2,FALSE)),"",IF(VLOOKUP($F72,Declarations!B$6:C$293,2,FALSE)="","NOT DECLARED",IF(ISNA(_xlfn.TEXTAFTER(VLOOKUP($F72,Declarations!B$6:C$293,2,FALSE)," ")),VLOOKUP($F72,Declarations!B$6:C$293,2,FALSE),_xlfn.TEXTAFTER(VLOOKUP($F72,Declarations!B$6:C$293,2,FALSE)," "))))</f>
        <v/>
      </c>
      <c r="D72" s="122" t="str">
        <f>IF(ISNA(VLOOKUP($F72,Declarations!$B$6:$F$293,5,FALSE)),"",IF(VLOOKUP($F72,Declarations!$B$6:$F$293,5,FALSE)="","NOT DECLARED",VLOOKUP($F72,Declarations!$B$6:$F$293,5,FALSE)))</f>
        <v/>
      </c>
      <c r="E72" s="120" t="str">
        <f>IF(ISNA(VLOOKUP($F72,Declarations!$B$6:$D$293,3,FALSE)),"",IF(VLOOKUP($F72,Declarations!$B$6:$D$293,3,FALSE)="","NOT DECLARED",VLOOKUP($F72,Declarations!$B$6:$D$293,3,FALSE)&amp;LEFT(VLOOKUP($F72,Declarations!$B$6:$E$293,4,FALSE))))</f>
        <v/>
      </c>
      <c r="F72" s="59"/>
      <c r="G72" s="130"/>
      <c r="H72" s="130"/>
      <c r="I72" s="122" t="str">
        <f>IF(ISNA(VLOOKUP(F72,Declarations!B$6:C$293,2,FALSE)),"",IF(VLOOKUP(F72,Declarations!B$6:C$293,2,FALSE)="","NOT DECLARED",VLOOKUP(F72,Declarations!B$6:C$293,2,FALSE)))</f>
        <v/>
      </c>
      <c r="J72" s="120">
        <f>IF(LOWER(G72)="dnf",1,IF(G72&lt;ScoringTable!B$3,ScoringTable!I$2,VLOOKUP((1000-G72),ScoringTable!G$2:I$95,3)))</f>
        <v>0</v>
      </c>
      <c r="K72" s="120" t="str" cm="1">
        <f t="array" ref="K72">IF(OR(E72="",G72=""),"",_xlfn.IFS(E72="U10B",_xlfn.XLOOKUP(G72,Data!$D$2:$L$2,Data!$D$1:$L$1,"",1,1),E72="U12B",_xlfn.XLOOKUP(G72,Data!$D$8:$L$8,Data!$D$1:$L$1,"",1,1),E72="U10G",_xlfn.XLOOKUP(G72,Data!$D$15:$L$15,Data!$D$1:$L$1,"",1,1),E72="U12G",_xlfn.XLOOKUP(G72,Data!$D$21:$L$21,Data!$D$1:$L$1,"",1,1)))</f>
        <v/>
      </c>
      <c r="L72" s="184" t="str" cm="1">
        <f t="array" ref="L72">IFERROR(_xlfn.IFNA(
                      _xlfn.IFS(
                      G72="", "",
                      AND(E72="U10B",G72&lt;=Data!$M$2), "U10 Boys record",
                      AND(E72="U12B",G72&lt;=Data!$M$8), "U12 Boys record",
                      AND(E72="U10G",G72&lt;=Data!$M$15), "U10 Girls record",
                      AND(E72="U12G",G72&lt;=Data!$M$21), "U12 Girls record"
                       ),""), "")</f>
        <v/>
      </c>
      <c r="M72" s="19" cm="1">
        <f t="array" ref="M72">_xlfn.IFS($G72="",0, AND(NOT(ISNUMBER($G72)),LOWER($G72)&lt;&gt;"dnf"),"Not a valid time",OR(LOWER($G72)="dnf",$G72&gt;ScoringTable!$M$161),1,RIGHT($E72,1)="B",_xlfn.XLOOKUP($G72,ScoringTable!$M$2:$M$161,ScoringTable!$L$2:$L$161,,1),TRUE,_xlfn.XLOOKUP($G72,ScoringTable!$S$2:$S$161,ScoringTable!$R$2:$R$161,,1))</f>
        <v>0</v>
      </c>
    </row>
    <row r="73" spans="1:13" s="7" customFormat="1" ht="16" customHeight="1">
      <c r="A73" s="280" t="s">
        <v>2</v>
      </c>
      <c r="B73" s="122" t="str">
        <f>IF(ISNA(VLOOKUP($F73,Declarations!B$6:C$293,2,FALSE)),"",IF(VLOOKUP($F73,Declarations!B$6:C$293,2,FALSE)="","NOT DECLARED",IF(ISNA(_xlfn.TEXTBEFORE(VLOOKUP($F73,Declarations!B$6:C$293,2,FALSE)," ")),VLOOKUP($F73,Declarations!B$6:C$293,2,FALSE),_xlfn.TEXTBEFORE(VLOOKUP($F73,Declarations!B$6:C$293,2,FALSE)," "))))</f>
        <v/>
      </c>
      <c r="C73" s="122" t="str">
        <f>IF(ISNA(VLOOKUP($F73,Declarations!B$6:C$293,2,FALSE)),"",IF(VLOOKUP($F73,Declarations!B$6:C$293,2,FALSE)="","NOT DECLARED",IF(ISNA(_xlfn.TEXTAFTER(VLOOKUP($F73,Declarations!B$6:C$293,2,FALSE)," ")),VLOOKUP($F73,Declarations!B$6:C$293,2,FALSE),_xlfn.TEXTAFTER(VLOOKUP($F73,Declarations!B$6:C$293,2,FALSE)," "))))</f>
        <v/>
      </c>
      <c r="D73" s="122" t="str">
        <f>IF(ISNA(VLOOKUP($F73,Declarations!$B$6:$F$293,5,FALSE)),"",IF(VLOOKUP($F73,Declarations!$B$6:$F$293,5,FALSE)="","NOT DECLARED",VLOOKUP($F73,Declarations!$B$6:$F$293,5,FALSE)))</f>
        <v/>
      </c>
      <c r="E73" s="120" t="str">
        <f>IF(ISNA(VLOOKUP($F73,Declarations!$B$6:$D$293,3,FALSE)),"",IF(VLOOKUP($F73,Declarations!$B$6:$D$293,3,FALSE)="","NOT DECLARED",VLOOKUP($F73,Declarations!$B$6:$D$293,3,FALSE)&amp;LEFT(VLOOKUP($F73,Declarations!$B$6:$E$293,4,FALSE))))</f>
        <v/>
      </c>
      <c r="F73" s="59"/>
      <c r="G73" s="130"/>
      <c r="H73" s="130"/>
      <c r="I73" s="122" t="str">
        <f>IF(ISNA(VLOOKUP(F73,Declarations!B$6:C$293,2,FALSE)),"",IF(VLOOKUP(F73,Declarations!B$6:C$293,2,FALSE)="","NOT DECLARED",VLOOKUP(F73,Declarations!B$6:C$293,2,FALSE)))</f>
        <v/>
      </c>
      <c r="J73" s="120">
        <f>IF(LOWER(G73)="dnf",1,IF(G73&lt;ScoringTable!B$3,ScoringTable!I$2,VLOOKUP((1000-G73),ScoringTable!G$2:I$95,3)))</f>
        <v>0</v>
      </c>
      <c r="K73" s="120" t="str" cm="1">
        <f t="array" ref="K73">IF(OR(E73="",G73=""),"",_xlfn.IFS(E73="U10B",_xlfn.XLOOKUP(G73,Data!$D$2:$L$2,Data!$D$1:$L$1,"",1,1),E73="U12B",_xlfn.XLOOKUP(G73,Data!$D$8:$L$8,Data!$D$1:$L$1,"",1,1),E73="U10G",_xlfn.XLOOKUP(G73,Data!$D$15:$L$15,Data!$D$1:$L$1,"",1,1),E73="U12G",_xlfn.XLOOKUP(G73,Data!$D$21:$L$21,Data!$D$1:$L$1,"",1,1)))</f>
        <v/>
      </c>
      <c r="L73" s="184" t="str" cm="1">
        <f t="array" ref="L73">IFERROR(_xlfn.IFNA(
                      _xlfn.IFS(
                      G73="", "",
                      AND(E73="U10B",G73&lt;=Data!$M$2), "U10 Boys record",
                      AND(E73="U12B",G73&lt;=Data!$M$8), "U12 Boys record",
                      AND(E73="U10G",G73&lt;=Data!$M$15), "U10 Girls record",
                      AND(E73="U12G",G73&lt;=Data!$M$21), "U12 Girls record"
                       ),""), "")</f>
        <v/>
      </c>
      <c r="M73" s="19" cm="1">
        <f t="array" ref="M73">_xlfn.IFS($G73="",0, AND(NOT(ISNUMBER($G73)),LOWER($G73)&lt;&gt;"dnf"),"Not a valid time",OR(LOWER($G73)="dnf",$G73&gt;ScoringTable!$M$161),1,RIGHT($E73,1)="B",_xlfn.XLOOKUP($G73,ScoringTable!$M$2:$M$161,ScoringTable!$L$2:$L$161,,1),TRUE,_xlfn.XLOOKUP($G73,ScoringTable!$S$2:$S$161,ScoringTable!$R$2:$R$161,,1))</f>
        <v>0</v>
      </c>
    </row>
    <row r="74" spans="1:13" s="7" customFormat="1" ht="16" customHeight="1">
      <c r="A74" s="280" t="s">
        <v>2</v>
      </c>
      <c r="B74" s="122" t="str">
        <f>IF(ISNA(VLOOKUP($F74,Declarations!B$6:C$293,2,FALSE)),"",IF(VLOOKUP($F74,Declarations!B$6:C$293,2,FALSE)="","NOT DECLARED",IF(ISNA(_xlfn.TEXTBEFORE(VLOOKUP($F74,Declarations!B$6:C$293,2,FALSE)," ")),VLOOKUP($F74,Declarations!B$6:C$293,2,FALSE),_xlfn.TEXTBEFORE(VLOOKUP($F74,Declarations!B$6:C$293,2,FALSE)," "))))</f>
        <v/>
      </c>
      <c r="C74" s="122" t="str">
        <f>IF(ISNA(VLOOKUP($F74,Declarations!B$6:C$293,2,FALSE)),"",IF(VLOOKUP($F74,Declarations!B$6:C$293,2,FALSE)="","NOT DECLARED",IF(ISNA(_xlfn.TEXTAFTER(VLOOKUP($F74,Declarations!B$6:C$293,2,FALSE)," ")),VLOOKUP($F74,Declarations!B$6:C$293,2,FALSE),_xlfn.TEXTAFTER(VLOOKUP($F74,Declarations!B$6:C$293,2,FALSE)," "))))</f>
        <v/>
      </c>
      <c r="D74" s="122" t="str">
        <f>IF(ISNA(VLOOKUP($F74,Declarations!$B$6:$F$293,5,FALSE)),"",IF(VLOOKUP($F74,Declarations!$B$6:$F$293,5,FALSE)="","NOT DECLARED",VLOOKUP($F74,Declarations!$B$6:$F$293,5,FALSE)))</f>
        <v/>
      </c>
      <c r="E74" s="120" t="str">
        <f>IF(ISNA(VLOOKUP($F74,Declarations!$B$6:$D$293,3,FALSE)),"",IF(VLOOKUP($F74,Declarations!$B$6:$D$293,3,FALSE)="","NOT DECLARED",VLOOKUP($F74,Declarations!$B$6:$D$293,3,FALSE)&amp;LEFT(VLOOKUP($F74,Declarations!$B$6:$E$293,4,FALSE))))</f>
        <v/>
      </c>
      <c r="F74" s="59"/>
      <c r="G74" s="130"/>
      <c r="H74" s="130"/>
      <c r="I74" s="122" t="str">
        <f>IF(ISNA(VLOOKUP(F74,Declarations!B$6:C$293,2,FALSE)),"",IF(VLOOKUP(F74,Declarations!B$6:C$293,2,FALSE)="","NOT DECLARED",VLOOKUP(F74,Declarations!B$6:C$293,2,FALSE)))</f>
        <v/>
      </c>
      <c r="J74" s="120">
        <f>IF(LOWER(G74)="dnf",1,IF(G74&lt;ScoringTable!B$3,ScoringTable!I$2,VLOOKUP((1000-G74),ScoringTable!G$2:I$95,3)))</f>
        <v>0</v>
      </c>
      <c r="K74" s="120" t="str" cm="1">
        <f t="array" ref="K74">IF(OR(E74="",G74=""),"",_xlfn.IFS(E74="U10B",_xlfn.XLOOKUP(G74,Data!$D$2:$L$2,Data!$D$1:$L$1,"",1,1),E74="U12B",_xlfn.XLOOKUP(G74,Data!$D$8:$L$8,Data!$D$1:$L$1,"",1,1),E74="U10G",_xlfn.XLOOKUP(G74,Data!$D$15:$L$15,Data!$D$1:$L$1,"",1,1),E74="U12G",_xlfn.XLOOKUP(G74,Data!$D$21:$L$21,Data!$D$1:$L$1,"",1,1)))</f>
        <v/>
      </c>
      <c r="L74" s="184" t="str" cm="1">
        <f t="array" ref="L74">IFERROR(_xlfn.IFNA(
                      _xlfn.IFS(
                      G74="", "",
                      AND(E74="U10B",G74&lt;=Data!$M$2), "U10 Boys record",
                      AND(E74="U12B",G74&lt;=Data!$M$8), "U12 Boys record",
                      AND(E74="U10G",G74&lt;=Data!$M$15), "U10 Girls record",
                      AND(E74="U12G",G74&lt;=Data!$M$21), "U12 Girls record"
                       ),""), "")</f>
        <v/>
      </c>
      <c r="M74" s="19" cm="1">
        <f t="array" ref="M74">_xlfn.IFS($G74="",0, AND(NOT(ISNUMBER($G74)),LOWER($G74)&lt;&gt;"dnf"),"Not a valid time",OR(LOWER($G74)="dnf",$G74&gt;ScoringTable!$M$161),1,RIGHT($E74,1)="B",_xlfn.XLOOKUP($G74,ScoringTable!$M$2:$M$161,ScoringTable!$L$2:$L$161,,1),TRUE,_xlfn.XLOOKUP($G74,ScoringTable!$S$2:$S$161,ScoringTable!$R$2:$R$161,,1))</f>
        <v>0</v>
      </c>
    </row>
    <row r="75" spans="1:13" s="7" customFormat="1" ht="16" customHeight="1">
      <c r="A75" s="280" t="s">
        <v>2</v>
      </c>
      <c r="B75" s="122" t="str">
        <f>IF(ISNA(VLOOKUP($F75,Declarations!B$6:C$293,2,FALSE)),"",IF(VLOOKUP($F75,Declarations!B$6:C$293,2,FALSE)="","NOT DECLARED",IF(ISNA(_xlfn.TEXTBEFORE(VLOOKUP($F75,Declarations!B$6:C$293,2,FALSE)," ")),VLOOKUP($F75,Declarations!B$6:C$293,2,FALSE),_xlfn.TEXTBEFORE(VLOOKUP($F75,Declarations!B$6:C$293,2,FALSE)," "))))</f>
        <v/>
      </c>
      <c r="C75" s="122" t="str">
        <f>IF(ISNA(VLOOKUP($F75,Declarations!B$6:C$293,2,FALSE)),"",IF(VLOOKUP($F75,Declarations!B$6:C$293,2,FALSE)="","NOT DECLARED",IF(ISNA(_xlfn.TEXTAFTER(VLOOKUP($F75,Declarations!B$6:C$293,2,FALSE)," ")),VLOOKUP($F75,Declarations!B$6:C$293,2,FALSE),_xlfn.TEXTAFTER(VLOOKUP($F75,Declarations!B$6:C$293,2,FALSE)," "))))</f>
        <v/>
      </c>
      <c r="D75" s="122" t="str">
        <f>IF(ISNA(VLOOKUP($F75,Declarations!$B$6:$F$293,5,FALSE)),"",IF(VLOOKUP($F75,Declarations!$B$6:$F$293,5,FALSE)="","NOT DECLARED",VLOOKUP($F75,Declarations!$B$6:$F$293,5,FALSE)))</f>
        <v/>
      </c>
      <c r="E75" s="120" t="str">
        <f>IF(ISNA(VLOOKUP($F75,Declarations!$B$6:$D$293,3,FALSE)),"",IF(VLOOKUP($F75,Declarations!$B$6:$D$293,3,FALSE)="","NOT DECLARED",VLOOKUP($F75,Declarations!$B$6:$D$293,3,FALSE)&amp;LEFT(VLOOKUP($F75,Declarations!$B$6:$E$293,4,FALSE))))</f>
        <v/>
      </c>
      <c r="F75" s="59"/>
      <c r="G75" s="130"/>
      <c r="H75" s="130"/>
      <c r="I75" s="122" t="str">
        <f>IF(ISNA(VLOOKUP(F75,Declarations!B$6:C$293,2,FALSE)),"",IF(VLOOKUP(F75,Declarations!B$6:C$293,2,FALSE)="","NOT DECLARED",VLOOKUP(F75,Declarations!B$6:C$293,2,FALSE)))</f>
        <v/>
      </c>
      <c r="J75" s="120">
        <f>IF(LOWER(G75)="dnf",1,IF(G75&lt;ScoringTable!B$3,ScoringTable!I$2,VLOOKUP((1000-G75),ScoringTable!G$2:I$95,3)))</f>
        <v>0</v>
      </c>
      <c r="K75" s="120" t="str" cm="1">
        <f t="array" ref="K75">IF(OR(E75="",G75=""),"",_xlfn.IFS(E75="U10B",_xlfn.XLOOKUP(G75,Data!$D$2:$L$2,Data!$D$1:$L$1,"",1,1),E75="U12B",_xlfn.XLOOKUP(G75,Data!$D$8:$L$8,Data!$D$1:$L$1,"",1,1),E75="U10G",_xlfn.XLOOKUP(G75,Data!$D$15:$L$15,Data!$D$1:$L$1,"",1,1),E75="U12G",_xlfn.XLOOKUP(G75,Data!$D$21:$L$21,Data!$D$1:$L$1,"",1,1)))</f>
        <v/>
      </c>
      <c r="L75" s="184" t="str" cm="1">
        <f t="array" ref="L75">IFERROR(_xlfn.IFNA(
                      _xlfn.IFS(
                      G75="", "",
                      AND(E75="U10B",G75&lt;=Data!$M$2), "U10 Boys record",
                      AND(E75="U12B",G75&lt;=Data!$M$8), "U12 Boys record",
                      AND(E75="U10G",G75&lt;=Data!$M$15), "U10 Girls record",
                      AND(E75="U12G",G75&lt;=Data!$M$21), "U12 Girls record"
                       ),""), "")</f>
        <v/>
      </c>
      <c r="M75" s="19" cm="1">
        <f t="array" ref="M75">_xlfn.IFS($G75="",0, AND(NOT(ISNUMBER($G75)),LOWER($G75)&lt;&gt;"dnf"),"Not a valid time",OR(LOWER($G75)="dnf",$G75&gt;ScoringTable!$M$161),1,RIGHT($E75,1)="B",_xlfn.XLOOKUP($G75,ScoringTable!$M$2:$M$161,ScoringTable!$L$2:$L$161,,1),TRUE,_xlfn.XLOOKUP($G75,ScoringTable!$S$2:$S$161,ScoringTable!$R$2:$R$161,,1))</f>
        <v>0</v>
      </c>
    </row>
    <row r="76" spans="1:13" s="7" customFormat="1" ht="16" customHeight="1">
      <c r="A76" s="280" t="s">
        <v>2</v>
      </c>
      <c r="B76" s="122" t="str">
        <f>IF(ISNA(VLOOKUP($F76,Declarations!B$6:C$293,2,FALSE)),"",IF(VLOOKUP($F76,Declarations!B$6:C$293,2,FALSE)="","NOT DECLARED",IF(ISNA(_xlfn.TEXTBEFORE(VLOOKUP($F76,Declarations!B$6:C$293,2,FALSE)," ")),VLOOKUP($F76,Declarations!B$6:C$293,2,FALSE),_xlfn.TEXTBEFORE(VLOOKUP($F76,Declarations!B$6:C$293,2,FALSE)," "))))</f>
        <v/>
      </c>
      <c r="C76" s="122" t="str">
        <f>IF(ISNA(VLOOKUP($F76,Declarations!B$6:C$293,2,FALSE)),"",IF(VLOOKUP($F76,Declarations!B$6:C$293,2,FALSE)="","NOT DECLARED",IF(ISNA(_xlfn.TEXTAFTER(VLOOKUP($F76,Declarations!B$6:C$293,2,FALSE)," ")),VLOOKUP($F76,Declarations!B$6:C$293,2,FALSE),_xlfn.TEXTAFTER(VLOOKUP($F76,Declarations!B$6:C$293,2,FALSE)," "))))</f>
        <v/>
      </c>
      <c r="D76" s="122" t="str">
        <f>IF(ISNA(VLOOKUP($F76,Declarations!$B$6:$F$293,5,FALSE)),"",IF(VLOOKUP($F76,Declarations!$B$6:$F$293,5,FALSE)="","NOT DECLARED",VLOOKUP($F76,Declarations!$B$6:$F$293,5,FALSE)))</f>
        <v/>
      </c>
      <c r="E76" s="120" t="str">
        <f>IF(ISNA(VLOOKUP($F76,Declarations!$B$6:$D$293,3,FALSE)),"",IF(VLOOKUP($F76,Declarations!$B$6:$D$293,3,FALSE)="","NOT DECLARED",VLOOKUP($F76,Declarations!$B$6:$D$293,3,FALSE)&amp;LEFT(VLOOKUP($F76,Declarations!$B$6:$E$293,4,FALSE))))</f>
        <v/>
      </c>
      <c r="F76" s="59"/>
      <c r="G76" s="130"/>
      <c r="H76" s="130"/>
      <c r="I76" s="122" t="str">
        <f>IF(ISNA(VLOOKUP(F76,Declarations!B$6:C$293,2,FALSE)),"",IF(VLOOKUP(F76,Declarations!B$6:C$293,2,FALSE)="","NOT DECLARED",VLOOKUP(F76,Declarations!B$6:C$293,2,FALSE)))</f>
        <v/>
      </c>
      <c r="J76" s="120">
        <f>IF(LOWER(G76)="dnf",1,IF(G76&lt;ScoringTable!B$3,ScoringTable!I$2,VLOOKUP((1000-G76),ScoringTable!G$2:I$95,3)))</f>
        <v>0</v>
      </c>
      <c r="K76" s="120" t="str" cm="1">
        <f t="array" ref="K76">IF(OR(E76="",G76=""),"",_xlfn.IFS(E76="U10B",_xlfn.XLOOKUP(G76,Data!$D$2:$L$2,Data!$D$1:$L$1,"",1,1),E76="U12B",_xlfn.XLOOKUP(G76,Data!$D$8:$L$8,Data!$D$1:$L$1,"",1,1),E76="U10G",_xlfn.XLOOKUP(G76,Data!$D$15:$L$15,Data!$D$1:$L$1,"",1,1),E76="U12G",_xlfn.XLOOKUP(G76,Data!$D$21:$L$21,Data!$D$1:$L$1,"",1,1)))</f>
        <v/>
      </c>
      <c r="L76" s="184" t="str" cm="1">
        <f t="array" ref="L76">IFERROR(_xlfn.IFNA(
                      _xlfn.IFS(
                      G76="", "",
                      AND(E76="U10B",G76&lt;=Data!$M$2), "U10 Boys record",
                      AND(E76="U12B",G76&lt;=Data!$M$8), "U12 Boys record",
                      AND(E76="U10G",G76&lt;=Data!$M$15), "U10 Girls record",
                      AND(E76="U12G",G76&lt;=Data!$M$21), "U12 Girls record"
                       ),""), "")</f>
        <v/>
      </c>
      <c r="M76" s="19" cm="1">
        <f t="array" ref="M76">_xlfn.IFS($G76="",0, AND(NOT(ISNUMBER($G76)),LOWER($G76)&lt;&gt;"dnf"),"Not a valid time",OR(LOWER($G76)="dnf",$G76&gt;ScoringTable!$M$161),1,RIGHT($E76,1)="B",_xlfn.XLOOKUP($G76,ScoringTable!$M$2:$M$161,ScoringTable!$L$2:$L$161,,1),TRUE,_xlfn.XLOOKUP($G76,ScoringTable!$S$2:$S$161,ScoringTable!$R$2:$R$161,,1))</f>
        <v>0</v>
      </c>
    </row>
    <row r="77" spans="1:13" s="7" customFormat="1" ht="16" customHeight="1">
      <c r="A77" s="280" t="s">
        <v>2</v>
      </c>
      <c r="B77" s="122" t="str">
        <f>IF(ISNA(VLOOKUP($F77,Declarations!B$6:C$293,2,FALSE)),"",IF(VLOOKUP($F77,Declarations!B$6:C$293,2,FALSE)="","NOT DECLARED",IF(ISNA(_xlfn.TEXTBEFORE(VLOOKUP($F77,Declarations!B$6:C$293,2,FALSE)," ")),VLOOKUP($F77,Declarations!B$6:C$293,2,FALSE),_xlfn.TEXTBEFORE(VLOOKUP($F77,Declarations!B$6:C$293,2,FALSE)," "))))</f>
        <v/>
      </c>
      <c r="C77" s="122" t="str">
        <f>IF(ISNA(VLOOKUP($F77,Declarations!B$6:C$293,2,FALSE)),"",IF(VLOOKUP($F77,Declarations!B$6:C$293,2,FALSE)="","NOT DECLARED",IF(ISNA(_xlfn.TEXTAFTER(VLOOKUP($F77,Declarations!B$6:C$293,2,FALSE)," ")),VLOOKUP($F77,Declarations!B$6:C$293,2,FALSE),_xlfn.TEXTAFTER(VLOOKUP($F77,Declarations!B$6:C$293,2,FALSE)," "))))</f>
        <v/>
      </c>
      <c r="D77" s="122" t="str">
        <f>IF(ISNA(VLOOKUP($F77,Declarations!$B$6:$F$293,5,FALSE)),"",IF(VLOOKUP($F77,Declarations!$B$6:$F$293,5,FALSE)="","NOT DECLARED",VLOOKUP($F77,Declarations!$B$6:$F$293,5,FALSE)))</f>
        <v/>
      </c>
      <c r="E77" s="120" t="str">
        <f>IF(ISNA(VLOOKUP($F77,Declarations!$B$6:$D$293,3,FALSE)),"",IF(VLOOKUP($F77,Declarations!$B$6:$D$293,3,FALSE)="","NOT DECLARED",VLOOKUP($F77,Declarations!$B$6:$D$293,3,FALSE)&amp;LEFT(VLOOKUP($F77,Declarations!$B$6:$E$293,4,FALSE))))</f>
        <v/>
      </c>
      <c r="F77" s="59"/>
      <c r="G77" s="130"/>
      <c r="H77" s="130"/>
      <c r="I77" s="122" t="str">
        <f>IF(ISNA(VLOOKUP(F77,Declarations!B$6:C$293,2,FALSE)),"",IF(VLOOKUP(F77,Declarations!B$6:C$293,2,FALSE)="","NOT DECLARED",VLOOKUP(F77,Declarations!B$6:C$293,2,FALSE)))</f>
        <v/>
      </c>
      <c r="J77" s="120">
        <f>IF(LOWER(G77)="dnf",1,IF(G77&lt;ScoringTable!B$3,ScoringTable!I$2,VLOOKUP((1000-G77),ScoringTable!G$2:I$95,3)))</f>
        <v>0</v>
      </c>
      <c r="K77" s="120" t="str" cm="1">
        <f t="array" ref="K77">IF(OR(E77="",G77=""),"",_xlfn.IFS(E77="U10B",_xlfn.XLOOKUP(G77,Data!$D$2:$L$2,Data!$D$1:$L$1,"",1,1),E77="U12B",_xlfn.XLOOKUP(G77,Data!$D$8:$L$8,Data!$D$1:$L$1,"",1,1),E77="U10G",_xlfn.XLOOKUP(G77,Data!$D$15:$L$15,Data!$D$1:$L$1,"",1,1),E77="U12G",_xlfn.XLOOKUP(G77,Data!$D$21:$L$21,Data!$D$1:$L$1,"",1,1)))</f>
        <v/>
      </c>
      <c r="L77" s="184" t="str" cm="1">
        <f t="array" ref="L77">IFERROR(_xlfn.IFNA(
                      _xlfn.IFS(
                      G77="", "",
                      AND(E77="U10B",G77&lt;=Data!$M$2), "U10 Boys record",
                      AND(E77="U12B",G77&lt;=Data!$M$8), "U12 Boys record",
                      AND(E77="U10G",G77&lt;=Data!$M$15), "U10 Girls record",
                      AND(E77="U12G",G77&lt;=Data!$M$21), "U12 Girls record"
                       ),""), "")</f>
        <v/>
      </c>
      <c r="M77" s="19" cm="1">
        <f t="array" ref="M77">_xlfn.IFS($G77="",0, AND(NOT(ISNUMBER($G77)),LOWER($G77)&lt;&gt;"dnf"),"Not a valid time",OR(LOWER($G77)="dnf",$G77&gt;ScoringTable!$M$161),1,RIGHT($E77,1)="B",_xlfn.XLOOKUP($G77,ScoringTable!$M$2:$M$161,ScoringTable!$L$2:$L$161,,1),TRUE,_xlfn.XLOOKUP($G77,ScoringTable!$S$2:$S$161,ScoringTable!$R$2:$R$161,,1))</f>
        <v>0</v>
      </c>
    </row>
    <row r="78" spans="1:13" s="7" customFormat="1" ht="16" customHeight="1">
      <c r="A78" s="280" t="s">
        <v>2</v>
      </c>
      <c r="B78" s="122" t="str">
        <f>IF(ISNA(VLOOKUP($F78,Declarations!B$6:C$293,2,FALSE)),"",IF(VLOOKUP($F78,Declarations!B$6:C$293,2,FALSE)="","NOT DECLARED",IF(ISNA(_xlfn.TEXTBEFORE(VLOOKUP($F78,Declarations!B$6:C$293,2,FALSE)," ")),VLOOKUP($F78,Declarations!B$6:C$293,2,FALSE),_xlfn.TEXTBEFORE(VLOOKUP($F78,Declarations!B$6:C$293,2,FALSE)," "))))</f>
        <v/>
      </c>
      <c r="C78" s="122" t="str">
        <f>IF(ISNA(VLOOKUP($F78,Declarations!B$6:C$293,2,FALSE)),"",IF(VLOOKUP($F78,Declarations!B$6:C$293,2,FALSE)="","NOT DECLARED",IF(ISNA(_xlfn.TEXTAFTER(VLOOKUP($F78,Declarations!B$6:C$293,2,FALSE)," ")),VLOOKUP($F78,Declarations!B$6:C$293,2,FALSE),_xlfn.TEXTAFTER(VLOOKUP($F78,Declarations!B$6:C$293,2,FALSE)," "))))</f>
        <v/>
      </c>
      <c r="D78" s="122" t="str">
        <f>IF(ISNA(VLOOKUP($F78,Declarations!$B$6:$F$293,5,FALSE)),"",IF(VLOOKUP($F78,Declarations!$B$6:$F$293,5,FALSE)="","NOT DECLARED",VLOOKUP($F78,Declarations!$B$6:$F$293,5,FALSE)))</f>
        <v/>
      </c>
      <c r="E78" s="120" t="str">
        <f>IF(ISNA(VLOOKUP($F78,Declarations!$B$6:$D$293,3,FALSE)),"",IF(VLOOKUP($F78,Declarations!$B$6:$D$293,3,FALSE)="","NOT DECLARED",VLOOKUP($F78,Declarations!$B$6:$D$293,3,FALSE)&amp;LEFT(VLOOKUP($F78,Declarations!$B$6:$E$293,4,FALSE))))</f>
        <v/>
      </c>
      <c r="F78" s="59"/>
      <c r="G78" s="130"/>
      <c r="H78" s="130"/>
      <c r="I78" s="122" t="str">
        <f>IF(ISNA(VLOOKUP(F78,Declarations!B$6:C$293,2,FALSE)),"",IF(VLOOKUP(F78,Declarations!B$6:C$293,2,FALSE)="","NOT DECLARED",VLOOKUP(F78,Declarations!B$6:C$293,2,FALSE)))</f>
        <v/>
      </c>
      <c r="J78" s="120">
        <f>IF(LOWER(G78)="dnf",1,IF(G78&lt;ScoringTable!B$3,ScoringTable!I$2,VLOOKUP((1000-G78),ScoringTable!G$2:I$95,3)))</f>
        <v>0</v>
      </c>
      <c r="K78" s="120" t="str" cm="1">
        <f t="array" ref="K78">IF(OR(E78="",G78=""),"",_xlfn.IFS(E78="U10B",_xlfn.XLOOKUP(G78,Data!$D$2:$L$2,Data!$D$1:$L$1,"",1,1),E78="U12B",_xlfn.XLOOKUP(G78,Data!$D$8:$L$8,Data!$D$1:$L$1,"",1,1),E78="U10G",_xlfn.XLOOKUP(G78,Data!$D$15:$L$15,Data!$D$1:$L$1,"",1,1),E78="U12G",_xlfn.XLOOKUP(G78,Data!$D$21:$L$21,Data!$D$1:$L$1,"",1,1)))</f>
        <v/>
      </c>
      <c r="L78" s="184" t="str" cm="1">
        <f t="array" ref="L78">IFERROR(_xlfn.IFNA(
                      _xlfn.IFS(
                      G78="", "",
                      AND(E78="U10B",G78&lt;=Data!$M$2), "U10 Boys record",
                      AND(E78="U12B",G78&lt;=Data!$M$8), "U12 Boys record",
                      AND(E78="U10G",G78&lt;=Data!$M$15), "U10 Girls record",
                      AND(E78="U12G",G78&lt;=Data!$M$21), "U12 Girls record"
                       ),""), "")</f>
        <v/>
      </c>
      <c r="M78" s="19" cm="1">
        <f t="array" ref="M78">_xlfn.IFS($G78="",0, AND(NOT(ISNUMBER($G78)),LOWER($G78)&lt;&gt;"dnf"),"Not a valid time",OR(LOWER($G78)="dnf",$G78&gt;ScoringTable!$M$161),1,RIGHT($E78,1)="B",_xlfn.XLOOKUP($G78,ScoringTable!$M$2:$M$161,ScoringTable!$L$2:$L$161,,1),TRUE,_xlfn.XLOOKUP($G78,ScoringTable!$S$2:$S$161,ScoringTable!$R$2:$R$161,,1))</f>
        <v>0</v>
      </c>
    </row>
    <row r="79" spans="1:13" s="7" customFormat="1" ht="16" customHeight="1">
      <c r="A79" s="280" t="s">
        <v>2</v>
      </c>
      <c r="B79" s="122" t="str">
        <f>IF(ISNA(VLOOKUP($F79,Declarations!B$6:C$293,2,FALSE)),"",IF(VLOOKUP($F79,Declarations!B$6:C$293,2,FALSE)="","NOT DECLARED",IF(ISNA(_xlfn.TEXTBEFORE(VLOOKUP($F79,Declarations!B$6:C$293,2,FALSE)," ")),VLOOKUP($F79,Declarations!B$6:C$293,2,FALSE),_xlfn.TEXTBEFORE(VLOOKUP($F79,Declarations!B$6:C$293,2,FALSE)," "))))</f>
        <v/>
      </c>
      <c r="C79" s="122" t="str">
        <f>IF(ISNA(VLOOKUP($F79,Declarations!B$6:C$293,2,FALSE)),"",IF(VLOOKUP($F79,Declarations!B$6:C$293,2,FALSE)="","NOT DECLARED",IF(ISNA(_xlfn.TEXTAFTER(VLOOKUP($F79,Declarations!B$6:C$293,2,FALSE)," ")),VLOOKUP($F79,Declarations!B$6:C$293,2,FALSE),_xlfn.TEXTAFTER(VLOOKUP($F79,Declarations!B$6:C$293,2,FALSE)," "))))</f>
        <v/>
      </c>
      <c r="D79" s="122" t="str">
        <f>IF(ISNA(VLOOKUP($F79,Declarations!$B$6:$F$293,5,FALSE)),"",IF(VLOOKUP($F79,Declarations!$B$6:$F$293,5,FALSE)="","NOT DECLARED",VLOOKUP($F79,Declarations!$B$6:$F$293,5,FALSE)))</f>
        <v/>
      </c>
      <c r="E79" s="120" t="str">
        <f>IF(ISNA(VLOOKUP($F79,Declarations!$B$6:$D$293,3,FALSE)),"",IF(VLOOKUP($F79,Declarations!$B$6:$D$293,3,FALSE)="","NOT DECLARED",VLOOKUP($F79,Declarations!$B$6:$D$293,3,FALSE)&amp;LEFT(VLOOKUP($F79,Declarations!$B$6:$E$293,4,FALSE))))</f>
        <v/>
      </c>
      <c r="F79" s="59"/>
      <c r="G79" s="130"/>
      <c r="H79" s="130"/>
      <c r="I79" s="122" t="str">
        <f>IF(ISNA(VLOOKUP(F79,Declarations!B$6:C$293,2,FALSE)),"",IF(VLOOKUP(F79,Declarations!B$6:C$293,2,FALSE)="","NOT DECLARED",VLOOKUP(F79,Declarations!B$6:C$293,2,FALSE)))</f>
        <v/>
      </c>
      <c r="J79" s="120">
        <f>IF(LOWER(G79)="dnf",1,IF(G79&lt;ScoringTable!B$3,ScoringTable!I$2,VLOOKUP((1000-G79),ScoringTable!G$2:I$95,3)))</f>
        <v>0</v>
      </c>
      <c r="K79" s="120" t="str" cm="1">
        <f t="array" ref="K79">IF(OR(E79="",G79=""),"",_xlfn.IFS(E79="U10B",_xlfn.XLOOKUP(G79,Data!$D$2:$L$2,Data!$D$1:$L$1,"",1,1),E79="U12B",_xlfn.XLOOKUP(G79,Data!$D$8:$L$8,Data!$D$1:$L$1,"",1,1),E79="U10G",_xlfn.XLOOKUP(G79,Data!$D$15:$L$15,Data!$D$1:$L$1,"",1,1),E79="U12G",_xlfn.XLOOKUP(G79,Data!$D$21:$L$21,Data!$D$1:$L$1,"",1,1)))</f>
        <v/>
      </c>
      <c r="L79" s="184" t="str" cm="1">
        <f t="array" ref="L79">IFERROR(_xlfn.IFNA(
                      _xlfn.IFS(
                      G79="", "",
                      AND(E79="U10B",G79&lt;=Data!$M$2), "U10 Boys record",
                      AND(E79="U12B",G79&lt;=Data!$M$8), "U12 Boys record",
                      AND(E79="U10G",G79&lt;=Data!$M$15), "U10 Girls record",
                      AND(E79="U12G",G79&lt;=Data!$M$21), "U12 Girls record"
                       ),""), "")</f>
        <v/>
      </c>
      <c r="M79" s="19" cm="1">
        <f t="array" ref="M79">_xlfn.IFS($G79="",0, AND(NOT(ISNUMBER($G79)),LOWER($G79)&lt;&gt;"dnf"),"Not a valid time",OR(LOWER($G79)="dnf",$G79&gt;ScoringTable!$M$161),1,RIGHT($E79,1)="B",_xlfn.XLOOKUP($G79,ScoringTable!$M$2:$M$161,ScoringTable!$L$2:$L$161,,1),TRUE,_xlfn.XLOOKUP($G79,ScoringTable!$S$2:$S$161,ScoringTable!$R$2:$R$161,,1))</f>
        <v>0</v>
      </c>
    </row>
    <row r="80" spans="1:13" s="7" customFormat="1" ht="16" customHeight="1">
      <c r="A80" s="280" t="s">
        <v>2</v>
      </c>
      <c r="B80" s="122" t="str">
        <f>IF(ISNA(VLOOKUP($F80,Declarations!B$6:C$293,2,FALSE)),"",IF(VLOOKUP($F80,Declarations!B$6:C$293,2,FALSE)="","NOT DECLARED",IF(ISNA(_xlfn.TEXTBEFORE(VLOOKUP($F80,Declarations!B$6:C$293,2,FALSE)," ")),VLOOKUP($F80,Declarations!B$6:C$293,2,FALSE),_xlfn.TEXTBEFORE(VLOOKUP($F80,Declarations!B$6:C$293,2,FALSE)," "))))</f>
        <v/>
      </c>
      <c r="C80" s="122" t="str">
        <f>IF(ISNA(VLOOKUP($F80,Declarations!B$6:C$293,2,FALSE)),"",IF(VLOOKUP($F80,Declarations!B$6:C$293,2,FALSE)="","NOT DECLARED",IF(ISNA(_xlfn.TEXTAFTER(VLOOKUP($F80,Declarations!B$6:C$293,2,FALSE)," ")),VLOOKUP($F80,Declarations!B$6:C$293,2,FALSE),_xlfn.TEXTAFTER(VLOOKUP($F80,Declarations!B$6:C$293,2,FALSE)," "))))</f>
        <v/>
      </c>
      <c r="D80" s="122" t="str">
        <f>IF(ISNA(VLOOKUP($F80,Declarations!$B$6:$F$293,5,FALSE)),"",IF(VLOOKUP($F80,Declarations!$B$6:$F$293,5,FALSE)="","NOT DECLARED",VLOOKUP($F80,Declarations!$B$6:$F$293,5,FALSE)))</f>
        <v/>
      </c>
      <c r="E80" s="120" t="str">
        <f>IF(ISNA(VLOOKUP($F80,Declarations!$B$6:$D$293,3,FALSE)),"",IF(VLOOKUP($F80,Declarations!$B$6:$D$293,3,FALSE)="","NOT DECLARED",VLOOKUP($F80,Declarations!$B$6:$D$293,3,FALSE)&amp;LEFT(VLOOKUP($F80,Declarations!$B$6:$E$293,4,FALSE))))</f>
        <v/>
      </c>
      <c r="F80" s="59"/>
      <c r="G80" s="130"/>
      <c r="H80" s="130"/>
      <c r="I80" s="122" t="str">
        <f>IF(ISNA(VLOOKUP(F80,Declarations!B$6:C$293,2,FALSE)),"",IF(VLOOKUP(F80,Declarations!B$6:C$293,2,FALSE)="","NOT DECLARED",VLOOKUP(F80,Declarations!B$6:C$293,2,FALSE)))</f>
        <v/>
      </c>
      <c r="J80" s="120">
        <f>IF(LOWER(G80)="dnf",1,IF(G80&lt;ScoringTable!B$3,ScoringTable!I$2,VLOOKUP((1000-G80),ScoringTable!G$2:I$95,3)))</f>
        <v>0</v>
      </c>
      <c r="K80" s="120" t="str" cm="1">
        <f t="array" ref="K80">IF(OR(E80="",G80=""),"",_xlfn.IFS(E80="U10B",_xlfn.XLOOKUP(G80,Data!$D$2:$L$2,Data!$D$1:$L$1,"",1,1),E80="U12B",_xlfn.XLOOKUP(G80,Data!$D$8:$L$8,Data!$D$1:$L$1,"",1,1),E80="U10G",_xlfn.XLOOKUP(G80,Data!$D$15:$L$15,Data!$D$1:$L$1,"",1,1),E80="U12G",_xlfn.XLOOKUP(G80,Data!$D$21:$L$21,Data!$D$1:$L$1,"",1,1)))</f>
        <v/>
      </c>
      <c r="L80" s="184" t="str" cm="1">
        <f t="array" ref="L80">IFERROR(_xlfn.IFNA(
                      _xlfn.IFS(
                      G80="", "",
                      AND(E80="U10B",G80&lt;=Data!$M$2), "U10 Boys record",
                      AND(E80="U12B",G80&lt;=Data!$M$8), "U12 Boys record",
                      AND(E80="U10G",G80&lt;=Data!$M$15), "U10 Girls record",
                      AND(E80="U12G",G80&lt;=Data!$M$21), "U12 Girls record"
                       ),""), "")</f>
        <v/>
      </c>
      <c r="M80" s="19" cm="1">
        <f t="array" ref="M80">_xlfn.IFS($G80="",0, AND(NOT(ISNUMBER($G80)),LOWER($G80)&lt;&gt;"dnf"),"Not a valid time",OR(LOWER($G80)="dnf",$G80&gt;ScoringTable!$M$161),1,RIGHT($E80,1)="B",_xlfn.XLOOKUP($G80,ScoringTable!$M$2:$M$161,ScoringTable!$L$2:$L$161,,1),TRUE,_xlfn.XLOOKUP($G80,ScoringTable!$S$2:$S$161,ScoringTable!$R$2:$R$161,,1))</f>
        <v>0</v>
      </c>
    </row>
    <row r="81" spans="1:13" s="7" customFormat="1" ht="16" customHeight="1">
      <c r="A81" s="280" t="s">
        <v>2</v>
      </c>
      <c r="B81" s="122" t="str">
        <f>IF(ISNA(VLOOKUP($F81,Declarations!B$6:C$293,2,FALSE)),"",IF(VLOOKUP($F81,Declarations!B$6:C$293,2,FALSE)="","NOT DECLARED",IF(ISNA(_xlfn.TEXTBEFORE(VLOOKUP($F81,Declarations!B$6:C$293,2,FALSE)," ")),VLOOKUP($F81,Declarations!B$6:C$293,2,FALSE),_xlfn.TEXTBEFORE(VLOOKUP($F81,Declarations!B$6:C$293,2,FALSE)," "))))</f>
        <v/>
      </c>
      <c r="C81" s="122" t="str">
        <f>IF(ISNA(VLOOKUP($F81,Declarations!B$6:C$293,2,FALSE)),"",IF(VLOOKUP($F81,Declarations!B$6:C$293,2,FALSE)="","NOT DECLARED",IF(ISNA(_xlfn.TEXTAFTER(VLOOKUP($F81,Declarations!B$6:C$293,2,FALSE)," ")),VLOOKUP($F81,Declarations!B$6:C$293,2,FALSE),_xlfn.TEXTAFTER(VLOOKUP($F81,Declarations!B$6:C$293,2,FALSE)," "))))</f>
        <v/>
      </c>
      <c r="D81" s="122" t="str">
        <f>IF(ISNA(VLOOKUP($F81,Declarations!$B$6:$F$293,5,FALSE)),"",IF(VLOOKUP($F81,Declarations!$B$6:$F$293,5,FALSE)="","NOT DECLARED",VLOOKUP($F81,Declarations!$B$6:$F$293,5,FALSE)))</f>
        <v/>
      </c>
      <c r="E81" s="120" t="str">
        <f>IF(ISNA(VLOOKUP($F81,Declarations!$B$6:$D$293,3,FALSE)),"",IF(VLOOKUP($F81,Declarations!$B$6:$D$293,3,FALSE)="","NOT DECLARED",VLOOKUP($F81,Declarations!$B$6:$D$293,3,FALSE)&amp;LEFT(VLOOKUP($F81,Declarations!$B$6:$E$293,4,FALSE))))</f>
        <v/>
      </c>
      <c r="F81" s="59"/>
      <c r="G81" s="130"/>
      <c r="H81" s="130"/>
      <c r="I81" s="122" t="str">
        <f>IF(ISNA(VLOOKUP(F81,Declarations!B$6:C$293,2,FALSE)),"",IF(VLOOKUP(F81,Declarations!B$6:C$293,2,FALSE)="","NOT DECLARED",VLOOKUP(F81,Declarations!B$6:C$293,2,FALSE)))</f>
        <v/>
      </c>
      <c r="J81" s="120">
        <f>IF(LOWER(G81)="dnf",1,IF(G81&lt;ScoringTable!B$3,ScoringTable!I$2,VLOOKUP((1000-G81),ScoringTable!G$2:I$95,3)))</f>
        <v>0</v>
      </c>
      <c r="K81" s="120" t="str" cm="1">
        <f t="array" ref="K81">IF(OR(E81="",G81=""),"",_xlfn.IFS(E81="U10B",_xlfn.XLOOKUP(G81,Data!$D$2:$L$2,Data!$D$1:$L$1,"",1,1),E81="U12B",_xlfn.XLOOKUP(G81,Data!$D$8:$L$8,Data!$D$1:$L$1,"",1,1),E81="U10G",_xlfn.XLOOKUP(G81,Data!$D$15:$L$15,Data!$D$1:$L$1,"",1,1),E81="U12G",_xlfn.XLOOKUP(G81,Data!$D$21:$L$21,Data!$D$1:$L$1,"",1,1)))</f>
        <v/>
      </c>
      <c r="L81" s="184" t="str" cm="1">
        <f t="array" ref="L81">IFERROR(_xlfn.IFNA(
                      _xlfn.IFS(
                      G81="", "",
                      AND(E81="U10B",G81&lt;=Data!$M$2), "U10 Boys record",
                      AND(E81="U12B",G81&lt;=Data!$M$8), "U12 Boys record",
                      AND(E81="U10G",G81&lt;=Data!$M$15), "U10 Girls record",
                      AND(E81="U12G",G81&lt;=Data!$M$21), "U12 Girls record"
                       ),""), "")</f>
        <v/>
      </c>
      <c r="M81" s="19" cm="1">
        <f t="array" ref="M81">_xlfn.IFS($G81="",0, AND(NOT(ISNUMBER($G81)),LOWER($G81)&lt;&gt;"dnf"),"Not a valid time",OR(LOWER($G81)="dnf",$G81&gt;ScoringTable!$M$161),1,RIGHT($E81,1)="B",_xlfn.XLOOKUP($G81,ScoringTable!$M$2:$M$161,ScoringTable!$L$2:$L$161,,1),TRUE,_xlfn.XLOOKUP($G81,ScoringTable!$S$2:$S$161,ScoringTable!$R$2:$R$161,,1))</f>
        <v>0</v>
      </c>
    </row>
    <row r="82" spans="1:13" s="7" customFormat="1" ht="16" customHeight="1">
      <c r="A82" s="280" t="s">
        <v>2</v>
      </c>
      <c r="B82" s="122" t="str">
        <f>IF(ISNA(VLOOKUP($F82,Declarations!B$6:C$293,2,FALSE)),"",IF(VLOOKUP($F82,Declarations!B$6:C$293,2,FALSE)="","NOT DECLARED",IF(ISNA(_xlfn.TEXTBEFORE(VLOOKUP($F82,Declarations!B$6:C$293,2,FALSE)," ")),VLOOKUP($F82,Declarations!B$6:C$293,2,FALSE),_xlfn.TEXTBEFORE(VLOOKUP($F82,Declarations!B$6:C$293,2,FALSE)," "))))</f>
        <v/>
      </c>
      <c r="C82" s="122" t="str">
        <f>IF(ISNA(VLOOKUP($F82,Declarations!B$6:C$293,2,FALSE)),"",IF(VLOOKUP($F82,Declarations!B$6:C$293,2,FALSE)="","NOT DECLARED",IF(ISNA(_xlfn.TEXTAFTER(VLOOKUP($F82,Declarations!B$6:C$293,2,FALSE)," ")),VLOOKUP($F82,Declarations!B$6:C$293,2,FALSE),_xlfn.TEXTAFTER(VLOOKUP($F82,Declarations!B$6:C$293,2,FALSE)," "))))</f>
        <v/>
      </c>
      <c r="D82" s="122" t="str">
        <f>IF(ISNA(VLOOKUP($F82,Declarations!$B$6:$F$293,5,FALSE)),"",IF(VLOOKUP($F82,Declarations!$B$6:$F$293,5,FALSE)="","NOT DECLARED",VLOOKUP($F82,Declarations!$B$6:$F$293,5,FALSE)))</f>
        <v/>
      </c>
      <c r="E82" s="120" t="str">
        <f>IF(ISNA(VLOOKUP($F82,Declarations!$B$6:$D$293,3,FALSE)),"",IF(VLOOKUP($F82,Declarations!$B$6:$D$293,3,FALSE)="","NOT DECLARED",VLOOKUP($F82,Declarations!$B$6:$D$293,3,FALSE)&amp;LEFT(VLOOKUP($F82,Declarations!$B$6:$E$293,4,FALSE))))</f>
        <v/>
      </c>
      <c r="F82" s="59"/>
      <c r="G82" s="130"/>
      <c r="H82" s="130"/>
      <c r="I82" s="122" t="str">
        <f>IF(ISNA(VLOOKUP(F82,Declarations!B$6:C$293,2,FALSE)),"",IF(VLOOKUP(F82,Declarations!B$6:C$293,2,FALSE)="","NOT DECLARED",VLOOKUP(F82,Declarations!B$6:C$293,2,FALSE)))</f>
        <v/>
      </c>
      <c r="J82" s="120">
        <f>IF(LOWER(G82)="dnf",1,IF(G82&lt;ScoringTable!B$3,ScoringTable!I$2,VLOOKUP((1000-G82),ScoringTable!G$2:I$95,3)))</f>
        <v>0</v>
      </c>
      <c r="K82" s="120" t="str" cm="1">
        <f t="array" ref="K82">IF(OR(E82="",G82=""),"",_xlfn.IFS(E82="U10B",_xlfn.XLOOKUP(G82,Data!$D$2:$L$2,Data!$D$1:$L$1,"",1,1),E82="U12B",_xlfn.XLOOKUP(G82,Data!$D$8:$L$8,Data!$D$1:$L$1,"",1,1),E82="U10G",_xlfn.XLOOKUP(G82,Data!$D$15:$L$15,Data!$D$1:$L$1,"",1,1),E82="U12G",_xlfn.XLOOKUP(G82,Data!$D$21:$L$21,Data!$D$1:$L$1,"",1,1)))</f>
        <v/>
      </c>
      <c r="L82" s="184" t="str" cm="1">
        <f t="array" ref="L82">IFERROR(_xlfn.IFNA(
                      _xlfn.IFS(
                      G82="", "",
                      AND(E82="U10B",G82&lt;=Data!$M$2), "U10 Boys record",
                      AND(E82="U12B",G82&lt;=Data!$M$8), "U12 Boys record",
                      AND(E82="U10G",G82&lt;=Data!$M$15), "U10 Girls record",
                      AND(E82="U12G",G82&lt;=Data!$M$21), "U12 Girls record"
                       ),""), "")</f>
        <v/>
      </c>
      <c r="M82" s="19" cm="1">
        <f t="array" ref="M82">_xlfn.IFS($G82="",0, AND(NOT(ISNUMBER($G82)),LOWER($G82)&lt;&gt;"dnf"),"Not a valid time",OR(LOWER($G82)="dnf",$G82&gt;ScoringTable!$M$161),1,RIGHT($E82,1)="B",_xlfn.XLOOKUP($G82,ScoringTable!$M$2:$M$161,ScoringTable!$L$2:$L$161,,1),TRUE,_xlfn.XLOOKUP($G82,ScoringTable!$S$2:$S$161,ScoringTable!$R$2:$R$161,,1))</f>
        <v>0</v>
      </c>
    </row>
    <row r="83" spans="1:13" s="7" customFormat="1" ht="16" customHeight="1">
      <c r="A83" s="280" t="s">
        <v>2</v>
      </c>
      <c r="B83" s="122" t="str">
        <f>IF(ISNA(VLOOKUP($F83,Declarations!B$6:C$293,2,FALSE)),"",IF(VLOOKUP($F83,Declarations!B$6:C$293,2,FALSE)="","NOT DECLARED",IF(ISNA(_xlfn.TEXTBEFORE(VLOOKUP($F83,Declarations!B$6:C$293,2,FALSE)," ")),VLOOKUP($F83,Declarations!B$6:C$293,2,FALSE),_xlfn.TEXTBEFORE(VLOOKUP($F83,Declarations!B$6:C$293,2,FALSE)," "))))</f>
        <v/>
      </c>
      <c r="C83" s="122" t="str">
        <f>IF(ISNA(VLOOKUP($F83,Declarations!B$6:C$293,2,FALSE)),"",IF(VLOOKUP($F83,Declarations!B$6:C$293,2,FALSE)="","NOT DECLARED",IF(ISNA(_xlfn.TEXTAFTER(VLOOKUP($F83,Declarations!B$6:C$293,2,FALSE)," ")),VLOOKUP($F83,Declarations!B$6:C$293,2,FALSE),_xlfn.TEXTAFTER(VLOOKUP($F83,Declarations!B$6:C$293,2,FALSE)," "))))</f>
        <v/>
      </c>
      <c r="D83" s="122" t="str">
        <f>IF(ISNA(VLOOKUP($F83,Declarations!$B$6:$F$293,5,FALSE)),"",IF(VLOOKUP($F83,Declarations!$B$6:$F$293,5,FALSE)="","NOT DECLARED",VLOOKUP($F83,Declarations!$B$6:$F$293,5,FALSE)))</f>
        <v/>
      </c>
      <c r="E83" s="120" t="str">
        <f>IF(ISNA(VLOOKUP($F83,Declarations!$B$6:$D$293,3,FALSE)),"",IF(VLOOKUP($F83,Declarations!$B$6:$D$293,3,FALSE)="","NOT DECLARED",VLOOKUP($F83,Declarations!$B$6:$D$293,3,FALSE)&amp;LEFT(VLOOKUP($F83,Declarations!$B$6:$E$293,4,FALSE))))</f>
        <v/>
      </c>
      <c r="F83" s="59"/>
      <c r="G83" s="130"/>
      <c r="H83" s="130"/>
      <c r="I83" s="122" t="str">
        <f>IF(ISNA(VLOOKUP(F83,Declarations!B$6:C$293,2,FALSE)),"",IF(VLOOKUP(F83,Declarations!B$6:C$293,2,FALSE)="","NOT DECLARED",VLOOKUP(F83,Declarations!B$6:C$293,2,FALSE)))</f>
        <v/>
      </c>
      <c r="J83" s="120">
        <f>IF(LOWER(G83)="dnf",1,IF(G83&lt;ScoringTable!B$3,ScoringTable!I$2,VLOOKUP((1000-G83),ScoringTable!G$2:I$95,3)))</f>
        <v>0</v>
      </c>
      <c r="K83" s="120" t="str" cm="1">
        <f t="array" ref="K83">IF(OR(E83="",G83=""),"",_xlfn.IFS(E83="U10B",_xlfn.XLOOKUP(G83,Data!$D$2:$L$2,Data!$D$1:$L$1,"",1,1),E83="U12B",_xlfn.XLOOKUP(G83,Data!$D$8:$L$8,Data!$D$1:$L$1,"",1,1),E83="U10G",_xlfn.XLOOKUP(G83,Data!$D$15:$L$15,Data!$D$1:$L$1,"",1,1),E83="U12G",_xlfn.XLOOKUP(G83,Data!$D$21:$L$21,Data!$D$1:$L$1,"",1,1)))</f>
        <v/>
      </c>
      <c r="L83" s="184" t="str" cm="1">
        <f t="array" ref="L83">IFERROR(_xlfn.IFNA(
                      _xlfn.IFS(
                      G83="", "",
                      AND(E83="U10B",G83&lt;=Data!$M$2), "U10 Boys record",
                      AND(E83="U12B",G83&lt;=Data!$M$8), "U12 Boys record",
                      AND(E83="U10G",G83&lt;=Data!$M$15), "U10 Girls record",
                      AND(E83="U12G",G83&lt;=Data!$M$21), "U12 Girls record"
                       ),""), "")</f>
        <v/>
      </c>
      <c r="M83" s="19" cm="1">
        <f t="array" ref="M83">_xlfn.IFS($G83="",0, AND(NOT(ISNUMBER($G83)),LOWER($G83)&lt;&gt;"dnf"),"Not a valid time",OR(LOWER($G83)="dnf",$G83&gt;ScoringTable!$M$161),1,RIGHT($E83,1)="B",_xlfn.XLOOKUP($G83,ScoringTable!$M$2:$M$161,ScoringTable!$L$2:$L$161,,1),TRUE,_xlfn.XLOOKUP($G83,ScoringTable!$S$2:$S$161,ScoringTable!$R$2:$R$161,,1))</f>
        <v>0</v>
      </c>
    </row>
    <row r="84" spans="1:13" s="7" customFormat="1" ht="16" customHeight="1">
      <c r="A84" s="280" t="s">
        <v>2</v>
      </c>
      <c r="B84" s="122" t="str">
        <f>IF(ISNA(VLOOKUP($F84,Declarations!B$6:C$293,2,FALSE)),"",IF(VLOOKUP($F84,Declarations!B$6:C$293,2,FALSE)="","NOT DECLARED",IF(ISNA(_xlfn.TEXTBEFORE(VLOOKUP($F84,Declarations!B$6:C$293,2,FALSE)," ")),VLOOKUP($F84,Declarations!B$6:C$293,2,FALSE),_xlfn.TEXTBEFORE(VLOOKUP($F84,Declarations!B$6:C$293,2,FALSE)," "))))</f>
        <v/>
      </c>
      <c r="C84" s="122" t="str">
        <f>IF(ISNA(VLOOKUP($F84,Declarations!B$6:C$293,2,FALSE)),"",IF(VLOOKUP($F84,Declarations!B$6:C$293,2,FALSE)="","NOT DECLARED",IF(ISNA(_xlfn.TEXTAFTER(VLOOKUP($F84,Declarations!B$6:C$293,2,FALSE)," ")),VLOOKUP($F84,Declarations!B$6:C$293,2,FALSE),_xlfn.TEXTAFTER(VLOOKUP($F84,Declarations!B$6:C$293,2,FALSE)," "))))</f>
        <v/>
      </c>
      <c r="D84" s="122" t="str">
        <f>IF(ISNA(VLOOKUP($F84,Declarations!$B$6:$F$293,5,FALSE)),"",IF(VLOOKUP($F84,Declarations!$B$6:$F$293,5,FALSE)="","NOT DECLARED",VLOOKUP($F84,Declarations!$B$6:$F$293,5,FALSE)))</f>
        <v/>
      </c>
      <c r="E84" s="120" t="str">
        <f>IF(ISNA(VLOOKUP($F84,Declarations!$B$6:$D$293,3,FALSE)),"",IF(VLOOKUP($F84,Declarations!$B$6:$D$293,3,FALSE)="","NOT DECLARED",VLOOKUP($F84,Declarations!$B$6:$D$293,3,FALSE)&amp;LEFT(VLOOKUP($F84,Declarations!$B$6:$E$293,4,FALSE))))</f>
        <v/>
      </c>
      <c r="F84" s="59"/>
      <c r="G84" s="130"/>
      <c r="H84" s="130"/>
      <c r="I84" s="122" t="str">
        <f>IF(ISNA(VLOOKUP(F84,Declarations!B$6:C$293,2,FALSE)),"",IF(VLOOKUP(F84,Declarations!B$6:C$293,2,FALSE)="","NOT DECLARED",VLOOKUP(F84,Declarations!B$6:C$293,2,FALSE)))</f>
        <v/>
      </c>
      <c r="J84" s="120">
        <f>IF(LOWER(G84)="dnf",1,IF(G84&lt;ScoringTable!B$3,ScoringTable!I$2,VLOOKUP((1000-G84),ScoringTable!G$2:I$95,3)))</f>
        <v>0</v>
      </c>
      <c r="K84" s="120" t="str" cm="1">
        <f t="array" ref="K84">IF(OR(E84="",G84=""),"",_xlfn.IFS(E84="U10B",_xlfn.XLOOKUP(G84,Data!$D$2:$L$2,Data!$D$1:$L$1,"",1,1),E84="U12B",_xlfn.XLOOKUP(G84,Data!$D$8:$L$8,Data!$D$1:$L$1,"",1,1),E84="U10G",_xlfn.XLOOKUP(G84,Data!$D$15:$L$15,Data!$D$1:$L$1,"",1,1),E84="U12G",_xlfn.XLOOKUP(G84,Data!$D$21:$L$21,Data!$D$1:$L$1,"",1,1)))</f>
        <v/>
      </c>
      <c r="L84" s="184" t="str" cm="1">
        <f t="array" ref="L84">IFERROR(_xlfn.IFNA(
                      _xlfn.IFS(
                      G84="", "",
                      AND(E84="U10B",G84&lt;=Data!$M$2), "U10 Boys record",
                      AND(E84="U12B",G84&lt;=Data!$M$8), "U12 Boys record",
                      AND(E84="U10G",G84&lt;=Data!$M$15), "U10 Girls record",
                      AND(E84="U12G",G84&lt;=Data!$M$21), "U12 Girls record"
                       ),""), "")</f>
        <v/>
      </c>
      <c r="M84" s="19" cm="1">
        <f t="array" ref="M84">_xlfn.IFS($G84="",0, AND(NOT(ISNUMBER($G84)),LOWER($G84)&lt;&gt;"dnf"),"Not a valid time",OR(LOWER($G84)="dnf",$G84&gt;ScoringTable!$M$161),1,RIGHT($E84,1)="B",_xlfn.XLOOKUP($G84,ScoringTable!$M$2:$M$161,ScoringTable!$L$2:$L$161,,1),TRUE,_xlfn.XLOOKUP($G84,ScoringTable!$S$2:$S$161,ScoringTable!$R$2:$R$161,,1))</f>
        <v>0</v>
      </c>
    </row>
    <row r="85" spans="1:13" s="7" customFormat="1" ht="16" customHeight="1">
      <c r="A85" s="280" t="s">
        <v>2</v>
      </c>
      <c r="B85" s="122" t="str">
        <f>IF(ISNA(VLOOKUP($F85,Declarations!B$6:C$293,2,FALSE)),"",IF(VLOOKUP($F85,Declarations!B$6:C$293,2,FALSE)="","NOT DECLARED",IF(ISNA(_xlfn.TEXTBEFORE(VLOOKUP($F85,Declarations!B$6:C$293,2,FALSE)," ")),VLOOKUP($F85,Declarations!B$6:C$293,2,FALSE),_xlfn.TEXTBEFORE(VLOOKUP($F85,Declarations!B$6:C$293,2,FALSE)," "))))</f>
        <v/>
      </c>
      <c r="C85" s="122" t="str">
        <f>IF(ISNA(VLOOKUP($F85,Declarations!B$6:C$293,2,FALSE)),"",IF(VLOOKUP($F85,Declarations!B$6:C$293,2,FALSE)="","NOT DECLARED",IF(ISNA(_xlfn.TEXTAFTER(VLOOKUP($F85,Declarations!B$6:C$293,2,FALSE)," ")),VLOOKUP($F85,Declarations!B$6:C$293,2,FALSE),_xlfn.TEXTAFTER(VLOOKUP($F85,Declarations!B$6:C$293,2,FALSE)," "))))</f>
        <v/>
      </c>
      <c r="D85" s="122" t="str">
        <f>IF(ISNA(VLOOKUP($F85,Declarations!$B$6:$F$293,5,FALSE)),"",IF(VLOOKUP($F85,Declarations!$B$6:$F$293,5,FALSE)="","NOT DECLARED",VLOOKUP($F85,Declarations!$B$6:$F$293,5,FALSE)))</f>
        <v/>
      </c>
      <c r="E85" s="120" t="str">
        <f>IF(ISNA(VLOOKUP($F85,Declarations!$B$6:$D$293,3,FALSE)),"",IF(VLOOKUP($F85,Declarations!$B$6:$D$293,3,FALSE)="","NOT DECLARED",VLOOKUP($F85,Declarations!$B$6:$D$293,3,FALSE)&amp;LEFT(VLOOKUP($F85,Declarations!$B$6:$E$293,4,FALSE))))</f>
        <v/>
      </c>
      <c r="F85" s="59"/>
      <c r="G85" s="130"/>
      <c r="H85" s="130"/>
      <c r="I85" s="122" t="str">
        <f>IF(ISNA(VLOOKUP(F85,Declarations!B$6:C$293,2,FALSE)),"",IF(VLOOKUP(F85,Declarations!B$6:C$293,2,FALSE)="","NOT DECLARED",VLOOKUP(F85,Declarations!B$6:C$293,2,FALSE)))</f>
        <v/>
      </c>
      <c r="J85" s="120">
        <f>IF(LOWER(G85)="dnf",1,IF(G85&lt;ScoringTable!B$3,ScoringTable!I$2,VLOOKUP((1000-G85),ScoringTable!G$2:I$95,3)))</f>
        <v>0</v>
      </c>
      <c r="K85" s="120" t="str" cm="1">
        <f t="array" ref="K85">IF(OR(E85="",G85=""),"",_xlfn.IFS(E85="U10B",_xlfn.XLOOKUP(G85,Data!$D$2:$L$2,Data!$D$1:$L$1,"",1,1),E85="U12B",_xlfn.XLOOKUP(G85,Data!$D$8:$L$8,Data!$D$1:$L$1,"",1,1),E85="U10G",_xlfn.XLOOKUP(G85,Data!$D$15:$L$15,Data!$D$1:$L$1,"",1,1),E85="U12G",_xlfn.XLOOKUP(G85,Data!$D$21:$L$21,Data!$D$1:$L$1,"",1,1)))</f>
        <v/>
      </c>
      <c r="L85" s="184" t="str" cm="1">
        <f t="array" ref="L85">IFERROR(_xlfn.IFNA(
                      _xlfn.IFS(
                      G85="", "",
                      AND(E85="U10B",G85&lt;=Data!$M$2), "U10 Boys record",
                      AND(E85="U12B",G85&lt;=Data!$M$8), "U12 Boys record",
                      AND(E85="U10G",G85&lt;=Data!$M$15), "U10 Girls record",
                      AND(E85="U12G",G85&lt;=Data!$M$21), "U12 Girls record"
                       ),""), "")</f>
        <v/>
      </c>
      <c r="M85" s="19" cm="1">
        <f t="array" ref="M85">_xlfn.IFS($G85="",0, AND(NOT(ISNUMBER($G85)),LOWER($G85)&lt;&gt;"dnf"),"Not a valid time",OR(LOWER($G85)="dnf",$G85&gt;ScoringTable!$M$161),1,RIGHT($E85,1)="B",_xlfn.XLOOKUP($G85,ScoringTable!$M$2:$M$161,ScoringTable!$L$2:$L$161,,1),TRUE,_xlfn.XLOOKUP($G85,ScoringTable!$S$2:$S$161,ScoringTable!$R$2:$R$161,,1))</f>
        <v>0</v>
      </c>
    </row>
    <row r="86" spans="1:13" s="7" customFormat="1" ht="16" customHeight="1">
      <c r="A86" s="280" t="s">
        <v>2</v>
      </c>
      <c r="B86" s="122" t="str">
        <f>IF(ISNA(VLOOKUP($F86,Declarations!B$6:C$293,2,FALSE)),"",IF(VLOOKUP($F86,Declarations!B$6:C$293,2,FALSE)="","NOT DECLARED",IF(ISNA(_xlfn.TEXTBEFORE(VLOOKUP($F86,Declarations!B$6:C$293,2,FALSE)," ")),VLOOKUP($F86,Declarations!B$6:C$293,2,FALSE),_xlfn.TEXTBEFORE(VLOOKUP($F86,Declarations!B$6:C$293,2,FALSE)," "))))</f>
        <v/>
      </c>
      <c r="C86" s="122" t="str">
        <f>IF(ISNA(VLOOKUP($F86,Declarations!B$6:C$293,2,FALSE)),"",IF(VLOOKUP($F86,Declarations!B$6:C$293,2,FALSE)="","NOT DECLARED",IF(ISNA(_xlfn.TEXTAFTER(VLOOKUP($F86,Declarations!B$6:C$293,2,FALSE)," ")),VLOOKUP($F86,Declarations!B$6:C$293,2,FALSE),_xlfn.TEXTAFTER(VLOOKUP($F86,Declarations!B$6:C$293,2,FALSE)," "))))</f>
        <v/>
      </c>
      <c r="D86" s="122" t="str">
        <f>IF(ISNA(VLOOKUP($F86,Declarations!$B$6:$F$293,5,FALSE)),"",IF(VLOOKUP($F86,Declarations!$B$6:$F$293,5,FALSE)="","NOT DECLARED",VLOOKUP($F86,Declarations!$B$6:$F$293,5,FALSE)))</f>
        <v/>
      </c>
      <c r="E86" s="120" t="str">
        <f>IF(ISNA(VLOOKUP($F86,Declarations!$B$6:$D$293,3,FALSE)),"",IF(VLOOKUP($F86,Declarations!$B$6:$D$293,3,FALSE)="","NOT DECLARED",VLOOKUP($F86,Declarations!$B$6:$D$293,3,FALSE)&amp;LEFT(VLOOKUP($F86,Declarations!$B$6:$E$293,4,FALSE))))</f>
        <v/>
      </c>
      <c r="F86" s="59"/>
      <c r="G86" s="130"/>
      <c r="H86" s="130"/>
      <c r="I86" s="122" t="str">
        <f>IF(ISNA(VLOOKUP(F86,Declarations!B$6:C$293,2,FALSE)),"",IF(VLOOKUP(F86,Declarations!B$6:C$293,2,FALSE)="","NOT DECLARED",VLOOKUP(F86,Declarations!B$6:C$293,2,FALSE)))</f>
        <v/>
      </c>
      <c r="J86" s="120">
        <f>IF(LOWER(G86)="dnf",1,IF(G86&lt;ScoringTable!B$3,ScoringTable!I$2,VLOOKUP((1000-G86),ScoringTable!G$2:I$95,3)))</f>
        <v>0</v>
      </c>
      <c r="K86" s="120" t="str" cm="1">
        <f t="array" ref="K86">IF(OR(E86="",G86=""),"",_xlfn.IFS(E86="U10B",_xlfn.XLOOKUP(G86,Data!$D$2:$L$2,Data!$D$1:$L$1,"",1,1),E86="U12B",_xlfn.XLOOKUP(G86,Data!$D$8:$L$8,Data!$D$1:$L$1,"",1,1),E86="U10G",_xlfn.XLOOKUP(G86,Data!$D$15:$L$15,Data!$D$1:$L$1,"",1,1),E86="U12G",_xlfn.XLOOKUP(G86,Data!$D$21:$L$21,Data!$D$1:$L$1,"",1,1)))</f>
        <v/>
      </c>
      <c r="L86" s="184" t="str" cm="1">
        <f t="array" ref="L86">IFERROR(_xlfn.IFNA(
                      _xlfn.IFS(
                      G86="", "",
                      AND(E86="U10B",G86&lt;=Data!$M$2), "U10 Boys record",
                      AND(E86="U12B",G86&lt;=Data!$M$8), "U12 Boys record",
                      AND(E86="U10G",G86&lt;=Data!$M$15), "U10 Girls record",
                      AND(E86="U12G",G86&lt;=Data!$M$21), "U12 Girls record"
                       ),""), "")</f>
        <v/>
      </c>
      <c r="M86" s="19" cm="1">
        <f t="array" ref="M86">_xlfn.IFS($G86="",0, AND(NOT(ISNUMBER($G86)),LOWER($G86)&lt;&gt;"dnf"),"Not a valid time",OR(LOWER($G86)="dnf",$G86&gt;ScoringTable!$M$161),1,RIGHT($E86,1)="B",_xlfn.XLOOKUP($G86,ScoringTable!$M$2:$M$161,ScoringTable!$L$2:$L$161,,1),TRUE,_xlfn.XLOOKUP($G86,ScoringTable!$S$2:$S$161,ScoringTable!$R$2:$R$161,,1))</f>
        <v>0</v>
      </c>
    </row>
    <row r="87" spans="1:13" s="7" customFormat="1" ht="16" customHeight="1">
      <c r="A87" s="280" t="s">
        <v>2</v>
      </c>
      <c r="B87" s="122" t="str">
        <f>IF(ISNA(VLOOKUP($F87,Declarations!B$6:C$293,2,FALSE)),"",IF(VLOOKUP($F87,Declarations!B$6:C$293,2,FALSE)="","NOT DECLARED",IF(ISNA(_xlfn.TEXTBEFORE(VLOOKUP($F87,Declarations!B$6:C$293,2,FALSE)," ")),VLOOKUP($F87,Declarations!B$6:C$293,2,FALSE),_xlfn.TEXTBEFORE(VLOOKUP($F87,Declarations!B$6:C$293,2,FALSE)," "))))</f>
        <v/>
      </c>
      <c r="C87" s="122" t="str">
        <f>IF(ISNA(VLOOKUP($F87,Declarations!B$6:C$293,2,FALSE)),"",IF(VLOOKUP($F87,Declarations!B$6:C$293,2,FALSE)="","NOT DECLARED",IF(ISNA(_xlfn.TEXTAFTER(VLOOKUP($F87,Declarations!B$6:C$293,2,FALSE)," ")),VLOOKUP($F87,Declarations!B$6:C$293,2,FALSE),_xlfn.TEXTAFTER(VLOOKUP($F87,Declarations!B$6:C$293,2,FALSE)," "))))</f>
        <v/>
      </c>
      <c r="D87" s="122" t="str">
        <f>IF(ISNA(VLOOKUP($F87,Declarations!$B$6:$F$293,5,FALSE)),"",IF(VLOOKUP($F87,Declarations!$B$6:$F$293,5,FALSE)="","NOT DECLARED",VLOOKUP($F87,Declarations!$B$6:$F$293,5,FALSE)))</f>
        <v/>
      </c>
      <c r="E87" s="120" t="str">
        <f>IF(ISNA(VLOOKUP($F87,Declarations!$B$6:$D$293,3,FALSE)),"",IF(VLOOKUP($F87,Declarations!$B$6:$D$293,3,FALSE)="","NOT DECLARED",VLOOKUP($F87,Declarations!$B$6:$D$293,3,FALSE)&amp;LEFT(VLOOKUP($F87,Declarations!$B$6:$E$293,4,FALSE))))</f>
        <v/>
      </c>
      <c r="F87" s="59"/>
      <c r="G87" s="130"/>
      <c r="H87" s="130"/>
      <c r="I87" s="122" t="str">
        <f>IF(ISNA(VLOOKUP(F87,Declarations!B$6:C$293,2,FALSE)),"",IF(VLOOKUP(F87,Declarations!B$6:C$293,2,FALSE)="","NOT DECLARED",VLOOKUP(F87,Declarations!B$6:C$293,2,FALSE)))</f>
        <v/>
      </c>
      <c r="J87" s="120">
        <f>IF(LOWER(G87)="dnf",1,IF(G87&lt;ScoringTable!B$3,ScoringTable!I$2,VLOOKUP((1000-G87),ScoringTable!G$2:I$95,3)))</f>
        <v>0</v>
      </c>
      <c r="K87" s="120" t="str" cm="1">
        <f t="array" ref="K87">IF(OR(E87="",G87=""),"",_xlfn.IFS(E87="U10B",_xlfn.XLOOKUP(G87,Data!$D$2:$L$2,Data!$D$1:$L$1,"",1,1),E87="U12B",_xlfn.XLOOKUP(G87,Data!$D$8:$L$8,Data!$D$1:$L$1,"",1,1),E87="U10G",_xlfn.XLOOKUP(G87,Data!$D$15:$L$15,Data!$D$1:$L$1,"",1,1),E87="U12G",_xlfn.XLOOKUP(G87,Data!$D$21:$L$21,Data!$D$1:$L$1,"",1,1)))</f>
        <v/>
      </c>
      <c r="L87" s="184" t="str" cm="1">
        <f t="array" ref="L87">IFERROR(_xlfn.IFNA(
                      _xlfn.IFS(
                      G87="", "",
                      AND(E87="U10B",G87&lt;=Data!$M$2), "U10 Boys record",
                      AND(E87="U12B",G87&lt;=Data!$M$8), "U12 Boys record",
                      AND(E87="U10G",G87&lt;=Data!$M$15), "U10 Girls record",
                      AND(E87="U12G",G87&lt;=Data!$M$21), "U12 Girls record"
                       ),""), "")</f>
        <v/>
      </c>
      <c r="M87" s="19" cm="1">
        <f t="array" ref="M87">_xlfn.IFS($G87="",0, AND(NOT(ISNUMBER($G87)),LOWER($G87)&lt;&gt;"dnf"),"Not a valid time",OR(LOWER($G87)="dnf",$G87&gt;ScoringTable!$M$161),1,RIGHT($E87,1)="B",_xlfn.XLOOKUP($G87,ScoringTable!$M$2:$M$161,ScoringTable!$L$2:$L$161,,1),TRUE,_xlfn.XLOOKUP($G87,ScoringTable!$S$2:$S$161,ScoringTable!$R$2:$R$161,,1))</f>
        <v>0</v>
      </c>
    </row>
    <row r="88" spans="1:13" s="7" customFormat="1" ht="16" customHeight="1">
      <c r="A88" s="280" t="s">
        <v>2</v>
      </c>
      <c r="B88" s="122" t="str">
        <f>IF(ISNA(VLOOKUP($F88,Declarations!B$6:C$293,2,FALSE)),"",IF(VLOOKUP($F88,Declarations!B$6:C$293,2,FALSE)="","NOT DECLARED",IF(ISNA(_xlfn.TEXTBEFORE(VLOOKUP($F88,Declarations!B$6:C$293,2,FALSE)," ")),VLOOKUP($F88,Declarations!B$6:C$293,2,FALSE),_xlfn.TEXTBEFORE(VLOOKUP($F88,Declarations!B$6:C$293,2,FALSE)," "))))</f>
        <v/>
      </c>
      <c r="C88" s="122" t="str">
        <f>IF(ISNA(VLOOKUP($F88,Declarations!B$6:C$293,2,FALSE)),"",IF(VLOOKUP($F88,Declarations!B$6:C$293,2,FALSE)="","NOT DECLARED",IF(ISNA(_xlfn.TEXTAFTER(VLOOKUP($F88,Declarations!B$6:C$293,2,FALSE)," ")),VLOOKUP($F88,Declarations!B$6:C$293,2,FALSE),_xlfn.TEXTAFTER(VLOOKUP($F88,Declarations!B$6:C$293,2,FALSE)," "))))</f>
        <v/>
      </c>
      <c r="D88" s="122" t="str">
        <f>IF(ISNA(VLOOKUP($F88,Declarations!$B$6:$F$293,5,FALSE)),"",IF(VLOOKUP($F88,Declarations!$B$6:$F$293,5,FALSE)="","NOT DECLARED",VLOOKUP($F88,Declarations!$B$6:$F$293,5,FALSE)))</f>
        <v/>
      </c>
      <c r="E88" s="120" t="str">
        <f>IF(ISNA(VLOOKUP($F88,Declarations!$B$6:$D$293,3,FALSE)),"",IF(VLOOKUP($F88,Declarations!$B$6:$D$293,3,FALSE)="","NOT DECLARED",VLOOKUP($F88,Declarations!$B$6:$D$293,3,FALSE)&amp;LEFT(VLOOKUP($F88,Declarations!$B$6:$E$293,4,FALSE))))</f>
        <v/>
      </c>
      <c r="F88" s="59"/>
      <c r="G88" s="130"/>
      <c r="H88" s="130"/>
      <c r="I88" s="122" t="str">
        <f>IF(ISNA(VLOOKUP(F88,Declarations!B$6:C$293,2,FALSE)),"",IF(VLOOKUP(F88,Declarations!B$6:C$293,2,FALSE)="","NOT DECLARED",VLOOKUP(F88,Declarations!B$6:C$293,2,FALSE)))</f>
        <v/>
      </c>
      <c r="J88" s="120">
        <f>IF(LOWER(G88)="dnf",1,IF(G88&lt;ScoringTable!B$3,ScoringTable!I$2,VLOOKUP((1000-G88),ScoringTable!G$2:I$95,3)))</f>
        <v>0</v>
      </c>
      <c r="K88" s="120" t="str" cm="1">
        <f t="array" ref="K88">IF(OR(E88="",G88=""),"",_xlfn.IFS(E88="U10B",_xlfn.XLOOKUP(G88,Data!$D$2:$L$2,Data!$D$1:$L$1,"",1,1),E88="U12B",_xlfn.XLOOKUP(G88,Data!$D$8:$L$8,Data!$D$1:$L$1,"",1,1),E88="U10G",_xlfn.XLOOKUP(G88,Data!$D$15:$L$15,Data!$D$1:$L$1,"",1,1),E88="U12G",_xlfn.XLOOKUP(G88,Data!$D$21:$L$21,Data!$D$1:$L$1,"",1,1)))</f>
        <v/>
      </c>
      <c r="L88" s="184" t="str" cm="1">
        <f t="array" ref="L88">IFERROR(_xlfn.IFNA(
                      _xlfn.IFS(
                      G88="", "",
                      AND(E88="U10B",G88&lt;=Data!$M$2), "U10 Boys record",
                      AND(E88="U12B",G88&lt;=Data!$M$8), "U12 Boys record",
                      AND(E88="U10G",G88&lt;=Data!$M$15), "U10 Girls record",
                      AND(E88="U12G",G88&lt;=Data!$M$21), "U12 Girls record"
                       ),""), "")</f>
        <v/>
      </c>
      <c r="M88" s="19" cm="1">
        <f t="array" ref="M88">_xlfn.IFS($G88="",0, AND(NOT(ISNUMBER($G88)),LOWER($G88)&lt;&gt;"dnf"),"Not a valid time",OR(LOWER($G88)="dnf",$G88&gt;ScoringTable!$M$161),1,RIGHT($E88,1)="B",_xlfn.XLOOKUP($G88,ScoringTable!$M$2:$M$161,ScoringTable!$L$2:$L$161,,1),TRUE,_xlfn.XLOOKUP($G88,ScoringTable!$S$2:$S$161,ScoringTable!$R$2:$R$161,,1))</f>
        <v>0</v>
      </c>
    </row>
    <row r="89" spans="1:13" s="7" customFormat="1" ht="16" customHeight="1">
      <c r="A89" s="280" t="s">
        <v>2</v>
      </c>
      <c r="B89" s="122" t="str">
        <f>IF(ISNA(VLOOKUP($F89,Declarations!B$6:C$293,2,FALSE)),"",IF(VLOOKUP($F89,Declarations!B$6:C$293,2,FALSE)="","NOT DECLARED",IF(ISNA(_xlfn.TEXTBEFORE(VLOOKUP($F89,Declarations!B$6:C$293,2,FALSE)," ")),VLOOKUP($F89,Declarations!B$6:C$293,2,FALSE),_xlfn.TEXTBEFORE(VLOOKUP($F89,Declarations!B$6:C$293,2,FALSE)," "))))</f>
        <v/>
      </c>
      <c r="C89" s="122" t="str">
        <f>IF(ISNA(VLOOKUP($F89,Declarations!B$6:C$293,2,FALSE)),"",IF(VLOOKUP($F89,Declarations!B$6:C$293,2,FALSE)="","NOT DECLARED",IF(ISNA(_xlfn.TEXTAFTER(VLOOKUP($F89,Declarations!B$6:C$293,2,FALSE)," ")),VLOOKUP($F89,Declarations!B$6:C$293,2,FALSE),_xlfn.TEXTAFTER(VLOOKUP($F89,Declarations!B$6:C$293,2,FALSE)," "))))</f>
        <v/>
      </c>
      <c r="D89" s="122" t="str">
        <f>IF(ISNA(VLOOKUP($F89,Declarations!$B$6:$F$293,5,FALSE)),"",IF(VLOOKUP($F89,Declarations!$B$6:$F$293,5,FALSE)="","NOT DECLARED",VLOOKUP($F89,Declarations!$B$6:$F$293,5,FALSE)))</f>
        <v/>
      </c>
      <c r="E89" s="120" t="str">
        <f>IF(ISNA(VLOOKUP($F89,Declarations!$B$6:$D$293,3,FALSE)),"",IF(VLOOKUP($F89,Declarations!$B$6:$D$293,3,FALSE)="","NOT DECLARED",VLOOKUP($F89,Declarations!$B$6:$D$293,3,FALSE)&amp;LEFT(VLOOKUP($F89,Declarations!$B$6:$E$293,4,FALSE))))</f>
        <v/>
      </c>
      <c r="F89" s="59"/>
      <c r="G89" s="130"/>
      <c r="H89" s="130"/>
      <c r="I89" s="122" t="str">
        <f>IF(ISNA(VLOOKUP(F89,Declarations!B$6:C$293,2,FALSE)),"",IF(VLOOKUP(F89,Declarations!B$6:C$293,2,FALSE)="","NOT DECLARED",VLOOKUP(F89,Declarations!B$6:C$293,2,FALSE)))</f>
        <v/>
      </c>
      <c r="J89" s="120">
        <f>IF(LOWER(G89)="dnf",1,IF(G89&lt;ScoringTable!B$3,ScoringTable!I$2,VLOOKUP((1000-G89),ScoringTable!G$2:I$95,3)))</f>
        <v>0</v>
      </c>
      <c r="K89" s="120" t="str" cm="1">
        <f t="array" ref="K89">IF(OR(E89="",G89=""),"",_xlfn.IFS(E89="U10B",_xlfn.XLOOKUP(G89,Data!$D$2:$L$2,Data!$D$1:$L$1,"",1,1),E89="U12B",_xlfn.XLOOKUP(G89,Data!$D$8:$L$8,Data!$D$1:$L$1,"",1,1),E89="U10G",_xlfn.XLOOKUP(G89,Data!$D$15:$L$15,Data!$D$1:$L$1,"",1,1),E89="U12G",_xlfn.XLOOKUP(G89,Data!$D$21:$L$21,Data!$D$1:$L$1,"",1,1)))</f>
        <v/>
      </c>
      <c r="L89" s="184" t="str" cm="1">
        <f t="array" ref="L89">IFERROR(_xlfn.IFNA(
                      _xlfn.IFS(
                      G89="", "",
                      AND(E89="U10B",G89&lt;=Data!$M$2), "U10 Boys record",
                      AND(E89="U12B",G89&lt;=Data!$M$8), "U12 Boys record",
                      AND(E89="U10G",G89&lt;=Data!$M$15), "U10 Girls record",
                      AND(E89="U12G",G89&lt;=Data!$M$21), "U12 Girls record"
                       ),""), "")</f>
        <v/>
      </c>
      <c r="M89" s="19" cm="1">
        <f t="array" ref="M89">_xlfn.IFS($G89="",0, AND(NOT(ISNUMBER($G89)),LOWER($G89)&lt;&gt;"dnf"),"Not a valid time",OR(LOWER($G89)="dnf",$G89&gt;ScoringTable!$M$161),1,RIGHT($E89,1)="B",_xlfn.XLOOKUP($G89,ScoringTable!$M$2:$M$161,ScoringTable!$L$2:$L$161,,1),TRUE,_xlfn.XLOOKUP($G89,ScoringTable!$S$2:$S$161,ScoringTable!$R$2:$R$161,,1))</f>
        <v>0</v>
      </c>
    </row>
    <row r="90" spans="1:13" s="7" customFormat="1" ht="16" customHeight="1">
      <c r="A90" s="280" t="s">
        <v>2</v>
      </c>
      <c r="B90" s="122" t="str">
        <f>IF(ISNA(VLOOKUP($F90,Declarations!B$6:C$293,2,FALSE)),"",IF(VLOOKUP($F90,Declarations!B$6:C$293,2,FALSE)="","NOT DECLARED",IF(ISNA(_xlfn.TEXTBEFORE(VLOOKUP($F90,Declarations!B$6:C$293,2,FALSE)," ")),VLOOKUP($F90,Declarations!B$6:C$293,2,FALSE),_xlfn.TEXTBEFORE(VLOOKUP($F90,Declarations!B$6:C$293,2,FALSE)," "))))</f>
        <v/>
      </c>
      <c r="C90" s="122" t="str">
        <f>IF(ISNA(VLOOKUP($F90,Declarations!B$6:C$293,2,FALSE)),"",IF(VLOOKUP($F90,Declarations!B$6:C$293,2,FALSE)="","NOT DECLARED",IF(ISNA(_xlfn.TEXTAFTER(VLOOKUP($F90,Declarations!B$6:C$293,2,FALSE)," ")),VLOOKUP($F90,Declarations!B$6:C$293,2,FALSE),_xlfn.TEXTAFTER(VLOOKUP($F90,Declarations!B$6:C$293,2,FALSE)," "))))</f>
        <v/>
      </c>
      <c r="D90" s="122" t="str">
        <f>IF(ISNA(VLOOKUP($F90,Declarations!$B$6:$F$293,5,FALSE)),"",IF(VLOOKUP($F90,Declarations!$B$6:$F$293,5,FALSE)="","NOT DECLARED",VLOOKUP($F90,Declarations!$B$6:$F$293,5,FALSE)))</f>
        <v/>
      </c>
      <c r="E90" s="120" t="str">
        <f>IF(ISNA(VLOOKUP($F90,Declarations!$B$6:$D$293,3,FALSE)),"",IF(VLOOKUP($F90,Declarations!$B$6:$D$293,3,FALSE)="","NOT DECLARED",VLOOKUP($F90,Declarations!$B$6:$D$293,3,FALSE)&amp;LEFT(VLOOKUP($F90,Declarations!$B$6:$E$293,4,FALSE))))</f>
        <v/>
      </c>
      <c r="F90" s="59"/>
      <c r="G90" s="130"/>
      <c r="H90" s="130"/>
      <c r="I90" s="122" t="str">
        <f>IF(ISNA(VLOOKUP(F90,Declarations!B$6:C$293,2,FALSE)),"",IF(VLOOKUP(F90,Declarations!B$6:C$293,2,FALSE)="","NOT DECLARED",VLOOKUP(F90,Declarations!B$6:C$293,2,FALSE)))</f>
        <v/>
      </c>
      <c r="J90" s="120">
        <f>IF(LOWER(G90)="dnf",1,IF(G90&lt;ScoringTable!B$3,ScoringTable!I$2,VLOOKUP((1000-G90),ScoringTable!G$2:I$95,3)))</f>
        <v>0</v>
      </c>
      <c r="K90" s="120" t="str" cm="1">
        <f t="array" ref="K90">IF(OR(E90="",G90=""),"",_xlfn.IFS(E90="U10B",_xlfn.XLOOKUP(G90,Data!$D$2:$L$2,Data!$D$1:$L$1,"",1,1),E90="U12B",_xlfn.XLOOKUP(G90,Data!$D$8:$L$8,Data!$D$1:$L$1,"",1,1),E90="U10G",_xlfn.XLOOKUP(G90,Data!$D$15:$L$15,Data!$D$1:$L$1,"",1,1),E90="U12G",_xlfn.XLOOKUP(G90,Data!$D$21:$L$21,Data!$D$1:$L$1,"",1,1)))</f>
        <v/>
      </c>
      <c r="L90" s="184" t="str" cm="1">
        <f t="array" ref="L90">IFERROR(_xlfn.IFNA(
                      _xlfn.IFS(
                      G90="", "",
                      AND(E90="U10B",G90&lt;=Data!$M$2), "U10 Boys record",
                      AND(E90="U12B",G90&lt;=Data!$M$8), "U12 Boys record",
                      AND(E90="U10G",G90&lt;=Data!$M$15), "U10 Girls record",
                      AND(E90="U12G",G90&lt;=Data!$M$21), "U12 Girls record"
                       ),""), "")</f>
        <v/>
      </c>
      <c r="M90" s="19" cm="1">
        <f t="array" ref="M90">_xlfn.IFS($G90="",0, AND(NOT(ISNUMBER($G90)),LOWER($G90)&lt;&gt;"dnf"),"Not a valid time",OR(LOWER($G90)="dnf",$G90&gt;ScoringTable!$M$161),1,RIGHT($E90,1)="B",_xlfn.XLOOKUP($G90,ScoringTable!$M$2:$M$161,ScoringTable!$L$2:$L$161,,1),TRUE,_xlfn.XLOOKUP($G90,ScoringTable!$S$2:$S$161,ScoringTable!$R$2:$R$161,,1))</f>
        <v>0</v>
      </c>
    </row>
    <row r="91" spans="1:13" s="7" customFormat="1" ht="16" customHeight="1">
      <c r="A91" s="280" t="s">
        <v>2</v>
      </c>
      <c r="B91" s="122" t="str">
        <f>IF(ISNA(VLOOKUP($F91,Declarations!B$6:C$293,2,FALSE)),"",IF(VLOOKUP($F91,Declarations!B$6:C$293,2,FALSE)="","NOT DECLARED",IF(ISNA(_xlfn.TEXTBEFORE(VLOOKUP($F91,Declarations!B$6:C$293,2,FALSE)," ")),VLOOKUP($F91,Declarations!B$6:C$293,2,FALSE),_xlfn.TEXTBEFORE(VLOOKUP($F91,Declarations!B$6:C$293,2,FALSE)," "))))</f>
        <v/>
      </c>
      <c r="C91" s="122" t="str">
        <f>IF(ISNA(VLOOKUP($F91,Declarations!B$6:C$293,2,FALSE)),"",IF(VLOOKUP($F91,Declarations!B$6:C$293,2,FALSE)="","NOT DECLARED",IF(ISNA(_xlfn.TEXTAFTER(VLOOKUP($F91,Declarations!B$6:C$293,2,FALSE)," ")),VLOOKUP($F91,Declarations!B$6:C$293,2,FALSE),_xlfn.TEXTAFTER(VLOOKUP($F91,Declarations!B$6:C$293,2,FALSE)," "))))</f>
        <v/>
      </c>
      <c r="D91" s="122" t="str">
        <f>IF(ISNA(VLOOKUP($F91,Declarations!$B$6:$F$293,5,FALSE)),"",IF(VLOOKUP($F91,Declarations!$B$6:$F$293,5,FALSE)="","NOT DECLARED",VLOOKUP($F91,Declarations!$B$6:$F$293,5,FALSE)))</f>
        <v/>
      </c>
      <c r="E91" s="120" t="str">
        <f>IF(ISNA(VLOOKUP($F91,Declarations!$B$6:$D$293,3,FALSE)),"",IF(VLOOKUP($F91,Declarations!$B$6:$D$293,3,FALSE)="","NOT DECLARED",VLOOKUP($F91,Declarations!$B$6:$D$293,3,FALSE)&amp;LEFT(VLOOKUP($F91,Declarations!$B$6:$E$293,4,FALSE))))</f>
        <v/>
      </c>
      <c r="F91" s="59"/>
      <c r="G91" s="130"/>
      <c r="H91" s="130"/>
      <c r="I91" s="122" t="str">
        <f>IF(ISNA(VLOOKUP(F91,Declarations!B$6:C$293,2,FALSE)),"",IF(VLOOKUP(F91,Declarations!B$6:C$293,2,FALSE)="","NOT DECLARED",VLOOKUP(F91,Declarations!B$6:C$293,2,FALSE)))</f>
        <v/>
      </c>
      <c r="J91" s="120">
        <f>IF(LOWER(G91)="dnf",1,IF(G91&lt;ScoringTable!B$3,ScoringTable!I$2,VLOOKUP((1000-G91),ScoringTable!G$2:I$95,3)))</f>
        <v>0</v>
      </c>
      <c r="K91" s="120" t="str" cm="1">
        <f t="array" ref="K91">IF(OR(E91="",G91=""),"",_xlfn.IFS(E91="U10B",_xlfn.XLOOKUP(G91,Data!$D$2:$L$2,Data!$D$1:$L$1,"",1,1),E91="U12B",_xlfn.XLOOKUP(G91,Data!$D$8:$L$8,Data!$D$1:$L$1,"",1,1),E91="U10G",_xlfn.XLOOKUP(G91,Data!$D$15:$L$15,Data!$D$1:$L$1,"",1,1),E91="U12G",_xlfn.XLOOKUP(G91,Data!$D$21:$L$21,Data!$D$1:$L$1,"",1,1)))</f>
        <v/>
      </c>
      <c r="L91" s="184" t="str" cm="1">
        <f t="array" ref="L91">IFERROR(_xlfn.IFNA(
                      _xlfn.IFS(
                      G91="", "",
                      AND(E91="U10B",G91&lt;=Data!$M$2), "U10 Boys record",
                      AND(E91="U12B",G91&lt;=Data!$M$8), "U12 Boys record",
                      AND(E91="U10G",G91&lt;=Data!$M$15), "U10 Girls record",
                      AND(E91="U12G",G91&lt;=Data!$M$21), "U12 Girls record"
                       ),""), "")</f>
        <v/>
      </c>
      <c r="M91" s="19" cm="1">
        <f t="array" ref="M91">_xlfn.IFS($G91="",0, AND(NOT(ISNUMBER($G91)),LOWER($G91)&lt;&gt;"dnf"),"Not a valid time",OR(LOWER($G91)="dnf",$G91&gt;ScoringTable!$M$161),1,RIGHT($E91,1)="B",_xlfn.XLOOKUP($G91,ScoringTable!$M$2:$M$161,ScoringTable!$L$2:$L$161,,1),TRUE,_xlfn.XLOOKUP($G91,ScoringTable!$S$2:$S$161,ScoringTable!$R$2:$R$161,,1))</f>
        <v>0</v>
      </c>
    </row>
    <row r="92" spans="1:13" s="7" customFormat="1" ht="16" customHeight="1">
      <c r="A92" s="280" t="s">
        <v>2</v>
      </c>
      <c r="B92" s="122" t="str">
        <f>IF(ISNA(VLOOKUP($F92,Declarations!B$6:C$293,2,FALSE)),"",IF(VLOOKUP($F92,Declarations!B$6:C$293,2,FALSE)="","NOT DECLARED",IF(ISNA(_xlfn.TEXTBEFORE(VLOOKUP($F92,Declarations!B$6:C$293,2,FALSE)," ")),VLOOKUP($F92,Declarations!B$6:C$293,2,FALSE),_xlfn.TEXTBEFORE(VLOOKUP($F92,Declarations!B$6:C$293,2,FALSE)," "))))</f>
        <v/>
      </c>
      <c r="C92" s="122" t="str">
        <f>IF(ISNA(VLOOKUP($F92,Declarations!B$6:C$293,2,FALSE)),"",IF(VLOOKUP($F92,Declarations!B$6:C$293,2,FALSE)="","NOT DECLARED",IF(ISNA(_xlfn.TEXTAFTER(VLOOKUP($F92,Declarations!B$6:C$293,2,FALSE)," ")),VLOOKUP($F92,Declarations!B$6:C$293,2,FALSE),_xlfn.TEXTAFTER(VLOOKUP($F92,Declarations!B$6:C$293,2,FALSE)," "))))</f>
        <v/>
      </c>
      <c r="D92" s="122" t="str">
        <f>IF(ISNA(VLOOKUP($F92,Declarations!$B$6:$F$293,5,FALSE)),"",IF(VLOOKUP($F92,Declarations!$B$6:$F$293,5,FALSE)="","NOT DECLARED",VLOOKUP($F92,Declarations!$B$6:$F$293,5,FALSE)))</f>
        <v/>
      </c>
      <c r="E92" s="120" t="str">
        <f>IF(ISNA(VLOOKUP($F92,Declarations!$B$6:$D$293,3,FALSE)),"",IF(VLOOKUP($F92,Declarations!$B$6:$D$293,3,FALSE)="","NOT DECLARED",VLOOKUP($F92,Declarations!$B$6:$D$293,3,FALSE)&amp;LEFT(VLOOKUP($F92,Declarations!$B$6:$E$293,4,FALSE))))</f>
        <v/>
      </c>
      <c r="F92" s="59"/>
      <c r="G92" s="130"/>
      <c r="H92" s="130"/>
      <c r="I92" s="122" t="str">
        <f>IF(ISNA(VLOOKUP(F92,Declarations!B$6:C$293,2,FALSE)),"",IF(VLOOKUP(F92,Declarations!B$6:C$293,2,FALSE)="","NOT DECLARED",VLOOKUP(F92,Declarations!B$6:C$293,2,FALSE)))</f>
        <v/>
      </c>
      <c r="J92" s="120">
        <f>IF(LOWER(G92)="dnf",1,IF(G92&lt;ScoringTable!B$3,ScoringTable!I$2,VLOOKUP((1000-G92),ScoringTable!G$2:I$95,3)))</f>
        <v>0</v>
      </c>
      <c r="K92" s="120" t="str" cm="1">
        <f t="array" ref="K92">IF(OR(E92="",G92=""),"",_xlfn.IFS(E92="U10B",_xlfn.XLOOKUP(G92,Data!$D$2:$L$2,Data!$D$1:$L$1,"",1,1),E92="U12B",_xlfn.XLOOKUP(G92,Data!$D$8:$L$8,Data!$D$1:$L$1,"",1,1),E92="U10G",_xlfn.XLOOKUP(G92,Data!$D$15:$L$15,Data!$D$1:$L$1,"",1,1),E92="U12G",_xlfn.XLOOKUP(G92,Data!$D$21:$L$21,Data!$D$1:$L$1,"",1,1)))</f>
        <v/>
      </c>
      <c r="L92" s="184" t="str" cm="1">
        <f t="array" ref="L92">IFERROR(_xlfn.IFNA(
                      _xlfn.IFS(
                      G92="", "",
                      AND(E92="U10B",G92&lt;=Data!$M$2), "U10 Boys record",
                      AND(E92="U12B",G92&lt;=Data!$M$8), "U12 Boys record",
                      AND(E92="U10G",G92&lt;=Data!$M$15), "U10 Girls record",
                      AND(E92="U12G",G92&lt;=Data!$M$21), "U12 Girls record"
                       ),""), "")</f>
        <v/>
      </c>
      <c r="M92" s="19" cm="1">
        <f t="array" ref="M92">_xlfn.IFS($G92="",0, AND(NOT(ISNUMBER($G92)),LOWER($G92)&lt;&gt;"dnf"),"Not a valid time",OR(LOWER($G92)="dnf",$G92&gt;ScoringTable!$M$161),1,RIGHT($E92,1)="B",_xlfn.XLOOKUP($G92,ScoringTable!$M$2:$M$161,ScoringTable!$L$2:$L$161,,1),TRUE,_xlfn.XLOOKUP($G92,ScoringTable!$S$2:$S$161,ScoringTable!$R$2:$R$161,,1))</f>
        <v>0</v>
      </c>
    </row>
    <row r="93" spans="1:13" s="7" customFormat="1" ht="16" customHeight="1">
      <c r="A93" s="280" t="s">
        <v>2</v>
      </c>
      <c r="B93" s="122" t="str">
        <f>IF(ISNA(VLOOKUP($F93,Declarations!B$6:C$293,2,FALSE)),"",IF(VLOOKUP($F93,Declarations!B$6:C$293,2,FALSE)="","NOT DECLARED",IF(ISNA(_xlfn.TEXTBEFORE(VLOOKUP($F93,Declarations!B$6:C$293,2,FALSE)," ")),VLOOKUP($F93,Declarations!B$6:C$293,2,FALSE),_xlfn.TEXTBEFORE(VLOOKUP($F93,Declarations!B$6:C$293,2,FALSE)," "))))</f>
        <v/>
      </c>
      <c r="C93" s="122" t="str">
        <f>IF(ISNA(VLOOKUP($F93,Declarations!B$6:C$293,2,FALSE)),"",IF(VLOOKUP($F93,Declarations!B$6:C$293,2,FALSE)="","NOT DECLARED",IF(ISNA(_xlfn.TEXTAFTER(VLOOKUP($F93,Declarations!B$6:C$293,2,FALSE)," ")),VLOOKUP($F93,Declarations!B$6:C$293,2,FALSE),_xlfn.TEXTAFTER(VLOOKUP($F93,Declarations!B$6:C$293,2,FALSE)," "))))</f>
        <v/>
      </c>
      <c r="D93" s="122" t="str">
        <f>IF(ISNA(VLOOKUP($F93,Declarations!$B$6:$F$293,5,FALSE)),"",IF(VLOOKUP($F93,Declarations!$B$6:$F$293,5,FALSE)="","NOT DECLARED",VLOOKUP($F93,Declarations!$B$6:$F$293,5,FALSE)))</f>
        <v/>
      </c>
      <c r="E93" s="120" t="str">
        <f>IF(ISNA(VLOOKUP($F93,Declarations!$B$6:$D$293,3,FALSE)),"",IF(VLOOKUP($F93,Declarations!$B$6:$D$293,3,FALSE)="","NOT DECLARED",VLOOKUP($F93,Declarations!$B$6:$D$293,3,FALSE)&amp;LEFT(VLOOKUP($F93,Declarations!$B$6:$E$293,4,FALSE))))</f>
        <v/>
      </c>
      <c r="F93" s="59"/>
      <c r="G93" s="130"/>
      <c r="H93" s="130"/>
      <c r="I93" s="122" t="str">
        <f>IF(ISNA(VLOOKUP(F93,Declarations!B$6:C$293,2,FALSE)),"",IF(VLOOKUP(F93,Declarations!B$6:C$293,2,FALSE)="","NOT DECLARED",VLOOKUP(F93,Declarations!B$6:C$293,2,FALSE)))</f>
        <v/>
      </c>
      <c r="J93" s="120">
        <f>IF(LOWER(G93)="dnf",1,IF(G93&lt;ScoringTable!B$3,ScoringTable!I$2,VLOOKUP((1000-G93),ScoringTable!G$2:I$95,3)))</f>
        <v>0</v>
      </c>
      <c r="K93" s="120" t="str" cm="1">
        <f t="array" ref="K93">IF(OR(E93="",G93=""),"",_xlfn.IFS(E93="U10B",_xlfn.XLOOKUP(G93,Data!$D$2:$L$2,Data!$D$1:$L$1,"",1,1),E93="U12B",_xlfn.XLOOKUP(G93,Data!$D$8:$L$8,Data!$D$1:$L$1,"",1,1),E93="U10G",_xlfn.XLOOKUP(G93,Data!$D$15:$L$15,Data!$D$1:$L$1,"",1,1),E93="U12G",_xlfn.XLOOKUP(G93,Data!$D$21:$L$21,Data!$D$1:$L$1,"",1,1)))</f>
        <v/>
      </c>
      <c r="L93" s="184" t="str" cm="1">
        <f t="array" ref="L93">IFERROR(_xlfn.IFNA(
                      _xlfn.IFS(
                      G93="", "",
                      AND(E93="U10B",G93&lt;=Data!$M$2), "U10 Boys record",
                      AND(E93="U12B",G93&lt;=Data!$M$8), "U12 Boys record",
                      AND(E93="U10G",G93&lt;=Data!$M$15), "U10 Girls record",
                      AND(E93="U12G",G93&lt;=Data!$M$21), "U12 Girls record"
                       ),""), "")</f>
        <v/>
      </c>
      <c r="M93" s="19" cm="1">
        <f t="array" ref="M93">_xlfn.IFS($G93="",0, AND(NOT(ISNUMBER($G93)),LOWER($G93)&lt;&gt;"dnf"),"Not a valid time",OR(LOWER($G93)="dnf",$G93&gt;ScoringTable!$M$161),1,RIGHT($E93,1)="B",_xlfn.XLOOKUP($G93,ScoringTable!$M$2:$M$161,ScoringTable!$L$2:$L$161,,1),TRUE,_xlfn.XLOOKUP($G93,ScoringTable!$S$2:$S$161,ScoringTable!$R$2:$R$161,,1))</f>
        <v>0</v>
      </c>
    </row>
    <row r="94" spans="1:13" s="7" customFormat="1" ht="16" customHeight="1">
      <c r="A94" s="280" t="s">
        <v>2</v>
      </c>
      <c r="B94" s="122" t="str">
        <f>IF(ISNA(VLOOKUP($F94,Declarations!B$6:C$293,2,FALSE)),"",IF(VLOOKUP($F94,Declarations!B$6:C$293,2,FALSE)="","NOT DECLARED",IF(ISNA(_xlfn.TEXTBEFORE(VLOOKUP($F94,Declarations!B$6:C$293,2,FALSE)," ")),VLOOKUP($F94,Declarations!B$6:C$293,2,FALSE),_xlfn.TEXTBEFORE(VLOOKUP($F94,Declarations!B$6:C$293,2,FALSE)," "))))</f>
        <v/>
      </c>
      <c r="C94" s="122" t="str">
        <f>IF(ISNA(VLOOKUP($F94,Declarations!B$6:C$293,2,FALSE)),"",IF(VLOOKUP($F94,Declarations!B$6:C$293,2,FALSE)="","NOT DECLARED",IF(ISNA(_xlfn.TEXTAFTER(VLOOKUP($F94,Declarations!B$6:C$293,2,FALSE)," ")),VLOOKUP($F94,Declarations!B$6:C$293,2,FALSE),_xlfn.TEXTAFTER(VLOOKUP($F94,Declarations!B$6:C$293,2,FALSE)," "))))</f>
        <v/>
      </c>
      <c r="D94" s="122" t="str">
        <f>IF(ISNA(VLOOKUP($F94,Declarations!$B$6:$F$293,5,FALSE)),"",IF(VLOOKUP($F94,Declarations!$B$6:$F$293,5,FALSE)="","NOT DECLARED",VLOOKUP($F94,Declarations!$B$6:$F$293,5,FALSE)))</f>
        <v/>
      </c>
      <c r="E94" s="120" t="str">
        <f>IF(ISNA(VLOOKUP($F94,Declarations!$B$6:$D$293,3,FALSE)),"",IF(VLOOKUP($F94,Declarations!$B$6:$D$293,3,FALSE)="","NOT DECLARED",VLOOKUP($F94,Declarations!$B$6:$D$293,3,FALSE)&amp;LEFT(VLOOKUP($F94,Declarations!$B$6:$E$293,4,FALSE))))</f>
        <v/>
      </c>
      <c r="F94" s="59"/>
      <c r="G94" s="130"/>
      <c r="H94" s="130"/>
      <c r="I94" s="122" t="str">
        <f>IF(ISNA(VLOOKUP(F94,Declarations!B$6:C$293,2,FALSE)),"",IF(VLOOKUP(F94,Declarations!B$6:C$293,2,FALSE)="","NOT DECLARED",VLOOKUP(F94,Declarations!B$6:C$293,2,FALSE)))</f>
        <v/>
      </c>
      <c r="J94" s="120">
        <f>IF(LOWER(G94)="dnf",1,IF(G94&lt;ScoringTable!B$3,ScoringTable!I$2,VLOOKUP((1000-G94),ScoringTable!G$2:I$95,3)))</f>
        <v>0</v>
      </c>
      <c r="K94" s="120" t="str" cm="1">
        <f t="array" ref="K94">IF(OR(E94="",G94=""),"",_xlfn.IFS(E94="U10B",_xlfn.XLOOKUP(G94,Data!$D$2:$L$2,Data!$D$1:$L$1,"",1,1),E94="U12B",_xlfn.XLOOKUP(G94,Data!$D$8:$L$8,Data!$D$1:$L$1,"",1,1),E94="U10G",_xlfn.XLOOKUP(G94,Data!$D$15:$L$15,Data!$D$1:$L$1,"",1,1),E94="U12G",_xlfn.XLOOKUP(G94,Data!$D$21:$L$21,Data!$D$1:$L$1,"",1,1)))</f>
        <v/>
      </c>
      <c r="L94" s="184" t="str" cm="1">
        <f t="array" ref="L94">IFERROR(_xlfn.IFNA(
                      _xlfn.IFS(
                      G94="", "",
                      AND(E94="U10B",G94&lt;=Data!$M$2), "U10 Boys record",
                      AND(E94="U12B",G94&lt;=Data!$M$8), "U12 Boys record",
                      AND(E94="U10G",G94&lt;=Data!$M$15), "U10 Girls record",
                      AND(E94="U12G",G94&lt;=Data!$M$21), "U12 Girls record"
                       ),""), "")</f>
        <v/>
      </c>
      <c r="M94" s="19" cm="1">
        <f t="array" ref="M94">_xlfn.IFS($G94="",0, AND(NOT(ISNUMBER($G94)),LOWER($G94)&lt;&gt;"dnf"),"Not a valid time",OR(LOWER($G94)="dnf",$G94&gt;ScoringTable!$M$161),1,RIGHT($E94,1)="B",_xlfn.XLOOKUP($G94,ScoringTable!$M$2:$M$161,ScoringTable!$L$2:$L$161,,1),TRUE,_xlfn.XLOOKUP($G94,ScoringTable!$S$2:$S$161,ScoringTable!$R$2:$R$161,,1))</f>
        <v>0</v>
      </c>
    </row>
    <row r="95" spans="1:13" s="7" customFormat="1" ht="16" customHeight="1">
      <c r="A95" s="280" t="s">
        <v>2</v>
      </c>
      <c r="B95" s="122" t="str">
        <f>IF(ISNA(VLOOKUP($F95,Declarations!B$6:C$293,2,FALSE)),"",IF(VLOOKUP($F95,Declarations!B$6:C$293,2,FALSE)="","NOT DECLARED",IF(ISNA(_xlfn.TEXTBEFORE(VLOOKUP($F95,Declarations!B$6:C$293,2,FALSE)," ")),VLOOKUP($F95,Declarations!B$6:C$293,2,FALSE),_xlfn.TEXTBEFORE(VLOOKUP($F95,Declarations!B$6:C$293,2,FALSE)," "))))</f>
        <v/>
      </c>
      <c r="C95" s="122" t="str">
        <f>IF(ISNA(VLOOKUP($F95,Declarations!B$6:C$293,2,FALSE)),"",IF(VLOOKUP($F95,Declarations!B$6:C$293,2,FALSE)="","NOT DECLARED",IF(ISNA(_xlfn.TEXTAFTER(VLOOKUP($F95,Declarations!B$6:C$293,2,FALSE)," ")),VLOOKUP($F95,Declarations!B$6:C$293,2,FALSE),_xlfn.TEXTAFTER(VLOOKUP($F95,Declarations!B$6:C$293,2,FALSE)," "))))</f>
        <v/>
      </c>
      <c r="D95" s="122" t="str">
        <f>IF(ISNA(VLOOKUP($F95,Declarations!$B$6:$F$293,5,FALSE)),"",IF(VLOOKUP($F95,Declarations!$B$6:$F$293,5,FALSE)="","NOT DECLARED",VLOOKUP($F95,Declarations!$B$6:$F$293,5,FALSE)))</f>
        <v/>
      </c>
      <c r="E95" s="120" t="str">
        <f>IF(ISNA(VLOOKUP($F95,Declarations!$B$6:$D$293,3,FALSE)),"",IF(VLOOKUP($F95,Declarations!$B$6:$D$293,3,FALSE)="","NOT DECLARED",VLOOKUP($F95,Declarations!$B$6:$D$293,3,FALSE)&amp;LEFT(VLOOKUP($F95,Declarations!$B$6:$E$293,4,FALSE))))</f>
        <v/>
      </c>
      <c r="F95" s="59"/>
      <c r="G95" s="130"/>
      <c r="H95" s="130"/>
      <c r="I95" s="122" t="str">
        <f>IF(ISNA(VLOOKUP(F95,Declarations!B$6:C$293,2,FALSE)),"",IF(VLOOKUP(F95,Declarations!B$6:C$293,2,FALSE)="","NOT DECLARED",VLOOKUP(F95,Declarations!B$6:C$293,2,FALSE)))</f>
        <v/>
      </c>
      <c r="J95" s="120">
        <f>IF(LOWER(G95)="dnf",1,IF(G95&lt;ScoringTable!B$3,ScoringTable!I$2,VLOOKUP((1000-G95),ScoringTable!G$2:I$95,3)))</f>
        <v>0</v>
      </c>
      <c r="K95" s="120" t="str" cm="1">
        <f t="array" ref="K95">IF(OR(E95="",G95=""),"",_xlfn.IFS(E95="U10B",_xlfn.XLOOKUP(G95,Data!$D$2:$L$2,Data!$D$1:$L$1,"",1,1),E95="U12B",_xlfn.XLOOKUP(G95,Data!$D$8:$L$8,Data!$D$1:$L$1,"",1,1),E95="U10G",_xlfn.XLOOKUP(G95,Data!$D$15:$L$15,Data!$D$1:$L$1,"",1,1),E95="U12G",_xlfn.XLOOKUP(G95,Data!$D$21:$L$21,Data!$D$1:$L$1,"",1,1)))</f>
        <v/>
      </c>
      <c r="L95" s="184" t="str" cm="1">
        <f t="array" ref="L95">IFERROR(_xlfn.IFNA(
                      _xlfn.IFS(
                      G95="", "",
                      AND(E95="U10B",G95&lt;=Data!$M$2), "U10 Boys record",
                      AND(E95="U12B",G95&lt;=Data!$M$8), "U12 Boys record",
                      AND(E95="U10G",G95&lt;=Data!$M$15), "U10 Girls record",
                      AND(E95="U12G",G95&lt;=Data!$M$21), "U12 Girls record"
                       ),""), "")</f>
        <v/>
      </c>
      <c r="M95" s="19" cm="1">
        <f t="array" ref="M95">_xlfn.IFS($G95="",0, AND(NOT(ISNUMBER($G95)),LOWER($G95)&lt;&gt;"dnf"),"Not a valid time",OR(LOWER($G95)="dnf",$G95&gt;ScoringTable!$M$161),1,RIGHT($E95,1)="B",_xlfn.XLOOKUP($G95,ScoringTable!$M$2:$M$161,ScoringTable!$L$2:$L$161,,1),TRUE,_xlfn.XLOOKUP($G95,ScoringTable!$S$2:$S$161,ScoringTable!$R$2:$R$161,,1))</f>
        <v>0</v>
      </c>
    </row>
    <row r="96" spans="1:13" s="7" customFormat="1" ht="16" customHeight="1">
      <c r="A96" s="280" t="s">
        <v>2</v>
      </c>
      <c r="B96" s="122" t="str">
        <f>IF(ISNA(VLOOKUP($F96,Declarations!B$6:C$293,2,FALSE)),"",IF(VLOOKUP($F96,Declarations!B$6:C$293,2,FALSE)="","NOT DECLARED",IF(ISNA(_xlfn.TEXTBEFORE(VLOOKUP($F96,Declarations!B$6:C$293,2,FALSE)," ")),VLOOKUP($F96,Declarations!B$6:C$293,2,FALSE),_xlfn.TEXTBEFORE(VLOOKUP($F96,Declarations!B$6:C$293,2,FALSE)," "))))</f>
        <v/>
      </c>
      <c r="C96" s="122" t="str">
        <f>IF(ISNA(VLOOKUP($F96,Declarations!B$6:C$293,2,FALSE)),"",IF(VLOOKUP($F96,Declarations!B$6:C$293,2,FALSE)="","NOT DECLARED",IF(ISNA(_xlfn.TEXTAFTER(VLOOKUP($F96,Declarations!B$6:C$293,2,FALSE)," ")),VLOOKUP($F96,Declarations!B$6:C$293,2,FALSE),_xlfn.TEXTAFTER(VLOOKUP($F96,Declarations!B$6:C$293,2,FALSE)," "))))</f>
        <v/>
      </c>
      <c r="D96" s="122" t="str">
        <f>IF(ISNA(VLOOKUP($F96,Declarations!$B$6:$F$293,5,FALSE)),"",IF(VLOOKUP($F96,Declarations!$B$6:$F$293,5,FALSE)="","NOT DECLARED",VLOOKUP($F96,Declarations!$B$6:$F$293,5,FALSE)))</f>
        <v/>
      </c>
      <c r="E96" s="120" t="str">
        <f>IF(ISNA(VLOOKUP($F96,Declarations!$B$6:$D$293,3,FALSE)),"",IF(VLOOKUP($F96,Declarations!$B$6:$D$293,3,FALSE)="","NOT DECLARED",VLOOKUP($F96,Declarations!$B$6:$D$293,3,FALSE)&amp;LEFT(VLOOKUP($F96,Declarations!$B$6:$E$293,4,FALSE))))</f>
        <v/>
      </c>
      <c r="F96" s="59"/>
      <c r="G96" s="130"/>
      <c r="H96" s="130"/>
      <c r="I96" s="122" t="str">
        <f>IF(ISNA(VLOOKUP(F96,Declarations!B$6:C$293,2,FALSE)),"",IF(VLOOKUP(F96,Declarations!B$6:C$293,2,FALSE)="","NOT DECLARED",VLOOKUP(F96,Declarations!B$6:C$293,2,FALSE)))</f>
        <v/>
      </c>
      <c r="J96" s="120">
        <f>IF(LOWER(G96)="dnf",1,IF(G96&lt;ScoringTable!B$3,ScoringTable!I$2,VLOOKUP((1000-G96),ScoringTable!G$2:I$95,3)))</f>
        <v>0</v>
      </c>
      <c r="K96" s="120" t="str" cm="1">
        <f t="array" ref="K96">IF(OR(E96="",G96=""),"",_xlfn.IFS(E96="U10B",_xlfn.XLOOKUP(G96,Data!$D$2:$L$2,Data!$D$1:$L$1,"",1,1),E96="U12B",_xlfn.XLOOKUP(G96,Data!$D$8:$L$8,Data!$D$1:$L$1,"",1,1),E96="U10G",_xlfn.XLOOKUP(G96,Data!$D$15:$L$15,Data!$D$1:$L$1,"",1,1),E96="U12G",_xlfn.XLOOKUP(G96,Data!$D$21:$L$21,Data!$D$1:$L$1,"",1,1)))</f>
        <v/>
      </c>
      <c r="L96" s="184" t="str" cm="1">
        <f t="array" ref="L96">IFERROR(_xlfn.IFNA(
                      _xlfn.IFS(
                      G96="", "",
                      AND(E96="U10B",G96&lt;=Data!$M$2), "U10 Boys record",
                      AND(E96="U12B",G96&lt;=Data!$M$8), "U12 Boys record",
                      AND(E96="U10G",G96&lt;=Data!$M$15), "U10 Girls record",
                      AND(E96="U12G",G96&lt;=Data!$M$21), "U12 Girls record"
                       ),""), "")</f>
        <v/>
      </c>
      <c r="M96" s="19" cm="1">
        <f t="array" ref="M96">_xlfn.IFS($G96="",0, AND(NOT(ISNUMBER($G96)),LOWER($G96)&lt;&gt;"dnf"),"Not a valid time",OR(LOWER($G96)="dnf",$G96&gt;ScoringTable!$M$161),1,RIGHT($E96,1)="B",_xlfn.XLOOKUP($G96,ScoringTable!$M$2:$M$161,ScoringTable!$L$2:$L$161,,1),TRUE,_xlfn.XLOOKUP($G96,ScoringTable!$S$2:$S$161,ScoringTable!$R$2:$R$161,,1))</f>
        <v>0</v>
      </c>
    </row>
    <row r="97" spans="1:13" s="7" customFormat="1" ht="16" customHeight="1">
      <c r="A97" s="280" t="s">
        <v>2</v>
      </c>
      <c r="B97" s="122" t="str">
        <f>IF(ISNA(VLOOKUP($F97,Declarations!B$6:C$293,2,FALSE)),"",IF(VLOOKUP($F97,Declarations!B$6:C$293,2,FALSE)="","NOT DECLARED",IF(ISNA(_xlfn.TEXTBEFORE(VLOOKUP($F97,Declarations!B$6:C$293,2,FALSE)," ")),VLOOKUP($F97,Declarations!B$6:C$293,2,FALSE),_xlfn.TEXTBEFORE(VLOOKUP($F97,Declarations!B$6:C$293,2,FALSE)," "))))</f>
        <v/>
      </c>
      <c r="C97" s="122" t="str">
        <f>IF(ISNA(VLOOKUP($F97,Declarations!B$6:C$293,2,FALSE)),"",IF(VLOOKUP($F97,Declarations!B$6:C$293,2,FALSE)="","NOT DECLARED",IF(ISNA(_xlfn.TEXTAFTER(VLOOKUP($F97,Declarations!B$6:C$293,2,FALSE)," ")),VLOOKUP($F97,Declarations!B$6:C$293,2,FALSE),_xlfn.TEXTAFTER(VLOOKUP($F97,Declarations!B$6:C$293,2,FALSE)," "))))</f>
        <v/>
      </c>
      <c r="D97" s="122" t="str">
        <f>IF(ISNA(VLOOKUP($F97,Declarations!$B$6:$F$293,5,FALSE)),"",IF(VLOOKUP($F97,Declarations!$B$6:$F$293,5,FALSE)="","NOT DECLARED",VLOOKUP($F97,Declarations!$B$6:$F$293,5,FALSE)))</f>
        <v/>
      </c>
      <c r="E97" s="120" t="str">
        <f>IF(ISNA(VLOOKUP($F97,Declarations!$B$6:$D$293,3,FALSE)),"",IF(VLOOKUP($F97,Declarations!$B$6:$D$293,3,FALSE)="","NOT DECLARED",VLOOKUP($F97,Declarations!$B$6:$D$293,3,FALSE)&amp;LEFT(VLOOKUP($F97,Declarations!$B$6:$E$293,4,FALSE))))</f>
        <v/>
      </c>
      <c r="F97" s="59"/>
      <c r="G97" s="130"/>
      <c r="H97" s="130"/>
      <c r="I97" s="122" t="str">
        <f>IF(ISNA(VLOOKUP(F97,Declarations!B$6:C$293,2,FALSE)),"",IF(VLOOKUP(F97,Declarations!B$6:C$293,2,FALSE)="","NOT DECLARED",VLOOKUP(F97,Declarations!B$6:C$293,2,FALSE)))</f>
        <v/>
      </c>
      <c r="J97" s="120">
        <f>IF(LOWER(G97)="dnf",1,IF(G97&lt;ScoringTable!B$3,ScoringTable!I$2,VLOOKUP((1000-G97),ScoringTable!G$2:I$95,3)))</f>
        <v>0</v>
      </c>
      <c r="K97" s="120" t="str" cm="1">
        <f t="array" ref="K97">IF(OR(E97="",G97=""),"",_xlfn.IFS(E97="U10B",_xlfn.XLOOKUP(G97,Data!$D$2:$L$2,Data!$D$1:$L$1,"",1,1),E97="U12B",_xlfn.XLOOKUP(G97,Data!$D$8:$L$8,Data!$D$1:$L$1,"",1,1),E97="U10G",_xlfn.XLOOKUP(G97,Data!$D$15:$L$15,Data!$D$1:$L$1,"",1,1),E97="U12G",_xlfn.XLOOKUP(G97,Data!$D$21:$L$21,Data!$D$1:$L$1,"",1,1)))</f>
        <v/>
      </c>
      <c r="L97" s="184" t="str" cm="1">
        <f t="array" ref="L97">IFERROR(_xlfn.IFNA(
                      _xlfn.IFS(
                      G97="", "",
                      AND(E97="U10B",G97&lt;=Data!$M$2), "U10 Boys record",
                      AND(E97="U12B",G97&lt;=Data!$M$8), "U12 Boys record",
                      AND(E97="U10G",G97&lt;=Data!$M$15), "U10 Girls record",
                      AND(E97="U12G",G97&lt;=Data!$M$21), "U12 Girls record"
                       ),""), "")</f>
        <v/>
      </c>
      <c r="M97" s="19" cm="1">
        <f t="array" ref="M97">_xlfn.IFS($G97="",0, AND(NOT(ISNUMBER($G97)),LOWER($G97)&lt;&gt;"dnf"),"Not a valid time",OR(LOWER($G97)="dnf",$G97&gt;ScoringTable!$M$161),1,RIGHT($E97,1)="B",_xlfn.XLOOKUP($G97,ScoringTable!$M$2:$M$161,ScoringTable!$L$2:$L$161,,1),TRUE,_xlfn.XLOOKUP($G97,ScoringTable!$S$2:$S$161,ScoringTable!$R$2:$R$161,,1))</f>
        <v>0</v>
      </c>
    </row>
    <row r="98" spans="1:13" s="7" customFormat="1" ht="16" customHeight="1">
      <c r="A98" s="280" t="s">
        <v>2</v>
      </c>
      <c r="B98" s="122" t="str">
        <f>IF(ISNA(VLOOKUP($F98,Declarations!B$6:C$293,2,FALSE)),"",IF(VLOOKUP($F98,Declarations!B$6:C$293,2,FALSE)="","NOT DECLARED",IF(ISNA(_xlfn.TEXTBEFORE(VLOOKUP($F98,Declarations!B$6:C$293,2,FALSE)," ")),VLOOKUP($F98,Declarations!B$6:C$293,2,FALSE),_xlfn.TEXTBEFORE(VLOOKUP($F98,Declarations!B$6:C$293,2,FALSE)," "))))</f>
        <v/>
      </c>
      <c r="C98" s="122" t="str">
        <f>IF(ISNA(VLOOKUP($F98,Declarations!B$6:C$293,2,FALSE)),"",IF(VLOOKUP($F98,Declarations!B$6:C$293,2,FALSE)="","NOT DECLARED",IF(ISNA(_xlfn.TEXTAFTER(VLOOKUP($F98,Declarations!B$6:C$293,2,FALSE)," ")),VLOOKUP($F98,Declarations!B$6:C$293,2,FALSE),_xlfn.TEXTAFTER(VLOOKUP($F98,Declarations!B$6:C$293,2,FALSE)," "))))</f>
        <v/>
      </c>
      <c r="D98" s="122" t="str">
        <f>IF(ISNA(VLOOKUP($F98,Declarations!$B$6:$F$293,5,FALSE)),"",IF(VLOOKUP($F98,Declarations!$B$6:$F$293,5,FALSE)="","NOT DECLARED",VLOOKUP($F98,Declarations!$B$6:$F$293,5,FALSE)))</f>
        <v/>
      </c>
      <c r="E98" s="120" t="str">
        <f>IF(ISNA(VLOOKUP($F98,Declarations!$B$6:$D$293,3,FALSE)),"",IF(VLOOKUP($F98,Declarations!$B$6:$D$293,3,FALSE)="","NOT DECLARED",VLOOKUP($F98,Declarations!$B$6:$D$293,3,FALSE)&amp;LEFT(VLOOKUP($F98,Declarations!$B$6:$E$293,4,FALSE))))</f>
        <v/>
      </c>
      <c r="F98" s="59"/>
      <c r="G98" s="130"/>
      <c r="H98" s="130"/>
      <c r="I98" s="122" t="str">
        <f>IF(ISNA(VLOOKUP(F98,Declarations!B$6:C$293,2,FALSE)),"",IF(VLOOKUP(F98,Declarations!B$6:C$293,2,FALSE)="","NOT DECLARED",VLOOKUP(F98,Declarations!B$6:C$293,2,FALSE)))</f>
        <v/>
      </c>
      <c r="J98" s="120">
        <f>IF(LOWER(G98)="dnf",1,IF(G98&lt;ScoringTable!B$3,ScoringTable!I$2,VLOOKUP((1000-G98),ScoringTable!G$2:I$95,3)))</f>
        <v>0</v>
      </c>
      <c r="K98" s="120" t="str" cm="1">
        <f t="array" ref="K98">IF(OR(E98="",G98=""),"",_xlfn.IFS(E98="U10B",_xlfn.XLOOKUP(G98,Data!$D$2:$L$2,Data!$D$1:$L$1,"",1,1),E98="U12B",_xlfn.XLOOKUP(G98,Data!$D$8:$L$8,Data!$D$1:$L$1,"",1,1),E98="U10G",_xlfn.XLOOKUP(G98,Data!$D$15:$L$15,Data!$D$1:$L$1,"",1,1),E98="U12G",_xlfn.XLOOKUP(G98,Data!$D$21:$L$21,Data!$D$1:$L$1,"",1,1)))</f>
        <v/>
      </c>
      <c r="L98" s="184" t="str" cm="1">
        <f t="array" ref="L98">IFERROR(_xlfn.IFNA(
                      _xlfn.IFS(
                      G98="", "",
                      AND(E98="U10B",G98&lt;=Data!$M$2), "U10 Boys record",
                      AND(E98="U12B",G98&lt;=Data!$M$8), "U12 Boys record",
                      AND(E98="U10G",G98&lt;=Data!$M$15), "U10 Girls record",
                      AND(E98="U12G",G98&lt;=Data!$M$21), "U12 Girls record"
                       ),""), "")</f>
        <v/>
      </c>
      <c r="M98" s="19" cm="1">
        <f t="array" ref="M98">_xlfn.IFS($G98="",0, AND(NOT(ISNUMBER($G98)),LOWER($G98)&lt;&gt;"dnf"),"Not a valid time",OR(LOWER($G98)="dnf",$G98&gt;ScoringTable!$M$161),1,RIGHT($E98,1)="B",_xlfn.XLOOKUP($G98,ScoringTable!$M$2:$M$161,ScoringTable!$L$2:$L$161,,1),TRUE,_xlfn.XLOOKUP($G98,ScoringTable!$S$2:$S$161,ScoringTable!$R$2:$R$161,,1))</f>
        <v>0</v>
      </c>
    </row>
    <row r="99" spans="1:13" s="7" customFormat="1" ht="16" customHeight="1">
      <c r="A99" s="280" t="s">
        <v>2</v>
      </c>
      <c r="B99" s="122" t="str">
        <f>IF(ISNA(VLOOKUP($F99,Declarations!B$6:C$293,2,FALSE)),"",IF(VLOOKUP($F99,Declarations!B$6:C$293,2,FALSE)="","NOT DECLARED",IF(ISNA(_xlfn.TEXTBEFORE(VLOOKUP($F99,Declarations!B$6:C$293,2,FALSE)," ")),VLOOKUP($F99,Declarations!B$6:C$293,2,FALSE),_xlfn.TEXTBEFORE(VLOOKUP($F99,Declarations!B$6:C$293,2,FALSE)," "))))</f>
        <v/>
      </c>
      <c r="C99" s="122" t="str">
        <f>IF(ISNA(VLOOKUP($F99,Declarations!B$6:C$293,2,FALSE)),"",IF(VLOOKUP($F99,Declarations!B$6:C$293,2,FALSE)="","NOT DECLARED",IF(ISNA(_xlfn.TEXTAFTER(VLOOKUP($F99,Declarations!B$6:C$293,2,FALSE)," ")),VLOOKUP($F99,Declarations!B$6:C$293,2,FALSE),_xlfn.TEXTAFTER(VLOOKUP($F99,Declarations!B$6:C$293,2,FALSE)," "))))</f>
        <v/>
      </c>
      <c r="D99" s="122" t="str">
        <f>IF(ISNA(VLOOKUP($F99,Declarations!$B$6:$F$293,5,FALSE)),"",IF(VLOOKUP($F99,Declarations!$B$6:$F$293,5,FALSE)="","NOT DECLARED",VLOOKUP($F99,Declarations!$B$6:$F$293,5,FALSE)))</f>
        <v/>
      </c>
      <c r="E99" s="120" t="str">
        <f>IF(ISNA(VLOOKUP($F99,Declarations!$B$6:$D$293,3,FALSE)),"",IF(VLOOKUP($F99,Declarations!$B$6:$D$293,3,FALSE)="","NOT DECLARED",VLOOKUP($F99,Declarations!$B$6:$D$293,3,FALSE)&amp;LEFT(VLOOKUP($F99,Declarations!$B$6:$E$293,4,FALSE))))</f>
        <v/>
      </c>
      <c r="F99" s="59"/>
      <c r="G99" s="130"/>
      <c r="H99" s="130"/>
      <c r="I99" s="122" t="str">
        <f>IF(ISNA(VLOOKUP(F99,Declarations!B$6:C$293,2,FALSE)),"",IF(VLOOKUP(F99,Declarations!B$6:C$293,2,FALSE)="","NOT DECLARED",VLOOKUP(F99,Declarations!B$6:C$293,2,FALSE)))</f>
        <v/>
      </c>
      <c r="J99" s="120">
        <f>IF(LOWER(G99)="dnf",1,IF(G99&lt;ScoringTable!B$3,ScoringTable!I$2,VLOOKUP((1000-G99),ScoringTable!G$2:I$95,3)))</f>
        <v>0</v>
      </c>
      <c r="K99" s="120" t="str" cm="1">
        <f t="array" ref="K99">IF(OR(E99="",G99=""),"",_xlfn.IFS(E99="U10B",_xlfn.XLOOKUP(G99,Data!$D$2:$L$2,Data!$D$1:$L$1,"",1,1),E99="U12B",_xlfn.XLOOKUP(G99,Data!$D$8:$L$8,Data!$D$1:$L$1,"",1,1),E99="U10G",_xlfn.XLOOKUP(G99,Data!$D$15:$L$15,Data!$D$1:$L$1,"",1,1),E99="U12G",_xlfn.XLOOKUP(G99,Data!$D$21:$L$21,Data!$D$1:$L$1,"",1,1)))</f>
        <v/>
      </c>
      <c r="L99" s="184" t="str" cm="1">
        <f t="array" ref="L99">IFERROR(_xlfn.IFNA(
                      _xlfn.IFS(
                      G99="", "",
                      AND(E99="U10B",G99&lt;=Data!$M$2), "U10 Boys record",
                      AND(E99="U12B",G99&lt;=Data!$M$8), "U12 Boys record",
                      AND(E99="U10G",G99&lt;=Data!$M$15), "U10 Girls record",
                      AND(E99="U12G",G99&lt;=Data!$M$21), "U12 Girls record"
                       ),""), "")</f>
        <v/>
      </c>
      <c r="M99" s="19" cm="1">
        <f t="array" ref="M99">_xlfn.IFS($G99="",0, AND(NOT(ISNUMBER($G99)),LOWER($G99)&lt;&gt;"dnf"),"Not a valid time",OR(LOWER($G99)="dnf",$G99&gt;ScoringTable!$M$161),1,RIGHT($E99,1)="B",_xlfn.XLOOKUP($G99,ScoringTable!$M$2:$M$161,ScoringTable!$L$2:$L$161,,1),TRUE,_xlfn.XLOOKUP($G99,ScoringTable!$S$2:$S$161,ScoringTable!$R$2:$R$161,,1))</f>
        <v>0</v>
      </c>
    </row>
    <row r="100" spans="1:13" s="7" customFormat="1" ht="16" customHeight="1">
      <c r="A100" s="280" t="s">
        <v>2</v>
      </c>
      <c r="B100" s="122" t="str">
        <f>IF(ISNA(VLOOKUP($F100,Declarations!B$6:C$293,2,FALSE)),"",IF(VLOOKUP($F100,Declarations!B$6:C$293,2,FALSE)="","NOT DECLARED",IF(ISNA(_xlfn.TEXTBEFORE(VLOOKUP($F100,Declarations!B$6:C$293,2,FALSE)," ")),VLOOKUP($F100,Declarations!B$6:C$293,2,FALSE),_xlfn.TEXTBEFORE(VLOOKUP($F100,Declarations!B$6:C$293,2,FALSE)," "))))</f>
        <v/>
      </c>
      <c r="C100" s="122" t="str">
        <f>IF(ISNA(VLOOKUP($F100,Declarations!B$6:C$293,2,FALSE)),"",IF(VLOOKUP($F100,Declarations!B$6:C$293,2,FALSE)="","NOT DECLARED",IF(ISNA(_xlfn.TEXTAFTER(VLOOKUP($F100,Declarations!B$6:C$293,2,FALSE)," ")),VLOOKUP($F100,Declarations!B$6:C$293,2,FALSE),_xlfn.TEXTAFTER(VLOOKUP($F100,Declarations!B$6:C$293,2,FALSE)," "))))</f>
        <v/>
      </c>
      <c r="D100" s="122" t="str">
        <f>IF(ISNA(VLOOKUP($F100,Declarations!$B$6:$F$293,5,FALSE)),"",IF(VLOOKUP($F100,Declarations!$B$6:$F$293,5,FALSE)="","NOT DECLARED",VLOOKUP($F100,Declarations!$B$6:$F$293,5,FALSE)))</f>
        <v/>
      </c>
      <c r="E100" s="120" t="str">
        <f>IF(ISNA(VLOOKUP($F100,Declarations!$B$6:$D$293,3,FALSE)),"",IF(VLOOKUP($F100,Declarations!$B$6:$D$293,3,FALSE)="","NOT DECLARED",VLOOKUP($F100,Declarations!$B$6:$D$293,3,FALSE)&amp;LEFT(VLOOKUP($F100,Declarations!$B$6:$E$293,4,FALSE))))</f>
        <v/>
      </c>
      <c r="F100" s="59"/>
      <c r="G100" s="130"/>
      <c r="H100" s="130"/>
      <c r="I100" s="122" t="str">
        <f>IF(ISNA(VLOOKUP(F100,Declarations!B$6:C$293,2,FALSE)),"",IF(VLOOKUP(F100,Declarations!B$6:C$293,2,FALSE)="","NOT DECLARED",VLOOKUP(F100,Declarations!B$6:C$293,2,FALSE)))</f>
        <v/>
      </c>
      <c r="J100" s="120">
        <f>IF(LOWER(G100)="dnf",1,IF(G100&lt;ScoringTable!B$3,ScoringTable!I$2,VLOOKUP((1000-G100),ScoringTable!G$2:I$95,3)))</f>
        <v>0</v>
      </c>
      <c r="K100" s="120" t="str" cm="1">
        <f t="array" ref="K100">IF(OR(E100="",G100=""),"",_xlfn.IFS(E100="U10B",_xlfn.XLOOKUP(G100,Data!$D$2:$L$2,Data!$D$1:$L$1,"",1,1),E100="U12B",_xlfn.XLOOKUP(G100,Data!$D$8:$L$8,Data!$D$1:$L$1,"",1,1),E100="U10G",_xlfn.XLOOKUP(G100,Data!$D$15:$L$15,Data!$D$1:$L$1,"",1,1),E100="U12G",_xlfn.XLOOKUP(G100,Data!$D$21:$L$21,Data!$D$1:$L$1,"",1,1)))</f>
        <v/>
      </c>
      <c r="L100" s="184" t="str" cm="1">
        <f t="array" ref="L100">IFERROR(_xlfn.IFNA(
                      _xlfn.IFS(
                      G100="", "",
                      AND(E100="U10B",G100&lt;=Data!$M$2), "U10 Boys record",
                      AND(E100="U12B",G100&lt;=Data!$M$8), "U12 Boys record",
                      AND(E100="U10G",G100&lt;=Data!$M$15), "U10 Girls record",
                      AND(E100="U12G",G100&lt;=Data!$M$21), "U12 Girls record"
                       ),""), "")</f>
        <v/>
      </c>
      <c r="M100" s="19" cm="1">
        <f t="array" ref="M100">_xlfn.IFS($G100="",0, AND(NOT(ISNUMBER($G100)),LOWER($G100)&lt;&gt;"dnf"),"Not a valid time",OR(LOWER($G100)="dnf",$G100&gt;ScoringTable!$M$161),1,RIGHT($E100,1)="B",_xlfn.XLOOKUP($G100,ScoringTable!$M$2:$M$161,ScoringTable!$L$2:$L$161,,1),TRUE,_xlfn.XLOOKUP($G100,ScoringTable!$S$2:$S$161,ScoringTable!$R$2:$R$161,,1))</f>
        <v>0</v>
      </c>
    </row>
    <row r="101" spans="1:13" s="7" customFormat="1" ht="16" customHeight="1">
      <c r="A101" s="280" t="s">
        <v>2</v>
      </c>
      <c r="B101" s="122" t="str">
        <f>IF(ISNA(VLOOKUP($F101,Declarations!B$6:C$293,2,FALSE)),"",IF(VLOOKUP($F101,Declarations!B$6:C$293,2,FALSE)="","NOT DECLARED",IF(ISNA(_xlfn.TEXTBEFORE(VLOOKUP($F101,Declarations!B$6:C$293,2,FALSE)," ")),VLOOKUP($F101,Declarations!B$6:C$293,2,FALSE),_xlfn.TEXTBEFORE(VLOOKUP($F101,Declarations!B$6:C$293,2,FALSE)," "))))</f>
        <v/>
      </c>
      <c r="C101" s="122" t="str">
        <f>IF(ISNA(VLOOKUP($F101,Declarations!B$6:C$293,2,FALSE)),"",IF(VLOOKUP($F101,Declarations!B$6:C$293,2,FALSE)="","NOT DECLARED",IF(ISNA(_xlfn.TEXTAFTER(VLOOKUP($F101,Declarations!B$6:C$293,2,FALSE)," ")),VLOOKUP($F101,Declarations!B$6:C$293,2,FALSE),_xlfn.TEXTAFTER(VLOOKUP($F101,Declarations!B$6:C$293,2,FALSE)," "))))</f>
        <v/>
      </c>
      <c r="D101" s="122" t="str">
        <f>IF(ISNA(VLOOKUP($F101,Declarations!$B$6:$F$293,5,FALSE)),"",IF(VLOOKUP($F101,Declarations!$B$6:$F$293,5,FALSE)="","NOT DECLARED",VLOOKUP($F101,Declarations!$B$6:$F$293,5,FALSE)))</f>
        <v/>
      </c>
      <c r="E101" s="120" t="str">
        <f>IF(ISNA(VLOOKUP($F101,Declarations!$B$6:$D$293,3,FALSE)),"",IF(VLOOKUP($F101,Declarations!$B$6:$D$293,3,FALSE)="","NOT DECLARED",VLOOKUP($F101,Declarations!$B$6:$D$293,3,FALSE)&amp;LEFT(VLOOKUP($F101,Declarations!$B$6:$E$293,4,FALSE))))</f>
        <v/>
      </c>
      <c r="F101" s="59"/>
      <c r="G101" s="130"/>
      <c r="H101" s="130"/>
      <c r="I101" s="122" t="str">
        <f>IF(ISNA(VLOOKUP(F101,Declarations!B$6:C$293,2,FALSE)),"",IF(VLOOKUP(F101,Declarations!B$6:C$293,2,FALSE)="","NOT DECLARED",VLOOKUP(F101,Declarations!B$6:C$293,2,FALSE)))</f>
        <v/>
      </c>
      <c r="J101" s="120">
        <f>IF(LOWER(G101)="dnf",1,IF(G101&lt;ScoringTable!B$3,ScoringTable!I$2,VLOOKUP((1000-G101),ScoringTable!G$2:I$95,3)))</f>
        <v>0</v>
      </c>
      <c r="K101" s="120" t="str" cm="1">
        <f t="array" ref="K101">IF(OR(E101="",G101=""),"",_xlfn.IFS(E101="U10B",_xlfn.XLOOKUP(G101,Data!$D$2:$L$2,Data!$D$1:$L$1,"",1,1),E101="U12B",_xlfn.XLOOKUP(G101,Data!$D$8:$L$8,Data!$D$1:$L$1,"",1,1),E101="U10G",_xlfn.XLOOKUP(G101,Data!$D$15:$L$15,Data!$D$1:$L$1,"",1,1),E101="U12G",_xlfn.XLOOKUP(G101,Data!$D$21:$L$21,Data!$D$1:$L$1,"",1,1)))</f>
        <v/>
      </c>
      <c r="L101" s="184" t="str" cm="1">
        <f t="array" ref="L101">IFERROR(_xlfn.IFNA(
                      _xlfn.IFS(
                      G101="", "",
                      AND(E101="U10B",G101&lt;=Data!$M$2), "U10 Boys record",
                      AND(E101="U12B",G101&lt;=Data!$M$8), "U12 Boys record",
                      AND(E101="U10G",G101&lt;=Data!$M$15), "U10 Girls record",
                      AND(E101="U12G",G101&lt;=Data!$M$21), "U12 Girls record"
                       ),""), "")</f>
        <v/>
      </c>
      <c r="M101" s="19" cm="1">
        <f t="array" ref="M101">_xlfn.IFS($G101="",0, AND(NOT(ISNUMBER($G101)),LOWER($G101)&lt;&gt;"dnf"),"Not a valid time",OR(LOWER($G101)="dnf",$G101&gt;ScoringTable!$M$161),1,RIGHT($E101,1)="B",_xlfn.XLOOKUP($G101,ScoringTable!$M$2:$M$161,ScoringTable!$L$2:$L$161,,1),TRUE,_xlfn.XLOOKUP($G101,ScoringTable!$S$2:$S$161,ScoringTable!$R$2:$R$161,,1))</f>
        <v>0</v>
      </c>
    </row>
    <row r="102" spans="1:13" s="7" customFormat="1" ht="16" customHeight="1">
      <c r="A102" s="280" t="s">
        <v>2</v>
      </c>
      <c r="B102" s="122" t="str">
        <f>IF(ISNA(VLOOKUP($F102,Declarations!B$6:C$293,2,FALSE)),"",IF(VLOOKUP($F102,Declarations!B$6:C$293,2,FALSE)="","NOT DECLARED",IF(ISNA(_xlfn.TEXTBEFORE(VLOOKUP($F102,Declarations!B$6:C$293,2,FALSE)," ")),VLOOKUP($F102,Declarations!B$6:C$293,2,FALSE),_xlfn.TEXTBEFORE(VLOOKUP($F102,Declarations!B$6:C$293,2,FALSE)," "))))</f>
        <v/>
      </c>
      <c r="C102" s="122" t="str">
        <f>IF(ISNA(VLOOKUP($F102,Declarations!B$6:C$293,2,FALSE)),"",IF(VLOOKUP($F102,Declarations!B$6:C$293,2,FALSE)="","NOT DECLARED",IF(ISNA(_xlfn.TEXTAFTER(VLOOKUP($F102,Declarations!B$6:C$293,2,FALSE)," ")),VLOOKUP($F102,Declarations!B$6:C$293,2,FALSE),_xlfn.TEXTAFTER(VLOOKUP($F102,Declarations!B$6:C$293,2,FALSE)," "))))</f>
        <v/>
      </c>
      <c r="D102" s="122" t="str">
        <f>IF(ISNA(VLOOKUP($F102,Declarations!$B$6:$F$293,5,FALSE)),"",IF(VLOOKUP($F102,Declarations!$B$6:$F$293,5,FALSE)="","NOT DECLARED",VLOOKUP($F102,Declarations!$B$6:$F$293,5,FALSE)))</f>
        <v/>
      </c>
      <c r="E102" s="120" t="str">
        <f>IF(ISNA(VLOOKUP($F102,Declarations!$B$6:$D$293,3,FALSE)),"",IF(VLOOKUP($F102,Declarations!$B$6:$D$293,3,FALSE)="","NOT DECLARED",VLOOKUP($F102,Declarations!$B$6:$D$293,3,FALSE)&amp;LEFT(VLOOKUP($F102,Declarations!$B$6:$E$293,4,FALSE))))</f>
        <v/>
      </c>
      <c r="F102" s="59"/>
      <c r="G102" s="130"/>
      <c r="H102" s="130"/>
      <c r="I102" s="122" t="str">
        <f>IF(ISNA(VLOOKUP(F102,Declarations!B$6:C$293,2,FALSE)),"",IF(VLOOKUP(F102,Declarations!B$6:C$293,2,FALSE)="","NOT DECLARED",VLOOKUP(F102,Declarations!B$6:C$293,2,FALSE)))</f>
        <v/>
      </c>
      <c r="J102" s="120">
        <f>IF(LOWER(G102)="dnf",1,IF(G102&lt;ScoringTable!B$3,ScoringTable!I$2,VLOOKUP((1000-G102),ScoringTable!G$2:I$95,3)))</f>
        <v>0</v>
      </c>
      <c r="K102" s="120" t="str" cm="1">
        <f t="array" ref="K102">IF(OR(E102="",G102=""),"",_xlfn.IFS(E102="U10B",_xlfn.XLOOKUP(G102,Data!$D$2:$L$2,Data!$D$1:$L$1,"",1,1),E102="U12B",_xlfn.XLOOKUP(G102,Data!$D$8:$L$8,Data!$D$1:$L$1,"",1,1),E102="U10G",_xlfn.XLOOKUP(G102,Data!$D$15:$L$15,Data!$D$1:$L$1,"",1,1),E102="U12G",_xlfn.XLOOKUP(G102,Data!$D$21:$L$21,Data!$D$1:$L$1,"",1,1)))</f>
        <v/>
      </c>
      <c r="L102" s="184" t="str" cm="1">
        <f t="array" ref="L102">IFERROR(_xlfn.IFNA(
                      _xlfn.IFS(
                      G102="", "",
                      AND(E102="U10B",G102&lt;=Data!$M$2), "U10 Boys record",
                      AND(E102="U12B",G102&lt;=Data!$M$8), "U12 Boys record",
                      AND(E102="U10G",G102&lt;=Data!$M$15), "U10 Girls record",
                      AND(E102="U12G",G102&lt;=Data!$M$21), "U12 Girls record"
                       ),""), "")</f>
        <v/>
      </c>
      <c r="M102" s="19" cm="1">
        <f t="array" ref="M102">_xlfn.IFS($G102="",0, AND(NOT(ISNUMBER($G102)),LOWER($G102)&lt;&gt;"dnf"),"Not a valid time",OR(LOWER($G102)="dnf",$G102&gt;ScoringTable!$M$161),1,RIGHT($E102,1)="B",_xlfn.XLOOKUP($G102,ScoringTable!$M$2:$M$161,ScoringTable!$L$2:$L$161,,1),TRUE,_xlfn.XLOOKUP($G102,ScoringTable!$S$2:$S$161,ScoringTable!$R$2:$R$161,,1))</f>
        <v>0</v>
      </c>
    </row>
    <row r="103" spans="1:13" s="7" customFormat="1" ht="16" customHeight="1">
      <c r="A103" s="280" t="s">
        <v>2</v>
      </c>
      <c r="B103" s="122" t="str">
        <f>IF(ISNA(VLOOKUP($F103,Declarations!B$6:C$293,2,FALSE)),"",IF(VLOOKUP($F103,Declarations!B$6:C$293,2,FALSE)="","NOT DECLARED",IF(ISNA(_xlfn.TEXTBEFORE(VLOOKUP($F103,Declarations!B$6:C$293,2,FALSE)," ")),VLOOKUP($F103,Declarations!B$6:C$293,2,FALSE),_xlfn.TEXTBEFORE(VLOOKUP($F103,Declarations!B$6:C$293,2,FALSE)," "))))</f>
        <v/>
      </c>
      <c r="C103" s="122" t="str">
        <f>IF(ISNA(VLOOKUP($F103,Declarations!B$6:C$293,2,FALSE)),"",IF(VLOOKUP($F103,Declarations!B$6:C$293,2,FALSE)="","NOT DECLARED",IF(ISNA(_xlfn.TEXTAFTER(VLOOKUP($F103,Declarations!B$6:C$293,2,FALSE)," ")),VLOOKUP($F103,Declarations!B$6:C$293,2,FALSE),_xlfn.TEXTAFTER(VLOOKUP($F103,Declarations!B$6:C$293,2,FALSE)," "))))</f>
        <v/>
      </c>
      <c r="D103" s="122" t="str">
        <f>IF(ISNA(VLOOKUP($F103,Declarations!$B$6:$F$293,5,FALSE)),"",IF(VLOOKUP($F103,Declarations!$B$6:$F$293,5,FALSE)="","NOT DECLARED",VLOOKUP($F103,Declarations!$B$6:$F$293,5,FALSE)))</f>
        <v/>
      </c>
      <c r="E103" s="120" t="str">
        <f>IF(ISNA(VLOOKUP($F103,Declarations!$B$6:$D$293,3,FALSE)),"",IF(VLOOKUP($F103,Declarations!$B$6:$D$293,3,FALSE)="","NOT DECLARED",VLOOKUP($F103,Declarations!$B$6:$D$293,3,FALSE)&amp;LEFT(VLOOKUP($F103,Declarations!$B$6:$E$293,4,FALSE))))</f>
        <v/>
      </c>
      <c r="F103" s="59"/>
      <c r="G103" s="130"/>
      <c r="H103" s="130"/>
      <c r="I103" s="122" t="str">
        <f>IF(ISNA(VLOOKUP(F103,Declarations!B$6:C$293,2,FALSE)),"",IF(VLOOKUP(F103,Declarations!B$6:C$293,2,FALSE)="","NOT DECLARED",VLOOKUP(F103,Declarations!B$6:C$293,2,FALSE)))</f>
        <v/>
      </c>
      <c r="J103" s="120">
        <f>IF(LOWER(G103)="dnf",1,IF(G103&lt;ScoringTable!B$3,ScoringTable!I$2,VLOOKUP((1000-G103),ScoringTable!G$2:I$95,3)))</f>
        <v>0</v>
      </c>
      <c r="K103" s="120" t="str" cm="1">
        <f t="array" ref="K103">IF(OR(E103="",G103=""),"",_xlfn.IFS(E103="U10B",_xlfn.XLOOKUP(G103,Data!$D$2:$L$2,Data!$D$1:$L$1,"",1,1),E103="U12B",_xlfn.XLOOKUP(G103,Data!$D$8:$L$8,Data!$D$1:$L$1,"",1,1),E103="U10G",_xlfn.XLOOKUP(G103,Data!$D$15:$L$15,Data!$D$1:$L$1,"",1,1),E103="U12G",_xlfn.XLOOKUP(G103,Data!$D$21:$L$21,Data!$D$1:$L$1,"",1,1)))</f>
        <v/>
      </c>
      <c r="L103" s="184" t="str" cm="1">
        <f t="array" ref="L103">IFERROR(_xlfn.IFNA(
                      _xlfn.IFS(
                      G103="", "",
                      AND(E103="U10B",G103&lt;=Data!$M$2), "U10 Boys record",
                      AND(E103="U12B",G103&lt;=Data!$M$8), "U12 Boys record",
                      AND(E103="U10G",G103&lt;=Data!$M$15), "U10 Girls record",
                      AND(E103="U12G",G103&lt;=Data!$M$21), "U12 Girls record"
                       ),""), "")</f>
        <v/>
      </c>
      <c r="M103" s="19" cm="1">
        <f t="array" ref="M103">_xlfn.IFS($G103="",0, AND(NOT(ISNUMBER($G103)),LOWER($G103)&lt;&gt;"dnf"),"Not a valid time",OR(LOWER($G103)="dnf",$G103&gt;ScoringTable!$M$161),1,RIGHT($E103,1)="B",_xlfn.XLOOKUP($G103,ScoringTable!$M$2:$M$161,ScoringTable!$L$2:$L$161,,1),TRUE,_xlfn.XLOOKUP($G103,ScoringTable!$S$2:$S$161,ScoringTable!$R$2:$R$161,,1))</f>
        <v>0</v>
      </c>
    </row>
    <row r="104" spans="1:13" s="7" customFormat="1" ht="16" customHeight="1">
      <c r="A104" s="280" t="s">
        <v>2</v>
      </c>
      <c r="B104" s="122" t="str">
        <f>IF(ISNA(VLOOKUP($F104,Declarations!B$6:C$293,2,FALSE)),"",IF(VLOOKUP($F104,Declarations!B$6:C$293,2,FALSE)="","NOT DECLARED",IF(ISNA(_xlfn.TEXTBEFORE(VLOOKUP($F104,Declarations!B$6:C$293,2,FALSE)," ")),VLOOKUP($F104,Declarations!B$6:C$293,2,FALSE),_xlfn.TEXTBEFORE(VLOOKUP($F104,Declarations!B$6:C$293,2,FALSE)," "))))</f>
        <v/>
      </c>
      <c r="C104" s="122" t="str">
        <f>IF(ISNA(VLOOKUP($F104,Declarations!B$6:C$293,2,FALSE)),"",IF(VLOOKUP($F104,Declarations!B$6:C$293,2,FALSE)="","NOT DECLARED",IF(ISNA(_xlfn.TEXTAFTER(VLOOKUP($F104,Declarations!B$6:C$293,2,FALSE)," ")),VLOOKUP($F104,Declarations!B$6:C$293,2,FALSE),_xlfn.TEXTAFTER(VLOOKUP($F104,Declarations!B$6:C$293,2,FALSE)," "))))</f>
        <v/>
      </c>
      <c r="D104" s="122" t="str">
        <f>IF(ISNA(VLOOKUP($F104,Declarations!$B$6:$F$293,5,FALSE)),"",IF(VLOOKUP($F104,Declarations!$B$6:$F$293,5,FALSE)="","NOT DECLARED",VLOOKUP($F104,Declarations!$B$6:$F$293,5,FALSE)))</f>
        <v/>
      </c>
      <c r="E104" s="120" t="str">
        <f>IF(ISNA(VLOOKUP($F104,Declarations!$B$6:$D$293,3,FALSE)),"",IF(VLOOKUP($F104,Declarations!$B$6:$D$293,3,FALSE)="","NOT DECLARED",VLOOKUP($F104,Declarations!$B$6:$D$293,3,FALSE)&amp;LEFT(VLOOKUP($F104,Declarations!$B$6:$E$293,4,FALSE))))</f>
        <v/>
      </c>
      <c r="F104" s="59"/>
      <c r="G104" s="130"/>
      <c r="H104" s="130"/>
      <c r="I104" s="122" t="str">
        <f>IF(ISNA(VLOOKUP(F104,Declarations!B$6:C$293,2,FALSE)),"",IF(VLOOKUP(F104,Declarations!B$6:C$293,2,FALSE)="","NOT DECLARED",VLOOKUP(F104,Declarations!B$6:C$293,2,FALSE)))</f>
        <v/>
      </c>
      <c r="J104" s="120">
        <f>IF(LOWER(G104)="dnf",1,IF(G104&lt;ScoringTable!B$3,ScoringTable!I$2,VLOOKUP((1000-G104),ScoringTable!G$2:I$95,3)))</f>
        <v>0</v>
      </c>
      <c r="K104" s="120" t="str" cm="1">
        <f t="array" ref="K104">IF(OR(E104="",G104=""),"",_xlfn.IFS(E104="U10B",_xlfn.XLOOKUP(G104,Data!$D$2:$L$2,Data!$D$1:$L$1,"",1,1),E104="U12B",_xlfn.XLOOKUP(G104,Data!$D$8:$L$8,Data!$D$1:$L$1,"",1,1),E104="U10G",_xlfn.XLOOKUP(G104,Data!$D$15:$L$15,Data!$D$1:$L$1,"",1,1),E104="U12G",_xlfn.XLOOKUP(G104,Data!$D$21:$L$21,Data!$D$1:$L$1,"",1,1)))</f>
        <v/>
      </c>
      <c r="L104" s="184" t="str" cm="1">
        <f t="array" ref="L104">IFERROR(_xlfn.IFNA(
                      _xlfn.IFS(
                      G104="", "",
                      AND(E104="U10B",G104&lt;=Data!$M$2), "U10 Boys record",
                      AND(E104="U12B",G104&lt;=Data!$M$8), "U12 Boys record",
                      AND(E104="U10G",G104&lt;=Data!$M$15), "U10 Girls record",
                      AND(E104="U12G",G104&lt;=Data!$M$21), "U12 Girls record"
                       ),""), "")</f>
        <v/>
      </c>
      <c r="M104" s="19" cm="1">
        <f t="array" ref="M104">_xlfn.IFS($G104="",0, AND(NOT(ISNUMBER($G104)),LOWER($G104)&lt;&gt;"dnf"),"Not a valid time",OR(LOWER($G104)="dnf",$G104&gt;ScoringTable!$M$161),1,RIGHT($E104,1)="B",_xlfn.XLOOKUP($G104,ScoringTable!$M$2:$M$161,ScoringTable!$L$2:$L$161,,1),TRUE,_xlfn.XLOOKUP($G104,ScoringTable!$S$2:$S$161,ScoringTable!$R$2:$R$161,,1))</f>
        <v>0</v>
      </c>
    </row>
    <row r="105" spans="1:13" s="7" customFormat="1" ht="16" customHeight="1">
      <c r="A105" s="280" t="s">
        <v>2</v>
      </c>
      <c r="B105" s="122" t="str">
        <f>IF(ISNA(VLOOKUP($F105,Declarations!B$6:C$293,2,FALSE)),"",IF(VLOOKUP($F105,Declarations!B$6:C$293,2,FALSE)="","NOT DECLARED",IF(ISNA(_xlfn.TEXTBEFORE(VLOOKUP($F105,Declarations!B$6:C$293,2,FALSE)," ")),VLOOKUP($F105,Declarations!B$6:C$293,2,FALSE),_xlfn.TEXTBEFORE(VLOOKUP($F105,Declarations!B$6:C$293,2,FALSE)," "))))</f>
        <v/>
      </c>
      <c r="C105" s="122" t="str">
        <f>IF(ISNA(VLOOKUP($F105,Declarations!B$6:C$293,2,FALSE)),"",IF(VLOOKUP($F105,Declarations!B$6:C$293,2,FALSE)="","NOT DECLARED",IF(ISNA(_xlfn.TEXTAFTER(VLOOKUP($F105,Declarations!B$6:C$293,2,FALSE)," ")),VLOOKUP($F105,Declarations!B$6:C$293,2,FALSE),_xlfn.TEXTAFTER(VLOOKUP($F105,Declarations!B$6:C$293,2,FALSE)," "))))</f>
        <v/>
      </c>
      <c r="D105" s="122" t="str">
        <f>IF(ISNA(VLOOKUP($F105,Declarations!$B$6:$F$293,5,FALSE)),"",IF(VLOOKUP($F105,Declarations!$B$6:$F$293,5,FALSE)="","NOT DECLARED",VLOOKUP($F105,Declarations!$B$6:$F$293,5,FALSE)))</f>
        <v/>
      </c>
      <c r="E105" s="120" t="str">
        <f>IF(ISNA(VLOOKUP($F105,Declarations!$B$6:$D$293,3,FALSE)),"",IF(VLOOKUP($F105,Declarations!$B$6:$D$293,3,FALSE)="","NOT DECLARED",VLOOKUP($F105,Declarations!$B$6:$D$293,3,FALSE)&amp;LEFT(VLOOKUP($F105,Declarations!$B$6:$E$293,4,FALSE))))</f>
        <v/>
      </c>
      <c r="F105" s="59"/>
      <c r="G105" s="130"/>
      <c r="H105" s="130"/>
      <c r="I105" s="122" t="str">
        <f>IF(ISNA(VLOOKUP(F105,Declarations!B$6:C$293,2,FALSE)),"",IF(VLOOKUP(F105,Declarations!B$6:C$293,2,FALSE)="","NOT DECLARED",VLOOKUP(F105,Declarations!B$6:C$293,2,FALSE)))</f>
        <v/>
      </c>
      <c r="J105" s="120">
        <f>IF(LOWER(G105)="dnf",1,IF(G105&lt;ScoringTable!B$3,ScoringTable!I$2,VLOOKUP((1000-G105),ScoringTable!G$2:I$95,3)))</f>
        <v>0</v>
      </c>
      <c r="K105" s="120" t="str" cm="1">
        <f t="array" ref="K105">IF(OR(E105="",G105=""),"",_xlfn.IFS(E105="U10B",_xlfn.XLOOKUP(G105,Data!$D$2:$L$2,Data!$D$1:$L$1,"",1,1),E105="U12B",_xlfn.XLOOKUP(G105,Data!$D$8:$L$8,Data!$D$1:$L$1,"",1,1),E105="U10G",_xlfn.XLOOKUP(G105,Data!$D$15:$L$15,Data!$D$1:$L$1,"",1,1),E105="U12G",_xlfn.XLOOKUP(G105,Data!$D$21:$L$21,Data!$D$1:$L$1,"",1,1)))</f>
        <v/>
      </c>
      <c r="L105" s="184" t="str" cm="1">
        <f t="array" ref="L105">IFERROR(_xlfn.IFNA(
                      _xlfn.IFS(
                      G105="", "",
                      AND(E105="U10B",G105&lt;=Data!$M$2), "U10 Boys record",
                      AND(E105="U12B",G105&lt;=Data!$M$8), "U12 Boys record",
                      AND(E105="U10G",G105&lt;=Data!$M$15), "U10 Girls record",
                      AND(E105="U12G",G105&lt;=Data!$M$21), "U12 Girls record"
                       ),""), "")</f>
        <v/>
      </c>
      <c r="M105" s="19" cm="1">
        <f t="array" ref="M105">_xlfn.IFS($G105="",0, AND(NOT(ISNUMBER($G105)),LOWER($G105)&lt;&gt;"dnf"),"Not a valid time",OR(LOWER($G105)="dnf",$G105&gt;ScoringTable!$M$161),1,RIGHT($E105,1)="B",_xlfn.XLOOKUP($G105,ScoringTable!$M$2:$M$161,ScoringTable!$L$2:$L$161,,1),TRUE,_xlfn.XLOOKUP($G105,ScoringTable!$S$2:$S$161,ScoringTable!$R$2:$R$161,,1))</f>
        <v>0</v>
      </c>
    </row>
    <row r="106" spans="1:13" s="7" customFormat="1" ht="16" customHeight="1">
      <c r="A106" s="280" t="s">
        <v>2</v>
      </c>
      <c r="B106" s="122" t="str">
        <f>IF(ISNA(VLOOKUP($F106,Declarations!B$6:C$293,2,FALSE)),"",IF(VLOOKUP($F106,Declarations!B$6:C$293,2,FALSE)="","NOT DECLARED",IF(ISNA(_xlfn.TEXTBEFORE(VLOOKUP($F106,Declarations!B$6:C$293,2,FALSE)," ")),VLOOKUP($F106,Declarations!B$6:C$293,2,FALSE),_xlfn.TEXTBEFORE(VLOOKUP($F106,Declarations!B$6:C$293,2,FALSE)," "))))</f>
        <v/>
      </c>
      <c r="C106" s="122" t="str">
        <f>IF(ISNA(VLOOKUP($F106,Declarations!B$6:C$293,2,FALSE)),"",IF(VLOOKUP($F106,Declarations!B$6:C$293,2,FALSE)="","NOT DECLARED",IF(ISNA(_xlfn.TEXTAFTER(VLOOKUP($F106,Declarations!B$6:C$293,2,FALSE)," ")),VLOOKUP($F106,Declarations!B$6:C$293,2,FALSE),_xlfn.TEXTAFTER(VLOOKUP($F106,Declarations!B$6:C$293,2,FALSE)," "))))</f>
        <v/>
      </c>
      <c r="D106" s="122" t="str">
        <f>IF(ISNA(VLOOKUP($F106,Declarations!$B$6:$F$293,5,FALSE)),"",IF(VLOOKUP($F106,Declarations!$B$6:$F$293,5,FALSE)="","NOT DECLARED",VLOOKUP($F106,Declarations!$B$6:$F$293,5,FALSE)))</f>
        <v/>
      </c>
      <c r="E106" s="120" t="str">
        <f>IF(ISNA(VLOOKUP($F106,Declarations!$B$6:$D$293,3,FALSE)),"",IF(VLOOKUP($F106,Declarations!$B$6:$D$293,3,FALSE)="","NOT DECLARED",VLOOKUP($F106,Declarations!$B$6:$D$293,3,FALSE)&amp;LEFT(VLOOKUP($F106,Declarations!$B$6:$E$293,4,FALSE))))</f>
        <v/>
      </c>
      <c r="F106" s="59"/>
      <c r="G106" s="130"/>
      <c r="H106" s="130"/>
      <c r="I106" s="122" t="str">
        <f>IF(ISNA(VLOOKUP(F106,Declarations!B$6:C$293,2,FALSE)),"",IF(VLOOKUP(F106,Declarations!B$6:C$293,2,FALSE)="","NOT DECLARED",VLOOKUP(F106,Declarations!B$6:C$293,2,FALSE)))</f>
        <v/>
      </c>
      <c r="J106" s="120">
        <f>IF(LOWER(G106)="dnf",1,IF(G106&lt;ScoringTable!B$3,ScoringTable!I$2,VLOOKUP((1000-G106),ScoringTable!G$2:I$95,3)))</f>
        <v>0</v>
      </c>
      <c r="K106" s="120" t="str" cm="1">
        <f t="array" ref="K106">IF(OR(E106="",G106=""),"",_xlfn.IFS(E106="U10B",_xlfn.XLOOKUP(G106,Data!$D$2:$L$2,Data!$D$1:$L$1,"",1,1),E106="U12B",_xlfn.XLOOKUP(G106,Data!$D$8:$L$8,Data!$D$1:$L$1,"",1,1),E106="U10G",_xlfn.XLOOKUP(G106,Data!$D$15:$L$15,Data!$D$1:$L$1,"",1,1),E106="U12G",_xlfn.XLOOKUP(G106,Data!$D$21:$L$21,Data!$D$1:$L$1,"",1,1)))</f>
        <v/>
      </c>
      <c r="L106" s="184" t="str" cm="1">
        <f t="array" ref="L106">IFERROR(_xlfn.IFNA(
                      _xlfn.IFS(
                      G106="", "",
                      AND(E106="U10B",G106&lt;=Data!$M$2), "U10 Boys record",
                      AND(E106="U12B",G106&lt;=Data!$M$8), "U12 Boys record",
                      AND(E106="U10G",G106&lt;=Data!$M$15), "U10 Girls record",
                      AND(E106="U12G",G106&lt;=Data!$M$21), "U12 Girls record"
                       ),""), "")</f>
        <v/>
      </c>
      <c r="M106" s="19" cm="1">
        <f t="array" ref="M106">_xlfn.IFS($G106="",0, AND(NOT(ISNUMBER($G106)),LOWER($G106)&lt;&gt;"dnf"),"Not a valid time",OR(LOWER($G106)="dnf",$G106&gt;ScoringTable!$M$161),1,RIGHT($E106,1)="B",_xlfn.XLOOKUP($G106,ScoringTable!$M$2:$M$161,ScoringTable!$L$2:$L$161,,1),TRUE,_xlfn.XLOOKUP($G106,ScoringTable!$S$2:$S$161,ScoringTable!$R$2:$R$161,,1))</f>
        <v>0</v>
      </c>
    </row>
    <row r="107" spans="1:13" s="7" customFormat="1" ht="16" customHeight="1">
      <c r="A107" s="280" t="s">
        <v>2</v>
      </c>
      <c r="B107" s="122" t="str">
        <f>IF(ISNA(VLOOKUP($F107,Declarations!B$6:C$293,2,FALSE)),"",IF(VLOOKUP($F107,Declarations!B$6:C$293,2,FALSE)="","NOT DECLARED",IF(ISNA(_xlfn.TEXTBEFORE(VLOOKUP($F107,Declarations!B$6:C$293,2,FALSE)," ")),VLOOKUP($F107,Declarations!B$6:C$293,2,FALSE),_xlfn.TEXTBEFORE(VLOOKUP($F107,Declarations!B$6:C$293,2,FALSE)," "))))</f>
        <v/>
      </c>
      <c r="C107" s="122" t="str">
        <f>IF(ISNA(VLOOKUP($F107,Declarations!B$6:C$293,2,FALSE)),"",IF(VLOOKUP($F107,Declarations!B$6:C$293,2,FALSE)="","NOT DECLARED",IF(ISNA(_xlfn.TEXTAFTER(VLOOKUP($F107,Declarations!B$6:C$293,2,FALSE)," ")),VLOOKUP($F107,Declarations!B$6:C$293,2,FALSE),_xlfn.TEXTAFTER(VLOOKUP($F107,Declarations!B$6:C$293,2,FALSE)," "))))</f>
        <v/>
      </c>
      <c r="D107" s="122" t="str">
        <f>IF(ISNA(VLOOKUP($F107,Declarations!$B$6:$F$293,5,FALSE)),"",IF(VLOOKUP($F107,Declarations!$B$6:$F$293,5,FALSE)="","NOT DECLARED",VLOOKUP($F107,Declarations!$B$6:$F$293,5,FALSE)))</f>
        <v/>
      </c>
      <c r="E107" s="120" t="str">
        <f>IF(ISNA(VLOOKUP($F107,Declarations!$B$6:$D$293,3,FALSE)),"",IF(VLOOKUP($F107,Declarations!$B$6:$D$293,3,FALSE)="","NOT DECLARED",VLOOKUP($F107,Declarations!$B$6:$D$293,3,FALSE)&amp;LEFT(VLOOKUP($F107,Declarations!$B$6:$E$293,4,FALSE))))</f>
        <v/>
      </c>
      <c r="F107" s="59"/>
      <c r="G107" s="130"/>
      <c r="H107" s="130"/>
      <c r="I107" s="122" t="str">
        <f>IF(ISNA(VLOOKUP(F107,Declarations!B$6:C$293,2,FALSE)),"",IF(VLOOKUP(F107,Declarations!B$6:C$293,2,FALSE)="","NOT DECLARED",VLOOKUP(F107,Declarations!B$6:C$293,2,FALSE)))</f>
        <v/>
      </c>
      <c r="J107" s="120">
        <f>IF(LOWER(G107)="dnf",1,IF(G107&lt;ScoringTable!B$3,ScoringTable!I$2,VLOOKUP((1000-G107),ScoringTable!G$2:I$95,3)))</f>
        <v>0</v>
      </c>
      <c r="K107" s="120" t="str" cm="1">
        <f t="array" ref="K107">IF(OR(E107="",G107=""),"",_xlfn.IFS(E107="U10B",_xlfn.XLOOKUP(G107,Data!$D$2:$L$2,Data!$D$1:$L$1,"",1,1),E107="U12B",_xlfn.XLOOKUP(G107,Data!$D$8:$L$8,Data!$D$1:$L$1,"",1,1),E107="U10G",_xlfn.XLOOKUP(G107,Data!$D$15:$L$15,Data!$D$1:$L$1,"",1,1),E107="U12G",_xlfn.XLOOKUP(G107,Data!$D$21:$L$21,Data!$D$1:$L$1,"",1,1)))</f>
        <v/>
      </c>
      <c r="L107" s="184" t="str" cm="1">
        <f t="array" ref="L107">IFERROR(_xlfn.IFNA(
                      _xlfn.IFS(
                      G107="", "",
                      AND(E107="U10B",G107&lt;=Data!$M$2), "U10 Boys record",
                      AND(E107="U12B",G107&lt;=Data!$M$8), "U12 Boys record",
                      AND(E107="U10G",G107&lt;=Data!$M$15), "U10 Girls record",
                      AND(E107="U12G",G107&lt;=Data!$M$21), "U12 Girls record"
                       ),""), "")</f>
        <v/>
      </c>
      <c r="M107" s="19" cm="1">
        <f t="array" ref="M107">_xlfn.IFS($G107="",0, AND(NOT(ISNUMBER($G107)),LOWER($G107)&lt;&gt;"dnf"),"Not a valid time",OR(LOWER($G107)="dnf",$G107&gt;ScoringTable!$M$161),1,RIGHT($E107,1)="B",_xlfn.XLOOKUP($G107,ScoringTable!$M$2:$M$161,ScoringTable!$L$2:$L$161,,1),TRUE,_xlfn.XLOOKUP($G107,ScoringTable!$S$2:$S$161,ScoringTable!$R$2:$R$161,,1))</f>
        <v>0</v>
      </c>
    </row>
    <row r="108" spans="1:13" s="7" customFormat="1" ht="16" customHeight="1">
      <c r="A108" s="280" t="s">
        <v>2</v>
      </c>
      <c r="B108" s="122" t="str">
        <f>IF(ISNA(VLOOKUP($F108,Declarations!B$6:C$293,2,FALSE)),"",IF(VLOOKUP($F108,Declarations!B$6:C$293,2,FALSE)="","NOT DECLARED",IF(ISNA(_xlfn.TEXTBEFORE(VLOOKUP($F108,Declarations!B$6:C$293,2,FALSE)," ")),VLOOKUP($F108,Declarations!B$6:C$293,2,FALSE),_xlfn.TEXTBEFORE(VLOOKUP($F108,Declarations!B$6:C$293,2,FALSE)," "))))</f>
        <v/>
      </c>
      <c r="C108" s="122" t="str">
        <f>IF(ISNA(VLOOKUP($F108,Declarations!B$6:C$293,2,FALSE)),"",IF(VLOOKUP($F108,Declarations!B$6:C$293,2,FALSE)="","NOT DECLARED",IF(ISNA(_xlfn.TEXTAFTER(VLOOKUP($F108,Declarations!B$6:C$293,2,FALSE)," ")),VLOOKUP($F108,Declarations!B$6:C$293,2,FALSE),_xlfn.TEXTAFTER(VLOOKUP($F108,Declarations!B$6:C$293,2,FALSE)," "))))</f>
        <v/>
      </c>
      <c r="D108" s="122" t="str">
        <f>IF(ISNA(VLOOKUP($F108,Declarations!$B$6:$F$293,5,FALSE)),"",IF(VLOOKUP($F108,Declarations!$B$6:$F$293,5,FALSE)="","NOT DECLARED",VLOOKUP($F108,Declarations!$B$6:$F$293,5,FALSE)))</f>
        <v/>
      </c>
      <c r="E108" s="120" t="str">
        <f>IF(ISNA(VLOOKUP($F108,Declarations!$B$6:$D$293,3,FALSE)),"",IF(VLOOKUP($F108,Declarations!$B$6:$D$293,3,FALSE)="","NOT DECLARED",VLOOKUP($F108,Declarations!$B$6:$D$293,3,FALSE)&amp;LEFT(VLOOKUP($F108,Declarations!$B$6:$E$293,4,FALSE))))</f>
        <v/>
      </c>
      <c r="F108" s="59"/>
      <c r="G108" s="130"/>
      <c r="H108" s="130"/>
      <c r="I108" s="122" t="str">
        <f>IF(ISNA(VLOOKUP(F108,Declarations!B$6:C$293,2,FALSE)),"",IF(VLOOKUP(F108,Declarations!B$6:C$293,2,FALSE)="","NOT DECLARED",VLOOKUP(F108,Declarations!B$6:C$293,2,FALSE)))</f>
        <v/>
      </c>
      <c r="J108" s="120">
        <f>IF(LOWER(G108)="dnf",1,IF(G108&lt;ScoringTable!B$3,ScoringTable!I$2,VLOOKUP((1000-G108),ScoringTable!G$2:I$95,3)))</f>
        <v>0</v>
      </c>
      <c r="K108" s="120" t="str" cm="1">
        <f t="array" ref="K108">IF(OR(E108="",G108=""),"",_xlfn.IFS(E108="U10B",_xlfn.XLOOKUP(G108,Data!$D$2:$L$2,Data!$D$1:$L$1,"",1,1),E108="U12B",_xlfn.XLOOKUP(G108,Data!$D$8:$L$8,Data!$D$1:$L$1,"",1,1),E108="U10G",_xlfn.XLOOKUP(G108,Data!$D$15:$L$15,Data!$D$1:$L$1,"",1,1),E108="U12G",_xlfn.XLOOKUP(G108,Data!$D$21:$L$21,Data!$D$1:$L$1,"",1,1)))</f>
        <v/>
      </c>
      <c r="L108" s="184" t="str" cm="1">
        <f t="array" ref="L108">IFERROR(_xlfn.IFNA(
                      _xlfn.IFS(
                      G108="", "",
                      AND(E108="U10B",G108&lt;=Data!$M$2), "U10 Boys record",
                      AND(E108="U12B",G108&lt;=Data!$M$8), "U12 Boys record",
                      AND(E108="U10G",G108&lt;=Data!$M$15), "U10 Girls record",
                      AND(E108="U12G",G108&lt;=Data!$M$21), "U12 Girls record"
                       ),""), "")</f>
        <v/>
      </c>
      <c r="M108" s="19" cm="1">
        <f t="array" ref="M108">_xlfn.IFS($G108="",0, AND(NOT(ISNUMBER($G108)),LOWER($G108)&lt;&gt;"dnf"),"Not a valid time",OR(LOWER($G108)="dnf",$G108&gt;ScoringTable!$M$161),1,RIGHT($E108,1)="B",_xlfn.XLOOKUP($G108,ScoringTable!$M$2:$M$161,ScoringTable!$L$2:$L$161,,1),TRUE,_xlfn.XLOOKUP($G108,ScoringTable!$S$2:$S$161,ScoringTable!$R$2:$R$161,,1))</f>
        <v>0</v>
      </c>
    </row>
    <row r="109" spans="1:13" s="7" customFormat="1" ht="16" customHeight="1">
      <c r="A109" s="280" t="s">
        <v>2</v>
      </c>
      <c r="B109" s="122" t="str">
        <f>IF(ISNA(VLOOKUP($F109,Declarations!B$6:C$293,2,FALSE)),"",IF(VLOOKUP($F109,Declarations!B$6:C$293,2,FALSE)="","NOT DECLARED",IF(ISNA(_xlfn.TEXTBEFORE(VLOOKUP($F109,Declarations!B$6:C$293,2,FALSE)," ")),VLOOKUP($F109,Declarations!B$6:C$293,2,FALSE),_xlfn.TEXTBEFORE(VLOOKUP($F109,Declarations!B$6:C$293,2,FALSE)," "))))</f>
        <v/>
      </c>
      <c r="C109" s="122" t="str">
        <f>IF(ISNA(VLOOKUP($F109,Declarations!B$6:C$293,2,FALSE)),"",IF(VLOOKUP($F109,Declarations!B$6:C$293,2,FALSE)="","NOT DECLARED",IF(ISNA(_xlfn.TEXTAFTER(VLOOKUP($F109,Declarations!B$6:C$293,2,FALSE)," ")),VLOOKUP($F109,Declarations!B$6:C$293,2,FALSE),_xlfn.TEXTAFTER(VLOOKUP($F109,Declarations!B$6:C$293,2,FALSE)," "))))</f>
        <v/>
      </c>
      <c r="D109" s="122" t="str">
        <f>IF(ISNA(VLOOKUP($F109,Declarations!$B$6:$F$293,5,FALSE)),"",IF(VLOOKUP($F109,Declarations!$B$6:$F$293,5,FALSE)="","NOT DECLARED",VLOOKUP($F109,Declarations!$B$6:$F$293,5,FALSE)))</f>
        <v/>
      </c>
      <c r="E109" s="120" t="str">
        <f>IF(ISNA(VLOOKUP($F109,Declarations!$B$6:$D$293,3,FALSE)),"",IF(VLOOKUP($F109,Declarations!$B$6:$D$293,3,FALSE)="","NOT DECLARED",VLOOKUP($F109,Declarations!$B$6:$D$293,3,FALSE)&amp;LEFT(VLOOKUP($F109,Declarations!$B$6:$E$293,4,FALSE))))</f>
        <v/>
      </c>
      <c r="F109" s="59"/>
      <c r="G109" s="130"/>
      <c r="H109" s="130"/>
      <c r="I109" s="122" t="str">
        <f>IF(ISNA(VLOOKUP(F109,Declarations!B$6:C$293,2,FALSE)),"",IF(VLOOKUP(F109,Declarations!B$6:C$293,2,FALSE)="","NOT DECLARED",VLOOKUP(F109,Declarations!B$6:C$293,2,FALSE)))</f>
        <v/>
      </c>
      <c r="J109" s="120">
        <f>IF(LOWER(G109)="dnf",1,IF(G109&lt;ScoringTable!B$3,ScoringTable!I$2,VLOOKUP((1000-G109),ScoringTable!G$2:I$95,3)))</f>
        <v>0</v>
      </c>
      <c r="K109" s="120" t="str" cm="1">
        <f t="array" ref="K109">IF(OR(E109="",G109=""),"",_xlfn.IFS(E109="U10B",_xlfn.XLOOKUP(G109,Data!$D$2:$L$2,Data!$D$1:$L$1,"",1,1),E109="U12B",_xlfn.XLOOKUP(G109,Data!$D$8:$L$8,Data!$D$1:$L$1,"",1,1),E109="U10G",_xlfn.XLOOKUP(G109,Data!$D$15:$L$15,Data!$D$1:$L$1,"",1,1),E109="U12G",_xlfn.XLOOKUP(G109,Data!$D$21:$L$21,Data!$D$1:$L$1,"",1,1)))</f>
        <v/>
      </c>
      <c r="L109" s="184" t="str" cm="1">
        <f t="array" ref="L109">IFERROR(_xlfn.IFNA(
                      _xlfn.IFS(
                      G109="", "",
                      AND(E109="U10B",G109&lt;=Data!$M$2), "U10 Boys record",
                      AND(E109="U12B",G109&lt;=Data!$M$8), "U12 Boys record",
                      AND(E109="U10G",G109&lt;=Data!$M$15), "U10 Girls record",
                      AND(E109="U12G",G109&lt;=Data!$M$21), "U12 Girls record"
                       ),""), "")</f>
        <v/>
      </c>
      <c r="M109" s="19" cm="1">
        <f t="array" ref="M109">_xlfn.IFS($G109="",0, AND(NOT(ISNUMBER($G109)),LOWER($G109)&lt;&gt;"dnf"),"Not a valid time",OR(LOWER($G109)="dnf",$G109&gt;ScoringTable!$M$161),1,RIGHT($E109,1)="B",_xlfn.XLOOKUP($G109,ScoringTable!$M$2:$M$161,ScoringTable!$L$2:$L$161,,1),TRUE,_xlfn.XLOOKUP($G109,ScoringTable!$S$2:$S$161,ScoringTable!$R$2:$R$161,,1))</f>
        <v>0</v>
      </c>
    </row>
    <row r="110" spans="1:13" s="7" customFormat="1" ht="16" customHeight="1">
      <c r="A110" s="280" t="s">
        <v>2</v>
      </c>
      <c r="B110" s="122" t="str">
        <f>IF(ISNA(VLOOKUP($F110,Declarations!B$6:C$293,2,FALSE)),"",IF(VLOOKUP($F110,Declarations!B$6:C$293,2,FALSE)="","NOT DECLARED",IF(ISNA(_xlfn.TEXTBEFORE(VLOOKUP($F110,Declarations!B$6:C$293,2,FALSE)," ")),VLOOKUP($F110,Declarations!B$6:C$293,2,FALSE),_xlfn.TEXTBEFORE(VLOOKUP($F110,Declarations!B$6:C$293,2,FALSE)," "))))</f>
        <v/>
      </c>
      <c r="C110" s="122" t="str">
        <f>IF(ISNA(VLOOKUP($F110,Declarations!B$6:C$293,2,FALSE)),"",IF(VLOOKUP($F110,Declarations!B$6:C$293,2,FALSE)="","NOT DECLARED",IF(ISNA(_xlfn.TEXTAFTER(VLOOKUP($F110,Declarations!B$6:C$293,2,FALSE)," ")),VLOOKUP($F110,Declarations!B$6:C$293,2,FALSE),_xlfn.TEXTAFTER(VLOOKUP($F110,Declarations!B$6:C$293,2,FALSE)," "))))</f>
        <v/>
      </c>
      <c r="D110" s="122" t="str">
        <f>IF(ISNA(VLOOKUP($F110,Declarations!$B$6:$F$293,5,FALSE)),"",IF(VLOOKUP($F110,Declarations!$B$6:$F$293,5,FALSE)="","NOT DECLARED",VLOOKUP($F110,Declarations!$B$6:$F$293,5,FALSE)))</f>
        <v/>
      </c>
      <c r="E110" s="120" t="str">
        <f>IF(ISNA(VLOOKUP($F110,Declarations!$B$6:$D$293,3,FALSE)),"",IF(VLOOKUP($F110,Declarations!$B$6:$D$293,3,FALSE)="","NOT DECLARED",VLOOKUP($F110,Declarations!$B$6:$D$293,3,FALSE)&amp;LEFT(VLOOKUP($F110,Declarations!$B$6:$E$293,4,FALSE))))</f>
        <v/>
      </c>
      <c r="F110" s="59"/>
      <c r="G110" s="130"/>
      <c r="H110" s="130"/>
      <c r="I110" s="122" t="str">
        <f>IF(ISNA(VLOOKUP(F110,Declarations!B$6:C$293,2,FALSE)),"",IF(VLOOKUP(F110,Declarations!B$6:C$293,2,FALSE)="","NOT DECLARED",VLOOKUP(F110,Declarations!B$6:C$293,2,FALSE)))</f>
        <v/>
      </c>
      <c r="J110" s="120">
        <f>IF(LOWER(G110)="dnf",1,IF(G110&lt;ScoringTable!B$3,ScoringTable!I$2,VLOOKUP((1000-G110),ScoringTable!G$2:I$95,3)))</f>
        <v>0</v>
      </c>
      <c r="K110" s="120" t="str" cm="1">
        <f t="array" ref="K110">IF(OR(E110="",G110=""),"",_xlfn.IFS(E110="U10B",_xlfn.XLOOKUP(G110,Data!$D$2:$L$2,Data!$D$1:$L$1,"",1,1),E110="U12B",_xlfn.XLOOKUP(G110,Data!$D$8:$L$8,Data!$D$1:$L$1,"",1,1),E110="U10G",_xlfn.XLOOKUP(G110,Data!$D$15:$L$15,Data!$D$1:$L$1,"",1,1),E110="U12G",_xlfn.XLOOKUP(G110,Data!$D$21:$L$21,Data!$D$1:$L$1,"",1,1)))</f>
        <v/>
      </c>
      <c r="L110" s="184" t="str" cm="1">
        <f t="array" ref="L110">IFERROR(_xlfn.IFNA(
                      _xlfn.IFS(
                      G110="", "",
                      AND(E110="U10B",G110&lt;=Data!$M$2), "U10 Boys record",
                      AND(E110="U12B",G110&lt;=Data!$M$8), "U12 Boys record",
                      AND(E110="U10G",G110&lt;=Data!$M$15), "U10 Girls record",
                      AND(E110="U12G",G110&lt;=Data!$M$21), "U12 Girls record"
                       ),""), "")</f>
        <v/>
      </c>
      <c r="M110" s="19" cm="1">
        <f t="array" ref="M110">_xlfn.IFS($G110="",0, AND(NOT(ISNUMBER($G110)),LOWER($G110)&lt;&gt;"dnf"),"Not a valid time",OR(LOWER($G110)="dnf",$G110&gt;ScoringTable!$M$161),1,RIGHT($E110,1)="B",_xlfn.XLOOKUP($G110,ScoringTable!$M$2:$M$161,ScoringTable!$L$2:$L$161,,1),TRUE,_xlfn.XLOOKUP($G110,ScoringTable!$S$2:$S$161,ScoringTable!$R$2:$R$161,,1))</f>
        <v>0</v>
      </c>
    </row>
    <row r="111" spans="1:13" s="7" customFormat="1" ht="16" customHeight="1">
      <c r="A111" s="280" t="s">
        <v>2</v>
      </c>
      <c r="B111" s="122" t="str">
        <f>IF(ISNA(VLOOKUP($F111,Declarations!B$6:C$293,2,FALSE)),"",IF(VLOOKUP($F111,Declarations!B$6:C$293,2,FALSE)="","NOT DECLARED",IF(ISNA(_xlfn.TEXTBEFORE(VLOOKUP($F111,Declarations!B$6:C$293,2,FALSE)," ")),VLOOKUP($F111,Declarations!B$6:C$293,2,FALSE),_xlfn.TEXTBEFORE(VLOOKUP($F111,Declarations!B$6:C$293,2,FALSE)," "))))</f>
        <v/>
      </c>
      <c r="C111" s="122" t="str">
        <f>IF(ISNA(VLOOKUP($F111,Declarations!B$6:C$293,2,FALSE)),"",IF(VLOOKUP($F111,Declarations!B$6:C$293,2,FALSE)="","NOT DECLARED",IF(ISNA(_xlfn.TEXTAFTER(VLOOKUP($F111,Declarations!B$6:C$293,2,FALSE)," ")),VLOOKUP($F111,Declarations!B$6:C$293,2,FALSE),_xlfn.TEXTAFTER(VLOOKUP($F111,Declarations!B$6:C$293,2,FALSE)," "))))</f>
        <v/>
      </c>
      <c r="D111" s="122" t="str">
        <f>IF(ISNA(VLOOKUP($F111,Declarations!$B$6:$F$293,5,FALSE)),"",IF(VLOOKUP($F111,Declarations!$B$6:$F$293,5,FALSE)="","NOT DECLARED",VLOOKUP($F111,Declarations!$B$6:$F$293,5,FALSE)))</f>
        <v/>
      </c>
      <c r="E111" s="120" t="str">
        <f>IF(ISNA(VLOOKUP($F111,Declarations!$B$6:$D$293,3,FALSE)),"",IF(VLOOKUP($F111,Declarations!$B$6:$D$293,3,FALSE)="","NOT DECLARED",VLOOKUP($F111,Declarations!$B$6:$D$293,3,FALSE)&amp;LEFT(VLOOKUP($F111,Declarations!$B$6:$E$293,4,FALSE))))</f>
        <v/>
      </c>
      <c r="F111" s="59"/>
      <c r="G111" s="130"/>
      <c r="H111" s="130"/>
      <c r="I111" s="122" t="str">
        <f>IF(ISNA(VLOOKUP(F111,Declarations!B$6:C$293,2,FALSE)),"",IF(VLOOKUP(F111,Declarations!B$6:C$293,2,FALSE)="","NOT DECLARED",VLOOKUP(F111,Declarations!B$6:C$293,2,FALSE)))</f>
        <v/>
      </c>
      <c r="J111" s="120">
        <f>IF(LOWER(G111)="dnf",1,IF(G111&lt;ScoringTable!B$3,ScoringTable!I$2,VLOOKUP((1000-G111),ScoringTable!G$2:I$95,3)))</f>
        <v>0</v>
      </c>
      <c r="K111" s="120" t="str" cm="1">
        <f t="array" ref="K111">IF(OR(E111="",G111=""),"",_xlfn.IFS(E111="U10B",_xlfn.XLOOKUP(G111,Data!$D$2:$L$2,Data!$D$1:$L$1,"",1,1),E111="U12B",_xlfn.XLOOKUP(G111,Data!$D$8:$L$8,Data!$D$1:$L$1,"",1,1),E111="U10G",_xlfn.XLOOKUP(G111,Data!$D$15:$L$15,Data!$D$1:$L$1,"",1,1),E111="U12G",_xlfn.XLOOKUP(G111,Data!$D$21:$L$21,Data!$D$1:$L$1,"",1,1)))</f>
        <v/>
      </c>
      <c r="L111" s="184" t="str" cm="1">
        <f t="array" ref="L111">IFERROR(_xlfn.IFNA(
                      _xlfn.IFS(
                      G111="", "",
                      AND(E111="U10B",G111&lt;=Data!$M$2), "U10 Boys record",
                      AND(E111="U12B",G111&lt;=Data!$M$8), "U12 Boys record",
                      AND(E111="U10G",G111&lt;=Data!$M$15), "U10 Girls record",
                      AND(E111="U12G",G111&lt;=Data!$M$21), "U12 Girls record"
                       ),""), "")</f>
        <v/>
      </c>
      <c r="M111" s="19" cm="1">
        <f t="array" ref="M111">_xlfn.IFS($G111="",0, AND(NOT(ISNUMBER($G111)),LOWER($G111)&lt;&gt;"dnf"),"Not a valid time",OR(LOWER($G111)="dnf",$G111&gt;ScoringTable!$M$161),1,RIGHT($E111,1)="B",_xlfn.XLOOKUP($G111,ScoringTable!$M$2:$M$161,ScoringTable!$L$2:$L$161,,1),TRUE,_xlfn.XLOOKUP($G111,ScoringTable!$S$2:$S$161,ScoringTable!$R$2:$R$161,,1))</f>
        <v>0</v>
      </c>
    </row>
    <row r="112" spans="1:13" s="7" customFormat="1" ht="16" customHeight="1">
      <c r="A112" s="280" t="s">
        <v>2</v>
      </c>
      <c r="B112" s="122" t="str">
        <f>IF(ISNA(VLOOKUP($F112,Declarations!B$6:C$293,2,FALSE)),"",IF(VLOOKUP($F112,Declarations!B$6:C$293,2,FALSE)="","NOT DECLARED",IF(ISNA(_xlfn.TEXTBEFORE(VLOOKUP($F112,Declarations!B$6:C$293,2,FALSE)," ")),VLOOKUP($F112,Declarations!B$6:C$293,2,FALSE),_xlfn.TEXTBEFORE(VLOOKUP($F112,Declarations!B$6:C$293,2,FALSE)," "))))</f>
        <v/>
      </c>
      <c r="C112" s="122" t="str">
        <f>IF(ISNA(VLOOKUP($F112,Declarations!B$6:C$293,2,FALSE)),"",IF(VLOOKUP($F112,Declarations!B$6:C$293,2,FALSE)="","NOT DECLARED",IF(ISNA(_xlfn.TEXTAFTER(VLOOKUP($F112,Declarations!B$6:C$293,2,FALSE)," ")),VLOOKUP($F112,Declarations!B$6:C$293,2,FALSE),_xlfn.TEXTAFTER(VLOOKUP($F112,Declarations!B$6:C$293,2,FALSE)," "))))</f>
        <v/>
      </c>
      <c r="D112" s="122" t="str">
        <f>IF(ISNA(VLOOKUP($F112,Declarations!$B$6:$F$293,5,FALSE)),"",IF(VLOOKUP($F112,Declarations!$B$6:$F$293,5,FALSE)="","NOT DECLARED",VLOOKUP($F112,Declarations!$B$6:$F$293,5,FALSE)))</f>
        <v/>
      </c>
      <c r="E112" s="120" t="str">
        <f>IF(ISNA(VLOOKUP($F112,Declarations!$B$6:$D$293,3,FALSE)),"",IF(VLOOKUP($F112,Declarations!$B$6:$D$293,3,FALSE)="","NOT DECLARED",VLOOKUP($F112,Declarations!$B$6:$D$293,3,FALSE)&amp;LEFT(VLOOKUP($F112,Declarations!$B$6:$E$293,4,FALSE))))</f>
        <v/>
      </c>
      <c r="F112" s="59"/>
      <c r="G112" s="130"/>
      <c r="H112" s="130"/>
      <c r="I112" s="122" t="str">
        <f>IF(ISNA(VLOOKUP(F112,Declarations!B$6:C$293,2,FALSE)),"",IF(VLOOKUP(F112,Declarations!B$6:C$293,2,FALSE)="","NOT DECLARED",VLOOKUP(F112,Declarations!B$6:C$293,2,FALSE)))</f>
        <v/>
      </c>
      <c r="J112" s="120">
        <f>IF(LOWER(G112)="dnf",1,IF(G112&lt;ScoringTable!B$3,ScoringTable!I$2,VLOOKUP((1000-G112),ScoringTable!G$2:I$95,3)))</f>
        <v>0</v>
      </c>
      <c r="K112" s="120" t="str" cm="1">
        <f t="array" ref="K112">IF(OR(E112="",G112=""),"",_xlfn.IFS(E112="U10B",_xlfn.XLOOKUP(G112,Data!$D$2:$L$2,Data!$D$1:$L$1,"",1,1),E112="U12B",_xlfn.XLOOKUP(G112,Data!$D$8:$L$8,Data!$D$1:$L$1,"",1,1),E112="U10G",_xlfn.XLOOKUP(G112,Data!$D$15:$L$15,Data!$D$1:$L$1,"",1,1),E112="U12G",_xlfn.XLOOKUP(G112,Data!$D$21:$L$21,Data!$D$1:$L$1,"",1,1)))</f>
        <v/>
      </c>
      <c r="L112" s="184" t="str" cm="1">
        <f t="array" ref="L112">IFERROR(_xlfn.IFNA(
                      _xlfn.IFS(
                      G112="", "",
                      AND(E112="U10B",G112&lt;=Data!$M$2), "U10 Boys record",
                      AND(E112="U12B",G112&lt;=Data!$M$8), "U12 Boys record",
                      AND(E112="U10G",G112&lt;=Data!$M$15), "U10 Girls record",
                      AND(E112="U12G",G112&lt;=Data!$M$21), "U12 Girls record"
                       ),""), "")</f>
        <v/>
      </c>
      <c r="M112" s="19" cm="1">
        <f t="array" ref="M112">_xlfn.IFS($G112="",0, AND(NOT(ISNUMBER($G112)),LOWER($G112)&lt;&gt;"dnf"),"Not a valid time",OR(LOWER($G112)="dnf",$G112&gt;ScoringTable!$M$161),1,RIGHT($E112,1)="B",_xlfn.XLOOKUP($G112,ScoringTable!$M$2:$M$161,ScoringTable!$L$2:$L$161,,1),TRUE,_xlfn.XLOOKUP($G112,ScoringTable!$S$2:$S$161,ScoringTable!$R$2:$R$161,,1))</f>
        <v>0</v>
      </c>
    </row>
    <row r="113" spans="1:13" s="7" customFormat="1" ht="16" customHeight="1">
      <c r="A113" s="280" t="s">
        <v>2</v>
      </c>
      <c r="B113" s="122" t="str">
        <f>IF(ISNA(VLOOKUP($F113,Declarations!B$6:C$293,2,FALSE)),"",IF(VLOOKUP($F113,Declarations!B$6:C$293,2,FALSE)="","NOT DECLARED",IF(ISNA(_xlfn.TEXTBEFORE(VLOOKUP($F113,Declarations!B$6:C$293,2,FALSE)," ")),VLOOKUP($F113,Declarations!B$6:C$293,2,FALSE),_xlfn.TEXTBEFORE(VLOOKUP($F113,Declarations!B$6:C$293,2,FALSE)," "))))</f>
        <v/>
      </c>
      <c r="C113" s="122" t="str">
        <f>IF(ISNA(VLOOKUP($F113,Declarations!B$6:C$293,2,FALSE)),"",IF(VLOOKUP($F113,Declarations!B$6:C$293,2,FALSE)="","NOT DECLARED",IF(ISNA(_xlfn.TEXTAFTER(VLOOKUP($F113,Declarations!B$6:C$293,2,FALSE)," ")),VLOOKUP($F113,Declarations!B$6:C$293,2,FALSE),_xlfn.TEXTAFTER(VLOOKUP($F113,Declarations!B$6:C$293,2,FALSE)," "))))</f>
        <v/>
      </c>
      <c r="D113" s="122" t="str">
        <f>IF(ISNA(VLOOKUP($F113,Declarations!$B$6:$F$293,5,FALSE)),"",IF(VLOOKUP($F113,Declarations!$B$6:$F$293,5,FALSE)="","NOT DECLARED",VLOOKUP($F113,Declarations!$B$6:$F$293,5,FALSE)))</f>
        <v/>
      </c>
      <c r="E113" s="120" t="str">
        <f>IF(ISNA(VLOOKUP($F113,Declarations!$B$6:$D$293,3,FALSE)),"",IF(VLOOKUP($F113,Declarations!$B$6:$D$293,3,FALSE)="","NOT DECLARED",VLOOKUP($F113,Declarations!$B$6:$D$293,3,FALSE)&amp;LEFT(VLOOKUP($F113,Declarations!$B$6:$E$293,4,FALSE))))</f>
        <v/>
      </c>
      <c r="F113" s="59"/>
      <c r="G113" s="130"/>
      <c r="H113" s="130"/>
      <c r="I113" s="122" t="str">
        <f>IF(ISNA(VLOOKUP(F113,Declarations!B$6:C$293,2,FALSE)),"",IF(VLOOKUP(F113,Declarations!B$6:C$293,2,FALSE)="","NOT DECLARED",VLOOKUP(F113,Declarations!B$6:C$293,2,FALSE)))</f>
        <v/>
      </c>
      <c r="J113" s="120">
        <f>IF(LOWER(G113)="dnf",1,IF(G113&lt;ScoringTable!B$3,ScoringTable!I$2,VLOOKUP((1000-G113),ScoringTable!G$2:I$95,3)))</f>
        <v>0</v>
      </c>
      <c r="K113" s="120" t="str" cm="1">
        <f t="array" ref="K113">IF(OR(E113="",G113=""),"",_xlfn.IFS(E113="U10B",_xlfn.XLOOKUP(G113,Data!$D$2:$L$2,Data!$D$1:$L$1,"",1,1),E113="U12B",_xlfn.XLOOKUP(G113,Data!$D$8:$L$8,Data!$D$1:$L$1,"",1,1),E113="U10G",_xlfn.XLOOKUP(G113,Data!$D$15:$L$15,Data!$D$1:$L$1,"",1,1),E113="U12G",_xlfn.XLOOKUP(G113,Data!$D$21:$L$21,Data!$D$1:$L$1,"",1,1)))</f>
        <v/>
      </c>
      <c r="L113" s="184" t="str" cm="1">
        <f t="array" ref="L113">IFERROR(_xlfn.IFNA(
                      _xlfn.IFS(
                      G113="", "",
                      AND(E113="U10B",G113&lt;=Data!$M$2), "U10 Boys record",
                      AND(E113="U12B",G113&lt;=Data!$M$8), "U12 Boys record",
                      AND(E113="U10G",G113&lt;=Data!$M$15), "U10 Girls record",
                      AND(E113="U12G",G113&lt;=Data!$M$21), "U12 Girls record"
                       ),""), "")</f>
        <v/>
      </c>
      <c r="M113" s="19" cm="1">
        <f t="array" ref="M113">_xlfn.IFS($G113="",0, AND(NOT(ISNUMBER($G113)),LOWER($G113)&lt;&gt;"dnf"),"Not a valid time",OR(LOWER($G113)="dnf",$G113&gt;ScoringTable!$M$161),1,RIGHT($E113,1)="B",_xlfn.XLOOKUP($G113,ScoringTable!$M$2:$M$161,ScoringTable!$L$2:$L$161,,1),TRUE,_xlfn.XLOOKUP($G113,ScoringTable!$S$2:$S$161,ScoringTable!$R$2:$R$161,,1))</f>
        <v>0</v>
      </c>
    </row>
    <row r="114" spans="1:13" s="7" customFormat="1" ht="16" customHeight="1">
      <c r="A114" s="280" t="s">
        <v>2</v>
      </c>
      <c r="B114" s="122" t="str">
        <f>IF(ISNA(VLOOKUP($F114,Declarations!B$6:C$293,2,FALSE)),"",IF(VLOOKUP($F114,Declarations!B$6:C$293,2,FALSE)="","NOT DECLARED",IF(ISNA(_xlfn.TEXTBEFORE(VLOOKUP($F114,Declarations!B$6:C$293,2,FALSE)," ")),VLOOKUP($F114,Declarations!B$6:C$293,2,FALSE),_xlfn.TEXTBEFORE(VLOOKUP($F114,Declarations!B$6:C$293,2,FALSE)," "))))</f>
        <v/>
      </c>
      <c r="C114" s="122" t="str">
        <f>IF(ISNA(VLOOKUP($F114,Declarations!B$6:C$293,2,FALSE)),"",IF(VLOOKUP($F114,Declarations!B$6:C$293,2,FALSE)="","NOT DECLARED",IF(ISNA(_xlfn.TEXTAFTER(VLOOKUP($F114,Declarations!B$6:C$293,2,FALSE)," ")),VLOOKUP($F114,Declarations!B$6:C$293,2,FALSE),_xlfn.TEXTAFTER(VLOOKUP($F114,Declarations!B$6:C$293,2,FALSE)," "))))</f>
        <v/>
      </c>
      <c r="D114" s="122" t="str">
        <f>IF(ISNA(VLOOKUP($F114,Declarations!$B$6:$F$293,5,FALSE)),"",IF(VLOOKUP($F114,Declarations!$B$6:$F$293,5,FALSE)="","NOT DECLARED",VLOOKUP($F114,Declarations!$B$6:$F$293,5,FALSE)))</f>
        <v/>
      </c>
      <c r="E114" s="120" t="str">
        <f>IF(ISNA(VLOOKUP($F114,Declarations!$B$6:$D$293,3,FALSE)),"",IF(VLOOKUP($F114,Declarations!$B$6:$D$293,3,FALSE)="","NOT DECLARED",VLOOKUP($F114,Declarations!$B$6:$D$293,3,FALSE)&amp;LEFT(VLOOKUP($F114,Declarations!$B$6:$E$293,4,FALSE))))</f>
        <v/>
      </c>
      <c r="F114" s="59"/>
      <c r="G114" s="130"/>
      <c r="H114" s="130"/>
      <c r="I114" s="122" t="str">
        <f>IF(ISNA(VLOOKUP(F114,Declarations!B$6:C$293,2,FALSE)),"",IF(VLOOKUP(F114,Declarations!B$6:C$293,2,FALSE)="","NOT DECLARED",VLOOKUP(F114,Declarations!B$6:C$293,2,FALSE)))</f>
        <v/>
      </c>
      <c r="J114" s="120">
        <f>IF(LOWER(G114)="dnf",1,IF(G114&lt;ScoringTable!B$3,ScoringTable!I$2,VLOOKUP((1000-G114),ScoringTable!G$2:I$95,3)))</f>
        <v>0</v>
      </c>
      <c r="K114" s="120" t="str" cm="1">
        <f t="array" ref="K114">IF(OR(E114="",G114=""),"",_xlfn.IFS(E114="U10B",_xlfn.XLOOKUP(G114,Data!$D$2:$L$2,Data!$D$1:$L$1,"",1,1),E114="U12B",_xlfn.XLOOKUP(G114,Data!$D$8:$L$8,Data!$D$1:$L$1,"",1,1),E114="U10G",_xlfn.XLOOKUP(G114,Data!$D$15:$L$15,Data!$D$1:$L$1,"",1,1),E114="U12G",_xlfn.XLOOKUP(G114,Data!$D$21:$L$21,Data!$D$1:$L$1,"",1,1)))</f>
        <v/>
      </c>
      <c r="L114" s="184" t="str" cm="1">
        <f t="array" ref="L114">IFERROR(_xlfn.IFNA(
                      _xlfn.IFS(
                      G114="", "",
                      AND(E114="U10B",G114&lt;=Data!$M$2), "U10 Boys record",
                      AND(E114="U12B",G114&lt;=Data!$M$8), "U12 Boys record",
                      AND(E114="U10G",G114&lt;=Data!$M$15), "U10 Girls record",
                      AND(E114="U12G",G114&lt;=Data!$M$21), "U12 Girls record"
                       ),""), "")</f>
        <v/>
      </c>
      <c r="M114" s="19" cm="1">
        <f t="array" ref="M114">_xlfn.IFS($G114="",0, AND(NOT(ISNUMBER($G114)),LOWER($G114)&lt;&gt;"dnf"),"Not a valid time",OR(LOWER($G114)="dnf",$G114&gt;ScoringTable!$M$161),1,RIGHT($E114,1)="B",_xlfn.XLOOKUP($G114,ScoringTable!$M$2:$M$161,ScoringTable!$L$2:$L$161,,1),TRUE,_xlfn.XLOOKUP($G114,ScoringTable!$S$2:$S$161,ScoringTable!$R$2:$R$161,,1))</f>
        <v>0</v>
      </c>
    </row>
    <row r="115" spans="1:13" s="7" customFormat="1" ht="16" customHeight="1">
      <c r="A115" s="280" t="s">
        <v>2</v>
      </c>
      <c r="B115" s="122" t="str">
        <f>IF(ISNA(VLOOKUP($F115,Declarations!B$6:C$293,2,FALSE)),"",IF(VLOOKUP($F115,Declarations!B$6:C$293,2,FALSE)="","NOT DECLARED",IF(ISNA(_xlfn.TEXTBEFORE(VLOOKUP($F115,Declarations!B$6:C$293,2,FALSE)," ")),VLOOKUP($F115,Declarations!B$6:C$293,2,FALSE),_xlfn.TEXTBEFORE(VLOOKUP($F115,Declarations!B$6:C$293,2,FALSE)," "))))</f>
        <v/>
      </c>
      <c r="C115" s="122" t="str">
        <f>IF(ISNA(VLOOKUP($F115,Declarations!B$6:C$293,2,FALSE)),"",IF(VLOOKUP($F115,Declarations!B$6:C$293,2,FALSE)="","NOT DECLARED",IF(ISNA(_xlfn.TEXTAFTER(VLOOKUP($F115,Declarations!B$6:C$293,2,FALSE)," ")),VLOOKUP($F115,Declarations!B$6:C$293,2,FALSE),_xlfn.TEXTAFTER(VLOOKUP($F115,Declarations!B$6:C$293,2,FALSE)," "))))</f>
        <v/>
      </c>
      <c r="D115" s="122" t="str">
        <f>IF(ISNA(VLOOKUP($F115,Declarations!$B$6:$F$293,5,FALSE)),"",IF(VLOOKUP($F115,Declarations!$B$6:$F$293,5,FALSE)="","NOT DECLARED",VLOOKUP($F115,Declarations!$B$6:$F$293,5,FALSE)))</f>
        <v/>
      </c>
      <c r="E115" s="120" t="str">
        <f>IF(ISNA(VLOOKUP($F115,Declarations!$B$6:$D$293,3,FALSE)),"",IF(VLOOKUP($F115,Declarations!$B$6:$D$293,3,FALSE)="","NOT DECLARED",VLOOKUP($F115,Declarations!$B$6:$D$293,3,FALSE)&amp;LEFT(VLOOKUP($F115,Declarations!$B$6:$E$293,4,FALSE))))</f>
        <v/>
      </c>
      <c r="F115" s="59"/>
      <c r="G115" s="130"/>
      <c r="H115" s="130"/>
      <c r="I115" s="122" t="str">
        <f>IF(ISNA(VLOOKUP(F115,Declarations!B$6:C$293,2,FALSE)),"",IF(VLOOKUP(F115,Declarations!B$6:C$293,2,FALSE)="","NOT DECLARED",VLOOKUP(F115,Declarations!B$6:C$293,2,FALSE)))</f>
        <v/>
      </c>
      <c r="J115" s="120">
        <f>IF(LOWER(G115)="dnf",1,IF(G115&lt;ScoringTable!B$3,ScoringTable!I$2,VLOOKUP((1000-G115),ScoringTable!G$2:I$95,3)))</f>
        <v>0</v>
      </c>
      <c r="K115" s="120" t="str" cm="1">
        <f t="array" ref="K115">IF(OR(E115="",G115=""),"",_xlfn.IFS(E115="U10B",_xlfn.XLOOKUP(G115,Data!$D$2:$L$2,Data!$D$1:$L$1,"",1,1),E115="U12B",_xlfn.XLOOKUP(G115,Data!$D$8:$L$8,Data!$D$1:$L$1,"",1,1),E115="U10G",_xlfn.XLOOKUP(G115,Data!$D$15:$L$15,Data!$D$1:$L$1,"",1,1),E115="U12G",_xlfn.XLOOKUP(G115,Data!$D$21:$L$21,Data!$D$1:$L$1,"",1,1)))</f>
        <v/>
      </c>
      <c r="L115" s="184" t="str" cm="1">
        <f t="array" ref="L115">IFERROR(_xlfn.IFNA(
                      _xlfn.IFS(
                      G115="", "",
                      AND(E115="U10B",G115&lt;=Data!$M$2), "U10 Boys record",
                      AND(E115="U12B",G115&lt;=Data!$M$8), "U12 Boys record",
                      AND(E115="U10G",G115&lt;=Data!$M$15), "U10 Girls record",
                      AND(E115="U12G",G115&lt;=Data!$M$21), "U12 Girls record"
                       ),""), "")</f>
        <v/>
      </c>
      <c r="M115" s="19" cm="1">
        <f t="array" ref="M115">_xlfn.IFS($G115="",0, AND(NOT(ISNUMBER($G115)),LOWER($G115)&lt;&gt;"dnf"),"Not a valid time",OR(LOWER($G115)="dnf",$G115&gt;ScoringTable!$M$161),1,RIGHT($E115,1)="B",_xlfn.XLOOKUP($G115,ScoringTable!$M$2:$M$161,ScoringTable!$L$2:$L$161,,1),TRUE,_xlfn.XLOOKUP($G115,ScoringTable!$S$2:$S$161,ScoringTable!$R$2:$R$161,,1))</f>
        <v>0</v>
      </c>
    </row>
    <row r="116" spans="1:13" s="7" customFormat="1" ht="16" customHeight="1">
      <c r="A116" s="280" t="s">
        <v>2</v>
      </c>
      <c r="B116" s="122" t="str">
        <f>IF(ISNA(VLOOKUP($F116,Declarations!B$6:C$293,2,FALSE)),"",IF(VLOOKUP($F116,Declarations!B$6:C$293,2,FALSE)="","NOT DECLARED",IF(ISNA(_xlfn.TEXTBEFORE(VLOOKUP($F116,Declarations!B$6:C$293,2,FALSE)," ")),VLOOKUP($F116,Declarations!B$6:C$293,2,FALSE),_xlfn.TEXTBEFORE(VLOOKUP($F116,Declarations!B$6:C$293,2,FALSE)," "))))</f>
        <v/>
      </c>
      <c r="C116" s="122" t="str">
        <f>IF(ISNA(VLOOKUP($F116,Declarations!B$6:C$293,2,FALSE)),"",IF(VLOOKUP($F116,Declarations!B$6:C$293,2,FALSE)="","NOT DECLARED",IF(ISNA(_xlfn.TEXTAFTER(VLOOKUP($F116,Declarations!B$6:C$293,2,FALSE)," ")),VLOOKUP($F116,Declarations!B$6:C$293,2,FALSE),_xlfn.TEXTAFTER(VLOOKUP($F116,Declarations!B$6:C$293,2,FALSE)," "))))</f>
        <v/>
      </c>
      <c r="D116" s="122" t="str">
        <f>IF(ISNA(VLOOKUP($F116,Declarations!$B$6:$F$293,5,FALSE)),"",IF(VLOOKUP($F116,Declarations!$B$6:$F$293,5,FALSE)="","NOT DECLARED",VLOOKUP($F116,Declarations!$B$6:$F$293,5,FALSE)))</f>
        <v/>
      </c>
      <c r="E116" s="120" t="str">
        <f>IF(ISNA(VLOOKUP($F116,Declarations!$B$6:$D$293,3,FALSE)),"",IF(VLOOKUP($F116,Declarations!$B$6:$D$293,3,FALSE)="","NOT DECLARED",VLOOKUP($F116,Declarations!$B$6:$D$293,3,FALSE)&amp;LEFT(VLOOKUP($F116,Declarations!$B$6:$E$293,4,FALSE))))</f>
        <v/>
      </c>
      <c r="F116" s="59"/>
      <c r="G116" s="130"/>
      <c r="H116" s="130"/>
      <c r="I116" s="122" t="str">
        <f>IF(ISNA(VLOOKUP(F116,Declarations!B$6:C$293,2,FALSE)),"",IF(VLOOKUP(F116,Declarations!B$6:C$293,2,FALSE)="","NOT DECLARED",VLOOKUP(F116,Declarations!B$6:C$293,2,FALSE)))</f>
        <v/>
      </c>
      <c r="J116" s="120">
        <f>IF(LOWER(G116)="dnf",1,IF(G116&lt;ScoringTable!B$3,ScoringTable!I$2,VLOOKUP((1000-G116),ScoringTable!G$2:I$95,3)))</f>
        <v>0</v>
      </c>
      <c r="K116" s="120" t="str" cm="1">
        <f t="array" ref="K116">IF(OR(E116="",G116=""),"",_xlfn.IFS(E116="U10B",_xlfn.XLOOKUP(G116,Data!$D$2:$L$2,Data!$D$1:$L$1,"",1,1),E116="U12B",_xlfn.XLOOKUP(G116,Data!$D$8:$L$8,Data!$D$1:$L$1,"",1,1),E116="U10G",_xlfn.XLOOKUP(G116,Data!$D$15:$L$15,Data!$D$1:$L$1,"",1,1),E116="U12G",_xlfn.XLOOKUP(G116,Data!$D$21:$L$21,Data!$D$1:$L$1,"",1,1)))</f>
        <v/>
      </c>
      <c r="L116" s="184" t="str" cm="1">
        <f t="array" ref="L116">IFERROR(_xlfn.IFNA(
                      _xlfn.IFS(
                      G116="", "",
                      AND(E116="U10B",G116&lt;=Data!$M$2), "U10 Boys record",
                      AND(E116="U12B",G116&lt;=Data!$M$8), "U12 Boys record",
                      AND(E116="U10G",G116&lt;=Data!$M$15), "U10 Girls record",
                      AND(E116="U12G",G116&lt;=Data!$M$21), "U12 Girls record"
                       ),""), "")</f>
        <v/>
      </c>
      <c r="M116" s="19" cm="1">
        <f t="array" ref="M116">_xlfn.IFS($G116="",0, AND(NOT(ISNUMBER($G116)),LOWER($G116)&lt;&gt;"dnf"),"Not a valid time",OR(LOWER($G116)="dnf",$G116&gt;ScoringTable!$M$161),1,RIGHT($E116,1)="B",_xlfn.XLOOKUP($G116,ScoringTable!$M$2:$M$161,ScoringTable!$L$2:$L$161,,1),TRUE,_xlfn.XLOOKUP($G116,ScoringTable!$S$2:$S$161,ScoringTable!$R$2:$R$161,,1))</f>
        <v>0</v>
      </c>
    </row>
    <row r="117" spans="1:13" s="7" customFormat="1" ht="16" customHeight="1">
      <c r="A117" s="280" t="s">
        <v>2</v>
      </c>
      <c r="B117" s="122" t="str">
        <f>IF(ISNA(VLOOKUP($F117,Declarations!B$6:C$293,2,FALSE)),"",IF(VLOOKUP($F117,Declarations!B$6:C$293,2,FALSE)="","NOT DECLARED",IF(ISNA(_xlfn.TEXTBEFORE(VLOOKUP($F117,Declarations!B$6:C$293,2,FALSE)," ")),VLOOKUP($F117,Declarations!B$6:C$293,2,FALSE),_xlfn.TEXTBEFORE(VLOOKUP($F117,Declarations!B$6:C$293,2,FALSE)," "))))</f>
        <v/>
      </c>
      <c r="C117" s="122" t="str">
        <f>IF(ISNA(VLOOKUP($F117,Declarations!B$6:C$293,2,FALSE)),"",IF(VLOOKUP($F117,Declarations!B$6:C$293,2,FALSE)="","NOT DECLARED",IF(ISNA(_xlfn.TEXTAFTER(VLOOKUP($F117,Declarations!B$6:C$293,2,FALSE)," ")),VLOOKUP($F117,Declarations!B$6:C$293,2,FALSE),_xlfn.TEXTAFTER(VLOOKUP($F117,Declarations!B$6:C$293,2,FALSE)," "))))</f>
        <v/>
      </c>
      <c r="D117" s="122" t="str">
        <f>IF(ISNA(VLOOKUP($F117,Declarations!$B$6:$F$293,5,FALSE)),"",IF(VLOOKUP($F117,Declarations!$B$6:$F$293,5,FALSE)="","NOT DECLARED",VLOOKUP($F117,Declarations!$B$6:$F$293,5,FALSE)))</f>
        <v/>
      </c>
      <c r="E117" s="120" t="str">
        <f>IF(ISNA(VLOOKUP($F117,Declarations!$B$6:$D$293,3,FALSE)),"",IF(VLOOKUP($F117,Declarations!$B$6:$D$293,3,FALSE)="","NOT DECLARED",VLOOKUP($F117,Declarations!$B$6:$D$293,3,FALSE)&amp;LEFT(VLOOKUP($F117,Declarations!$B$6:$E$293,4,FALSE))))</f>
        <v/>
      </c>
      <c r="F117" s="59"/>
      <c r="G117" s="130"/>
      <c r="H117" s="130"/>
      <c r="I117" s="122" t="str">
        <f>IF(ISNA(VLOOKUP(F117,Declarations!B$6:C$293,2,FALSE)),"",IF(VLOOKUP(F117,Declarations!B$6:C$293,2,FALSE)="","NOT DECLARED",VLOOKUP(F117,Declarations!B$6:C$293,2,FALSE)))</f>
        <v/>
      </c>
      <c r="J117" s="120">
        <f>IF(LOWER(G117)="dnf",1,IF(G117&lt;ScoringTable!B$3,ScoringTable!I$2,VLOOKUP((1000-G117),ScoringTable!G$2:I$95,3)))</f>
        <v>0</v>
      </c>
      <c r="K117" s="120" t="str" cm="1">
        <f t="array" ref="K117">IF(OR(E117="",G117=""),"",_xlfn.IFS(E117="U10B",_xlfn.XLOOKUP(G117,Data!$D$2:$L$2,Data!$D$1:$L$1,"",1,1),E117="U12B",_xlfn.XLOOKUP(G117,Data!$D$8:$L$8,Data!$D$1:$L$1,"",1,1),E117="U10G",_xlfn.XLOOKUP(G117,Data!$D$15:$L$15,Data!$D$1:$L$1,"",1,1),E117="U12G",_xlfn.XLOOKUP(G117,Data!$D$21:$L$21,Data!$D$1:$L$1,"",1,1)))</f>
        <v/>
      </c>
      <c r="L117" s="184" t="str" cm="1">
        <f t="array" ref="L117">IFERROR(_xlfn.IFNA(
                      _xlfn.IFS(
                      G117="", "",
                      AND(E117="U10B",G117&lt;=Data!$M$2), "U10 Boys record",
                      AND(E117="U12B",G117&lt;=Data!$M$8), "U12 Boys record",
                      AND(E117="U10G",G117&lt;=Data!$M$15), "U10 Girls record",
                      AND(E117="U12G",G117&lt;=Data!$M$21), "U12 Girls record"
                       ),""), "")</f>
        <v/>
      </c>
      <c r="M117" s="19" cm="1">
        <f t="array" ref="M117">_xlfn.IFS($G117="",0, AND(NOT(ISNUMBER($G117)),LOWER($G117)&lt;&gt;"dnf"),"Not a valid time",OR(LOWER($G117)="dnf",$G117&gt;ScoringTable!$M$161),1,RIGHT($E117,1)="B",_xlfn.XLOOKUP($G117,ScoringTable!$M$2:$M$161,ScoringTable!$L$2:$L$161,,1),TRUE,_xlfn.XLOOKUP($G117,ScoringTable!$S$2:$S$161,ScoringTable!$R$2:$R$161,,1))</f>
        <v>0</v>
      </c>
    </row>
    <row r="118" spans="1:13" s="7" customFormat="1" ht="16" customHeight="1">
      <c r="A118" s="280" t="s">
        <v>2</v>
      </c>
      <c r="B118" s="122" t="str">
        <f>IF(ISNA(VLOOKUP($F118,Declarations!B$6:C$293,2,FALSE)),"",IF(VLOOKUP($F118,Declarations!B$6:C$293,2,FALSE)="","NOT DECLARED",IF(ISNA(_xlfn.TEXTBEFORE(VLOOKUP($F118,Declarations!B$6:C$293,2,FALSE)," ")),VLOOKUP($F118,Declarations!B$6:C$293,2,FALSE),_xlfn.TEXTBEFORE(VLOOKUP($F118,Declarations!B$6:C$293,2,FALSE)," "))))</f>
        <v/>
      </c>
      <c r="C118" s="122" t="str">
        <f>IF(ISNA(VLOOKUP($F118,Declarations!B$6:C$293,2,FALSE)),"",IF(VLOOKUP($F118,Declarations!B$6:C$293,2,FALSE)="","NOT DECLARED",IF(ISNA(_xlfn.TEXTAFTER(VLOOKUP($F118,Declarations!B$6:C$293,2,FALSE)," ")),VLOOKUP($F118,Declarations!B$6:C$293,2,FALSE),_xlfn.TEXTAFTER(VLOOKUP($F118,Declarations!B$6:C$293,2,FALSE)," "))))</f>
        <v/>
      </c>
      <c r="D118" s="122" t="str">
        <f>IF(ISNA(VLOOKUP($F118,Declarations!$B$6:$F$293,5,FALSE)),"",IF(VLOOKUP($F118,Declarations!$B$6:$F$293,5,FALSE)="","NOT DECLARED",VLOOKUP($F118,Declarations!$B$6:$F$293,5,FALSE)))</f>
        <v/>
      </c>
      <c r="E118" s="120" t="str">
        <f>IF(ISNA(VLOOKUP($F118,Declarations!$B$6:$D$293,3,FALSE)),"",IF(VLOOKUP($F118,Declarations!$B$6:$D$293,3,FALSE)="","NOT DECLARED",VLOOKUP($F118,Declarations!$B$6:$D$293,3,FALSE)&amp;LEFT(VLOOKUP($F118,Declarations!$B$6:$E$293,4,FALSE))))</f>
        <v/>
      </c>
      <c r="F118" s="59"/>
      <c r="G118" s="130"/>
      <c r="H118" s="130"/>
      <c r="I118" s="122" t="str">
        <f>IF(ISNA(VLOOKUP(F118,Declarations!B$6:C$293,2,FALSE)),"",IF(VLOOKUP(F118,Declarations!B$6:C$293,2,FALSE)="","NOT DECLARED",VLOOKUP(F118,Declarations!B$6:C$293,2,FALSE)))</f>
        <v/>
      </c>
      <c r="J118" s="120">
        <f>IF(LOWER(G118)="dnf",1,IF(G118&lt;ScoringTable!B$3,ScoringTable!I$2,VLOOKUP((1000-G118),ScoringTable!G$2:I$95,3)))</f>
        <v>0</v>
      </c>
      <c r="K118" s="120" t="str" cm="1">
        <f t="array" ref="K118">IF(OR(E118="",G118=""),"",_xlfn.IFS(E118="U10B",_xlfn.XLOOKUP(G118,Data!$D$2:$L$2,Data!$D$1:$L$1,"",1,1),E118="U12B",_xlfn.XLOOKUP(G118,Data!$D$8:$L$8,Data!$D$1:$L$1,"",1,1),E118="U10G",_xlfn.XLOOKUP(G118,Data!$D$15:$L$15,Data!$D$1:$L$1,"",1,1),E118="U12G",_xlfn.XLOOKUP(G118,Data!$D$21:$L$21,Data!$D$1:$L$1,"",1,1)))</f>
        <v/>
      </c>
      <c r="L118" s="184" t="str" cm="1">
        <f t="array" ref="L118">IFERROR(_xlfn.IFNA(
                      _xlfn.IFS(
                      G118="", "",
                      AND(E118="U10B",G118&lt;=Data!$M$2), "U10 Boys record",
                      AND(E118="U12B",G118&lt;=Data!$M$8), "U12 Boys record",
                      AND(E118="U10G",G118&lt;=Data!$M$15), "U10 Girls record",
                      AND(E118="U12G",G118&lt;=Data!$M$21), "U12 Girls record"
                       ),""), "")</f>
        <v/>
      </c>
      <c r="M118" s="19" cm="1">
        <f t="array" ref="M118">_xlfn.IFS($G118="",0, AND(NOT(ISNUMBER($G118)),LOWER($G118)&lt;&gt;"dnf"),"Not a valid time",OR(LOWER($G118)="dnf",$G118&gt;ScoringTable!$M$161),1,RIGHT($E118,1)="B",_xlfn.XLOOKUP($G118,ScoringTable!$M$2:$M$161,ScoringTable!$L$2:$L$161,,1),TRUE,_xlfn.XLOOKUP($G118,ScoringTable!$S$2:$S$161,ScoringTable!$R$2:$R$161,,1))</f>
        <v>0</v>
      </c>
    </row>
    <row r="119" spans="1:13" s="7" customFormat="1" ht="16" customHeight="1">
      <c r="A119" s="280" t="s">
        <v>2</v>
      </c>
      <c r="B119" s="122" t="str">
        <f>IF(ISNA(VLOOKUP($F119,Declarations!B$6:C$293,2,FALSE)),"",IF(VLOOKUP($F119,Declarations!B$6:C$293,2,FALSE)="","NOT DECLARED",IF(ISNA(_xlfn.TEXTBEFORE(VLOOKUP($F119,Declarations!B$6:C$293,2,FALSE)," ")),VLOOKUP($F119,Declarations!B$6:C$293,2,FALSE),_xlfn.TEXTBEFORE(VLOOKUP($F119,Declarations!B$6:C$293,2,FALSE)," "))))</f>
        <v/>
      </c>
      <c r="C119" s="122" t="str">
        <f>IF(ISNA(VLOOKUP($F119,Declarations!B$6:C$293,2,FALSE)),"",IF(VLOOKUP($F119,Declarations!B$6:C$293,2,FALSE)="","NOT DECLARED",IF(ISNA(_xlfn.TEXTAFTER(VLOOKUP($F119,Declarations!B$6:C$293,2,FALSE)," ")),VLOOKUP($F119,Declarations!B$6:C$293,2,FALSE),_xlfn.TEXTAFTER(VLOOKUP($F119,Declarations!B$6:C$293,2,FALSE)," "))))</f>
        <v/>
      </c>
      <c r="D119" s="122" t="str">
        <f>IF(ISNA(VLOOKUP($F119,Declarations!$B$6:$F$293,5,FALSE)),"",IF(VLOOKUP($F119,Declarations!$B$6:$F$293,5,FALSE)="","NOT DECLARED",VLOOKUP($F119,Declarations!$B$6:$F$293,5,FALSE)))</f>
        <v/>
      </c>
      <c r="E119" s="120" t="str">
        <f>IF(ISNA(VLOOKUP($F119,Declarations!$B$6:$D$293,3,FALSE)),"",IF(VLOOKUP($F119,Declarations!$B$6:$D$293,3,FALSE)="","NOT DECLARED",VLOOKUP($F119,Declarations!$B$6:$D$293,3,FALSE)&amp;LEFT(VLOOKUP($F119,Declarations!$B$6:$E$293,4,FALSE))))</f>
        <v/>
      </c>
      <c r="F119" s="59"/>
      <c r="G119" s="130"/>
      <c r="H119" s="130"/>
      <c r="I119" s="122" t="str">
        <f>IF(ISNA(VLOOKUP(F119,Declarations!B$6:C$293,2,FALSE)),"",IF(VLOOKUP(F119,Declarations!B$6:C$293,2,FALSE)="","NOT DECLARED",VLOOKUP(F119,Declarations!B$6:C$293,2,FALSE)))</f>
        <v/>
      </c>
      <c r="J119" s="120">
        <f>IF(LOWER(G119)="dnf",1,IF(G119&lt;ScoringTable!B$3,ScoringTable!I$2,VLOOKUP((1000-G119),ScoringTable!G$2:I$95,3)))</f>
        <v>0</v>
      </c>
      <c r="K119" s="120" t="str" cm="1">
        <f t="array" ref="K119">IF(OR(E119="",G119=""),"",_xlfn.IFS(E119="U10B",_xlfn.XLOOKUP(G119,Data!$D$2:$L$2,Data!$D$1:$L$1,"",1,1),E119="U12B",_xlfn.XLOOKUP(G119,Data!$D$8:$L$8,Data!$D$1:$L$1,"",1,1),E119="U10G",_xlfn.XLOOKUP(G119,Data!$D$15:$L$15,Data!$D$1:$L$1,"",1,1),E119="U12G",_xlfn.XLOOKUP(G119,Data!$D$21:$L$21,Data!$D$1:$L$1,"",1,1)))</f>
        <v/>
      </c>
      <c r="L119" s="184" t="str" cm="1">
        <f t="array" ref="L119">IFERROR(_xlfn.IFNA(
                      _xlfn.IFS(
                      G119="", "",
                      AND(E119="U10B",G119&lt;=Data!$M$2), "U10 Boys record",
                      AND(E119="U12B",G119&lt;=Data!$M$8), "U12 Boys record",
                      AND(E119="U10G",G119&lt;=Data!$M$15), "U10 Girls record",
                      AND(E119="U12G",G119&lt;=Data!$M$21), "U12 Girls record"
                       ),""), "")</f>
        <v/>
      </c>
      <c r="M119" s="19" cm="1">
        <f t="array" ref="M119">_xlfn.IFS($G119="",0, AND(NOT(ISNUMBER($G119)),LOWER($G119)&lt;&gt;"dnf"),"Not a valid time",OR(LOWER($G119)="dnf",$G119&gt;ScoringTable!$M$161),1,RIGHT($E119,1)="B",_xlfn.XLOOKUP($G119,ScoringTable!$M$2:$M$161,ScoringTable!$L$2:$L$161,,1),TRUE,_xlfn.XLOOKUP($G119,ScoringTable!$S$2:$S$161,ScoringTable!$R$2:$R$161,,1))</f>
        <v>0</v>
      </c>
    </row>
    <row r="120" spans="1:13" s="7" customFormat="1" ht="16" customHeight="1">
      <c r="A120" s="280" t="s">
        <v>2</v>
      </c>
      <c r="B120" s="122" t="str">
        <f>IF(ISNA(VLOOKUP($F120,Declarations!B$6:C$293,2,FALSE)),"",IF(VLOOKUP($F120,Declarations!B$6:C$293,2,FALSE)="","NOT DECLARED",IF(ISNA(_xlfn.TEXTBEFORE(VLOOKUP($F120,Declarations!B$6:C$293,2,FALSE)," ")),VLOOKUP($F120,Declarations!B$6:C$293,2,FALSE),_xlfn.TEXTBEFORE(VLOOKUP($F120,Declarations!B$6:C$293,2,FALSE)," "))))</f>
        <v/>
      </c>
      <c r="C120" s="122" t="str">
        <f>IF(ISNA(VLOOKUP($F120,Declarations!B$6:C$293,2,FALSE)),"",IF(VLOOKUP($F120,Declarations!B$6:C$293,2,FALSE)="","NOT DECLARED",IF(ISNA(_xlfn.TEXTAFTER(VLOOKUP($F120,Declarations!B$6:C$293,2,FALSE)," ")),VLOOKUP($F120,Declarations!B$6:C$293,2,FALSE),_xlfn.TEXTAFTER(VLOOKUP($F120,Declarations!B$6:C$293,2,FALSE)," "))))</f>
        <v/>
      </c>
      <c r="D120" s="122" t="str">
        <f>IF(ISNA(VLOOKUP($F120,Declarations!$B$6:$F$293,5,FALSE)),"",IF(VLOOKUP($F120,Declarations!$B$6:$F$293,5,FALSE)="","NOT DECLARED",VLOOKUP($F120,Declarations!$B$6:$F$293,5,FALSE)))</f>
        <v/>
      </c>
      <c r="E120" s="120" t="str">
        <f>IF(ISNA(VLOOKUP($F120,Declarations!$B$6:$D$293,3,FALSE)),"",IF(VLOOKUP($F120,Declarations!$B$6:$D$293,3,FALSE)="","NOT DECLARED",VLOOKUP($F120,Declarations!$B$6:$D$293,3,FALSE)&amp;LEFT(VLOOKUP($F120,Declarations!$B$6:$E$293,4,FALSE))))</f>
        <v/>
      </c>
      <c r="F120" s="59"/>
      <c r="G120" s="130"/>
      <c r="H120" s="130"/>
      <c r="I120" s="122" t="str">
        <f>IF(ISNA(VLOOKUP(F120,Declarations!B$6:C$293,2,FALSE)),"",IF(VLOOKUP(F120,Declarations!B$6:C$293,2,FALSE)="","NOT DECLARED",VLOOKUP(F120,Declarations!B$6:C$293,2,FALSE)))</f>
        <v/>
      </c>
      <c r="J120" s="120">
        <f>IF(LOWER(G120)="dnf",1,IF(G120&lt;ScoringTable!B$3,ScoringTable!I$2,VLOOKUP((1000-G120),ScoringTable!G$2:I$95,3)))</f>
        <v>0</v>
      </c>
      <c r="K120" s="120" t="str" cm="1">
        <f t="array" ref="K120">IF(OR(E120="",G120=""),"",_xlfn.IFS(E120="U10B",_xlfn.XLOOKUP(G120,Data!$D$2:$L$2,Data!$D$1:$L$1,"",1,1),E120="U12B",_xlfn.XLOOKUP(G120,Data!$D$8:$L$8,Data!$D$1:$L$1,"",1,1),E120="U10G",_xlfn.XLOOKUP(G120,Data!$D$15:$L$15,Data!$D$1:$L$1,"",1,1),E120="U12G",_xlfn.XLOOKUP(G120,Data!$D$21:$L$21,Data!$D$1:$L$1,"",1,1)))</f>
        <v/>
      </c>
      <c r="L120" s="184" t="str" cm="1">
        <f t="array" ref="L120">IFERROR(_xlfn.IFNA(
                      _xlfn.IFS(
                      G120="", "",
                      AND(E120="U10B",G120&lt;=Data!$M$2), "U10 Boys record",
                      AND(E120="U12B",G120&lt;=Data!$M$8), "U12 Boys record",
                      AND(E120="U10G",G120&lt;=Data!$M$15), "U10 Girls record",
                      AND(E120="U12G",G120&lt;=Data!$M$21), "U12 Girls record"
                       ),""), "")</f>
        <v/>
      </c>
      <c r="M120" s="19" cm="1">
        <f t="array" ref="M120">_xlfn.IFS($G120="",0, AND(NOT(ISNUMBER($G120)),LOWER($G120)&lt;&gt;"dnf"),"Not a valid time",OR(LOWER($G120)="dnf",$G120&gt;ScoringTable!$M$161),1,RIGHT($E120,1)="B",_xlfn.XLOOKUP($G120,ScoringTable!$M$2:$M$161,ScoringTable!$L$2:$L$161,,1),TRUE,_xlfn.XLOOKUP($G120,ScoringTable!$S$2:$S$161,ScoringTable!$R$2:$R$161,,1))</f>
        <v>0</v>
      </c>
    </row>
    <row r="121" spans="1:13" s="7" customFormat="1" ht="16" customHeight="1">
      <c r="A121" s="280" t="s">
        <v>2</v>
      </c>
      <c r="B121" s="122" t="str">
        <f>IF(ISNA(VLOOKUP($F121,Declarations!B$6:C$293,2,FALSE)),"",IF(VLOOKUP($F121,Declarations!B$6:C$293,2,FALSE)="","NOT DECLARED",IF(ISNA(_xlfn.TEXTBEFORE(VLOOKUP($F121,Declarations!B$6:C$293,2,FALSE)," ")),VLOOKUP($F121,Declarations!B$6:C$293,2,FALSE),_xlfn.TEXTBEFORE(VLOOKUP($F121,Declarations!B$6:C$293,2,FALSE)," "))))</f>
        <v/>
      </c>
      <c r="C121" s="122" t="str">
        <f>IF(ISNA(VLOOKUP($F121,Declarations!B$6:C$293,2,FALSE)),"",IF(VLOOKUP($F121,Declarations!B$6:C$293,2,FALSE)="","NOT DECLARED",IF(ISNA(_xlfn.TEXTAFTER(VLOOKUP($F121,Declarations!B$6:C$293,2,FALSE)," ")),VLOOKUP($F121,Declarations!B$6:C$293,2,FALSE),_xlfn.TEXTAFTER(VLOOKUP($F121,Declarations!B$6:C$293,2,FALSE)," "))))</f>
        <v/>
      </c>
      <c r="D121" s="122" t="str">
        <f>IF(ISNA(VLOOKUP($F121,Declarations!$B$6:$F$293,5,FALSE)),"",IF(VLOOKUP($F121,Declarations!$B$6:$F$293,5,FALSE)="","NOT DECLARED",VLOOKUP($F121,Declarations!$B$6:$F$293,5,FALSE)))</f>
        <v/>
      </c>
      <c r="E121" s="120" t="str">
        <f>IF(ISNA(VLOOKUP($F121,Declarations!$B$6:$D$293,3,FALSE)),"",IF(VLOOKUP($F121,Declarations!$B$6:$D$293,3,FALSE)="","NOT DECLARED",VLOOKUP($F121,Declarations!$B$6:$D$293,3,FALSE)&amp;LEFT(VLOOKUP($F121,Declarations!$B$6:$E$293,4,FALSE))))</f>
        <v/>
      </c>
      <c r="F121" s="59"/>
      <c r="G121" s="130"/>
      <c r="H121" s="130"/>
      <c r="I121" s="122" t="str">
        <f>IF(ISNA(VLOOKUP(F121,Declarations!B$6:C$293,2,FALSE)),"",IF(VLOOKUP(F121,Declarations!B$6:C$293,2,FALSE)="","NOT DECLARED",VLOOKUP(F121,Declarations!B$6:C$293,2,FALSE)))</f>
        <v/>
      </c>
      <c r="J121" s="120">
        <f>IF(LOWER(G121)="dnf",1,IF(G121&lt;ScoringTable!B$3,ScoringTable!I$2,VLOOKUP((1000-G121),ScoringTable!G$2:I$95,3)))</f>
        <v>0</v>
      </c>
      <c r="K121" s="120" t="str" cm="1">
        <f t="array" ref="K121">IF(OR(E121="",G121=""),"",_xlfn.IFS(E121="U10B",_xlfn.XLOOKUP(G121,Data!$D$2:$L$2,Data!$D$1:$L$1,"",1,1),E121="U12B",_xlfn.XLOOKUP(G121,Data!$D$8:$L$8,Data!$D$1:$L$1,"",1,1),E121="U10G",_xlfn.XLOOKUP(G121,Data!$D$15:$L$15,Data!$D$1:$L$1,"",1,1),E121="U12G",_xlfn.XLOOKUP(G121,Data!$D$21:$L$21,Data!$D$1:$L$1,"",1,1)))</f>
        <v/>
      </c>
      <c r="L121" s="184" t="str" cm="1">
        <f t="array" ref="L121">IFERROR(_xlfn.IFNA(
                      _xlfn.IFS(
                      G121="", "",
                      AND(E121="U10B",G121&lt;=Data!$M$2), "U10 Boys record",
                      AND(E121="U12B",G121&lt;=Data!$M$8), "U12 Boys record",
                      AND(E121="U10G",G121&lt;=Data!$M$15), "U10 Girls record",
                      AND(E121="U12G",G121&lt;=Data!$M$21), "U12 Girls record"
                       ),""), "")</f>
        <v/>
      </c>
      <c r="M121" s="19" cm="1">
        <f t="array" ref="M121">_xlfn.IFS($G121="",0, AND(NOT(ISNUMBER($G121)),LOWER($G121)&lt;&gt;"dnf"),"Not a valid time",OR(LOWER($G121)="dnf",$G121&gt;ScoringTable!$M$161),1,RIGHT($E121,1)="B",_xlfn.XLOOKUP($G121,ScoringTable!$M$2:$M$161,ScoringTable!$L$2:$L$161,,1),TRUE,_xlfn.XLOOKUP($G121,ScoringTable!$S$2:$S$161,ScoringTable!$R$2:$R$161,,1))</f>
        <v>0</v>
      </c>
    </row>
    <row r="122" spans="1:13" s="7" customFormat="1" ht="16" customHeight="1">
      <c r="A122" s="280" t="s">
        <v>2</v>
      </c>
      <c r="B122" s="122" t="str">
        <f>IF(ISNA(VLOOKUP($F122,Declarations!B$6:C$293,2,FALSE)),"",IF(VLOOKUP($F122,Declarations!B$6:C$293,2,FALSE)="","NOT DECLARED",IF(ISNA(_xlfn.TEXTBEFORE(VLOOKUP($F122,Declarations!B$6:C$293,2,FALSE)," ")),VLOOKUP($F122,Declarations!B$6:C$293,2,FALSE),_xlfn.TEXTBEFORE(VLOOKUP($F122,Declarations!B$6:C$293,2,FALSE)," "))))</f>
        <v/>
      </c>
      <c r="C122" s="122" t="str">
        <f>IF(ISNA(VLOOKUP($F122,Declarations!B$6:C$293,2,FALSE)),"",IF(VLOOKUP($F122,Declarations!B$6:C$293,2,FALSE)="","NOT DECLARED",IF(ISNA(_xlfn.TEXTAFTER(VLOOKUP($F122,Declarations!B$6:C$293,2,FALSE)," ")),VLOOKUP($F122,Declarations!B$6:C$293,2,FALSE),_xlfn.TEXTAFTER(VLOOKUP($F122,Declarations!B$6:C$293,2,FALSE)," "))))</f>
        <v/>
      </c>
      <c r="D122" s="122" t="str">
        <f>IF(ISNA(VLOOKUP($F122,Declarations!$B$6:$F$293,5,FALSE)),"",IF(VLOOKUP($F122,Declarations!$B$6:$F$293,5,FALSE)="","NOT DECLARED",VLOOKUP($F122,Declarations!$B$6:$F$293,5,FALSE)))</f>
        <v/>
      </c>
      <c r="E122" s="120" t="str">
        <f>IF(ISNA(VLOOKUP($F122,Declarations!$B$6:$D$293,3,FALSE)),"",IF(VLOOKUP($F122,Declarations!$B$6:$D$293,3,FALSE)="","NOT DECLARED",VLOOKUP($F122,Declarations!$B$6:$D$293,3,FALSE)&amp;LEFT(VLOOKUP($F122,Declarations!$B$6:$E$293,4,FALSE))))</f>
        <v/>
      </c>
      <c r="F122" s="59"/>
      <c r="G122" s="130"/>
      <c r="H122" s="130"/>
      <c r="I122" s="122" t="str">
        <f>IF(ISNA(VLOOKUP(F122,Declarations!B$6:C$293,2,FALSE)),"",IF(VLOOKUP(F122,Declarations!B$6:C$293,2,FALSE)="","NOT DECLARED",VLOOKUP(F122,Declarations!B$6:C$293,2,FALSE)))</f>
        <v/>
      </c>
      <c r="J122" s="120">
        <f>IF(LOWER(G122)="dnf",1,IF(G122&lt;ScoringTable!B$3,ScoringTable!I$2,VLOOKUP((1000-G122),ScoringTable!G$2:I$95,3)))</f>
        <v>0</v>
      </c>
      <c r="K122" s="120" t="str" cm="1">
        <f t="array" ref="K122">IF(OR(E122="",G122=""),"",_xlfn.IFS(E122="U10B",_xlfn.XLOOKUP(G122,Data!$D$2:$L$2,Data!$D$1:$L$1,"",1,1),E122="U12B",_xlfn.XLOOKUP(G122,Data!$D$8:$L$8,Data!$D$1:$L$1,"",1,1),E122="U10G",_xlfn.XLOOKUP(G122,Data!$D$15:$L$15,Data!$D$1:$L$1,"",1,1),E122="U12G",_xlfn.XLOOKUP(G122,Data!$D$21:$L$21,Data!$D$1:$L$1,"",1,1)))</f>
        <v/>
      </c>
      <c r="L122" s="184" t="str" cm="1">
        <f t="array" ref="L122">IFERROR(_xlfn.IFNA(
                      _xlfn.IFS(
                      G122="", "",
                      AND(E122="U10B",G122&lt;=Data!$M$2), "U10 Boys record",
                      AND(E122="U12B",G122&lt;=Data!$M$8), "U12 Boys record",
                      AND(E122="U10G",G122&lt;=Data!$M$15), "U10 Girls record",
                      AND(E122="U12G",G122&lt;=Data!$M$21), "U12 Girls record"
                       ),""), "")</f>
        <v/>
      </c>
      <c r="M122" s="19" cm="1">
        <f t="array" ref="M122">_xlfn.IFS($G122="",0, AND(NOT(ISNUMBER($G122)),LOWER($G122)&lt;&gt;"dnf"),"Not a valid time",OR(LOWER($G122)="dnf",$G122&gt;ScoringTable!$M$161),1,RIGHT($E122,1)="B",_xlfn.XLOOKUP($G122,ScoringTable!$M$2:$M$161,ScoringTable!$L$2:$L$161,,1),TRUE,_xlfn.XLOOKUP($G122,ScoringTable!$S$2:$S$161,ScoringTable!$R$2:$R$161,,1))</f>
        <v>0</v>
      </c>
    </row>
    <row r="123" spans="1:13" s="7" customFormat="1" ht="16" customHeight="1">
      <c r="A123" s="280" t="s">
        <v>2</v>
      </c>
      <c r="B123" s="122" t="str">
        <f>IF(ISNA(VLOOKUP($F123,Declarations!B$6:C$293,2,FALSE)),"",IF(VLOOKUP($F123,Declarations!B$6:C$293,2,FALSE)="","NOT DECLARED",IF(ISNA(_xlfn.TEXTBEFORE(VLOOKUP($F123,Declarations!B$6:C$293,2,FALSE)," ")),VLOOKUP($F123,Declarations!B$6:C$293,2,FALSE),_xlfn.TEXTBEFORE(VLOOKUP($F123,Declarations!B$6:C$293,2,FALSE)," "))))</f>
        <v/>
      </c>
      <c r="C123" s="122" t="str">
        <f>IF(ISNA(VLOOKUP($F123,Declarations!B$6:C$293,2,FALSE)),"",IF(VLOOKUP($F123,Declarations!B$6:C$293,2,FALSE)="","NOT DECLARED",IF(ISNA(_xlfn.TEXTAFTER(VLOOKUP($F123,Declarations!B$6:C$293,2,FALSE)," ")),VLOOKUP($F123,Declarations!B$6:C$293,2,FALSE),_xlfn.TEXTAFTER(VLOOKUP($F123,Declarations!B$6:C$293,2,FALSE)," "))))</f>
        <v/>
      </c>
      <c r="D123" s="122" t="str">
        <f>IF(ISNA(VLOOKUP($F123,Declarations!$B$6:$F$293,5,FALSE)),"",IF(VLOOKUP($F123,Declarations!$B$6:$F$293,5,FALSE)="","NOT DECLARED",VLOOKUP($F123,Declarations!$B$6:$F$293,5,FALSE)))</f>
        <v/>
      </c>
      <c r="E123" s="120" t="str">
        <f>IF(ISNA(VLOOKUP($F123,Declarations!$B$6:$D$293,3,FALSE)),"",IF(VLOOKUP($F123,Declarations!$B$6:$D$293,3,FALSE)="","NOT DECLARED",VLOOKUP($F123,Declarations!$B$6:$D$293,3,FALSE)&amp;LEFT(VLOOKUP($F123,Declarations!$B$6:$E$293,4,FALSE))))</f>
        <v/>
      </c>
      <c r="F123" s="59"/>
      <c r="G123" s="130"/>
      <c r="H123" s="130"/>
      <c r="I123" s="122" t="str">
        <f>IF(ISNA(VLOOKUP(F123,Declarations!B$6:C$293,2,FALSE)),"",IF(VLOOKUP(F123,Declarations!B$6:C$293,2,FALSE)="","NOT DECLARED",VLOOKUP(F123,Declarations!B$6:C$293,2,FALSE)))</f>
        <v/>
      </c>
      <c r="J123" s="120">
        <f>IF(LOWER(G123)="dnf",1,IF(G123&lt;ScoringTable!B$3,ScoringTable!I$2,VLOOKUP((1000-G123),ScoringTable!G$2:I$95,3)))</f>
        <v>0</v>
      </c>
      <c r="K123" s="120" t="str" cm="1">
        <f t="array" ref="K123">IF(OR(E123="",G123=""),"",_xlfn.IFS(E123="U10B",_xlfn.XLOOKUP(G123,Data!$D$2:$L$2,Data!$D$1:$L$1,"",1,1),E123="U12B",_xlfn.XLOOKUP(G123,Data!$D$8:$L$8,Data!$D$1:$L$1,"",1,1),E123="U10G",_xlfn.XLOOKUP(G123,Data!$D$15:$L$15,Data!$D$1:$L$1,"",1,1),E123="U12G",_xlfn.XLOOKUP(G123,Data!$D$21:$L$21,Data!$D$1:$L$1,"",1,1)))</f>
        <v/>
      </c>
      <c r="L123" s="184" t="str" cm="1">
        <f t="array" ref="L123">IFERROR(_xlfn.IFNA(
                      _xlfn.IFS(
                      G123="", "",
                      AND(E123="U10B",G123&lt;=Data!$M$2), "U10 Boys record",
                      AND(E123="U12B",G123&lt;=Data!$M$8), "U12 Boys record",
                      AND(E123="U10G",G123&lt;=Data!$M$15), "U10 Girls record",
                      AND(E123="U12G",G123&lt;=Data!$M$21), "U12 Girls record"
                       ),""), "")</f>
        <v/>
      </c>
      <c r="M123" s="19" cm="1">
        <f t="array" ref="M123">_xlfn.IFS($G123="",0, AND(NOT(ISNUMBER($G123)),LOWER($G123)&lt;&gt;"dnf"),"Not a valid time",OR(LOWER($G123)="dnf",$G123&gt;ScoringTable!$M$161),1,RIGHT($E123,1)="B",_xlfn.XLOOKUP($G123,ScoringTable!$M$2:$M$161,ScoringTable!$L$2:$L$161,,1),TRUE,_xlfn.XLOOKUP($G123,ScoringTable!$S$2:$S$161,ScoringTable!$R$2:$R$161,,1))</f>
        <v>0</v>
      </c>
    </row>
    <row r="124" spans="1:13" s="7" customFormat="1" ht="16" customHeight="1">
      <c r="A124" s="280" t="s">
        <v>2</v>
      </c>
      <c r="B124" s="122" t="str">
        <f>IF(ISNA(VLOOKUP($F124,Declarations!B$6:C$293,2,FALSE)),"",IF(VLOOKUP($F124,Declarations!B$6:C$293,2,FALSE)="","NOT DECLARED",IF(ISNA(_xlfn.TEXTBEFORE(VLOOKUP($F124,Declarations!B$6:C$293,2,FALSE)," ")),VLOOKUP($F124,Declarations!B$6:C$293,2,FALSE),_xlfn.TEXTBEFORE(VLOOKUP($F124,Declarations!B$6:C$293,2,FALSE)," "))))</f>
        <v/>
      </c>
      <c r="C124" s="122" t="str">
        <f>IF(ISNA(VLOOKUP($F124,Declarations!B$6:C$293,2,FALSE)),"",IF(VLOOKUP($F124,Declarations!B$6:C$293,2,FALSE)="","NOT DECLARED",IF(ISNA(_xlfn.TEXTAFTER(VLOOKUP($F124,Declarations!B$6:C$293,2,FALSE)," ")),VLOOKUP($F124,Declarations!B$6:C$293,2,FALSE),_xlfn.TEXTAFTER(VLOOKUP($F124,Declarations!B$6:C$293,2,FALSE)," "))))</f>
        <v/>
      </c>
      <c r="D124" s="122" t="str">
        <f>IF(ISNA(VLOOKUP($F124,Declarations!$B$6:$F$293,5,FALSE)),"",IF(VLOOKUP($F124,Declarations!$B$6:$F$293,5,FALSE)="","NOT DECLARED",VLOOKUP($F124,Declarations!$B$6:$F$293,5,FALSE)))</f>
        <v/>
      </c>
      <c r="E124" s="120" t="str">
        <f>IF(ISNA(VLOOKUP($F124,Declarations!$B$6:$D$293,3,FALSE)),"",IF(VLOOKUP($F124,Declarations!$B$6:$D$293,3,FALSE)="","NOT DECLARED",VLOOKUP($F124,Declarations!$B$6:$D$293,3,FALSE)&amp;LEFT(VLOOKUP($F124,Declarations!$B$6:$E$293,4,FALSE))))</f>
        <v/>
      </c>
      <c r="F124" s="59"/>
      <c r="G124" s="130"/>
      <c r="H124" s="130"/>
      <c r="I124" s="122" t="str">
        <f>IF(ISNA(VLOOKUP(F124,Declarations!B$6:C$293,2,FALSE)),"",IF(VLOOKUP(F124,Declarations!B$6:C$293,2,FALSE)="","NOT DECLARED",VLOOKUP(F124,Declarations!B$6:C$293,2,FALSE)))</f>
        <v/>
      </c>
      <c r="J124" s="120">
        <f>IF(LOWER(G124)="dnf",1,IF(G124&lt;ScoringTable!B$3,ScoringTable!I$2,VLOOKUP((1000-G124),ScoringTable!G$2:I$95,3)))</f>
        <v>0</v>
      </c>
      <c r="K124" s="120" t="str" cm="1">
        <f t="array" ref="K124">IF(OR(E124="",G124=""),"",_xlfn.IFS(E124="U10B",_xlfn.XLOOKUP(G124,Data!$D$2:$L$2,Data!$D$1:$L$1,"",1,1),E124="U12B",_xlfn.XLOOKUP(G124,Data!$D$8:$L$8,Data!$D$1:$L$1,"",1,1),E124="U10G",_xlfn.XLOOKUP(G124,Data!$D$15:$L$15,Data!$D$1:$L$1,"",1,1),E124="U12G",_xlfn.XLOOKUP(G124,Data!$D$21:$L$21,Data!$D$1:$L$1,"",1,1)))</f>
        <v/>
      </c>
      <c r="L124" s="184" t="str" cm="1">
        <f t="array" ref="L124">IFERROR(_xlfn.IFNA(
                      _xlfn.IFS(
                      G124="", "",
                      AND(E124="U10B",G124&lt;=Data!$M$2), "U10 Boys record",
                      AND(E124="U12B",G124&lt;=Data!$M$8), "U12 Boys record",
                      AND(E124="U10G",G124&lt;=Data!$M$15), "U10 Girls record",
                      AND(E124="U12G",G124&lt;=Data!$M$21), "U12 Girls record"
                       ),""), "")</f>
        <v/>
      </c>
      <c r="M124" s="19" cm="1">
        <f t="array" ref="M124">_xlfn.IFS($G124="",0, AND(NOT(ISNUMBER($G124)),LOWER($G124)&lt;&gt;"dnf"),"Not a valid time",OR(LOWER($G124)="dnf",$G124&gt;ScoringTable!$M$161),1,RIGHT($E124,1)="B",_xlfn.XLOOKUP($G124,ScoringTable!$M$2:$M$161,ScoringTable!$L$2:$L$161,,1),TRUE,_xlfn.XLOOKUP($G124,ScoringTable!$S$2:$S$161,ScoringTable!$R$2:$R$161,,1))</f>
        <v>0</v>
      </c>
    </row>
    <row r="125" spans="1:13" s="7" customFormat="1" ht="16" customHeight="1">
      <c r="A125" s="280" t="s">
        <v>2</v>
      </c>
      <c r="B125" s="122" t="str">
        <f>IF(ISNA(VLOOKUP($F125,Declarations!B$6:C$293,2,FALSE)),"",IF(VLOOKUP($F125,Declarations!B$6:C$293,2,FALSE)="","NOT DECLARED",IF(ISNA(_xlfn.TEXTBEFORE(VLOOKUP($F125,Declarations!B$6:C$293,2,FALSE)," ")),VLOOKUP($F125,Declarations!B$6:C$293,2,FALSE),_xlfn.TEXTBEFORE(VLOOKUP($F125,Declarations!B$6:C$293,2,FALSE)," "))))</f>
        <v/>
      </c>
      <c r="C125" s="122" t="str">
        <f>IF(ISNA(VLOOKUP($F125,Declarations!B$6:C$293,2,FALSE)),"",IF(VLOOKUP($F125,Declarations!B$6:C$293,2,FALSE)="","NOT DECLARED",IF(ISNA(_xlfn.TEXTAFTER(VLOOKUP($F125,Declarations!B$6:C$293,2,FALSE)," ")),VLOOKUP($F125,Declarations!B$6:C$293,2,FALSE),_xlfn.TEXTAFTER(VLOOKUP($F125,Declarations!B$6:C$293,2,FALSE)," "))))</f>
        <v/>
      </c>
      <c r="D125" s="122" t="str">
        <f>IF(ISNA(VLOOKUP($F125,Declarations!$B$6:$F$293,5,FALSE)),"",IF(VLOOKUP($F125,Declarations!$B$6:$F$293,5,FALSE)="","NOT DECLARED",VLOOKUP($F125,Declarations!$B$6:$F$293,5,FALSE)))</f>
        <v/>
      </c>
      <c r="E125" s="120" t="str">
        <f>IF(ISNA(VLOOKUP($F125,Declarations!$B$6:$D$293,3,FALSE)),"",IF(VLOOKUP($F125,Declarations!$B$6:$D$293,3,FALSE)="","NOT DECLARED",VLOOKUP($F125,Declarations!$B$6:$D$293,3,FALSE)&amp;LEFT(VLOOKUP($F125,Declarations!$B$6:$E$293,4,FALSE))))</f>
        <v/>
      </c>
      <c r="F125" s="59"/>
      <c r="G125" s="130"/>
      <c r="H125" s="130"/>
      <c r="I125" s="122" t="str">
        <f>IF(ISNA(VLOOKUP(F125,Declarations!B$6:C$293,2,FALSE)),"",IF(VLOOKUP(F125,Declarations!B$6:C$293,2,FALSE)="","NOT DECLARED",VLOOKUP(F125,Declarations!B$6:C$293,2,FALSE)))</f>
        <v/>
      </c>
      <c r="J125" s="120">
        <f>IF(LOWER(G125)="dnf",1,IF(G125&lt;ScoringTable!B$3,ScoringTable!I$2,VLOOKUP((1000-G125),ScoringTable!G$2:I$95,3)))</f>
        <v>0</v>
      </c>
      <c r="K125" s="120" t="str" cm="1">
        <f t="array" ref="K125">IF(OR(E125="",G125=""),"",_xlfn.IFS(E125="U10B",_xlfn.XLOOKUP(G125,Data!$D$2:$L$2,Data!$D$1:$L$1,"",1,1),E125="U12B",_xlfn.XLOOKUP(G125,Data!$D$8:$L$8,Data!$D$1:$L$1,"",1,1),E125="U10G",_xlfn.XLOOKUP(G125,Data!$D$15:$L$15,Data!$D$1:$L$1,"",1,1),E125="U12G",_xlfn.XLOOKUP(G125,Data!$D$21:$L$21,Data!$D$1:$L$1,"",1,1)))</f>
        <v/>
      </c>
      <c r="L125" s="184" t="str" cm="1">
        <f t="array" ref="L125">IFERROR(_xlfn.IFNA(
                      _xlfn.IFS(
                      G125="", "",
                      AND(E125="U10B",G125&lt;=Data!$M$2), "U10 Boys record",
                      AND(E125="U12B",G125&lt;=Data!$M$8), "U12 Boys record",
                      AND(E125="U10G",G125&lt;=Data!$M$15), "U10 Girls record",
                      AND(E125="U12G",G125&lt;=Data!$M$21), "U12 Girls record"
                       ),""), "")</f>
        <v/>
      </c>
      <c r="M125" s="19" cm="1">
        <f t="array" ref="M125">_xlfn.IFS($G125="",0, AND(NOT(ISNUMBER($G125)),LOWER($G125)&lt;&gt;"dnf"),"Not a valid time",OR(LOWER($G125)="dnf",$G125&gt;ScoringTable!$M$161),1,RIGHT($E125,1)="B",_xlfn.XLOOKUP($G125,ScoringTable!$M$2:$M$161,ScoringTable!$L$2:$L$161,,1),TRUE,_xlfn.XLOOKUP($G125,ScoringTable!$S$2:$S$161,ScoringTable!$R$2:$R$161,,1))</f>
        <v>0</v>
      </c>
    </row>
    <row r="126" spans="1:13" s="7" customFormat="1" ht="16" customHeight="1">
      <c r="A126" s="280" t="s">
        <v>2</v>
      </c>
      <c r="B126" s="122" t="str">
        <f>IF(ISNA(VLOOKUP($F126,Declarations!B$6:C$293,2,FALSE)),"",IF(VLOOKUP($F126,Declarations!B$6:C$293,2,FALSE)="","NOT DECLARED",IF(ISNA(_xlfn.TEXTBEFORE(VLOOKUP($F126,Declarations!B$6:C$293,2,FALSE)," ")),VLOOKUP($F126,Declarations!B$6:C$293,2,FALSE),_xlfn.TEXTBEFORE(VLOOKUP($F126,Declarations!B$6:C$293,2,FALSE)," "))))</f>
        <v/>
      </c>
      <c r="C126" s="122" t="str">
        <f>IF(ISNA(VLOOKUP($F126,Declarations!B$6:C$293,2,FALSE)),"",IF(VLOOKUP($F126,Declarations!B$6:C$293,2,FALSE)="","NOT DECLARED",IF(ISNA(_xlfn.TEXTAFTER(VLOOKUP($F126,Declarations!B$6:C$293,2,FALSE)," ")),VLOOKUP($F126,Declarations!B$6:C$293,2,FALSE),_xlfn.TEXTAFTER(VLOOKUP($F126,Declarations!B$6:C$293,2,FALSE)," "))))</f>
        <v/>
      </c>
      <c r="D126" s="122" t="str">
        <f>IF(ISNA(VLOOKUP($F126,Declarations!$B$6:$F$293,5,FALSE)),"",IF(VLOOKUP($F126,Declarations!$B$6:$F$293,5,FALSE)="","NOT DECLARED",VLOOKUP($F126,Declarations!$B$6:$F$293,5,FALSE)))</f>
        <v/>
      </c>
      <c r="E126" s="120" t="str">
        <f>IF(ISNA(VLOOKUP($F126,Declarations!$B$6:$D$293,3,FALSE)),"",IF(VLOOKUP($F126,Declarations!$B$6:$D$293,3,FALSE)="","NOT DECLARED",VLOOKUP($F126,Declarations!$B$6:$D$293,3,FALSE)&amp;LEFT(VLOOKUP($F126,Declarations!$B$6:$E$293,4,FALSE))))</f>
        <v/>
      </c>
      <c r="F126" s="59"/>
      <c r="G126" s="130"/>
      <c r="H126" s="130"/>
      <c r="I126" s="122" t="str">
        <f>IF(ISNA(VLOOKUP(F126,Declarations!B$6:C$293,2,FALSE)),"",IF(VLOOKUP(F126,Declarations!B$6:C$293,2,FALSE)="","NOT DECLARED",VLOOKUP(F126,Declarations!B$6:C$293,2,FALSE)))</f>
        <v/>
      </c>
      <c r="J126" s="120">
        <f>IF(LOWER(G126)="dnf",1,IF(G126&lt;ScoringTable!B$3,ScoringTable!I$2,VLOOKUP((1000-G126),ScoringTable!G$2:I$95,3)))</f>
        <v>0</v>
      </c>
      <c r="K126" s="120" t="str" cm="1">
        <f t="array" ref="K126">IF(OR(E126="",G126=""),"",_xlfn.IFS(E126="U10B",_xlfn.XLOOKUP(G126,Data!$D$2:$L$2,Data!$D$1:$L$1,"",1,1),E126="U12B",_xlfn.XLOOKUP(G126,Data!$D$8:$L$8,Data!$D$1:$L$1,"",1,1),E126="U10G",_xlfn.XLOOKUP(G126,Data!$D$15:$L$15,Data!$D$1:$L$1,"",1,1),E126="U12G",_xlfn.XLOOKUP(G126,Data!$D$21:$L$21,Data!$D$1:$L$1,"",1,1)))</f>
        <v/>
      </c>
      <c r="L126" s="184" t="str" cm="1">
        <f t="array" ref="L126">IFERROR(_xlfn.IFNA(
                      _xlfn.IFS(
                      G126="", "",
                      AND(E126="U10B",G126&lt;=Data!$M$2), "U10 Boys record",
                      AND(E126="U12B",G126&lt;=Data!$M$8), "U12 Boys record",
                      AND(E126="U10G",G126&lt;=Data!$M$15), "U10 Girls record",
                      AND(E126="U12G",G126&lt;=Data!$M$21), "U12 Girls record"
                       ),""), "")</f>
        <v/>
      </c>
      <c r="M126" s="19" cm="1">
        <f t="array" ref="M126">_xlfn.IFS($G126="",0, AND(NOT(ISNUMBER($G126)),LOWER($G126)&lt;&gt;"dnf"),"Not a valid time",OR(LOWER($G126)="dnf",$G126&gt;ScoringTable!$M$161),1,RIGHT($E126,1)="B",_xlfn.XLOOKUP($G126,ScoringTable!$M$2:$M$161,ScoringTable!$L$2:$L$161,,1),TRUE,_xlfn.XLOOKUP($G126,ScoringTable!$S$2:$S$161,ScoringTable!$R$2:$R$161,,1))</f>
        <v>0</v>
      </c>
    </row>
    <row r="127" spans="1:13" s="7" customFormat="1" ht="16" customHeight="1">
      <c r="A127" s="280" t="s">
        <v>2</v>
      </c>
      <c r="B127" s="122" t="str">
        <f>IF(ISNA(VLOOKUP($F127,Declarations!B$6:C$293,2,FALSE)),"",IF(VLOOKUP($F127,Declarations!B$6:C$293,2,FALSE)="","NOT DECLARED",IF(ISNA(_xlfn.TEXTBEFORE(VLOOKUP($F127,Declarations!B$6:C$293,2,FALSE)," ")),VLOOKUP($F127,Declarations!B$6:C$293,2,FALSE),_xlfn.TEXTBEFORE(VLOOKUP($F127,Declarations!B$6:C$293,2,FALSE)," "))))</f>
        <v/>
      </c>
      <c r="C127" s="122" t="str">
        <f>IF(ISNA(VLOOKUP($F127,Declarations!B$6:C$293,2,FALSE)),"",IF(VLOOKUP($F127,Declarations!B$6:C$293,2,FALSE)="","NOT DECLARED",IF(ISNA(_xlfn.TEXTAFTER(VLOOKUP($F127,Declarations!B$6:C$293,2,FALSE)," ")),VLOOKUP($F127,Declarations!B$6:C$293,2,FALSE),_xlfn.TEXTAFTER(VLOOKUP($F127,Declarations!B$6:C$293,2,FALSE)," "))))</f>
        <v/>
      </c>
      <c r="D127" s="122" t="str">
        <f>IF(ISNA(VLOOKUP($F127,Declarations!$B$6:$F$293,5,FALSE)),"",IF(VLOOKUP($F127,Declarations!$B$6:$F$293,5,FALSE)="","NOT DECLARED",VLOOKUP($F127,Declarations!$B$6:$F$293,5,FALSE)))</f>
        <v/>
      </c>
      <c r="E127" s="120" t="str">
        <f>IF(ISNA(VLOOKUP($F127,Declarations!$B$6:$D$293,3,FALSE)),"",IF(VLOOKUP($F127,Declarations!$B$6:$D$293,3,FALSE)="","NOT DECLARED",VLOOKUP($F127,Declarations!$B$6:$D$293,3,FALSE)&amp;LEFT(VLOOKUP($F127,Declarations!$B$6:$E$293,4,FALSE))))</f>
        <v/>
      </c>
      <c r="F127" s="59"/>
      <c r="G127" s="130"/>
      <c r="H127" s="130"/>
      <c r="I127" s="122" t="str">
        <f>IF(ISNA(VLOOKUP(F127,Declarations!B$6:C$293,2,FALSE)),"",IF(VLOOKUP(F127,Declarations!B$6:C$293,2,FALSE)="","NOT DECLARED",VLOOKUP(F127,Declarations!B$6:C$293,2,FALSE)))</f>
        <v/>
      </c>
      <c r="J127" s="120">
        <f>IF(LOWER(G127)="dnf",1,IF(G127&lt;ScoringTable!B$3,ScoringTable!I$2,VLOOKUP((1000-G127),ScoringTable!G$2:I$95,3)))</f>
        <v>0</v>
      </c>
      <c r="K127" s="120" t="str" cm="1">
        <f t="array" ref="K127">IF(OR(E127="",G127=""),"",_xlfn.IFS(E127="U10B",_xlfn.XLOOKUP(G127,Data!$D$2:$L$2,Data!$D$1:$L$1,"",1,1),E127="U12B",_xlfn.XLOOKUP(G127,Data!$D$8:$L$8,Data!$D$1:$L$1,"",1,1),E127="U10G",_xlfn.XLOOKUP(G127,Data!$D$15:$L$15,Data!$D$1:$L$1,"",1,1),E127="U12G",_xlfn.XLOOKUP(G127,Data!$D$21:$L$21,Data!$D$1:$L$1,"",1,1)))</f>
        <v/>
      </c>
      <c r="L127" s="184" t="str" cm="1">
        <f t="array" ref="L127">IFERROR(_xlfn.IFNA(
                      _xlfn.IFS(
                      G127="", "",
                      AND(E127="U10B",G127&lt;=Data!$M$2), "U10 Boys record",
                      AND(E127="U12B",G127&lt;=Data!$M$8), "U12 Boys record",
                      AND(E127="U10G",G127&lt;=Data!$M$15), "U10 Girls record",
                      AND(E127="U12G",G127&lt;=Data!$M$21), "U12 Girls record"
                       ),""), "")</f>
        <v/>
      </c>
      <c r="M127" s="19" cm="1">
        <f t="array" ref="M127">_xlfn.IFS($G127="",0, AND(NOT(ISNUMBER($G127)),LOWER($G127)&lt;&gt;"dnf"),"Not a valid time",OR(LOWER($G127)="dnf",$G127&gt;ScoringTable!$M$161),1,RIGHT($E127,1)="B",_xlfn.XLOOKUP($G127,ScoringTable!$M$2:$M$161,ScoringTable!$L$2:$L$161,,1),TRUE,_xlfn.XLOOKUP($G127,ScoringTable!$S$2:$S$161,ScoringTable!$R$2:$R$161,,1))</f>
        <v>0</v>
      </c>
    </row>
    <row r="128" spans="1:13" s="7" customFormat="1" ht="16" customHeight="1">
      <c r="A128" s="280" t="s">
        <v>2</v>
      </c>
      <c r="B128" s="122" t="str">
        <f>IF(ISNA(VLOOKUP($F128,Declarations!B$6:C$293,2,FALSE)),"",IF(VLOOKUP($F128,Declarations!B$6:C$293,2,FALSE)="","NOT DECLARED",IF(ISNA(_xlfn.TEXTBEFORE(VLOOKUP($F128,Declarations!B$6:C$293,2,FALSE)," ")),VLOOKUP($F128,Declarations!B$6:C$293,2,FALSE),_xlfn.TEXTBEFORE(VLOOKUP($F128,Declarations!B$6:C$293,2,FALSE)," "))))</f>
        <v/>
      </c>
      <c r="C128" s="122" t="str">
        <f>IF(ISNA(VLOOKUP($F128,Declarations!B$6:C$293,2,FALSE)),"",IF(VLOOKUP($F128,Declarations!B$6:C$293,2,FALSE)="","NOT DECLARED",IF(ISNA(_xlfn.TEXTAFTER(VLOOKUP($F128,Declarations!B$6:C$293,2,FALSE)," ")),VLOOKUP($F128,Declarations!B$6:C$293,2,FALSE),_xlfn.TEXTAFTER(VLOOKUP($F128,Declarations!B$6:C$293,2,FALSE)," "))))</f>
        <v/>
      </c>
      <c r="D128" s="122" t="str">
        <f>IF(ISNA(VLOOKUP($F128,Declarations!$B$6:$F$293,5,FALSE)),"",IF(VLOOKUP($F128,Declarations!$B$6:$F$293,5,FALSE)="","NOT DECLARED",VLOOKUP($F128,Declarations!$B$6:$F$293,5,FALSE)))</f>
        <v/>
      </c>
      <c r="E128" s="120" t="str">
        <f>IF(ISNA(VLOOKUP($F128,Declarations!$B$6:$D$293,3,FALSE)),"",IF(VLOOKUP($F128,Declarations!$B$6:$D$293,3,FALSE)="","NOT DECLARED",VLOOKUP($F128,Declarations!$B$6:$D$293,3,FALSE)&amp;LEFT(VLOOKUP($F128,Declarations!$B$6:$E$293,4,FALSE))))</f>
        <v/>
      </c>
      <c r="F128" s="59"/>
      <c r="G128" s="130"/>
      <c r="H128" s="130"/>
      <c r="I128" s="122" t="str">
        <f>IF(ISNA(VLOOKUP(F128,Declarations!B$6:C$293,2,FALSE)),"",IF(VLOOKUP(F128,Declarations!B$6:C$293,2,FALSE)="","NOT DECLARED",VLOOKUP(F128,Declarations!B$6:C$293,2,FALSE)))</f>
        <v/>
      </c>
      <c r="J128" s="120">
        <f>IF(LOWER(G128)="dnf",1,IF(G128&lt;ScoringTable!B$3,ScoringTable!I$2,VLOOKUP((1000-G128),ScoringTable!G$2:I$95,3)))</f>
        <v>0</v>
      </c>
      <c r="K128" s="120" t="str" cm="1">
        <f t="array" ref="K128">IF(OR(E128="",G128=""),"",_xlfn.IFS(E128="U10B",_xlfn.XLOOKUP(G128,Data!$D$2:$L$2,Data!$D$1:$L$1,"",1,1),E128="U12B",_xlfn.XLOOKUP(G128,Data!$D$8:$L$8,Data!$D$1:$L$1,"",1,1),E128="U10G",_xlfn.XLOOKUP(G128,Data!$D$15:$L$15,Data!$D$1:$L$1,"",1,1),E128="U12G",_xlfn.XLOOKUP(G128,Data!$D$21:$L$21,Data!$D$1:$L$1,"",1,1)))</f>
        <v/>
      </c>
      <c r="L128" s="184" t="str" cm="1">
        <f t="array" ref="L128">IFERROR(_xlfn.IFNA(
                      _xlfn.IFS(
                      G128="", "",
                      AND(E128="U10B",G128&lt;=Data!$M$2), "U10 Boys record",
                      AND(E128="U12B",G128&lt;=Data!$M$8), "U12 Boys record",
                      AND(E128="U10G",G128&lt;=Data!$M$15), "U10 Girls record",
                      AND(E128="U12G",G128&lt;=Data!$M$21), "U12 Girls record"
                       ),""), "")</f>
        <v/>
      </c>
      <c r="M128" s="19" cm="1">
        <f t="array" ref="M128">_xlfn.IFS($G128="",0, AND(NOT(ISNUMBER($G128)),LOWER($G128)&lt;&gt;"dnf"),"Not a valid time",OR(LOWER($G128)="dnf",$G128&gt;ScoringTable!$M$161),1,RIGHT($E128,1)="B",_xlfn.XLOOKUP($G128,ScoringTable!$M$2:$M$161,ScoringTable!$L$2:$L$161,,1),TRUE,_xlfn.XLOOKUP($G128,ScoringTable!$S$2:$S$161,ScoringTable!$R$2:$R$161,,1))</f>
        <v>0</v>
      </c>
    </row>
    <row r="129" spans="1:13" s="7" customFormat="1" ht="16" customHeight="1">
      <c r="A129" s="280" t="s">
        <v>2</v>
      </c>
      <c r="B129" s="122" t="str">
        <f>IF(ISNA(VLOOKUP($F129,Declarations!B$6:C$293,2,FALSE)),"",IF(VLOOKUP($F129,Declarations!B$6:C$293,2,FALSE)="","NOT DECLARED",IF(ISNA(_xlfn.TEXTBEFORE(VLOOKUP($F129,Declarations!B$6:C$293,2,FALSE)," ")),VLOOKUP($F129,Declarations!B$6:C$293,2,FALSE),_xlfn.TEXTBEFORE(VLOOKUP($F129,Declarations!B$6:C$293,2,FALSE)," "))))</f>
        <v/>
      </c>
      <c r="C129" s="122" t="str">
        <f>IF(ISNA(VLOOKUP($F129,Declarations!B$6:C$293,2,FALSE)),"",IF(VLOOKUP($F129,Declarations!B$6:C$293,2,FALSE)="","NOT DECLARED",IF(ISNA(_xlfn.TEXTAFTER(VLOOKUP($F129,Declarations!B$6:C$293,2,FALSE)," ")),VLOOKUP($F129,Declarations!B$6:C$293,2,FALSE),_xlfn.TEXTAFTER(VLOOKUP($F129,Declarations!B$6:C$293,2,FALSE)," "))))</f>
        <v/>
      </c>
      <c r="D129" s="122" t="str">
        <f>IF(ISNA(VLOOKUP($F129,Declarations!$B$6:$F$293,5,FALSE)),"",IF(VLOOKUP($F129,Declarations!$B$6:$F$293,5,FALSE)="","NOT DECLARED",VLOOKUP($F129,Declarations!$B$6:$F$293,5,FALSE)))</f>
        <v/>
      </c>
      <c r="E129" s="120" t="str">
        <f>IF(ISNA(VLOOKUP($F129,Declarations!$B$6:$D$293,3,FALSE)),"",IF(VLOOKUP($F129,Declarations!$B$6:$D$293,3,FALSE)="","NOT DECLARED",VLOOKUP($F129,Declarations!$B$6:$D$293,3,FALSE)&amp;LEFT(VLOOKUP($F129,Declarations!$B$6:$E$293,4,FALSE))))</f>
        <v/>
      </c>
      <c r="F129" s="59"/>
      <c r="G129" s="130"/>
      <c r="H129" s="130"/>
      <c r="I129" s="122" t="str">
        <f>IF(ISNA(VLOOKUP(F129,Declarations!B$6:C$293,2,FALSE)),"",IF(VLOOKUP(F129,Declarations!B$6:C$293,2,FALSE)="","NOT DECLARED",VLOOKUP(F129,Declarations!B$6:C$293,2,FALSE)))</f>
        <v/>
      </c>
      <c r="J129" s="120">
        <f>IF(LOWER(G129)="dnf",1,IF(G129&lt;ScoringTable!B$3,ScoringTable!I$2,VLOOKUP((1000-G129),ScoringTable!G$2:I$95,3)))</f>
        <v>0</v>
      </c>
      <c r="K129" s="120" t="str" cm="1">
        <f t="array" ref="K129">IF(OR(E129="",G129=""),"",_xlfn.IFS(E129="U10B",_xlfn.XLOOKUP(G129,Data!$D$2:$L$2,Data!$D$1:$L$1,"",1,1),E129="U12B",_xlfn.XLOOKUP(G129,Data!$D$8:$L$8,Data!$D$1:$L$1,"",1,1),E129="U10G",_xlfn.XLOOKUP(G129,Data!$D$15:$L$15,Data!$D$1:$L$1,"",1,1),E129="U12G",_xlfn.XLOOKUP(G129,Data!$D$21:$L$21,Data!$D$1:$L$1,"",1,1)))</f>
        <v/>
      </c>
      <c r="L129" s="184" t="str" cm="1">
        <f t="array" ref="L129">IFERROR(_xlfn.IFNA(
                      _xlfn.IFS(
                      G129="", "",
                      AND(E129="U10B",G129&lt;=Data!$M$2), "U10 Boys record",
                      AND(E129="U12B",G129&lt;=Data!$M$8), "U12 Boys record",
                      AND(E129="U10G",G129&lt;=Data!$M$15), "U10 Girls record",
                      AND(E129="U12G",G129&lt;=Data!$M$21), "U12 Girls record"
                       ),""), "")</f>
        <v/>
      </c>
      <c r="M129" s="19" cm="1">
        <f t="array" ref="M129">_xlfn.IFS($G129="",0, AND(NOT(ISNUMBER($G129)),LOWER($G129)&lt;&gt;"dnf"),"Not a valid time",OR(LOWER($G129)="dnf",$G129&gt;ScoringTable!$M$161),1,RIGHT($E129,1)="B",_xlfn.XLOOKUP($G129,ScoringTable!$M$2:$M$161,ScoringTable!$L$2:$L$161,,1),TRUE,_xlfn.XLOOKUP($G129,ScoringTable!$S$2:$S$161,ScoringTable!$R$2:$R$161,,1))</f>
        <v>0</v>
      </c>
    </row>
    <row r="130" spans="1:13" s="7" customFormat="1" ht="16" customHeight="1">
      <c r="A130" s="280" t="s">
        <v>2</v>
      </c>
      <c r="B130" s="122" t="str">
        <f>IF(ISNA(VLOOKUP($F130,Declarations!B$6:C$293,2,FALSE)),"",IF(VLOOKUP($F130,Declarations!B$6:C$293,2,FALSE)="","NOT DECLARED",IF(ISNA(_xlfn.TEXTBEFORE(VLOOKUP($F130,Declarations!B$6:C$293,2,FALSE)," ")),VLOOKUP($F130,Declarations!B$6:C$293,2,FALSE),_xlfn.TEXTBEFORE(VLOOKUP($F130,Declarations!B$6:C$293,2,FALSE)," "))))</f>
        <v/>
      </c>
      <c r="C130" s="122" t="str">
        <f>IF(ISNA(VLOOKUP($F130,Declarations!B$6:C$293,2,FALSE)),"",IF(VLOOKUP($F130,Declarations!B$6:C$293,2,FALSE)="","NOT DECLARED",IF(ISNA(_xlfn.TEXTAFTER(VLOOKUP($F130,Declarations!B$6:C$293,2,FALSE)," ")),VLOOKUP($F130,Declarations!B$6:C$293,2,FALSE),_xlfn.TEXTAFTER(VLOOKUP($F130,Declarations!B$6:C$293,2,FALSE)," "))))</f>
        <v/>
      </c>
      <c r="D130" s="122" t="str">
        <f>IF(ISNA(VLOOKUP($F130,Declarations!$B$6:$F$293,5,FALSE)),"",IF(VLOOKUP($F130,Declarations!$B$6:$F$293,5,FALSE)="","NOT DECLARED",VLOOKUP($F130,Declarations!$B$6:$F$293,5,FALSE)))</f>
        <v/>
      </c>
      <c r="E130" s="120" t="str">
        <f>IF(ISNA(VLOOKUP($F130,Declarations!$B$6:$D$293,3,FALSE)),"",IF(VLOOKUP($F130,Declarations!$B$6:$D$293,3,FALSE)="","NOT DECLARED",VLOOKUP($F130,Declarations!$B$6:$D$293,3,FALSE)&amp;LEFT(VLOOKUP($F130,Declarations!$B$6:$E$293,4,FALSE))))</f>
        <v/>
      </c>
      <c r="F130" s="59"/>
      <c r="G130" s="130"/>
      <c r="H130" s="130"/>
      <c r="I130" s="122" t="str">
        <f>IF(ISNA(VLOOKUP(F130,Declarations!B$6:C$293,2,FALSE)),"",IF(VLOOKUP(F130,Declarations!B$6:C$293,2,FALSE)="","NOT DECLARED",VLOOKUP(F130,Declarations!B$6:C$293,2,FALSE)))</f>
        <v/>
      </c>
      <c r="J130" s="120">
        <f>IF(LOWER(G130)="dnf",1,IF(G130&lt;ScoringTable!B$3,ScoringTable!I$2,VLOOKUP((1000-G130),ScoringTable!G$2:I$95,3)))</f>
        <v>0</v>
      </c>
      <c r="K130" s="120" t="str" cm="1">
        <f t="array" ref="K130">IF(OR(E130="",G130=""),"",_xlfn.IFS(E130="U10B",_xlfn.XLOOKUP(G130,Data!$D$2:$L$2,Data!$D$1:$L$1,"",1,1),E130="U12B",_xlfn.XLOOKUP(G130,Data!$D$8:$L$8,Data!$D$1:$L$1,"",1,1),E130="U10G",_xlfn.XLOOKUP(G130,Data!$D$15:$L$15,Data!$D$1:$L$1,"",1,1),E130="U12G",_xlfn.XLOOKUP(G130,Data!$D$21:$L$21,Data!$D$1:$L$1,"",1,1)))</f>
        <v/>
      </c>
      <c r="L130" s="184" t="str" cm="1">
        <f t="array" ref="L130">IFERROR(_xlfn.IFNA(
                      _xlfn.IFS(
                      G130="", "",
                      AND(E130="U10B",G130&lt;=Data!$M$2), "U10 Boys record",
                      AND(E130="U12B",G130&lt;=Data!$M$8), "U12 Boys record",
                      AND(E130="U10G",G130&lt;=Data!$M$15), "U10 Girls record",
                      AND(E130="U12G",G130&lt;=Data!$M$21), "U12 Girls record"
                       ),""), "")</f>
        <v/>
      </c>
      <c r="M130" s="19" cm="1">
        <f t="array" ref="M130">_xlfn.IFS($G130="",0, AND(NOT(ISNUMBER($G130)),LOWER($G130)&lt;&gt;"dnf"),"Not a valid time",OR(LOWER($G130)="dnf",$G130&gt;ScoringTable!$M$161),1,RIGHT($E130,1)="B",_xlfn.XLOOKUP($G130,ScoringTable!$M$2:$M$161,ScoringTable!$L$2:$L$161,,1),TRUE,_xlfn.XLOOKUP($G130,ScoringTable!$S$2:$S$161,ScoringTable!$R$2:$R$161,,1))</f>
        <v>0</v>
      </c>
    </row>
    <row r="131" spans="1:13" s="7" customFormat="1" ht="16" customHeight="1">
      <c r="A131" s="280" t="s">
        <v>2</v>
      </c>
      <c r="B131" s="122" t="str">
        <f>IF(ISNA(VLOOKUP($F131,Declarations!B$6:C$293,2,FALSE)),"",IF(VLOOKUP($F131,Declarations!B$6:C$293,2,FALSE)="","NOT DECLARED",IF(ISNA(_xlfn.TEXTBEFORE(VLOOKUP($F131,Declarations!B$6:C$293,2,FALSE)," ")),VLOOKUP($F131,Declarations!B$6:C$293,2,FALSE),_xlfn.TEXTBEFORE(VLOOKUP($F131,Declarations!B$6:C$293,2,FALSE)," "))))</f>
        <v/>
      </c>
      <c r="C131" s="122" t="str">
        <f>IF(ISNA(VLOOKUP($F131,Declarations!B$6:C$293,2,FALSE)),"",IF(VLOOKUP($F131,Declarations!B$6:C$293,2,FALSE)="","NOT DECLARED",IF(ISNA(_xlfn.TEXTAFTER(VLOOKUP($F131,Declarations!B$6:C$293,2,FALSE)," ")),VLOOKUP($F131,Declarations!B$6:C$293,2,FALSE),_xlfn.TEXTAFTER(VLOOKUP($F131,Declarations!B$6:C$293,2,FALSE)," "))))</f>
        <v/>
      </c>
      <c r="D131" s="122" t="str">
        <f>IF(ISNA(VLOOKUP($F131,Declarations!$B$6:$F$293,5,FALSE)),"",IF(VLOOKUP($F131,Declarations!$B$6:$F$293,5,FALSE)="","NOT DECLARED",VLOOKUP($F131,Declarations!$B$6:$F$293,5,FALSE)))</f>
        <v/>
      </c>
      <c r="E131" s="120" t="str">
        <f>IF(ISNA(VLOOKUP($F131,Declarations!$B$6:$D$293,3,FALSE)),"",IF(VLOOKUP($F131,Declarations!$B$6:$D$293,3,FALSE)="","NOT DECLARED",VLOOKUP($F131,Declarations!$B$6:$D$293,3,FALSE)&amp;LEFT(VLOOKUP($F131,Declarations!$B$6:$E$293,4,FALSE))))</f>
        <v/>
      </c>
      <c r="F131" s="59"/>
      <c r="G131" s="130"/>
      <c r="H131" s="130"/>
      <c r="I131" s="122" t="str">
        <f>IF(ISNA(VLOOKUP(F131,Declarations!B$6:C$293,2,FALSE)),"",IF(VLOOKUP(F131,Declarations!B$6:C$293,2,FALSE)="","NOT DECLARED",VLOOKUP(F131,Declarations!B$6:C$293,2,FALSE)))</f>
        <v/>
      </c>
      <c r="J131" s="120">
        <f>IF(LOWER(G131)="dnf",1,IF(G131&lt;ScoringTable!B$3,ScoringTable!I$2,VLOOKUP((1000-G131),ScoringTable!G$2:I$95,3)))</f>
        <v>0</v>
      </c>
      <c r="K131" s="120" t="str" cm="1">
        <f t="array" ref="K131">IF(OR(E131="",G131=""),"",_xlfn.IFS(E131="U10B",_xlfn.XLOOKUP(G131,Data!$D$2:$L$2,Data!$D$1:$L$1,"",1,1),E131="U12B",_xlfn.XLOOKUP(G131,Data!$D$8:$L$8,Data!$D$1:$L$1,"",1,1),E131="U10G",_xlfn.XLOOKUP(G131,Data!$D$15:$L$15,Data!$D$1:$L$1,"",1,1),E131="U12G",_xlfn.XLOOKUP(G131,Data!$D$21:$L$21,Data!$D$1:$L$1,"",1,1)))</f>
        <v/>
      </c>
      <c r="L131" s="184" t="str" cm="1">
        <f t="array" ref="L131">IFERROR(_xlfn.IFNA(
                      _xlfn.IFS(
                      G131="", "",
                      AND(E131="U10B",G131&lt;=Data!$M$2), "U10 Boys record",
                      AND(E131="U12B",G131&lt;=Data!$M$8), "U12 Boys record",
                      AND(E131="U10G",G131&lt;=Data!$M$15), "U10 Girls record",
                      AND(E131="U12G",G131&lt;=Data!$M$21), "U12 Girls record"
                       ),""), "")</f>
        <v/>
      </c>
      <c r="M131" s="19" cm="1">
        <f t="array" ref="M131">_xlfn.IFS($G131="",0, AND(NOT(ISNUMBER($G131)),LOWER($G131)&lt;&gt;"dnf"),"Not a valid time",OR(LOWER($G131)="dnf",$G131&gt;ScoringTable!$M$161),1,RIGHT($E131,1)="B",_xlfn.XLOOKUP($G131,ScoringTable!$M$2:$M$161,ScoringTable!$L$2:$L$161,,1),TRUE,_xlfn.XLOOKUP($G131,ScoringTable!$S$2:$S$161,ScoringTable!$R$2:$R$161,,1))</f>
        <v>0</v>
      </c>
    </row>
    <row r="132" spans="1:13" s="7" customFormat="1" ht="16" customHeight="1">
      <c r="A132" s="280" t="s">
        <v>2</v>
      </c>
      <c r="B132" s="122" t="str">
        <f>IF(ISNA(VLOOKUP($F132,Declarations!B$6:C$293,2,FALSE)),"",IF(VLOOKUP($F132,Declarations!B$6:C$293,2,FALSE)="","NOT DECLARED",IF(ISNA(_xlfn.TEXTBEFORE(VLOOKUP($F132,Declarations!B$6:C$293,2,FALSE)," ")),VLOOKUP($F132,Declarations!B$6:C$293,2,FALSE),_xlfn.TEXTBEFORE(VLOOKUP($F132,Declarations!B$6:C$293,2,FALSE)," "))))</f>
        <v/>
      </c>
      <c r="C132" s="122" t="str">
        <f>IF(ISNA(VLOOKUP($F132,Declarations!B$6:C$293,2,FALSE)),"",IF(VLOOKUP($F132,Declarations!B$6:C$293,2,FALSE)="","NOT DECLARED",IF(ISNA(_xlfn.TEXTAFTER(VLOOKUP($F132,Declarations!B$6:C$293,2,FALSE)," ")),VLOOKUP($F132,Declarations!B$6:C$293,2,FALSE),_xlfn.TEXTAFTER(VLOOKUP($F132,Declarations!B$6:C$293,2,FALSE)," "))))</f>
        <v/>
      </c>
      <c r="D132" s="122" t="str">
        <f>IF(ISNA(VLOOKUP($F132,Declarations!$B$6:$F$293,5,FALSE)),"",IF(VLOOKUP($F132,Declarations!$B$6:$F$293,5,FALSE)="","NOT DECLARED",VLOOKUP($F132,Declarations!$B$6:$F$293,5,FALSE)))</f>
        <v/>
      </c>
      <c r="E132" s="120" t="str">
        <f>IF(ISNA(VLOOKUP($F132,Declarations!$B$6:$D$293,3,FALSE)),"",IF(VLOOKUP($F132,Declarations!$B$6:$D$293,3,FALSE)="","NOT DECLARED",VLOOKUP($F132,Declarations!$B$6:$D$293,3,FALSE)&amp;LEFT(VLOOKUP($F132,Declarations!$B$6:$E$293,4,FALSE))))</f>
        <v/>
      </c>
      <c r="F132" s="59"/>
      <c r="G132" s="130"/>
      <c r="H132" s="130"/>
      <c r="I132" s="122" t="str">
        <f>IF(ISNA(VLOOKUP(F132,Declarations!B$6:C$293,2,FALSE)),"",IF(VLOOKUP(F132,Declarations!B$6:C$293,2,FALSE)="","NOT DECLARED",VLOOKUP(F132,Declarations!B$6:C$293,2,FALSE)))</f>
        <v/>
      </c>
      <c r="J132" s="120">
        <f>IF(LOWER(G132)="dnf",1,IF(G132&lt;ScoringTable!B$3,ScoringTable!I$2,VLOOKUP((1000-G132),ScoringTable!G$2:I$95,3)))</f>
        <v>0</v>
      </c>
      <c r="K132" s="120" t="str" cm="1">
        <f t="array" ref="K132">IF(OR(E132="",G132=""),"",_xlfn.IFS(E132="U10B",_xlfn.XLOOKUP(G132,Data!$D$2:$L$2,Data!$D$1:$L$1,"",1,1),E132="U12B",_xlfn.XLOOKUP(G132,Data!$D$8:$L$8,Data!$D$1:$L$1,"",1,1),E132="U10G",_xlfn.XLOOKUP(G132,Data!$D$15:$L$15,Data!$D$1:$L$1,"",1,1),E132="U12G",_xlfn.XLOOKUP(G132,Data!$D$21:$L$21,Data!$D$1:$L$1,"",1,1)))</f>
        <v/>
      </c>
      <c r="L132" s="184" t="str" cm="1">
        <f t="array" ref="L132">IFERROR(_xlfn.IFNA(
                      _xlfn.IFS(
                      G132="", "",
                      AND(E132="U10B",G132&lt;=Data!$M$2), "U10 Boys record",
                      AND(E132="U12B",G132&lt;=Data!$M$8), "U12 Boys record",
                      AND(E132="U10G",G132&lt;=Data!$M$15), "U10 Girls record",
                      AND(E132="U12G",G132&lt;=Data!$M$21), "U12 Girls record"
                       ),""), "")</f>
        <v/>
      </c>
      <c r="M132" s="19" cm="1">
        <f t="array" ref="M132">_xlfn.IFS($G132="",0, AND(NOT(ISNUMBER($G132)),LOWER($G132)&lt;&gt;"dnf"),"Not a valid time",OR(LOWER($G132)="dnf",$G132&gt;ScoringTable!$M$161),1,RIGHT($E132,1)="B",_xlfn.XLOOKUP($G132,ScoringTable!$M$2:$M$161,ScoringTable!$L$2:$L$161,,1),TRUE,_xlfn.XLOOKUP($G132,ScoringTable!$S$2:$S$161,ScoringTable!$R$2:$R$161,,1))</f>
        <v>0</v>
      </c>
    </row>
    <row r="133" spans="1:13" s="7" customFormat="1" ht="16" customHeight="1">
      <c r="A133" s="280" t="s">
        <v>2</v>
      </c>
      <c r="B133" s="122" t="str">
        <f>IF(ISNA(VLOOKUP($F133,Declarations!B$6:C$293,2,FALSE)),"",IF(VLOOKUP($F133,Declarations!B$6:C$293,2,FALSE)="","NOT DECLARED",IF(ISNA(_xlfn.TEXTBEFORE(VLOOKUP($F133,Declarations!B$6:C$293,2,FALSE)," ")),VLOOKUP($F133,Declarations!B$6:C$293,2,FALSE),_xlfn.TEXTBEFORE(VLOOKUP($F133,Declarations!B$6:C$293,2,FALSE)," "))))</f>
        <v/>
      </c>
      <c r="C133" s="122" t="str">
        <f>IF(ISNA(VLOOKUP($F133,Declarations!B$6:C$293,2,FALSE)),"",IF(VLOOKUP($F133,Declarations!B$6:C$293,2,FALSE)="","NOT DECLARED",IF(ISNA(_xlfn.TEXTAFTER(VLOOKUP($F133,Declarations!B$6:C$293,2,FALSE)," ")),VLOOKUP($F133,Declarations!B$6:C$293,2,FALSE),_xlfn.TEXTAFTER(VLOOKUP($F133,Declarations!B$6:C$293,2,FALSE)," "))))</f>
        <v/>
      </c>
      <c r="D133" s="122" t="str">
        <f>IF(ISNA(VLOOKUP($F133,Declarations!$B$6:$F$293,5,FALSE)),"",IF(VLOOKUP($F133,Declarations!$B$6:$F$293,5,FALSE)="","NOT DECLARED",VLOOKUP($F133,Declarations!$B$6:$F$293,5,FALSE)))</f>
        <v/>
      </c>
      <c r="E133" s="120" t="str">
        <f>IF(ISNA(VLOOKUP($F133,Declarations!$B$6:$D$293,3,FALSE)),"",IF(VLOOKUP($F133,Declarations!$B$6:$D$293,3,FALSE)="","NOT DECLARED",VLOOKUP($F133,Declarations!$B$6:$D$293,3,FALSE)&amp;LEFT(VLOOKUP($F133,Declarations!$B$6:$E$293,4,FALSE))))</f>
        <v/>
      </c>
      <c r="F133" s="59"/>
      <c r="G133" s="130"/>
      <c r="H133" s="130"/>
      <c r="I133" s="122" t="str">
        <f>IF(ISNA(VLOOKUP(F133,Declarations!B$6:C$293,2,FALSE)),"",IF(VLOOKUP(F133,Declarations!B$6:C$293,2,FALSE)="","NOT DECLARED",VLOOKUP(F133,Declarations!B$6:C$293,2,FALSE)))</f>
        <v/>
      </c>
      <c r="J133" s="120">
        <f>IF(LOWER(G133)="dnf",1,IF(G133&lt;ScoringTable!B$3,ScoringTable!I$2,VLOOKUP((1000-G133),ScoringTable!G$2:I$95,3)))</f>
        <v>0</v>
      </c>
      <c r="K133" s="120" t="str" cm="1">
        <f t="array" ref="K133">IF(OR(E133="",G133=""),"",_xlfn.IFS(E133="U10B",_xlfn.XLOOKUP(G133,Data!$D$2:$L$2,Data!$D$1:$L$1,"",1,1),E133="U12B",_xlfn.XLOOKUP(G133,Data!$D$8:$L$8,Data!$D$1:$L$1,"",1,1),E133="U10G",_xlfn.XLOOKUP(G133,Data!$D$15:$L$15,Data!$D$1:$L$1,"",1,1),E133="U12G",_xlfn.XLOOKUP(G133,Data!$D$21:$L$21,Data!$D$1:$L$1,"",1,1)))</f>
        <v/>
      </c>
      <c r="L133" s="184" t="str" cm="1">
        <f t="array" ref="L133">IFERROR(_xlfn.IFNA(
                      _xlfn.IFS(
                      G133="", "",
                      AND(E133="U10B",G133&lt;=Data!$M$2), "U10 Boys record",
                      AND(E133="U12B",G133&lt;=Data!$M$8), "U12 Boys record",
                      AND(E133="U10G",G133&lt;=Data!$M$15), "U10 Girls record",
                      AND(E133="U12G",G133&lt;=Data!$M$21), "U12 Girls record"
                       ),""), "")</f>
        <v/>
      </c>
      <c r="M133" s="19" cm="1">
        <f t="array" ref="M133">_xlfn.IFS($G133="",0, AND(NOT(ISNUMBER($G133)),LOWER($G133)&lt;&gt;"dnf"),"Not a valid time",OR(LOWER($G133)="dnf",$G133&gt;ScoringTable!$M$161),1,RIGHT($E133,1)="B",_xlfn.XLOOKUP($G133,ScoringTable!$M$2:$M$161,ScoringTable!$L$2:$L$161,,1),TRUE,_xlfn.XLOOKUP($G133,ScoringTable!$S$2:$S$161,ScoringTable!$R$2:$R$161,,1))</f>
        <v>0</v>
      </c>
    </row>
    <row r="134" spans="1:13" s="7" customFormat="1" ht="16" customHeight="1">
      <c r="A134" s="280" t="s">
        <v>2</v>
      </c>
      <c r="B134" s="122" t="str">
        <f>IF(ISNA(VLOOKUP($F134,Declarations!B$6:C$293,2,FALSE)),"",IF(VLOOKUP($F134,Declarations!B$6:C$293,2,FALSE)="","NOT DECLARED",IF(ISNA(_xlfn.TEXTBEFORE(VLOOKUP($F134,Declarations!B$6:C$293,2,FALSE)," ")),VLOOKUP($F134,Declarations!B$6:C$293,2,FALSE),_xlfn.TEXTBEFORE(VLOOKUP($F134,Declarations!B$6:C$293,2,FALSE)," "))))</f>
        <v/>
      </c>
      <c r="C134" s="122" t="str">
        <f>IF(ISNA(VLOOKUP($F134,Declarations!B$6:C$293,2,FALSE)),"",IF(VLOOKUP($F134,Declarations!B$6:C$293,2,FALSE)="","NOT DECLARED",IF(ISNA(_xlfn.TEXTAFTER(VLOOKUP($F134,Declarations!B$6:C$293,2,FALSE)," ")),VLOOKUP($F134,Declarations!B$6:C$293,2,FALSE),_xlfn.TEXTAFTER(VLOOKUP($F134,Declarations!B$6:C$293,2,FALSE)," "))))</f>
        <v/>
      </c>
      <c r="D134" s="122" t="str">
        <f>IF(ISNA(VLOOKUP($F134,Declarations!$B$6:$F$293,5,FALSE)),"",IF(VLOOKUP($F134,Declarations!$B$6:$F$293,5,FALSE)="","NOT DECLARED",VLOOKUP($F134,Declarations!$B$6:$F$293,5,FALSE)))</f>
        <v/>
      </c>
      <c r="E134" s="120" t="str">
        <f>IF(ISNA(VLOOKUP($F134,Declarations!$B$6:$D$293,3,FALSE)),"",IF(VLOOKUP($F134,Declarations!$B$6:$D$293,3,FALSE)="","NOT DECLARED",VLOOKUP($F134,Declarations!$B$6:$D$293,3,FALSE)&amp;LEFT(VLOOKUP($F134,Declarations!$B$6:$E$293,4,FALSE))))</f>
        <v/>
      </c>
      <c r="F134" s="59"/>
      <c r="G134" s="130"/>
      <c r="H134" s="130"/>
      <c r="I134" s="122" t="str">
        <f>IF(ISNA(VLOOKUP(F134,Declarations!B$6:C$293,2,FALSE)),"",IF(VLOOKUP(F134,Declarations!B$6:C$293,2,FALSE)="","NOT DECLARED",VLOOKUP(F134,Declarations!B$6:C$293,2,FALSE)))</f>
        <v/>
      </c>
      <c r="J134" s="120">
        <f>IF(LOWER(G134)="dnf",1,IF(G134&lt;ScoringTable!B$3,ScoringTable!I$2,VLOOKUP((1000-G134),ScoringTable!G$2:I$95,3)))</f>
        <v>0</v>
      </c>
      <c r="K134" s="120" t="str" cm="1">
        <f t="array" ref="K134">IF(OR(E134="",G134=""),"",_xlfn.IFS(E134="U10B",_xlfn.XLOOKUP(G134,Data!$D$2:$L$2,Data!$D$1:$L$1,"",1,1),E134="U12B",_xlfn.XLOOKUP(G134,Data!$D$8:$L$8,Data!$D$1:$L$1,"",1,1),E134="U10G",_xlfn.XLOOKUP(G134,Data!$D$15:$L$15,Data!$D$1:$L$1,"",1,1),E134="U12G",_xlfn.XLOOKUP(G134,Data!$D$21:$L$21,Data!$D$1:$L$1,"",1,1)))</f>
        <v/>
      </c>
      <c r="L134" s="184" t="str" cm="1">
        <f t="array" ref="L134">IFERROR(_xlfn.IFNA(
                      _xlfn.IFS(
                      G134="", "",
                      AND(E134="U10B",G134&lt;=Data!$M$2), "U10 Boys record",
                      AND(E134="U12B",G134&lt;=Data!$M$8), "U12 Boys record",
                      AND(E134="U10G",G134&lt;=Data!$M$15), "U10 Girls record",
                      AND(E134="U12G",G134&lt;=Data!$M$21), "U12 Girls record"
                       ),""), "")</f>
        <v/>
      </c>
      <c r="M134" s="19" cm="1">
        <f t="array" ref="M134">_xlfn.IFS($G134="",0, AND(NOT(ISNUMBER($G134)),LOWER($G134)&lt;&gt;"dnf"),"Not a valid time",OR(LOWER($G134)="dnf",$G134&gt;ScoringTable!$M$161),1,RIGHT($E134,1)="B",_xlfn.XLOOKUP($G134,ScoringTable!$M$2:$M$161,ScoringTable!$L$2:$L$161,,1),TRUE,_xlfn.XLOOKUP($G134,ScoringTable!$S$2:$S$161,ScoringTable!$R$2:$R$161,,1))</f>
        <v>0</v>
      </c>
    </row>
    <row r="135" spans="1:13" s="7" customFormat="1" ht="16" customHeight="1">
      <c r="A135" s="280" t="s">
        <v>2</v>
      </c>
      <c r="B135" s="122" t="str">
        <f>IF(ISNA(VLOOKUP($F135,Declarations!B$6:C$293,2,FALSE)),"",IF(VLOOKUP($F135,Declarations!B$6:C$293,2,FALSE)="","NOT DECLARED",IF(ISNA(_xlfn.TEXTBEFORE(VLOOKUP($F135,Declarations!B$6:C$293,2,FALSE)," ")),VLOOKUP($F135,Declarations!B$6:C$293,2,FALSE),_xlfn.TEXTBEFORE(VLOOKUP($F135,Declarations!B$6:C$293,2,FALSE)," "))))</f>
        <v/>
      </c>
      <c r="C135" s="122" t="str">
        <f>IF(ISNA(VLOOKUP($F135,Declarations!B$6:C$293,2,FALSE)),"",IF(VLOOKUP($F135,Declarations!B$6:C$293,2,FALSE)="","NOT DECLARED",IF(ISNA(_xlfn.TEXTAFTER(VLOOKUP($F135,Declarations!B$6:C$293,2,FALSE)," ")),VLOOKUP($F135,Declarations!B$6:C$293,2,FALSE),_xlfn.TEXTAFTER(VLOOKUP($F135,Declarations!B$6:C$293,2,FALSE)," "))))</f>
        <v/>
      </c>
      <c r="D135" s="122" t="str">
        <f>IF(ISNA(VLOOKUP($F135,Declarations!$B$6:$F$293,5,FALSE)),"",IF(VLOOKUP($F135,Declarations!$B$6:$F$293,5,FALSE)="","NOT DECLARED",VLOOKUP($F135,Declarations!$B$6:$F$293,5,FALSE)))</f>
        <v/>
      </c>
      <c r="E135" s="120" t="str">
        <f>IF(ISNA(VLOOKUP($F135,Declarations!$B$6:$D$293,3,FALSE)),"",IF(VLOOKUP($F135,Declarations!$B$6:$D$293,3,FALSE)="","NOT DECLARED",VLOOKUP($F135,Declarations!$B$6:$D$293,3,FALSE)&amp;LEFT(VLOOKUP($F135,Declarations!$B$6:$E$293,4,FALSE))))</f>
        <v/>
      </c>
      <c r="F135" s="59"/>
      <c r="G135" s="130"/>
      <c r="H135" s="130"/>
      <c r="I135" s="122" t="str">
        <f>IF(ISNA(VLOOKUP(F135,Declarations!B$6:C$293,2,FALSE)),"",IF(VLOOKUP(F135,Declarations!B$6:C$293,2,FALSE)="","NOT DECLARED",VLOOKUP(F135,Declarations!B$6:C$293,2,FALSE)))</f>
        <v/>
      </c>
      <c r="J135" s="120">
        <f>IF(LOWER(G135)="dnf",1,IF(G135&lt;ScoringTable!B$3,ScoringTable!I$2,VLOOKUP((1000-G135),ScoringTable!G$2:I$95,3)))</f>
        <v>0</v>
      </c>
      <c r="K135" s="120" t="str" cm="1">
        <f t="array" ref="K135">IF(OR(E135="",G135=""),"",_xlfn.IFS(E135="U10B",_xlfn.XLOOKUP(G135,Data!$D$2:$L$2,Data!$D$1:$L$1,"",1,1),E135="U12B",_xlfn.XLOOKUP(G135,Data!$D$8:$L$8,Data!$D$1:$L$1,"",1,1),E135="U10G",_xlfn.XLOOKUP(G135,Data!$D$15:$L$15,Data!$D$1:$L$1,"",1,1),E135="U12G",_xlfn.XLOOKUP(G135,Data!$D$21:$L$21,Data!$D$1:$L$1,"",1,1)))</f>
        <v/>
      </c>
      <c r="L135" s="184" t="str" cm="1">
        <f t="array" ref="L135">IFERROR(_xlfn.IFNA(
                      _xlfn.IFS(
                      G135="", "",
                      AND(E135="U10B",G135&lt;=Data!$M$2), "U10 Boys record",
                      AND(E135="U12B",G135&lt;=Data!$M$8), "U12 Boys record",
                      AND(E135="U10G",G135&lt;=Data!$M$15), "U10 Girls record",
                      AND(E135="U12G",G135&lt;=Data!$M$21), "U12 Girls record"
                       ),""), "")</f>
        <v/>
      </c>
      <c r="M135" s="19" cm="1">
        <f t="array" ref="M135">_xlfn.IFS($G135="",0, AND(NOT(ISNUMBER($G135)),LOWER($G135)&lt;&gt;"dnf"),"Not a valid time",OR(LOWER($G135)="dnf",$G135&gt;ScoringTable!$M$161),1,RIGHT($E135,1)="B",_xlfn.XLOOKUP($G135,ScoringTable!$M$2:$M$161,ScoringTable!$L$2:$L$161,,1),TRUE,_xlfn.XLOOKUP($G135,ScoringTable!$S$2:$S$161,ScoringTable!$R$2:$R$161,,1))</f>
        <v>0</v>
      </c>
    </row>
    <row r="136" spans="1:13" s="7" customFormat="1" ht="16" customHeight="1">
      <c r="A136" s="280" t="s">
        <v>2</v>
      </c>
      <c r="B136" s="122" t="str">
        <f>IF(ISNA(VLOOKUP($F136,Declarations!B$6:C$293,2,FALSE)),"",IF(VLOOKUP($F136,Declarations!B$6:C$293,2,FALSE)="","NOT DECLARED",IF(ISNA(_xlfn.TEXTBEFORE(VLOOKUP($F136,Declarations!B$6:C$293,2,FALSE)," ")),VLOOKUP($F136,Declarations!B$6:C$293,2,FALSE),_xlfn.TEXTBEFORE(VLOOKUP($F136,Declarations!B$6:C$293,2,FALSE)," "))))</f>
        <v/>
      </c>
      <c r="C136" s="122" t="str">
        <f>IF(ISNA(VLOOKUP($F136,Declarations!B$6:C$293,2,FALSE)),"",IF(VLOOKUP($F136,Declarations!B$6:C$293,2,FALSE)="","NOT DECLARED",IF(ISNA(_xlfn.TEXTAFTER(VLOOKUP($F136,Declarations!B$6:C$293,2,FALSE)," ")),VLOOKUP($F136,Declarations!B$6:C$293,2,FALSE),_xlfn.TEXTAFTER(VLOOKUP($F136,Declarations!B$6:C$293,2,FALSE)," "))))</f>
        <v/>
      </c>
      <c r="D136" s="122" t="str">
        <f>IF(ISNA(VLOOKUP($F136,Declarations!$B$6:$F$293,5,FALSE)),"",IF(VLOOKUP($F136,Declarations!$B$6:$F$293,5,FALSE)="","NOT DECLARED",VLOOKUP($F136,Declarations!$B$6:$F$293,5,FALSE)))</f>
        <v/>
      </c>
      <c r="E136" s="120" t="str">
        <f>IF(ISNA(VLOOKUP($F136,Declarations!$B$6:$D$293,3,FALSE)),"",IF(VLOOKUP($F136,Declarations!$B$6:$D$293,3,FALSE)="","NOT DECLARED",VLOOKUP($F136,Declarations!$B$6:$D$293,3,FALSE)&amp;LEFT(VLOOKUP($F136,Declarations!$B$6:$E$293,4,FALSE))))</f>
        <v/>
      </c>
      <c r="F136" s="59"/>
      <c r="G136" s="130"/>
      <c r="H136" s="130"/>
      <c r="I136" s="122" t="str">
        <f>IF(ISNA(VLOOKUP(F136,Declarations!B$6:C$293,2,FALSE)),"",IF(VLOOKUP(F136,Declarations!B$6:C$293,2,FALSE)="","NOT DECLARED",VLOOKUP(F136,Declarations!B$6:C$293,2,FALSE)))</f>
        <v/>
      </c>
      <c r="J136" s="120">
        <f>IF(LOWER(G136)="dnf",1,IF(G136&lt;ScoringTable!B$3,ScoringTable!I$2,VLOOKUP((1000-G136),ScoringTable!G$2:I$95,3)))</f>
        <v>0</v>
      </c>
      <c r="K136" s="120" t="str" cm="1">
        <f t="array" ref="K136">IF(OR(E136="",G136=""),"",_xlfn.IFS(E136="U10B",_xlfn.XLOOKUP(G136,Data!$D$2:$L$2,Data!$D$1:$L$1,"",1,1),E136="U12B",_xlfn.XLOOKUP(G136,Data!$D$8:$L$8,Data!$D$1:$L$1,"",1,1),E136="U10G",_xlfn.XLOOKUP(G136,Data!$D$15:$L$15,Data!$D$1:$L$1,"",1,1),E136="U12G",_xlfn.XLOOKUP(G136,Data!$D$21:$L$21,Data!$D$1:$L$1,"",1,1)))</f>
        <v/>
      </c>
      <c r="L136" s="184" t="str" cm="1">
        <f t="array" ref="L136">IFERROR(_xlfn.IFNA(
                      _xlfn.IFS(
                      G136="", "",
                      AND(E136="U10B",G136&lt;=Data!$M$2), "U10 Boys record",
                      AND(E136="U12B",G136&lt;=Data!$M$8), "U12 Boys record",
                      AND(E136="U10G",G136&lt;=Data!$M$15), "U10 Girls record",
                      AND(E136="U12G",G136&lt;=Data!$M$21), "U12 Girls record"
                       ),""), "")</f>
        <v/>
      </c>
      <c r="M136" s="19" cm="1">
        <f t="array" ref="M136">_xlfn.IFS($G136="",0, AND(NOT(ISNUMBER($G136)),LOWER($G136)&lt;&gt;"dnf"),"Not a valid time",OR(LOWER($G136)="dnf",$G136&gt;ScoringTable!$M$161),1,RIGHT($E136,1)="B",_xlfn.XLOOKUP($G136,ScoringTable!$M$2:$M$161,ScoringTable!$L$2:$L$161,,1),TRUE,_xlfn.XLOOKUP($G136,ScoringTable!$S$2:$S$161,ScoringTable!$R$2:$R$161,,1))</f>
        <v>0</v>
      </c>
    </row>
    <row r="137" spans="1:13" s="7" customFormat="1" ht="16" customHeight="1">
      <c r="A137" s="280" t="s">
        <v>2</v>
      </c>
      <c r="B137" s="122" t="str">
        <f>IF(ISNA(VLOOKUP($F137,Declarations!B$6:C$293,2,FALSE)),"",IF(VLOOKUP($F137,Declarations!B$6:C$293,2,FALSE)="","NOT DECLARED",IF(ISNA(_xlfn.TEXTBEFORE(VLOOKUP($F137,Declarations!B$6:C$293,2,FALSE)," ")),VLOOKUP($F137,Declarations!B$6:C$293,2,FALSE),_xlfn.TEXTBEFORE(VLOOKUP($F137,Declarations!B$6:C$293,2,FALSE)," "))))</f>
        <v/>
      </c>
      <c r="C137" s="122" t="str">
        <f>IF(ISNA(VLOOKUP($F137,Declarations!B$6:C$293,2,FALSE)),"",IF(VLOOKUP($F137,Declarations!B$6:C$293,2,FALSE)="","NOT DECLARED",IF(ISNA(_xlfn.TEXTAFTER(VLOOKUP($F137,Declarations!B$6:C$293,2,FALSE)," ")),VLOOKUP($F137,Declarations!B$6:C$293,2,FALSE),_xlfn.TEXTAFTER(VLOOKUP($F137,Declarations!B$6:C$293,2,FALSE)," "))))</f>
        <v/>
      </c>
      <c r="D137" s="122" t="str">
        <f>IF(ISNA(VLOOKUP($F137,Declarations!$B$6:$F$293,5,FALSE)),"",IF(VLOOKUP($F137,Declarations!$B$6:$F$293,5,FALSE)="","NOT DECLARED",VLOOKUP($F137,Declarations!$B$6:$F$293,5,FALSE)))</f>
        <v/>
      </c>
      <c r="E137" s="120" t="str">
        <f>IF(ISNA(VLOOKUP($F137,Declarations!$B$6:$D$293,3,FALSE)),"",IF(VLOOKUP($F137,Declarations!$B$6:$D$293,3,FALSE)="","NOT DECLARED",VLOOKUP($F137,Declarations!$B$6:$D$293,3,FALSE)&amp;LEFT(VLOOKUP($F137,Declarations!$B$6:$E$293,4,FALSE))))</f>
        <v/>
      </c>
      <c r="F137" s="59"/>
      <c r="G137" s="130"/>
      <c r="H137" s="130"/>
      <c r="I137" s="122" t="str">
        <f>IF(ISNA(VLOOKUP(F137,Declarations!B$6:C$293,2,FALSE)),"",IF(VLOOKUP(F137,Declarations!B$6:C$293,2,FALSE)="","NOT DECLARED",VLOOKUP(F137,Declarations!B$6:C$293,2,FALSE)))</f>
        <v/>
      </c>
      <c r="J137" s="120">
        <f>IF(LOWER(G137)="dnf",1,IF(G137&lt;ScoringTable!B$3,ScoringTable!I$2,VLOOKUP((1000-G137),ScoringTable!G$2:I$95,3)))</f>
        <v>0</v>
      </c>
      <c r="K137" s="120" t="str" cm="1">
        <f t="array" ref="K137">IF(OR(E137="",G137=""),"",_xlfn.IFS(E137="U10B",_xlfn.XLOOKUP(G137,Data!$D$2:$L$2,Data!$D$1:$L$1,"",1,1),E137="U12B",_xlfn.XLOOKUP(G137,Data!$D$8:$L$8,Data!$D$1:$L$1,"",1,1),E137="U10G",_xlfn.XLOOKUP(G137,Data!$D$15:$L$15,Data!$D$1:$L$1,"",1,1),E137="U12G",_xlfn.XLOOKUP(G137,Data!$D$21:$L$21,Data!$D$1:$L$1,"",1,1)))</f>
        <v/>
      </c>
      <c r="L137" s="184" t="str" cm="1">
        <f t="array" ref="L137">IFERROR(_xlfn.IFNA(
                      _xlfn.IFS(
                      G137="", "",
                      AND(E137="U10B",G137&lt;=Data!$M$2), "U10 Boys record",
                      AND(E137="U12B",G137&lt;=Data!$M$8), "U12 Boys record",
                      AND(E137="U10G",G137&lt;=Data!$M$15), "U10 Girls record",
                      AND(E137="U12G",G137&lt;=Data!$M$21), "U12 Girls record"
                       ),""), "")</f>
        <v/>
      </c>
      <c r="M137" s="19" cm="1">
        <f t="array" ref="M137">_xlfn.IFS($G137="",0, AND(NOT(ISNUMBER($G137)),LOWER($G137)&lt;&gt;"dnf"),"Not a valid time",OR(LOWER($G137)="dnf",$G137&gt;ScoringTable!$M$161),1,RIGHT($E137,1)="B",_xlfn.XLOOKUP($G137,ScoringTable!$M$2:$M$161,ScoringTable!$L$2:$L$161,,1),TRUE,_xlfn.XLOOKUP($G137,ScoringTable!$S$2:$S$161,ScoringTable!$R$2:$R$161,,1))</f>
        <v>0</v>
      </c>
    </row>
    <row r="138" spans="1:13" s="7" customFormat="1" ht="16" customHeight="1">
      <c r="A138" s="280" t="s">
        <v>2</v>
      </c>
      <c r="B138" s="122" t="str">
        <f>IF(ISNA(VLOOKUP($F138,Declarations!B$6:C$293,2,FALSE)),"",IF(VLOOKUP($F138,Declarations!B$6:C$293,2,FALSE)="","NOT DECLARED",IF(ISNA(_xlfn.TEXTBEFORE(VLOOKUP($F138,Declarations!B$6:C$293,2,FALSE)," ")),VLOOKUP($F138,Declarations!B$6:C$293,2,FALSE),_xlfn.TEXTBEFORE(VLOOKUP($F138,Declarations!B$6:C$293,2,FALSE)," "))))</f>
        <v/>
      </c>
      <c r="C138" s="122" t="str">
        <f>IF(ISNA(VLOOKUP($F138,Declarations!B$6:C$293,2,FALSE)),"",IF(VLOOKUP($F138,Declarations!B$6:C$293,2,FALSE)="","NOT DECLARED",IF(ISNA(_xlfn.TEXTAFTER(VLOOKUP($F138,Declarations!B$6:C$293,2,FALSE)," ")),VLOOKUP($F138,Declarations!B$6:C$293,2,FALSE),_xlfn.TEXTAFTER(VLOOKUP($F138,Declarations!B$6:C$293,2,FALSE)," "))))</f>
        <v/>
      </c>
      <c r="D138" s="122" t="str">
        <f>IF(ISNA(VLOOKUP($F138,Declarations!$B$6:$F$293,5,FALSE)),"",IF(VLOOKUP($F138,Declarations!$B$6:$F$293,5,FALSE)="","NOT DECLARED",VLOOKUP($F138,Declarations!$B$6:$F$293,5,FALSE)))</f>
        <v/>
      </c>
      <c r="E138" s="120" t="str">
        <f>IF(ISNA(VLOOKUP($F138,Declarations!$B$6:$D$293,3,FALSE)),"",IF(VLOOKUP($F138,Declarations!$B$6:$D$293,3,FALSE)="","NOT DECLARED",VLOOKUP($F138,Declarations!$B$6:$D$293,3,FALSE)&amp;LEFT(VLOOKUP($F138,Declarations!$B$6:$E$293,4,FALSE))))</f>
        <v/>
      </c>
      <c r="F138" s="59"/>
      <c r="G138" s="130"/>
      <c r="H138" s="130"/>
      <c r="I138" s="122" t="str">
        <f>IF(ISNA(VLOOKUP(F138,Declarations!B$6:C$293,2,FALSE)),"",IF(VLOOKUP(F138,Declarations!B$6:C$293,2,FALSE)="","NOT DECLARED",VLOOKUP(F138,Declarations!B$6:C$293,2,FALSE)))</f>
        <v/>
      </c>
      <c r="J138" s="120">
        <f>IF(LOWER(G138)="dnf",1,IF(G138&lt;ScoringTable!B$3,ScoringTable!I$2,VLOOKUP((1000-G138),ScoringTable!G$2:I$95,3)))</f>
        <v>0</v>
      </c>
      <c r="K138" s="120" t="str" cm="1">
        <f t="array" ref="K138">IF(OR(E138="",G138=""),"",_xlfn.IFS(E138="U10B",_xlfn.XLOOKUP(G138,Data!$D$2:$L$2,Data!$D$1:$L$1,"",1,1),E138="U12B",_xlfn.XLOOKUP(G138,Data!$D$8:$L$8,Data!$D$1:$L$1,"",1,1),E138="U10G",_xlfn.XLOOKUP(G138,Data!$D$15:$L$15,Data!$D$1:$L$1,"",1,1),E138="U12G",_xlfn.XLOOKUP(G138,Data!$D$21:$L$21,Data!$D$1:$L$1,"",1,1)))</f>
        <v/>
      </c>
      <c r="L138" s="184" t="str" cm="1">
        <f t="array" ref="L138">IFERROR(_xlfn.IFNA(
                      _xlfn.IFS(
                      G138="", "",
                      AND(E138="U10B",G138&lt;=Data!$M$2), "U10 Boys record",
                      AND(E138="U12B",G138&lt;=Data!$M$8), "U12 Boys record",
                      AND(E138="U10G",G138&lt;=Data!$M$15), "U10 Girls record",
                      AND(E138="U12G",G138&lt;=Data!$M$21), "U12 Girls record"
                       ),""), "")</f>
        <v/>
      </c>
      <c r="M138" s="19" cm="1">
        <f t="array" ref="M138">_xlfn.IFS($G138="",0, AND(NOT(ISNUMBER($G138)),LOWER($G138)&lt;&gt;"dnf"),"Not a valid time",OR(LOWER($G138)="dnf",$G138&gt;ScoringTable!$M$161),1,RIGHT($E138,1)="B",_xlfn.XLOOKUP($G138,ScoringTable!$M$2:$M$161,ScoringTable!$L$2:$L$161,,1),TRUE,_xlfn.XLOOKUP($G138,ScoringTable!$S$2:$S$161,ScoringTable!$R$2:$R$161,,1))</f>
        <v>0</v>
      </c>
    </row>
    <row r="139" spans="1:13" s="7" customFormat="1" ht="16" customHeight="1">
      <c r="A139" s="280" t="s">
        <v>2</v>
      </c>
      <c r="B139" s="122" t="str">
        <f>IF(ISNA(VLOOKUP($F139,Declarations!B$6:C$293,2,FALSE)),"",IF(VLOOKUP($F139,Declarations!B$6:C$293,2,FALSE)="","NOT DECLARED",IF(ISNA(_xlfn.TEXTBEFORE(VLOOKUP($F139,Declarations!B$6:C$293,2,FALSE)," ")),VLOOKUP($F139,Declarations!B$6:C$293,2,FALSE),_xlfn.TEXTBEFORE(VLOOKUP($F139,Declarations!B$6:C$293,2,FALSE)," "))))</f>
        <v/>
      </c>
      <c r="C139" s="122" t="str">
        <f>IF(ISNA(VLOOKUP($F139,Declarations!B$6:C$293,2,FALSE)),"",IF(VLOOKUP($F139,Declarations!B$6:C$293,2,FALSE)="","NOT DECLARED",IF(ISNA(_xlfn.TEXTAFTER(VLOOKUP($F139,Declarations!B$6:C$293,2,FALSE)," ")),VLOOKUP($F139,Declarations!B$6:C$293,2,FALSE),_xlfn.TEXTAFTER(VLOOKUP($F139,Declarations!B$6:C$293,2,FALSE)," "))))</f>
        <v/>
      </c>
      <c r="D139" s="122" t="str">
        <f>IF(ISNA(VLOOKUP($F139,Declarations!$B$6:$F$293,5,FALSE)),"",IF(VLOOKUP($F139,Declarations!$B$6:$F$293,5,FALSE)="","NOT DECLARED",VLOOKUP($F139,Declarations!$B$6:$F$293,5,FALSE)))</f>
        <v/>
      </c>
      <c r="E139" s="120" t="str">
        <f>IF(ISNA(VLOOKUP($F139,Declarations!$B$6:$D$293,3,FALSE)),"",IF(VLOOKUP($F139,Declarations!$B$6:$D$293,3,FALSE)="","NOT DECLARED",VLOOKUP($F139,Declarations!$B$6:$D$293,3,FALSE)&amp;LEFT(VLOOKUP($F139,Declarations!$B$6:$E$293,4,FALSE))))</f>
        <v/>
      </c>
      <c r="F139" s="59"/>
      <c r="G139" s="130"/>
      <c r="H139" s="130"/>
      <c r="I139" s="122" t="str">
        <f>IF(ISNA(VLOOKUP(F139,Declarations!B$6:C$293,2,FALSE)),"",IF(VLOOKUP(F139,Declarations!B$6:C$293,2,FALSE)="","NOT DECLARED",VLOOKUP(F139,Declarations!B$6:C$293,2,FALSE)))</f>
        <v/>
      </c>
      <c r="J139" s="120">
        <f>IF(LOWER(G139)="dnf",1,IF(G139&lt;ScoringTable!B$3,ScoringTable!I$2,VLOOKUP((1000-G139),ScoringTable!G$2:I$95,3)))</f>
        <v>0</v>
      </c>
      <c r="K139" s="120" t="str" cm="1">
        <f t="array" ref="K139">IF(OR(E139="",G139=""),"",_xlfn.IFS(E139="U10B",_xlfn.XLOOKUP(G139,Data!$D$2:$L$2,Data!$D$1:$L$1,"",1,1),E139="U12B",_xlfn.XLOOKUP(G139,Data!$D$8:$L$8,Data!$D$1:$L$1,"",1,1),E139="U10G",_xlfn.XLOOKUP(G139,Data!$D$15:$L$15,Data!$D$1:$L$1,"",1,1),E139="U12G",_xlfn.XLOOKUP(G139,Data!$D$21:$L$21,Data!$D$1:$L$1,"",1,1)))</f>
        <v/>
      </c>
      <c r="L139" s="184" t="str" cm="1">
        <f t="array" ref="L139">IFERROR(_xlfn.IFNA(
                      _xlfn.IFS(
                      G139="", "",
                      AND(E139="U10B",G139&lt;=Data!$M$2), "U10 Boys record",
                      AND(E139="U12B",G139&lt;=Data!$M$8), "U12 Boys record",
                      AND(E139="U10G",G139&lt;=Data!$M$15), "U10 Girls record",
                      AND(E139="U12G",G139&lt;=Data!$M$21), "U12 Girls record"
                       ),""), "")</f>
        <v/>
      </c>
      <c r="M139" s="19" cm="1">
        <f t="array" ref="M139">_xlfn.IFS($G139="",0, AND(NOT(ISNUMBER($G139)),LOWER($G139)&lt;&gt;"dnf"),"Not a valid time",OR(LOWER($G139)="dnf",$G139&gt;ScoringTable!$M$161),1,RIGHT($E139,1)="B",_xlfn.XLOOKUP($G139,ScoringTable!$M$2:$M$161,ScoringTable!$L$2:$L$161,,1),TRUE,_xlfn.XLOOKUP($G139,ScoringTable!$S$2:$S$161,ScoringTable!$R$2:$R$161,,1))</f>
        <v>0</v>
      </c>
    </row>
    <row r="140" spans="1:13" s="7" customFormat="1" ht="16" customHeight="1">
      <c r="A140" s="280" t="s">
        <v>2</v>
      </c>
      <c r="B140" s="122" t="str">
        <f>IF(ISNA(VLOOKUP($F140,Declarations!B$6:C$293,2,FALSE)),"",IF(VLOOKUP($F140,Declarations!B$6:C$293,2,FALSE)="","NOT DECLARED",IF(ISNA(_xlfn.TEXTBEFORE(VLOOKUP($F140,Declarations!B$6:C$293,2,FALSE)," ")),VLOOKUP($F140,Declarations!B$6:C$293,2,FALSE),_xlfn.TEXTBEFORE(VLOOKUP($F140,Declarations!B$6:C$293,2,FALSE)," "))))</f>
        <v/>
      </c>
      <c r="C140" s="122" t="str">
        <f>IF(ISNA(VLOOKUP($F140,Declarations!B$6:C$293,2,FALSE)),"",IF(VLOOKUP($F140,Declarations!B$6:C$293,2,FALSE)="","NOT DECLARED",IF(ISNA(_xlfn.TEXTAFTER(VLOOKUP($F140,Declarations!B$6:C$293,2,FALSE)," ")),VLOOKUP($F140,Declarations!B$6:C$293,2,FALSE),_xlfn.TEXTAFTER(VLOOKUP($F140,Declarations!B$6:C$293,2,FALSE)," "))))</f>
        <v/>
      </c>
      <c r="D140" s="122" t="str">
        <f>IF(ISNA(VLOOKUP($F140,Declarations!$B$6:$F$293,5,FALSE)),"",IF(VLOOKUP($F140,Declarations!$B$6:$F$293,5,FALSE)="","NOT DECLARED",VLOOKUP($F140,Declarations!$B$6:$F$293,5,FALSE)))</f>
        <v/>
      </c>
      <c r="E140" s="120" t="str">
        <f>IF(ISNA(VLOOKUP($F140,Declarations!$B$6:$D$293,3,FALSE)),"",IF(VLOOKUP($F140,Declarations!$B$6:$D$293,3,FALSE)="","NOT DECLARED",VLOOKUP($F140,Declarations!$B$6:$D$293,3,FALSE)&amp;LEFT(VLOOKUP($F140,Declarations!$B$6:$E$293,4,FALSE))))</f>
        <v/>
      </c>
      <c r="F140" s="59"/>
      <c r="G140" s="130"/>
      <c r="H140" s="130"/>
      <c r="I140" s="122" t="str">
        <f>IF(ISNA(VLOOKUP(F140,Declarations!B$6:C$293,2,FALSE)),"",IF(VLOOKUP(F140,Declarations!B$6:C$293,2,FALSE)="","NOT DECLARED",VLOOKUP(F140,Declarations!B$6:C$293,2,FALSE)))</f>
        <v/>
      </c>
      <c r="J140" s="120">
        <f>IF(LOWER(G140)="dnf",1,IF(G140&lt;ScoringTable!B$3,ScoringTable!I$2,VLOOKUP((1000-G140),ScoringTable!G$2:I$95,3)))</f>
        <v>0</v>
      </c>
      <c r="K140" s="120" t="str" cm="1">
        <f t="array" ref="K140">IF(OR(E140="",G140=""),"",_xlfn.IFS(E140="U10B",_xlfn.XLOOKUP(G140,Data!$D$2:$L$2,Data!$D$1:$L$1,"",1,1),E140="U12B",_xlfn.XLOOKUP(G140,Data!$D$8:$L$8,Data!$D$1:$L$1,"",1,1),E140="U10G",_xlfn.XLOOKUP(G140,Data!$D$15:$L$15,Data!$D$1:$L$1,"",1,1),E140="U12G",_xlfn.XLOOKUP(G140,Data!$D$21:$L$21,Data!$D$1:$L$1,"",1,1)))</f>
        <v/>
      </c>
      <c r="L140" s="184" t="str" cm="1">
        <f t="array" ref="L140">IFERROR(_xlfn.IFNA(
                      _xlfn.IFS(
                      G140="", "",
                      AND(E140="U10B",G140&lt;=Data!$M$2), "U10 Boys record",
                      AND(E140="U12B",G140&lt;=Data!$M$8), "U12 Boys record",
                      AND(E140="U10G",G140&lt;=Data!$M$15), "U10 Girls record",
                      AND(E140="U12G",G140&lt;=Data!$M$21), "U12 Girls record"
                       ),""), "")</f>
        <v/>
      </c>
      <c r="M140" s="19" cm="1">
        <f t="array" ref="M140">_xlfn.IFS($G140="",0, AND(NOT(ISNUMBER($G140)),LOWER($G140)&lt;&gt;"dnf"),"Not a valid time",OR(LOWER($G140)="dnf",$G140&gt;ScoringTable!$M$161),1,RIGHT($E140,1)="B",_xlfn.XLOOKUP($G140,ScoringTable!$M$2:$M$161,ScoringTable!$L$2:$L$161,,1),TRUE,_xlfn.XLOOKUP($G140,ScoringTable!$S$2:$S$161,ScoringTable!$R$2:$R$161,,1))</f>
        <v>0</v>
      </c>
    </row>
    <row r="141" spans="1:13" s="7" customFormat="1" ht="16" customHeight="1">
      <c r="A141" s="280" t="s">
        <v>2</v>
      </c>
      <c r="B141" s="122" t="str">
        <f>IF(ISNA(VLOOKUP($F141,Declarations!B$6:C$293,2,FALSE)),"",IF(VLOOKUP($F141,Declarations!B$6:C$293,2,FALSE)="","NOT DECLARED",IF(ISNA(_xlfn.TEXTBEFORE(VLOOKUP($F141,Declarations!B$6:C$293,2,FALSE)," ")),VLOOKUP($F141,Declarations!B$6:C$293,2,FALSE),_xlfn.TEXTBEFORE(VLOOKUP($F141,Declarations!B$6:C$293,2,FALSE)," "))))</f>
        <v/>
      </c>
      <c r="C141" s="122" t="str">
        <f>IF(ISNA(VLOOKUP($F141,Declarations!B$6:C$293,2,FALSE)),"",IF(VLOOKUP($F141,Declarations!B$6:C$293,2,FALSE)="","NOT DECLARED",IF(ISNA(_xlfn.TEXTAFTER(VLOOKUP($F141,Declarations!B$6:C$293,2,FALSE)," ")),VLOOKUP($F141,Declarations!B$6:C$293,2,FALSE),_xlfn.TEXTAFTER(VLOOKUP($F141,Declarations!B$6:C$293,2,FALSE)," "))))</f>
        <v/>
      </c>
      <c r="D141" s="122" t="str">
        <f>IF(ISNA(VLOOKUP($F141,Declarations!$B$6:$F$293,5,FALSE)),"",IF(VLOOKUP($F141,Declarations!$B$6:$F$293,5,FALSE)="","NOT DECLARED",VLOOKUP($F141,Declarations!$B$6:$F$293,5,FALSE)))</f>
        <v/>
      </c>
      <c r="E141" s="120" t="str">
        <f>IF(ISNA(VLOOKUP($F141,Declarations!$B$6:$D$293,3,FALSE)),"",IF(VLOOKUP($F141,Declarations!$B$6:$D$293,3,FALSE)="","NOT DECLARED",VLOOKUP($F141,Declarations!$B$6:$D$293,3,FALSE)&amp;LEFT(VLOOKUP($F141,Declarations!$B$6:$E$293,4,FALSE))))</f>
        <v/>
      </c>
      <c r="F141" s="59"/>
      <c r="G141" s="130"/>
      <c r="H141" s="130"/>
      <c r="I141" s="122" t="str">
        <f>IF(ISNA(VLOOKUP(F141,Declarations!B$6:C$293,2,FALSE)),"",IF(VLOOKUP(F141,Declarations!B$6:C$293,2,FALSE)="","NOT DECLARED",VLOOKUP(F141,Declarations!B$6:C$293,2,FALSE)))</f>
        <v/>
      </c>
      <c r="J141" s="120">
        <f>IF(LOWER(G141)="dnf",1,IF(G141&lt;ScoringTable!B$3,ScoringTable!I$2,VLOOKUP((1000-G141),ScoringTable!G$2:I$95,3)))</f>
        <v>0</v>
      </c>
      <c r="K141" s="120" t="str" cm="1">
        <f t="array" ref="K141">IF(OR(E141="",G141=""),"",_xlfn.IFS(E141="U10B",_xlfn.XLOOKUP(G141,Data!$D$2:$L$2,Data!$D$1:$L$1,"",1,1),E141="U12B",_xlfn.XLOOKUP(G141,Data!$D$8:$L$8,Data!$D$1:$L$1,"",1,1),E141="U10G",_xlfn.XLOOKUP(G141,Data!$D$15:$L$15,Data!$D$1:$L$1,"",1,1),E141="U12G",_xlfn.XLOOKUP(G141,Data!$D$21:$L$21,Data!$D$1:$L$1,"",1,1)))</f>
        <v/>
      </c>
      <c r="L141" s="184" t="str" cm="1">
        <f t="array" ref="L141">IFERROR(_xlfn.IFNA(
                      _xlfn.IFS(
                      G141="", "",
                      AND(E141="U10B",G141&lt;=Data!$M$2), "U10 Boys record",
                      AND(E141="U12B",G141&lt;=Data!$M$8), "U12 Boys record",
                      AND(E141="U10G",G141&lt;=Data!$M$15), "U10 Girls record",
                      AND(E141="U12G",G141&lt;=Data!$M$21), "U12 Girls record"
                       ),""), "")</f>
        <v/>
      </c>
      <c r="M141" s="19" cm="1">
        <f t="array" ref="M141">_xlfn.IFS($G141="",0, AND(NOT(ISNUMBER($G141)),LOWER($G141)&lt;&gt;"dnf"),"Not a valid time",OR(LOWER($G141)="dnf",$G141&gt;ScoringTable!$M$161),1,RIGHT($E141,1)="B",_xlfn.XLOOKUP($G141,ScoringTable!$M$2:$M$161,ScoringTable!$L$2:$L$161,,1),TRUE,_xlfn.XLOOKUP($G141,ScoringTable!$S$2:$S$161,ScoringTable!$R$2:$R$161,,1))</f>
        <v>0</v>
      </c>
    </row>
    <row r="142" spans="1:13" s="7" customFormat="1" ht="16" customHeight="1">
      <c r="A142" s="280" t="s">
        <v>2</v>
      </c>
      <c r="B142" s="122" t="str">
        <f>IF(ISNA(VLOOKUP($F142,Declarations!B$6:C$293,2,FALSE)),"",IF(VLOOKUP($F142,Declarations!B$6:C$293,2,FALSE)="","NOT DECLARED",IF(ISNA(_xlfn.TEXTBEFORE(VLOOKUP($F142,Declarations!B$6:C$293,2,FALSE)," ")),VLOOKUP($F142,Declarations!B$6:C$293,2,FALSE),_xlfn.TEXTBEFORE(VLOOKUP($F142,Declarations!B$6:C$293,2,FALSE)," "))))</f>
        <v/>
      </c>
      <c r="C142" s="122" t="str">
        <f>IF(ISNA(VLOOKUP($F142,Declarations!B$6:C$293,2,FALSE)),"",IF(VLOOKUP($F142,Declarations!B$6:C$293,2,FALSE)="","NOT DECLARED",IF(ISNA(_xlfn.TEXTAFTER(VLOOKUP($F142,Declarations!B$6:C$293,2,FALSE)," ")),VLOOKUP($F142,Declarations!B$6:C$293,2,FALSE),_xlfn.TEXTAFTER(VLOOKUP($F142,Declarations!B$6:C$293,2,FALSE)," "))))</f>
        <v/>
      </c>
      <c r="D142" s="122" t="str">
        <f>IF(ISNA(VLOOKUP($F142,Declarations!$B$6:$F$293,5,FALSE)),"",IF(VLOOKUP($F142,Declarations!$B$6:$F$293,5,FALSE)="","NOT DECLARED",VLOOKUP($F142,Declarations!$B$6:$F$293,5,FALSE)))</f>
        <v/>
      </c>
      <c r="E142" s="120" t="str">
        <f>IF(ISNA(VLOOKUP($F142,Declarations!$B$6:$D$293,3,FALSE)),"",IF(VLOOKUP($F142,Declarations!$B$6:$D$293,3,FALSE)="","NOT DECLARED",VLOOKUP($F142,Declarations!$B$6:$D$293,3,FALSE)&amp;LEFT(VLOOKUP($F142,Declarations!$B$6:$E$293,4,FALSE))))</f>
        <v/>
      </c>
      <c r="F142" s="59"/>
      <c r="G142" s="130"/>
      <c r="H142" s="130"/>
      <c r="I142" s="122" t="str">
        <f>IF(ISNA(VLOOKUP(F142,Declarations!B$6:C$293,2,FALSE)),"",IF(VLOOKUP(F142,Declarations!B$6:C$293,2,FALSE)="","NOT DECLARED",VLOOKUP(F142,Declarations!B$6:C$293,2,FALSE)))</f>
        <v/>
      </c>
      <c r="J142" s="120">
        <f>IF(LOWER(G142)="dnf",1,IF(G142&lt;ScoringTable!B$3,ScoringTable!I$2,VLOOKUP((1000-G142),ScoringTable!G$2:I$95,3)))</f>
        <v>0</v>
      </c>
      <c r="K142" s="120" t="str" cm="1">
        <f t="array" ref="K142">IF(OR(E142="",G142=""),"",_xlfn.IFS(E142="U10B",_xlfn.XLOOKUP(G142,Data!$D$2:$L$2,Data!$D$1:$L$1,"",1,1),E142="U12B",_xlfn.XLOOKUP(G142,Data!$D$8:$L$8,Data!$D$1:$L$1,"",1,1),E142="U10G",_xlfn.XLOOKUP(G142,Data!$D$15:$L$15,Data!$D$1:$L$1,"",1,1),E142="U12G",_xlfn.XLOOKUP(G142,Data!$D$21:$L$21,Data!$D$1:$L$1,"",1,1)))</f>
        <v/>
      </c>
      <c r="L142" s="184" t="str" cm="1">
        <f t="array" ref="L142">IFERROR(_xlfn.IFNA(
                      _xlfn.IFS(
                      G142="", "",
                      AND(E142="U10B",G142&lt;=Data!$M$2), "U10 Boys record",
                      AND(E142="U12B",G142&lt;=Data!$M$8), "U12 Boys record",
                      AND(E142="U10G",G142&lt;=Data!$M$15), "U10 Girls record",
                      AND(E142="U12G",G142&lt;=Data!$M$21), "U12 Girls record"
                       ),""), "")</f>
        <v/>
      </c>
      <c r="M142" s="19" cm="1">
        <f t="array" ref="M142">_xlfn.IFS($G142="",0, AND(NOT(ISNUMBER($G142)),LOWER($G142)&lt;&gt;"dnf"),"Not a valid time",OR(LOWER($G142)="dnf",$G142&gt;ScoringTable!$M$161),1,RIGHT($E142,1)="B",_xlfn.XLOOKUP($G142,ScoringTable!$M$2:$M$161,ScoringTable!$L$2:$L$161,,1),TRUE,_xlfn.XLOOKUP($G142,ScoringTable!$S$2:$S$161,ScoringTable!$R$2:$R$161,,1))</f>
        <v>0</v>
      </c>
    </row>
    <row r="143" spans="1:13" s="7" customFormat="1" ht="16" customHeight="1">
      <c r="A143" s="280" t="s">
        <v>2</v>
      </c>
      <c r="B143" s="122" t="str">
        <f>IF(ISNA(VLOOKUP($F143,Declarations!B$6:C$293,2,FALSE)),"",IF(VLOOKUP($F143,Declarations!B$6:C$293,2,FALSE)="","NOT DECLARED",IF(ISNA(_xlfn.TEXTBEFORE(VLOOKUP($F143,Declarations!B$6:C$293,2,FALSE)," ")),VLOOKUP($F143,Declarations!B$6:C$293,2,FALSE),_xlfn.TEXTBEFORE(VLOOKUP($F143,Declarations!B$6:C$293,2,FALSE)," "))))</f>
        <v/>
      </c>
      <c r="C143" s="122" t="str">
        <f>IF(ISNA(VLOOKUP($F143,Declarations!B$6:C$293,2,FALSE)),"",IF(VLOOKUP($F143,Declarations!B$6:C$293,2,FALSE)="","NOT DECLARED",IF(ISNA(_xlfn.TEXTAFTER(VLOOKUP($F143,Declarations!B$6:C$293,2,FALSE)," ")),VLOOKUP($F143,Declarations!B$6:C$293,2,FALSE),_xlfn.TEXTAFTER(VLOOKUP($F143,Declarations!B$6:C$293,2,FALSE)," "))))</f>
        <v/>
      </c>
      <c r="D143" s="122" t="str">
        <f>IF(ISNA(VLOOKUP($F143,Declarations!$B$6:$F$293,5,FALSE)),"",IF(VLOOKUP($F143,Declarations!$B$6:$F$293,5,FALSE)="","NOT DECLARED",VLOOKUP($F143,Declarations!$B$6:$F$293,5,FALSE)))</f>
        <v/>
      </c>
      <c r="E143" s="120" t="str">
        <f>IF(ISNA(VLOOKUP($F143,Declarations!$B$6:$D$293,3,FALSE)),"",IF(VLOOKUP($F143,Declarations!$B$6:$D$293,3,FALSE)="","NOT DECLARED",VLOOKUP($F143,Declarations!$B$6:$D$293,3,FALSE)&amp;LEFT(VLOOKUP($F143,Declarations!$B$6:$E$293,4,FALSE))))</f>
        <v/>
      </c>
      <c r="F143" s="59"/>
      <c r="G143" s="130"/>
      <c r="H143" s="130"/>
      <c r="I143" s="122" t="str">
        <f>IF(ISNA(VLOOKUP(F143,Declarations!B$6:C$293,2,FALSE)),"",IF(VLOOKUP(F143,Declarations!B$6:C$293,2,FALSE)="","NOT DECLARED",VLOOKUP(F143,Declarations!B$6:C$293,2,FALSE)))</f>
        <v/>
      </c>
      <c r="J143" s="120">
        <f>IF(LOWER(G143)="dnf",1,IF(G143&lt;ScoringTable!B$3,ScoringTable!I$2,VLOOKUP((1000-G143),ScoringTable!G$2:I$95,3)))</f>
        <v>0</v>
      </c>
      <c r="K143" s="120" t="str" cm="1">
        <f t="array" ref="K143">IF(OR(E143="",G143=""),"",_xlfn.IFS(E143="U10B",_xlfn.XLOOKUP(G143,Data!$D$2:$L$2,Data!$D$1:$L$1,"",1,1),E143="U12B",_xlfn.XLOOKUP(G143,Data!$D$8:$L$8,Data!$D$1:$L$1,"",1,1),E143="U10G",_xlfn.XLOOKUP(G143,Data!$D$15:$L$15,Data!$D$1:$L$1,"",1,1),E143="U12G",_xlfn.XLOOKUP(G143,Data!$D$21:$L$21,Data!$D$1:$L$1,"",1,1)))</f>
        <v/>
      </c>
      <c r="L143" s="184" t="str" cm="1">
        <f t="array" ref="L143">IFERROR(_xlfn.IFNA(
                      _xlfn.IFS(
                      G143="", "",
                      AND(E143="U10B",G143&lt;=Data!$M$2), "U10 Boys record",
                      AND(E143="U12B",G143&lt;=Data!$M$8), "U12 Boys record",
                      AND(E143="U10G",G143&lt;=Data!$M$15), "U10 Girls record",
                      AND(E143="U12G",G143&lt;=Data!$M$21), "U12 Girls record"
                       ),""), "")</f>
        <v/>
      </c>
      <c r="M143" s="19" cm="1">
        <f t="array" ref="M143">_xlfn.IFS($G143="",0, AND(NOT(ISNUMBER($G143)),LOWER($G143)&lt;&gt;"dnf"),"Not a valid time",OR(LOWER($G143)="dnf",$G143&gt;ScoringTable!$M$161),1,RIGHT($E143,1)="B",_xlfn.XLOOKUP($G143,ScoringTable!$M$2:$M$161,ScoringTable!$L$2:$L$161,,1),TRUE,_xlfn.XLOOKUP($G143,ScoringTable!$S$2:$S$161,ScoringTable!$R$2:$R$161,,1))</f>
        <v>0</v>
      </c>
    </row>
    <row r="144" spans="1:13" s="7" customFormat="1" ht="16" customHeight="1">
      <c r="A144" s="280" t="s">
        <v>2</v>
      </c>
      <c r="B144" s="122" t="str">
        <f>IF(ISNA(VLOOKUP($F144,Declarations!B$6:C$293,2,FALSE)),"",IF(VLOOKUP($F144,Declarations!B$6:C$293,2,FALSE)="","NOT DECLARED",IF(ISNA(_xlfn.TEXTBEFORE(VLOOKUP($F144,Declarations!B$6:C$293,2,FALSE)," ")),VLOOKUP($F144,Declarations!B$6:C$293,2,FALSE),_xlfn.TEXTBEFORE(VLOOKUP($F144,Declarations!B$6:C$293,2,FALSE)," "))))</f>
        <v/>
      </c>
      <c r="C144" s="122" t="str">
        <f>IF(ISNA(VLOOKUP($F144,Declarations!B$6:C$293,2,FALSE)),"",IF(VLOOKUP($F144,Declarations!B$6:C$293,2,FALSE)="","NOT DECLARED",IF(ISNA(_xlfn.TEXTAFTER(VLOOKUP($F144,Declarations!B$6:C$293,2,FALSE)," ")),VLOOKUP($F144,Declarations!B$6:C$293,2,FALSE),_xlfn.TEXTAFTER(VLOOKUP($F144,Declarations!B$6:C$293,2,FALSE)," "))))</f>
        <v/>
      </c>
      <c r="D144" s="122" t="str">
        <f>IF(ISNA(VLOOKUP($F144,Declarations!$B$6:$F$293,5,FALSE)),"",IF(VLOOKUP($F144,Declarations!$B$6:$F$293,5,FALSE)="","NOT DECLARED",VLOOKUP($F144,Declarations!$B$6:$F$293,5,FALSE)))</f>
        <v/>
      </c>
      <c r="E144" s="120" t="str">
        <f>IF(ISNA(VLOOKUP($F144,Declarations!$B$6:$D$293,3,FALSE)),"",IF(VLOOKUP($F144,Declarations!$B$6:$D$293,3,FALSE)="","NOT DECLARED",VLOOKUP($F144,Declarations!$B$6:$D$293,3,FALSE)&amp;LEFT(VLOOKUP($F144,Declarations!$B$6:$E$293,4,FALSE))))</f>
        <v/>
      </c>
      <c r="F144" s="59"/>
      <c r="G144" s="130"/>
      <c r="H144" s="130"/>
      <c r="I144" s="122" t="str">
        <f>IF(ISNA(VLOOKUP(F144,Declarations!B$6:C$293,2,FALSE)),"",IF(VLOOKUP(F144,Declarations!B$6:C$293,2,FALSE)="","NOT DECLARED",VLOOKUP(F144,Declarations!B$6:C$293,2,FALSE)))</f>
        <v/>
      </c>
      <c r="J144" s="120">
        <f>IF(LOWER(G144)="dnf",1,IF(G144&lt;ScoringTable!B$3,ScoringTable!I$2,VLOOKUP((1000-G144),ScoringTable!G$2:I$95,3)))</f>
        <v>0</v>
      </c>
      <c r="K144" s="120" t="str" cm="1">
        <f t="array" ref="K144">IF(OR(E144="",G144=""),"",_xlfn.IFS(E144="U10B",_xlfn.XLOOKUP(G144,Data!$D$2:$L$2,Data!$D$1:$L$1,"",1,1),E144="U12B",_xlfn.XLOOKUP(G144,Data!$D$8:$L$8,Data!$D$1:$L$1,"",1,1),E144="U10G",_xlfn.XLOOKUP(G144,Data!$D$15:$L$15,Data!$D$1:$L$1,"",1,1),E144="U12G",_xlfn.XLOOKUP(G144,Data!$D$21:$L$21,Data!$D$1:$L$1,"",1,1)))</f>
        <v/>
      </c>
      <c r="L144" s="184" t="str" cm="1">
        <f t="array" ref="L144">IFERROR(_xlfn.IFNA(
                      _xlfn.IFS(
                      G144="", "",
                      AND(E144="U10B",G144&lt;=Data!$M$2), "U10 Boys record",
                      AND(E144="U12B",G144&lt;=Data!$M$8), "U12 Boys record",
                      AND(E144="U10G",G144&lt;=Data!$M$15), "U10 Girls record",
                      AND(E144="U12G",G144&lt;=Data!$M$21), "U12 Girls record"
                       ),""), "")</f>
        <v/>
      </c>
      <c r="M144" s="19" cm="1">
        <f t="array" ref="M144">_xlfn.IFS($G144="",0, AND(NOT(ISNUMBER($G144)),LOWER($G144)&lt;&gt;"dnf"),"Not a valid time",OR(LOWER($G144)="dnf",$G144&gt;ScoringTable!$M$161),1,RIGHT($E144,1)="B",_xlfn.XLOOKUP($G144,ScoringTable!$M$2:$M$161,ScoringTable!$L$2:$L$161,,1),TRUE,_xlfn.XLOOKUP($G144,ScoringTable!$S$2:$S$161,ScoringTable!$R$2:$R$161,,1))</f>
        <v>0</v>
      </c>
    </row>
    <row r="145" spans="1:13" s="7" customFormat="1" ht="16" customHeight="1">
      <c r="A145" s="280" t="s">
        <v>2</v>
      </c>
      <c r="B145" s="122" t="str">
        <f>IF(ISNA(VLOOKUP($F145,Declarations!B$6:C$293,2,FALSE)),"",IF(VLOOKUP($F145,Declarations!B$6:C$293,2,FALSE)="","NOT DECLARED",IF(ISNA(_xlfn.TEXTBEFORE(VLOOKUP($F145,Declarations!B$6:C$293,2,FALSE)," ")),VLOOKUP($F145,Declarations!B$6:C$293,2,FALSE),_xlfn.TEXTBEFORE(VLOOKUP($F145,Declarations!B$6:C$293,2,FALSE)," "))))</f>
        <v/>
      </c>
      <c r="C145" s="122" t="str">
        <f>IF(ISNA(VLOOKUP($F145,Declarations!B$6:C$293,2,FALSE)),"",IF(VLOOKUP($F145,Declarations!B$6:C$293,2,FALSE)="","NOT DECLARED",IF(ISNA(_xlfn.TEXTAFTER(VLOOKUP($F145,Declarations!B$6:C$293,2,FALSE)," ")),VLOOKUP($F145,Declarations!B$6:C$293,2,FALSE),_xlfn.TEXTAFTER(VLOOKUP($F145,Declarations!B$6:C$293,2,FALSE)," "))))</f>
        <v/>
      </c>
      <c r="D145" s="122" t="str">
        <f>IF(ISNA(VLOOKUP($F145,Declarations!$B$6:$F$293,5,FALSE)),"",IF(VLOOKUP($F145,Declarations!$B$6:$F$293,5,FALSE)="","NOT DECLARED",VLOOKUP($F145,Declarations!$B$6:$F$293,5,FALSE)))</f>
        <v/>
      </c>
      <c r="E145" s="120" t="str">
        <f>IF(ISNA(VLOOKUP($F145,Declarations!$B$6:$D$293,3,FALSE)),"",IF(VLOOKUP($F145,Declarations!$B$6:$D$293,3,FALSE)="","NOT DECLARED",VLOOKUP($F145,Declarations!$B$6:$D$293,3,FALSE)&amp;LEFT(VLOOKUP($F145,Declarations!$B$6:$E$293,4,FALSE))))</f>
        <v/>
      </c>
      <c r="F145" s="59"/>
      <c r="G145" s="130"/>
      <c r="H145" s="130"/>
      <c r="I145" s="122" t="str">
        <f>IF(ISNA(VLOOKUP(F145,Declarations!B$6:C$293,2,FALSE)),"",IF(VLOOKUP(F145,Declarations!B$6:C$293,2,FALSE)="","NOT DECLARED",VLOOKUP(F145,Declarations!B$6:C$293,2,FALSE)))</f>
        <v/>
      </c>
      <c r="J145" s="120">
        <f>IF(LOWER(G145)="dnf",1,IF(G145&lt;ScoringTable!B$3,ScoringTable!I$2,VLOOKUP((1000-G145),ScoringTable!G$2:I$95,3)))</f>
        <v>0</v>
      </c>
      <c r="K145" s="120" t="str" cm="1">
        <f t="array" ref="K145">IF(OR(E145="",G145=""),"",_xlfn.IFS(E145="U10B",_xlfn.XLOOKUP(G145,Data!$D$2:$L$2,Data!$D$1:$L$1,"",1,1),E145="U12B",_xlfn.XLOOKUP(G145,Data!$D$8:$L$8,Data!$D$1:$L$1,"",1,1),E145="U10G",_xlfn.XLOOKUP(G145,Data!$D$15:$L$15,Data!$D$1:$L$1,"",1,1),E145="U12G",_xlfn.XLOOKUP(G145,Data!$D$21:$L$21,Data!$D$1:$L$1,"",1,1)))</f>
        <v/>
      </c>
      <c r="L145" s="184" t="str" cm="1">
        <f t="array" ref="L145">IFERROR(_xlfn.IFNA(
                      _xlfn.IFS(
                      G145="", "",
                      AND(E145="U10B",G145&lt;=Data!$M$2), "U10 Boys record",
                      AND(E145="U12B",G145&lt;=Data!$M$8), "U12 Boys record",
                      AND(E145="U10G",G145&lt;=Data!$M$15), "U10 Girls record",
                      AND(E145="U12G",G145&lt;=Data!$M$21), "U12 Girls record"
                       ),""), "")</f>
        <v/>
      </c>
      <c r="M145" s="19" cm="1">
        <f t="array" ref="M145">_xlfn.IFS($G145="",0, AND(NOT(ISNUMBER($G145)),LOWER($G145)&lt;&gt;"dnf"),"Not a valid time",OR(LOWER($G145)="dnf",$G145&gt;ScoringTable!$M$161),1,RIGHT($E145,1)="B",_xlfn.XLOOKUP($G145,ScoringTable!$M$2:$M$161,ScoringTable!$L$2:$L$161,,1),TRUE,_xlfn.XLOOKUP($G145,ScoringTable!$S$2:$S$161,ScoringTable!$R$2:$R$161,,1))</f>
        <v>0</v>
      </c>
    </row>
    <row r="146" spans="1:13" s="7" customFormat="1" ht="16" customHeight="1">
      <c r="A146" s="280" t="s">
        <v>2</v>
      </c>
      <c r="B146" s="122" t="str">
        <f>IF(ISNA(VLOOKUP($F146,Declarations!B$6:C$293,2,FALSE)),"",IF(VLOOKUP($F146,Declarations!B$6:C$293,2,FALSE)="","NOT DECLARED",IF(ISNA(_xlfn.TEXTBEFORE(VLOOKUP($F146,Declarations!B$6:C$293,2,FALSE)," ")),VLOOKUP($F146,Declarations!B$6:C$293,2,FALSE),_xlfn.TEXTBEFORE(VLOOKUP($F146,Declarations!B$6:C$293,2,FALSE)," "))))</f>
        <v/>
      </c>
      <c r="C146" s="122" t="str">
        <f>IF(ISNA(VLOOKUP($F146,Declarations!B$6:C$293,2,FALSE)),"",IF(VLOOKUP($F146,Declarations!B$6:C$293,2,FALSE)="","NOT DECLARED",IF(ISNA(_xlfn.TEXTAFTER(VLOOKUP($F146,Declarations!B$6:C$293,2,FALSE)," ")),VLOOKUP($F146,Declarations!B$6:C$293,2,FALSE),_xlfn.TEXTAFTER(VLOOKUP($F146,Declarations!B$6:C$293,2,FALSE)," "))))</f>
        <v/>
      </c>
      <c r="D146" s="122" t="str">
        <f>IF(ISNA(VLOOKUP($F146,Declarations!$B$6:$F$293,5,FALSE)),"",IF(VLOOKUP($F146,Declarations!$B$6:$F$293,5,FALSE)="","NOT DECLARED",VLOOKUP($F146,Declarations!$B$6:$F$293,5,FALSE)))</f>
        <v/>
      </c>
      <c r="E146" s="120" t="str">
        <f>IF(ISNA(VLOOKUP($F146,Declarations!$B$6:$D$293,3,FALSE)),"",IF(VLOOKUP($F146,Declarations!$B$6:$D$293,3,FALSE)="","NOT DECLARED",VLOOKUP($F146,Declarations!$B$6:$D$293,3,FALSE)&amp;LEFT(VLOOKUP($F146,Declarations!$B$6:$E$293,4,FALSE))))</f>
        <v/>
      </c>
      <c r="F146" s="59"/>
      <c r="G146" s="130"/>
      <c r="H146" s="130"/>
      <c r="I146" s="122" t="str">
        <f>IF(ISNA(VLOOKUP(F146,Declarations!B$6:C$293,2,FALSE)),"",IF(VLOOKUP(F146,Declarations!B$6:C$293,2,FALSE)="","NOT DECLARED",VLOOKUP(F146,Declarations!B$6:C$293,2,FALSE)))</f>
        <v/>
      </c>
      <c r="J146" s="120">
        <f>IF(LOWER(G146)="dnf",1,IF(G146&lt;ScoringTable!B$3,ScoringTable!I$2,VLOOKUP((1000-G146),ScoringTable!G$2:I$95,3)))</f>
        <v>0</v>
      </c>
      <c r="K146" s="120" t="str" cm="1">
        <f t="array" ref="K146">IF(OR(E146="",G146=""),"",_xlfn.IFS(E146="U10B",_xlfn.XLOOKUP(G146,Data!$D$2:$L$2,Data!$D$1:$L$1,"",1,1),E146="U12B",_xlfn.XLOOKUP(G146,Data!$D$8:$L$8,Data!$D$1:$L$1,"",1,1),E146="U10G",_xlfn.XLOOKUP(G146,Data!$D$15:$L$15,Data!$D$1:$L$1,"",1,1),E146="U12G",_xlfn.XLOOKUP(G146,Data!$D$21:$L$21,Data!$D$1:$L$1,"",1,1)))</f>
        <v/>
      </c>
      <c r="L146" s="184" t="str" cm="1">
        <f t="array" ref="L146">IFERROR(_xlfn.IFNA(
                      _xlfn.IFS(
                      G146="", "",
                      AND(E146="U10B",G146&lt;=Data!$M$2), "U10 Boys record",
                      AND(E146="U12B",G146&lt;=Data!$M$8), "U12 Boys record",
                      AND(E146="U10G",G146&lt;=Data!$M$15), "U10 Girls record",
                      AND(E146="U12G",G146&lt;=Data!$M$21), "U12 Girls record"
                       ),""), "")</f>
        <v/>
      </c>
      <c r="M146" s="19" cm="1">
        <f t="array" ref="M146">_xlfn.IFS($G146="",0, AND(NOT(ISNUMBER($G146)),LOWER($G146)&lt;&gt;"dnf"),"Not a valid time",OR(LOWER($G146)="dnf",$G146&gt;ScoringTable!$M$161),1,RIGHT($E146,1)="B",_xlfn.XLOOKUP($G146,ScoringTable!$M$2:$M$161,ScoringTable!$L$2:$L$161,,1),TRUE,_xlfn.XLOOKUP($G146,ScoringTable!$S$2:$S$161,ScoringTable!$R$2:$R$161,,1))</f>
        <v>0</v>
      </c>
    </row>
    <row r="147" spans="1:13" s="7" customFormat="1" ht="16" customHeight="1">
      <c r="A147" s="280" t="s">
        <v>2</v>
      </c>
      <c r="B147" s="122" t="str">
        <f>IF(ISNA(VLOOKUP($F147,Declarations!B$6:C$293,2,FALSE)),"",IF(VLOOKUP($F147,Declarations!B$6:C$293,2,FALSE)="","NOT DECLARED",IF(ISNA(_xlfn.TEXTBEFORE(VLOOKUP($F147,Declarations!B$6:C$293,2,FALSE)," ")),VLOOKUP($F147,Declarations!B$6:C$293,2,FALSE),_xlfn.TEXTBEFORE(VLOOKUP($F147,Declarations!B$6:C$293,2,FALSE)," "))))</f>
        <v/>
      </c>
      <c r="C147" s="122" t="str">
        <f>IF(ISNA(VLOOKUP($F147,Declarations!B$6:C$293,2,FALSE)),"",IF(VLOOKUP($F147,Declarations!B$6:C$293,2,FALSE)="","NOT DECLARED",IF(ISNA(_xlfn.TEXTAFTER(VLOOKUP($F147,Declarations!B$6:C$293,2,FALSE)," ")),VLOOKUP($F147,Declarations!B$6:C$293,2,FALSE),_xlfn.TEXTAFTER(VLOOKUP($F147,Declarations!B$6:C$293,2,FALSE)," "))))</f>
        <v/>
      </c>
      <c r="D147" s="122" t="str">
        <f>IF(ISNA(VLOOKUP($F147,Declarations!$B$6:$F$293,5,FALSE)),"",IF(VLOOKUP($F147,Declarations!$B$6:$F$293,5,FALSE)="","NOT DECLARED",VLOOKUP($F147,Declarations!$B$6:$F$293,5,FALSE)))</f>
        <v/>
      </c>
      <c r="E147" s="120" t="str">
        <f>IF(ISNA(VLOOKUP($F147,Declarations!$B$6:$D$293,3,FALSE)),"",IF(VLOOKUP($F147,Declarations!$B$6:$D$293,3,FALSE)="","NOT DECLARED",VLOOKUP($F147,Declarations!$B$6:$D$293,3,FALSE)&amp;LEFT(VLOOKUP($F147,Declarations!$B$6:$E$293,4,FALSE))))</f>
        <v/>
      </c>
      <c r="F147" s="59"/>
      <c r="G147" s="130"/>
      <c r="H147" s="130"/>
      <c r="I147" s="122" t="str">
        <f>IF(ISNA(VLOOKUP(F147,Declarations!B$6:C$293,2,FALSE)),"",IF(VLOOKUP(F147,Declarations!B$6:C$293,2,FALSE)="","NOT DECLARED",VLOOKUP(F147,Declarations!B$6:C$293,2,FALSE)))</f>
        <v/>
      </c>
      <c r="J147" s="120">
        <f>IF(LOWER(G147)="dnf",1,IF(G147&lt;ScoringTable!B$3,ScoringTable!I$2,VLOOKUP((1000-G147),ScoringTable!G$2:I$95,3)))</f>
        <v>0</v>
      </c>
      <c r="K147" s="120" t="str" cm="1">
        <f t="array" ref="K147">IF(OR(E147="",G147=""),"",_xlfn.IFS(E147="U10B",_xlfn.XLOOKUP(G147,Data!$D$2:$L$2,Data!$D$1:$L$1,"",1,1),E147="U12B",_xlfn.XLOOKUP(G147,Data!$D$8:$L$8,Data!$D$1:$L$1,"",1,1),E147="U10G",_xlfn.XLOOKUP(G147,Data!$D$15:$L$15,Data!$D$1:$L$1,"",1,1),E147="U12G",_xlfn.XLOOKUP(G147,Data!$D$21:$L$21,Data!$D$1:$L$1,"",1,1)))</f>
        <v/>
      </c>
      <c r="L147" s="184" t="str" cm="1">
        <f t="array" ref="L147">IFERROR(_xlfn.IFNA(
                      _xlfn.IFS(
                      G147="", "",
                      AND(E147="U10B",G147&lt;=Data!$M$2), "U10 Boys record",
                      AND(E147="U12B",G147&lt;=Data!$M$8), "U12 Boys record",
                      AND(E147="U10G",G147&lt;=Data!$M$15), "U10 Girls record",
                      AND(E147="U12G",G147&lt;=Data!$M$21), "U12 Girls record"
                       ),""), "")</f>
        <v/>
      </c>
      <c r="M147" s="19" cm="1">
        <f t="array" ref="M147">_xlfn.IFS($G147="",0, AND(NOT(ISNUMBER($G147)),LOWER($G147)&lt;&gt;"dnf"),"Not a valid time",OR(LOWER($G147)="dnf",$G147&gt;ScoringTable!$M$161),1,RIGHT($E147,1)="B",_xlfn.XLOOKUP($G147,ScoringTable!$M$2:$M$161,ScoringTable!$L$2:$L$161,,1),TRUE,_xlfn.XLOOKUP($G147,ScoringTable!$S$2:$S$161,ScoringTable!$R$2:$R$161,,1))</f>
        <v>0</v>
      </c>
    </row>
    <row r="148" spans="1:13" s="7" customFormat="1" ht="16" customHeight="1">
      <c r="A148" s="280" t="s">
        <v>2</v>
      </c>
      <c r="B148" s="122" t="str">
        <f>IF(ISNA(VLOOKUP($F148,Declarations!B$6:C$293,2,FALSE)),"",IF(VLOOKUP($F148,Declarations!B$6:C$293,2,FALSE)="","NOT DECLARED",IF(ISNA(_xlfn.TEXTBEFORE(VLOOKUP($F148,Declarations!B$6:C$293,2,FALSE)," ")),VLOOKUP($F148,Declarations!B$6:C$293,2,FALSE),_xlfn.TEXTBEFORE(VLOOKUP($F148,Declarations!B$6:C$293,2,FALSE)," "))))</f>
        <v/>
      </c>
      <c r="C148" s="122" t="str">
        <f>IF(ISNA(VLOOKUP($F148,Declarations!B$6:C$293,2,FALSE)),"",IF(VLOOKUP($F148,Declarations!B$6:C$293,2,FALSE)="","NOT DECLARED",IF(ISNA(_xlfn.TEXTAFTER(VLOOKUP($F148,Declarations!B$6:C$293,2,FALSE)," ")),VLOOKUP($F148,Declarations!B$6:C$293,2,FALSE),_xlfn.TEXTAFTER(VLOOKUP($F148,Declarations!B$6:C$293,2,FALSE)," "))))</f>
        <v/>
      </c>
      <c r="D148" s="122" t="str">
        <f>IF(ISNA(VLOOKUP($F148,Declarations!$B$6:$F$293,5,FALSE)),"",IF(VLOOKUP($F148,Declarations!$B$6:$F$293,5,FALSE)="","NOT DECLARED",VLOOKUP($F148,Declarations!$B$6:$F$293,5,FALSE)))</f>
        <v/>
      </c>
      <c r="E148" s="120" t="str">
        <f>IF(ISNA(VLOOKUP($F148,Declarations!$B$6:$D$293,3,FALSE)),"",IF(VLOOKUP($F148,Declarations!$B$6:$D$293,3,FALSE)="","NOT DECLARED",VLOOKUP($F148,Declarations!$B$6:$D$293,3,FALSE)&amp;LEFT(VLOOKUP($F148,Declarations!$B$6:$E$293,4,FALSE))))</f>
        <v/>
      </c>
      <c r="F148" s="59"/>
      <c r="G148" s="130"/>
      <c r="H148" s="130"/>
      <c r="I148" s="122" t="str">
        <f>IF(ISNA(VLOOKUP(F148,Declarations!B$6:C$293,2,FALSE)),"",IF(VLOOKUP(F148,Declarations!B$6:C$293,2,FALSE)="","NOT DECLARED",VLOOKUP(F148,Declarations!B$6:C$293,2,FALSE)))</f>
        <v/>
      </c>
      <c r="J148" s="120">
        <f>IF(LOWER(G148)="dnf",1,IF(G148&lt;ScoringTable!B$3,ScoringTable!I$2,VLOOKUP((1000-G148),ScoringTable!G$2:I$95,3)))</f>
        <v>0</v>
      </c>
      <c r="K148" s="120" t="str" cm="1">
        <f t="array" ref="K148">IF(OR(E148="",G148=""),"",_xlfn.IFS(E148="U10B",_xlfn.XLOOKUP(G148,Data!$D$2:$L$2,Data!$D$1:$L$1,"",1,1),E148="U12B",_xlfn.XLOOKUP(G148,Data!$D$8:$L$8,Data!$D$1:$L$1,"",1,1),E148="U10G",_xlfn.XLOOKUP(G148,Data!$D$15:$L$15,Data!$D$1:$L$1,"",1,1),E148="U12G",_xlfn.XLOOKUP(G148,Data!$D$21:$L$21,Data!$D$1:$L$1,"",1,1)))</f>
        <v/>
      </c>
      <c r="L148" s="184" t="str" cm="1">
        <f t="array" ref="L148">IFERROR(_xlfn.IFNA(
                      _xlfn.IFS(
                      G148="", "",
                      AND(E148="U10B",G148&lt;=Data!$M$2), "U10 Boys record",
                      AND(E148="U12B",G148&lt;=Data!$M$8), "U12 Boys record",
                      AND(E148="U10G",G148&lt;=Data!$M$15), "U10 Girls record",
                      AND(E148="U12G",G148&lt;=Data!$M$21), "U12 Girls record"
                       ),""), "")</f>
        <v/>
      </c>
      <c r="M148" s="19" cm="1">
        <f t="array" ref="M148">_xlfn.IFS($G148="",0, AND(NOT(ISNUMBER($G148)),LOWER($G148)&lt;&gt;"dnf"),"Not a valid time",OR(LOWER($G148)="dnf",$G148&gt;ScoringTable!$M$161),1,RIGHT($E148,1)="B",_xlfn.XLOOKUP($G148,ScoringTable!$M$2:$M$161,ScoringTable!$L$2:$L$161,,1),TRUE,_xlfn.XLOOKUP($G148,ScoringTable!$S$2:$S$161,ScoringTable!$R$2:$R$161,,1))</f>
        <v>0</v>
      </c>
    </row>
    <row r="149" spans="1:13" s="7" customFormat="1" ht="16" customHeight="1">
      <c r="A149" s="280" t="s">
        <v>2</v>
      </c>
      <c r="B149" s="122" t="str">
        <f>IF(ISNA(VLOOKUP($F149,Declarations!B$6:C$293,2,FALSE)),"",IF(VLOOKUP($F149,Declarations!B$6:C$293,2,FALSE)="","NOT DECLARED",IF(ISNA(_xlfn.TEXTBEFORE(VLOOKUP($F149,Declarations!B$6:C$293,2,FALSE)," ")),VLOOKUP($F149,Declarations!B$6:C$293,2,FALSE),_xlfn.TEXTBEFORE(VLOOKUP($F149,Declarations!B$6:C$293,2,FALSE)," "))))</f>
        <v/>
      </c>
      <c r="C149" s="122" t="str">
        <f>IF(ISNA(VLOOKUP($F149,Declarations!B$6:C$293,2,FALSE)),"",IF(VLOOKUP($F149,Declarations!B$6:C$293,2,FALSE)="","NOT DECLARED",IF(ISNA(_xlfn.TEXTAFTER(VLOOKUP($F149,Declarations!B$6:C$293,2,FALSE)," ")),VLOOKUP($F149,Declarations!B$6:C$293,2,FALSE),_xlfn.TEXTAFTER(VLOOKUP($F149,Declarations!B$6:C$293,2,FALSE)," "))))</f>
        <v/>
      </c>
      <c r="D149" s="122" t="str">
        <f>IF(ISNA(VLOOKUP($F149,Declarations!$B$6:$F$293,5,FALSE)),"",IF(VLOOKUP($F149,Declarations!$B$6:$F$293,5,FALSE)="","NOT DECLARED",VLOOKUP($F149,Declarations!$B$6:$F$293,5,FALSE)))</f>
        <v/>
      </c>
      <c r="E149" s="120" t="str">
        <f>IF(ISNA(VLOOKUP($F149,Declarations!$B$6:$D$293,3,FALSE)),"",IF(VLOOKUP($F149,Declarations!$B$6:$D$293,3,FALSE)="","NOT DECLARED",VLOOKUP($F149,Declarations!$B$6:$D$293,3,FALSE)&amp;LEFT(VLOOKUP($F149,Declarations!$B$6:$E$293,4,FALSE))))</f>
        <v/>
      </c>
      <c r="F149" s="59"/>
      <c r="G149" s="130"/>
      <c r="H149" s="130"/>
      <c r="I149" s="122" t="str">
        <f>IF(ISNA(VLOOKUP(F149,Declarations!B$6:C$293,2,FALSE)),"",IF(VLOOKUP(F149,Declarations!B$6:C$293,2,FALSE)="","NOT DECLARED",VLOOKUP(F149,Declarations!B$6:C$293,2,FALSE)))</f>
        <v/>
      </c>
      <c r="J149" s="120">
        <f>IF(LOWER(G149)="dnf",1,IF(G149&lt;ScoringTable!B$3,ScoringTable!I$2,VLOOKUP((1000-G149),ScoringTable!G$2:I$95,3)))</f>
        <v>0</v>
      </c>
      <c r="K149" s="120" t="str" cm="1">
        <f t="array" ref="K149">IF(OR(E149="",G149=""),"",_xlfn.IFS(E149="U10B",_xlfn.XLOOKUP(G149,Data!$D$2:$L$2,Data!$D$1:$L$1,"",1,1),E149="U12B",_xlfn.XLOOKUP(G149,Data!$D$8:$L$8,Data!$D$1:$L$1,"",1,1),E149="U10G",_xlfn.XLOOKUP(G149,Data!$D$15:$L$15,Data!$D$1:$L$1,"",1,1),E149="U12G",_xlfn.XLOOKUP(G149,Data!$D$21:$L$21,Data!$D$1:$L$1,"",1,1)))</f>
        <v/>
      </c>
      <c r="L149" s="184" t="str" cm="1">
        <f t="array" ref="L149">IFERROR(_xlfn.IFNA(
                      _xlfn.IFS(
                      G149="", "",
                      AND(E149="U10B",G149&lt;=Data!$M$2), "U10 Boys record",
                      AND(E149="U12B",G149&lt;=Data!$M$8), "U12 Boys record",
                      AND(E149="U10G",G149&lt;=Data!$M$15), "U10 Girls record",
                      AND(E149="U12G",G149&lt;=Data!$M$21), "U12 Girls record"
                       ),""), "")</f>
        <v/>
      </c>
      <c r="M149" s="19" cm="1">
        <f t="array" ref="M149">_xlfn.IFS($G149="",0, AND(NOT(ISNUMBER($G149)),LOWER($G149)&lt;&gt;"dnf"),"Not a valid time",OR(LOWER($G149)="dnf",$G149&gt;ScoringTable!$M$161),1,RIGHT($E149,1)="B",_xlfn.XLOOKUP($G149,ScoringTable!$M$2:$M$161,ScoringTable!$L$2:$L$161,,1),TRUE,_xlfn.XLOOKUP($G149,ScoringTable!$S$2:$S$161,ScoringTable!$R$2:$R$161,,1))</f>
        <v>0</v>
      </c>
    </row>
    <row r="150" spans="1:13" s="7" customFormat="1" ht="16" customHeight="1">
      <c r="A150" s="280" t="s">
        <v>2</v>
      </c>
      <c r="B150" s="122" t="str">
        <f>IF(ISNA(VLOOKUP($F150,Declarations!B$6:C$293,2,FALSE)),"",IF(VLOOKUP($F150,Declarations!B$6:C$293,2,FALSE)="","NOT DECLARED",IF(ISNA(_xlfn.TEXTBEFORE(VLOOKUP($F150,Declarations!B$6:C$293,2,FALSE)," ")),VLOOKUP($F150,Declarations!B$6:C$293,2,FALSE),_xlfn.TEXTBEFORE(VLOOKUP($F150,Declarations!B$6:C$293,2,FALSE)," "))))</f>
        <v/>
      </c>
      <c r="C150" s="122" t="str">
        <f>IF(ISNA(VLOOKUP($F150,Declarations!B$6:C$293,2,FALSE)),"",IF(VLOOKUP($F150,Declarations!B$6:C$293,2,FALSE)="","NOT DECLARED",IF(ISNA(_xlfn.TEXTAFTER(VLOOKUP($F150,Declarations!B$6:C$293,2,FALSE)," ")),VLOOKUP($F150,Declarations!B$6:C$293,2,FALSE),_xlfn.TEXTAFTER(VLOOKUP($F150,Declarations!B$6:C$293,2,FALSE)," "))))</f>
        <v/>
      </c>
      <c r="D150" s="122" t="str">
        <f>IF(ISNA(VLOOKUP($F150,Declarations!$B$6:$F$293,5,FALSE)),"",IF(VLOOKUP($F150,Declarations!$B$6:$F$293,5,FALSE)="","NOT DECLARED",VLOOKUP($F150,Declarations!$B$6:$F$293,5,FALSE)))</f>
        <v/>
      </c>
      <c r="E150" s="120" t="str">
        <f>IF(ISNA(VLOOKUP($F150,Declarations!$B$6:$D$293,3,FALSE)),"",IF(VLOOKUP($F150,Declarations!$B$6:$D$293,3,FALSE)="","NOT DECLARED",VLOOKUP($F150,Declarations!$B$6:$D$293,3,FALSE)&amp;LEFT(VLOOKUP($F150,Declarations!$B$6:$E$293,4,FALSE))))</f>
        <v/>
      </c>
      <c r="F150" s="59"/>
      <c r="G150" s="130"/>
      <c r="H150" s="130"/>
      <c r="I150" s="122" t="str">
        <f>IF(ISNA(VLOOKUP(F150,Declarations!B$6:C$293,2,FALSE)),"",IF(VLOOKUP(F150,Declarations!B$6:C$293,2,FALSE)="","NOT DECLARED",VLOOKUP(F150,Declarations!B$6:C$293,2,FALSE)))</f>
        <v/>
      </c>
      <c r="J150" s="120">
        <f>IF(LOWER(G150)="dnf",1,IF(G150&lt;ScoringTable!B$3,ScoringTable!I$2,VLOOKUP((1000-G150),ScoringTable!G$2:I$95,3)))</f>
        <v>0</v>
      </c>
      <c r="K150" s="120" t="str" cm="1">
        <f t="array" ref="K150">IF(OR(E150="",G150=""),"",_xlfn.IFS(E150="U10B",_xlfn.XLOOKUP(G150,Data!$D$2:$L$2,Data!$D$1:$L$1,"",1,1),E150="U12B",_xlfn.XLOOKUP(G150,Data!$D$8:$L$8,Data!$D$1:$L$1,"",1,1),E150="U10G",_xlfn.XLOOKUP(G150,Data!$D$15:$L$15,Data!$D$1:$L$1,"",1,1),E150="U12G",_xlfn.XLOOKUP(G150,Data!$D$21:$L$21,Data!$D$1:$L$1,"",1,1)))</f>
        <v/>
      </c>
      <c r="L150" s="184" t="str" cm="1">
        <f t="array" ref="L150">IFERROR(_xlfn.IFNA(
                      _xlfn.IFS(
                      G150="", "",
                      AND(E150="U10B",G150&lt;=Data!$M$2), "U10 Boys record",
                      AND(E150="U12B",G150&lt;=Data!$M$8), "U12 Boys record",
                      AND(E150="U10G",G150&lt;=Data!$M$15), "U10 Girls record",
                      AND(E150="U12G",G150&lt;=Data!$M$21), "U12 Girls record"
                       ),""), "")</f>
        <v/>
      </c>
      <c r="M150" s="19" cm="1">
        <f t="array" ref="M150">_xlfn.IFS($G150="",0, AND(NOT(ISNUMBER($G150)),LOWER($G150)&lt;&gt;"dnf"),"Not a valid time",OR(LOWER($G150)="dnf",$G150&gt;ScoringTable!$M$161),1,RIGHT($E150,1)="B",_xlfn.XLOOKUP($G150,ScoringTable!$M$2:$M$161,ScoringTable!$L$2:$L$161,,1),TRUE,_xlfn.XLOOKUP($G150,ScoringTable!$S$2:$S$161,ScoringTable!$R$2:$R$161,,1))</f>
        <v>0</v>
      </c>
    </row>
    <row r="151" spans="1:13" s="7" customFormat="1" ht="16" customHeight="1">
      <c r="A151" s="280" t="s">
        <v>2</v>
      </c>
      <c r="B151" s="122" t="str">
        <f>IF(ISNA(VLOOKUP($F151,Declarations!B$6:C$293,2,FALSE)),"",IF(VLOOKUP($F151,Declarations!B$6:C$293,2,FALSE)="","NOT DECLARED",IF(ISNA(_xlfn.TEXTBEFORE(VLOOKUP($F151,Declarations!B$6:C$293,2,FALSE)," ")),VLOOKUP($F151,Declarations!B$6:C$293,2,FALSE),_xlfn.TEXTBEFORE(VLOOKUP($F151,Declarations!B$6:C$293,2,FALSE)," "))))</f>
        <v/>
      </c>
      <c r="C151" s="122" t="str">
        <f>IF(ISNA(VLOOKUP($F151,Declarations!B$6:C$293,2,FALSE)),"",IF(VLOOKUP($F151,Declarations!B$6:C$293,2,FALSE)="","NOT DECLARED",IF(ISNA(_xlfn.TEXTAFTER(VLOOKUP($F151,Declarations!B$6:C$293,2,FALSE)," ")),VLOOKUP($F151,Declarations!B$6:C$293,2,FALSE),_xlfn.TEXTAFTER(VLOOKUP($F151,Declarations!B$6:C$293,2,FALSE)," "))))</f>
        <v/>
      </c>
      <c r="D151" s="122" t="str">
        <f>IF(ISNA(VLOOKUP($F151,Declarations!$B$6:$F$293,5,FALSE)),"",IF(VLOOKUP($F151,Declarations!$B$6:$F$293,5,FALSE)="","NOT DECLARED",VLOOKUP($F151,Declarations!$B$6:$F$293,5,FALSE)))</f>
        <v/>
      </c>
      <c r="E151" s="120" t="str">
        <f>IF(ISNA(VLOOKUP($F151,Declarations!$B$6:$D$293,3,FALSE)),"",IF(VLOOKUP($F151,Declarations!$B$6:$D$293,3,FALSE)="","NOT DECLARED",VLOOKUP($F151,Declarations!$B$6:$D$293,3,FALSE)&amp;LEFT(VLOOKUP($F151,Declarations!$B$6:$E$293,4,FALSE))))</f>
        <v/>
      </c>
      <c r="F151" s="59"/>
      <c r="G151" s="130"/>
      <c r="H151" s="130"/>
      <c r="I151" s="122" t="str">
        <f>IF(ISNA(VLOOKUP(F151,Declarations!B$6:C$293,2,FALSE)),"",IF(VLOOKUP(F151,Declarations!B$6:C$293,2,FALSE)="","NOT DECLARED",VLOOKUP(F151,Declarations!B$6:C$293,2,FALSE)))</f>
        <v/>
      </c>
      <c r="J151" s="120">
        <f>IF(LOWER(G151)="dnf",1,IF(G151&lt;ScoringTable!B$3,ScoringTable!I$2,VLOOKUP((1000-G151),ScoringTable!G$2:I$95,3)))</f>
        <v>0</v>
      </c>
      <c r="K151" s="120" t="str" cm="1">
        <f t="array" ref="K151">IF(OR(E151="",G151=""),"",_xlfn.IFS(E151="U10B",_xlfn.XLOOKUP(G151,Data!$D$2:$L$2,Data!$D$1:$L$1,"",1,1),E151="U12B",_xlfn.XLOOKUP(G151,Data!$D$8:$L$8,Data!$D$1:$L$1,"",1,1),E151="U10G",_xlfn.XLOOKUP(G151,Data!$D$15:$L$15,Data!$D$1:$L$1,"",1,1),E151="U12G",_xlfn.XLOOKUP(G151,Data!$D$21:$L$21,Data!$D$1:$L$1,"",1,1)))</f>
        <v/>
      </c>
      <c r="L151" s="184" t="str" cm="1">
        <f t="array" ref="L151">IFERROR(_xlfn.IFNA(
                      _xlfn.IFS(
                      G151="", "",
                      AND(E151="U10B",G151&lt;=Data!$M$2), "U10 Boys record",
                      AND(E151="U12B",G151&lt;=Data!$M$8), "U12 Boys record",
                      AND(E151="U10G",G151&lt;=Data!$M$15), "U10 Girls record",
                      AND(E151="U12G",G151&lt;=Data!$M$21), "U12 Girls record"
                       ),""), "")</f>
        <v/>
      </c>
      <c r="M151" s="19" cm="1">
        <f t="array" ref="M151">_xlfn.IFS($G151="",0, AND(NOT(ISNUMBER($G151)),LOWER($G151)&lt;&gt;"dnf"),"Not a valid time",OR(LOWER($G151)="dnf",$G151&gt;ScoringTable!$M$161),1,RIGHT($E151,1)="B",_xlfn.XLOOKUP($G151,ScoringTable!$M$2:$M$161,ScoringTable!$L$2:$L$161,,1),TRUE,_xlfn.XLOOKUP($G151,ScoringTable!$S$2:$S$161,ScoringTable!$R$2:$R$161,,1))</f>
        <v>0</v>
      </c>
    </row>
    <row r="152" spans="1:13" s="7" customFormat="1" ht="16" customHeight="1">
      <c r="A152" s="280" t="s">
        <v>2</v>
      </c>
      <c r="B152" s="122" t="str">
        <f>IF(ISNA(VLOOKUP($F152,Declarations!B$6:C$293,2,FALSE)),"",IF(VLOOKUP($F152,Declarations!B$6:C$293,2,FALSE)="","NOT DECLARED",IF(ISNA(_xlfn.TEXTBEFORE(VLOOKUP($F152,Declarations!B$6:C$293,2,FALSE)," ")),VLOOKUP($F152,Declarations!B$6:C$293,2,FALSE),_xlfn.TEXTBEFORE(VLOOKUP($F152,Declarations!B$6:C$293,2,FALSE)," "))))</f>
        <v/>
      </c>
      <c r="C152" s="122" t="str">
        <f>IF(ISNA(VLOOKUP($F152,Declarations!B$6:C$293,2,FALSE)),"",IF(VLOOKUP($F152,Declarations!B$6:C$293,2,FALSE)="","NOT DECLARED",IF(ISNA(_xlfn.TEXTAFTER(VLOOKUP($F152,Declarations!B$6:C$293,2,FALSE)," ")),VLOOKUP($F152,Declarations!B$6:C$293,2,FALSE),_xlfn.TEXTAFTER(VLOOKUP($F152,Declarations!B$6:C$293,2,FALSE)," "))))</f>
        <v/>
      </c>
      <c r="D152" s="122" t="str">
        <f>IF(ISNA(VLOOKUP($F152,Declarations!$B$6:$F$293,5,FALSE)),"",IF(VLOOKUP($F152,Declarations!$B$6:$F$293,5,FALSE)="","NOT DECLARED",VLOOKUP($F152,Declarations!$B$6:$F$293,5,FALSE)))</f>
        <v/>
      </c>
      <c r="E152" s="120" t="str">
        <f>IF(ISNA(VLOOKUP($F152,Declarations!$B$6:$D$293,3,FALSE)),"",IF(VLOOKUP($F152,Declarations!$B$6:$D$293,3,FALSE)="","NOT DECLARED",VLOOKUP($F152,Declarations!$B$6:$D$293,3,FALSE)&amp;LEFT(VLOOKUP($F152,Declarations!$B$6:$E$293,4,FALSE))))</f>
        <v/>
      </c>
      <c r="F152" s="59"/>
      <c r="G152" s="130"/>
      <c r="H152" s="130"/>
      <c r="I152" s="122" t="str">
        <f>IF(ISNA(VLOOKUP(F152,Declarations!B$6:C$293,2,FALSE)),"",IF(VLOOKUP(F152,Declarations!B$6:C$293,2,FALSE)="","NOT DECLARED",VLOOKUP(F152,Declarations!B$6:C$293,2,FALSE)))</f>
        <v/>
      </c>
      <c r="J152" s="120">
        <f>IF(LOWER(G152)="dnf",1,IF(G152&lt;ScoringTable!B$3,ScoringTable!I$2,VLOOKUP((1000-G152),ScoringTable!G$2:I$95,3)))</f>
        <v>0</v>
      </c>
      <c r="K152" s="120" t="str" cm="1">
        <f t="array" ref="K152">IF(OR(E152="",G152=""),"",_xlfn.IFS(E152="U10B",_xlfn.XLOOKUP(G152,Data!$D$2:$L$2,Data!$D$1:$L$1,"",1,1),E152="U12B",_xlfn.XLOOKUP(G152,Data!$D$8:$L$8,Data!$D$1:$L$1,"",1,1),E152="U10G",_xlfn.XLOOKUP(G152,Data!$D$15:$L$15,Data!$D$1:$L$1,"",1,1),E152="U12G",_xlfn.XLOOKUP(G152,Data!$D$21:$L$21,Data!$D$1:$L$1,"",1,1)))</f>
        <v/>
      </c>
      <c r="L152" s="184" t="str" cm="1">
        <f t="array" ref="L152">IFERROR(_xlfn.IFNA(
                      _xlfn.IFS(
                      G152="", "",
                      AND(E152="U10B",G152&lt;=Data!$M$2), "U10 Boys record",
                      AND(E152="U12B",G152&lt;=Data!$M$8), "U12 Boys record",
                      AND(E152="U10G",G152&lt;=Data!$M$15), "U10 Girls record",
                      AND(E152="U12G",G152&lt;=Data!$M$21), "U12 Girls record"
                       ),""), "")</f>
        <v/>
      </c>
      <c r="M152" s="19" cm="1">
        <f t="array" ref="M152">_xlfn.IFS($G152="",0, AND(NOT(ISNUMBER($G152)),LOWER($G152)&lt;&gt;"dnf"),"Not a valid time",OR(LOWER($G152)="dnf",$G152&gt;ScoringTable!$M$161),1,RIGHT($E152,1)="B",_xlfn.XLOOKUP($G152,ScoringTable!$M$2:$M$161,ScoringTable!$L$2:$L$161,,1),TRUE,_xlfn.XLOOKUP($G152,ScoringTable!$S$2:$S$161,ScoringTable!$R$2:$R$161,,1))</f>
        <v>0</v>
      </c>
    </row>
    <row r="153" spans="1:13" s="7" customFormat="1" ht="16" customHeight="1">
      <c r="A153" s="280" t="s">
        <v>2</v>
      </c>
      <c r="B153" s="122" t="str">
        <f>IF(ISNA(VLOOKUP($F153,Declarations!B$6:C$293,2,FALSE)),"",IF(VLOOKUP($F153,Declarations!B$6:C$293,2,FALSE)="","NOT DECLARED",IF(ISNA(_xlfn.TEXTBEFORE(VLOOKUP($F153,Declarations!B$6:C$293,2,FALSE)," ")),VLOOKUP($F153,Declarations!B$6:C$293,2,FALSE),_xlfn.TEXTBEFORE(VLOOKUP($F153,Declarations!B$6:C$293,2,FALSE)," "))))</f>
        <v/>
      </c>
      <c r="C153" s="122" t="str">
        <f>IF(ISNA(VLOOKUP($F153,Declarations!B$6:C$293,2,FALSE)),"",IF(VLOOKUP($F153,Declarations!B$6:C$293,2,FALSE)="","NOT DECLARED",IF(ISNA(_xlfn.TEXTAFTER(VLOOKUP($F153,Declarations!B$6:C$293,2,FALSE)," ")),VLOOKUP($F153,Declarations!B$6:C$293,2,FALSE),_xlfn.TEXTAFTER(VLOOKUP($F153,Declarations!B$6:C$293,2,FALSE)," "))))</f>
        <v/>
      </c>
      <c r="D153" s="122" t="str">
        <f>IF(ISNA(VLOOKUP($F153,Declarations!$B$6:$F$293,5,FALSE)),"",IF(VLOOKUP($F153,Declarations!$B$6:$F$293,5,FALSE)="","NOT DECLARED",VLOOKUP($F153,Declarations!$B$6:$F$293,5,FALSE)))</f>
        <v/>
      </c>
      <c r="E153" s="120" t="str">
        <f>IF(ISNA(VLOOKUP($F153,Declarations!$B$6:$D$293,3,FALSE)),"",IF(VLOOKUP($F153,Declarations!$B$6:$D$293,3,FALSE)="","NOT DECLARED",VLOOKUP($F153,Declarations!$B$6:$D$293,3,FALSE)&amp;LEFT(VLOOKUP($F153,Declarations!$B$6:$E$293,4,FALSE))))</f>
        <v/>
      </c>
      <c r="F153" s="59"/>
      <c r="G153" s="130"/>
      <c r="H153" s="130"/>
      <c r="I153" s="122" t="str">
        <f>IF(ISNA(VLOOKUP(F153,Declarations!B$6:C$293,2,FALSE)),"",IF(VLOOKUP(F153,Declarations!B$6:C$293,2,FALSE)="","NOT DECLARED",VLOOKUP(F153,Declarations!B$6:C$293,2,FALSE)))</f>
        <v/>
      </c>
      <c r="J153" s="120">
        <f>IF(LOWER(G153)="dnf",1,IF(G153&lt;ScoringTable!B$3,ScoringTable!I$2,VLOOKUP((1000-G153),ScoringTable!G$2:I$95,3)))</f>
        <v>0</v>
      </c>
      <c r="K153" s="120" t="str" cm="1">
        <f t="array" ref="K153">IF(OR(E153="",G153=""),"",_xlfn.IFS(E153="U10B",_xlfn.XLOOKUP(G153,Data!$D$2:$L$2,Data!$D$1:$L$1,"",1,1),E153="U12B",_xlfn.XLOOKUP(G153,Data!$D$8:$L$8,Data!$D$1:$L$1,"",1,1),E153="U10G",_xlfn.XLOOKUP(G153,Data!$D$15:$L$15,Data!$D$1:$L$1,"",1,1),E153="U12G",_xlfn.XLOOKUP(G153,Data!$D$21:$L$21,Data!$D$1:$L$1,"",1,1)))</f>
        <v/>
      </c>
      <c r="L153" s="184" t="str" cm="1">
        <f t="array" ref="L153">IFERROR(_xlfn.IFNA(
                      _xlfn.IFS(
                      G153="", "",
                      AND(E153="U10B",G153&lt;=Data!$M$2), "U10 Boys record",
                      AND(E153="U12B",G153&lt;=Data!$M$8), "U12 Boys record",
                      AND(E153="U10G",G153&lt;=Data!$M$15), "U10 Girls record",
                      AND(E153="U12G",G153&lt;=Data!$M$21), "U12 Girls record"
                       ),""), "")</f>
        <v/>
      </c>
      <c r="M153" s="19" cm="1">
        <f t="array" ref="M153">_xlfn.IFS($G153="",0, AND(NOT(ISNUMBER($G153)),LOWER($G153)&lt;&gt;"dnf"),"Not a valid time",OR(LOWER($G153)="dnf",$G153&gt;ScoringTable!$M$161),1,RIGHT($E153,1)="B",_xlfn.XLOOKUP($G153,ScoringTable!$M$2:$M$161,ScoringTable!$L$2:$L$161,,1),TRUE,_xlfn.XLOOKUP($G153,ScoringTable!$S$2:$S$161,ScoringTable!$R$2:$R$161,,1))</f>
        <v>0</v>
      </c>
    </row>
    <row r="154" spans="1:13" s="7" customFormat="1" ht="16" customHeight="1">
      <c r="A154" s="280" t="s">
        <v>2</v>
      </c>
      <c r="B154" s="122" t="str">
        <f>IF(ISNA(VLOOKUP($F154,Declarations!B$6:C$293,2,FALSE)),"",IF(VLOOKUP($F154,Declarations!B$6:C$293,2,FALSE)="","NOT DECLARED",IF(ISNA(_xlfn.TEXTBEFORE(VLOOKUP($F154,Declarations!B$6:C$293,2,FALSE)," ")),VLOOKUP($F154,Declarations!B$6:C$293,2,FALSE),_xlfn.TEXTBEFORE(VLOOKUP($F154,Declarations!B$6:C$293,2,FALSE)," "))))</f>
        <v/>
      </c>
      <c r="C154" s="122" t="str">
        <f>IF(ISNA(VLOOKUP($F154,Declarations!B$6:C$293,2,FALSE)),"",IF(VLOOKUP($F154,Declarations!B$6:C$293,2,FALSE)="","NOT DECLARED",IF(ISNA(_xlfn.TEXTAFTER(VLOOKUP($F154,Declarations!B$6:C$293,2,FALSE)," ")),VLOOKUP($F154,Declarations!B$6:C$293,2,FALSE),_xlfn.TEXTAFTER(VLOOKUP($F154,Declarations!B$6:C$293,2,FALSE)," "))))</f>
        <v/>
      </c>
      <c r="D154" s="122" t="str">
        <f>IF(ISNA(VLOOKUP($F154,Declarations!$B$6:$F$293,5,FALSE)),"",IF(VLOOKUP($F154,Declarations!$B$6:$F$293,5,FALSE)="","NOT DECLARED",VLOOKUP($F154,Declarations!$B$6:$F$293,5,FALSE)))</f>
        <v/>
      </c>
      <c r="E154" s="120" t="str">
        <f>IF(ISNA(VLOOKUP($F154,Declarations!$B$6:$D$293,3,FALSE)),"",IF(VLOOKUP($F154,Declarations!$B$6:$D$293,3,FALSE)="","NOT DECLARED",VLOOKUP($F154,Declarations!$B$6:$D$293,3,FALSE)&amp;LEFT(VLOOKUP($F154,Declarations!$B$6:$E$293,4,FALSE))))</f>
        <v/>
      </c>
      <c r="F154" s="59"/>
      <c r="G154" s="130"/>
      <c r="H154" s="130"/>
      <c r="I154" s="122" t="str">
        <f>IF(ISNA(VLOOKUP(F154,Declarations!B$6:C$293,2,FALSE)),"",IF(VLOOKUP(F154,Declarations!B$6:C$293,2,FALSE)="","NOT DECLARED",VLOOKUP(F154,Declarations!B$6:C$293,2,FALSE)))</f>
        <v/>
      </c>
      <c r="J154" s="120">
        <f>IF(LOWER(G154)="dnf",1,IF(G154&lt;ScoringTable!B$3,ScoringTable!I$2,VLOOKUP((1000-G154),ScoringTable!G$2:I$95,3)))</f>
        <v>0</v>
      </c>
      <c r="K154" s="120" t="str" cm="1">
        <f t="array" ref="K154">IF(OR(E154="",G154=""),"",_xlfn.IFS(E154="U10B",_xlfn.XLOOKUP(G154,Data!$D$2:$L$2,Data!$D$1:$L$1,"",1,1),E154="U12B",_xlfn.XLOOKUP(G154,Data!$D$8:$L$8,Data!$D$1:$L$1,"",1,1),E154="U10G",_xlfn.XLOOKUP(G154,Data!$D$15:$L$15,Data!$D$1:$L$1,"",1,1),E154="U12G",_xlfn.XLOOKUP(G154,Data!$D$21:$L$21,Data!$D$1:$L$1,"",1,1)))</f>
        <v/>
      </c>
      <c r="L154" s="184" t="str" cm="1">
        <f t="array" ref="L154">IFERROR(_xlfn.IFNA(
                      _xlfn.IFS(
                      G154="", "",
                      AND(E154="U10B",G154&lt;=Data!$M$2), "U10 Boys record",
                      AND(E154="U12B",G154&lt;=Data!$M$8), "U12 Boys record",
                      AND(E154="U10G",G154&lt;=Data!$M$15), "U10 Girls record",
                      AND(E154="U12G",G154&lt;=Data!$M$21), "U12 Girls record"
                       ),""), "")</f>
        <v/>
      </c>
      <c r="M154" s="19" cm="1">
        <f t="array" ref="M154">_xlfn.IFS($G154="",0, AND(NOT(ISNUMBER($G154)),LOWER($G154)&lt;&gt;"dnf"),"Not a valid time",OR(LOWER($G154)="dnf",$G154&gt;ScoringTable!$M$161),1,RIGHT($E154,1)="B",_xlfn.XLOOKUP($G154,ScoringTable!$M$2:$M$161,ScoringTable!$L$2:$L$161,,1),TRUE,_xlfn.XLOOKUP($G154,ScoringTable!$S$2:$S$161,ScoringTable!$R$2:$R$161,,1))</f>
        <v>0</v>
      </c>
    </row>
    <row r="155" spans="1:13" s="7" customFormat="1" ht="16" customHeight="1">
      <c r="A155" s="280" t="s">
        <v>2</v>
      </c>
      <c r="B155" s="122" t="str">
        <f>IF(ISNA(VLOOKUP($F155,Declarations!B$6:C$293,2,FALSE)),"",IF(VLOOKUP($F155,Declarations!B$6:C$293,2,FALSE)="","NOT DECLARED",IF(ISNA(_xlfn.TEXTBEFORE(VLOOKUP($F155,Declarations!B$6:C$293,2,FALSE)," ")),VLOOKUP($F155,Declarations!B$6:C$293,2,FALSE),_xlfn.TEXTBEFORE(VLOOKUP($F155,Declarations!B$6:C$293,2,FALSE)," "))))</f>
        <v/>
      </c>
      <c r="C155" s="122" t="str">
        <f>IF(ISNA(VLOOKUP($F155,Declarations!B$6:C$293,2,FALSE)),"",IF(VLOOKUP($F155,Declarations!B$6:C$293,2,FALSE)="","NOT DECLARED",IF(ISNA(_xlfn.TEXTAFTER(VLOOKUP($F155,Declarations!B$6:C$293,2,FALSE)," ")),VLOOKUP($F155,Declarations!B$6:C$293,2,FALSE),_xlfn.TEXTAFTER(VLOOKUP($F155,Declarations!B$6:C$293,2,FALSE)," "))))</f>
        <v/>
      </c>
      <c r="D155" s="122" t="str">
        <f>IF(ISNA(VLOOKUP($F155,Declarations!$B$6:$F$293,5,FALSE)),"",IF(VLOOKUP($F155,Declarations!$B$6:$F$293,5,FALSE)="","NOT DECLARED",VLOOKUP($F155,Declarations!$B$6:$F$293,5,FALSE)))</f>
        <v/>
      </c>
      <c r="E155" s="120" t="str">
        <f>IF(ISNA(VLOOKUP($F155,Declarations!$B$6:$D$293,3,FALSE)),"",IF(VLOOKUP($F155,Declarations!$B$6:$D$293,3,FALSE)="","NOT DECLARED",VLOOKUP($F155,Declarations!$B$6:$D$293,3,FALSE)&amp;LEFT(VLOOKUP($F155,Declarations!$B$6:$E$293,4,FALSE))))</f>
        <v/>
      </c>
      <c r="F155" s="59"/>
      <c r="G155" s="130"/>
      <c r="H155" s="130"/>
      <c r="I155" s="122" t="str">
        <f>IF(ISNA(VLOOKUP(F155,Declarations!B$6:C$293,2,FALSE)),"",IF(VLOOKUP(F155,Declarations!B$6:C$293,2,FALSE)="","NOT DECLARED",VLOOKUP(F155,Declarations!B$6:C$293,2,FALSE)))</f>
        <v/>
      </c>
      <c r="J155" s="120">
        <f>IF(LOWER(G155)="dnf",1,IF(G155&lt;ScoringTable!B$3,ScoringTable!I$2,VLOOKUP((1000-G155),ScoringTable!G$2:I$95,3)))</f>
        <v>0</v>
      </c>
      <c r="K155" s="120" t="str" cm="1">
        <f t="array" ref="K155">IF(OR(E155="",G155=""),"",_xlfn.IFS(E155="U10B",_xlfn.XLOOKUP(G155,Data!$D$2:$L$2,Data!$D$1:$L$1,"",1,1),E155="U12B",_xlfn.XLOOKUP(G155,Data!$D$8:$L$8,Data!$D$1:$L$1,"",1,1),E155="U10G",_xlfn.XLOOKUP(G155,Data!$D$15:$L$15,Data!$D$1:$L$1,"",1,1),E155="U12G",_xlfn.XLOOKUP(G155,Data!$D$21:$L$21,Data!$D$1:$L$1,"",1,1)))</f>
        <v/>
      </c>
      <c r="L155" s="184" t="str" cm="1">
        <f t="array" ref="L155">IFERROR(_xlfn.IFNA(
                      _xlfn.IFS(
                      G155="", "",
                      AND(E155="U10B",G155&lt;=Data!$M$2), "U10 Boys record",
                      AND(E155="U12B",G155&lt;=Data!$M$8), "U12 Boys record",
                      AND(E155="U10G",G155&lt;=Data!$M$15), "U10 Girls record",
                      AND(E155="U12G",G155&lt;=Data!$M$21), "U12 Girls record"
                       ),""), "")</f>
        <v/>
      </c>
      <c r="M155" s="19" cm="1">
        <f t="array" ref="M155">_xlfn.IFS($G155="",0, AND(NOT(ISNUMBER($G155)),LOWER($G155)&lt;&gt;"dnf"),"Not a valid time",OR(LOWER($G155)="dnf",$G155&gt;ScoringTable!$M$161),1,RIGHT($E155,1)="B",_xlfn.XLOOKUP($G155,ScoringTable!$M$2:$M$161,ScoringTable!$L$2:$L$161,,1),TRUE,_xlfn.XLOOKUP($G155,ScoringTable!$S$2:$S$161,ScoringTable!$R$2:$R$161,,1))</f>
        <v>0</v>
      </c>
    </row>
    <row r="156" spans="1:13" s="7" customFormat="1" ht="16" customHeight="1">
      <c r="A156" s="280" t="s">
        <v>2</v>
      </c>
      <c r="B156" s="122" t="str">
        <f>IF(ISNA(VLOOKUP($F156,Declarations!B$6:C$293,2,FALSE)),"",IF(VLOOKUP($F156,Declarations!B$6:C$293,2,FALSE)="","NOT DECLARED",IF(ISNA(_xlfn.TEXTBEFORE(VLOOKUP($F156,Declarations!B$6:C$293,2,FALSE)," ")),VLOOKUP($F156,Declarations!B$6:C$293,2,FALSE),_xlfn.TEXTBEFORE(VLOOKUP($F156,Declarations!B$6:C$293,2,FALSE)," "))))</f>
        <v/>
      </c>
      <c r="C156" s="122" t="str">
        <f>IF(ISNA(VLOOKUP($F156,Declarations!B$6:C$293,2,FALSE)),"",IF(VLOOKUP($F156,Declarations!B$6:C$293,2,FALSE)="","NOT DECLARED",IF(ISNA(_xlfn.TEXTAFTER(VLOOKUP($F156,Declarations!B$6:C$293,2,FALSE)," ")),VLOOKUP($F156,Declarations!B$6:C$293,2,FALSE),_xlfn.TEXTAFTER(VLOOKUP($F156,Declarations!B$6:C$293,2,FALSE)," "))))</f>
        <v/>
      </c>
      <c r="D156" s="122" t="str">
        <f>IF(ISNA(VLOOKUP($F156,Declarations!$B$6:$F$293,5,FALSE)),"",IF(VLOOKUP($F156,Declarations!$B$6:$F$293,5,FALSE)="","NOT DECLARED",VLOOKUP($F156,Declarations!$B$6:$F$293,5,FALSE)))</f>
        <v/>
      </c>
      <c r="E156" s="120" t="str">
        <f>IF(ISNA(VLOOKUP($F156,Declarations!$B$6:$D$293,3,FALSE)),"",IF(VLOOKUP($F156,Declarations!$B$6:$D$293,3,FALSE)="","NOT DECLARED",VLOOKUP($F156,Declarations!$B$6:$D$293,3,FALSE)&amp;LEFT(VLOOKUP($F156,Declarations!$B$6:$E$293,4,FALSE))))</f>
        <v/>
      </c>
      <c r="F156" s="59"/>
      <c r="G156" s="130"/>
      <c r="H156" s="130"/>
      <c r="I156" s="122" t="str">
        <f>IF(ISNA(VLOOKUP(F156,Declarations!B$6:C$293,2,FALSE)),"",IF(VLOOKUP(F156,Declarations!B$6:C$293,2,FALSE)="","NOT DECLARED",VLOOKUP(F156,Declarations!B$6:C$293,2,FALSE)))</f>
        <v/>
      </c>
      <c r="J156" s="120">
        <f>IF(LOWER(G156)="dnf",1,IF(G156&lt;ScoringTable!B$3,ScoringTable!I$2,VLOOKUP((1000-G156),ScoringTable!G$2:I$95,3)))</f>
        <v>0</v>
      </c>
      <c r="K156" s="120" t="str" cm="1">
        <f t="array" ref="K156">IF(OR(E156="",G156=""),"",_xlfn.IFS(E156="U10B",_xlfn.XLOOKUP(G156,Data!$D$2:$L$2,Data!$D$1:$L$1,"",1,1),E156="U12B",_xlfn.XLOOKUP(G156,Data!$D$8:$L$8,Data!$D$1:$L$1,"",1,1),E156="U10G",_xlfn.XLOOKUP(G156,Data!$D$15:$L$15,Data!$D$1:$L$1,"",1,1),E156="U12G",_xlfn.XLOOKUP(G156,Data!$D$21:$L$21,Data!$D$1:$L$1,"",1,1)))</f>
        <v/>
      </c>
      <c r="L156" s="184" t="str" cm="1">
        <f t="array" ref="L156">IFERROR(_xlfn.IFNA(
                      _xlfn.IFS(
                      G156="", "",
                      AND(E156="U10B",G156&lt;=Data!$M$2), "U10 Boys record",
                      AND(E156="U12B",G156&lt;=Data!$M$8), "U12 Boys record",
                      AND(E156="U10G",G156&lt;=Data!$M$15), "U10 Girls record",
                      AND(E156="U12G",G156&lt;=Data!$M$21), "U12 Girls record"
                       ),""), "")</f>
        <v/>
      </c>
      <c r="M156" s="19" cm="1">
        <f t="array" ref="M156">_xlfn.IFS($G156="",0, AND(NOT(ISNUMBER($G156)),LOWER($G156)&lt;&gt;"dnf"),"Not a valid time",OR(LOWER($G156)="dnf",$G156&gt;ScoringTable!$M$161),1,RIGHT($E156,1)="B",_xlfn.XLOOKUP($G156,ScoringTable!$M$2:$M$161,ScoringTable!$L$2:$L$161,,1),TRUE,_xlfn.XLOOKUP($G156,ScoringTable!$S$2:$S$161,ScoringTable!$R$2:$R$161,,1))</f>
        <v>0</v>
      </c>
    </row>
    <row r="157" spans="1:13" s="7" customFormat="1" ht="16" customHeight="1">
      <c r="A157" s="280" t="s">
        <v>2</v>
      </c>
      <c r="B157" s="122" t="str">
        <f>IF(ISNA(VLOOKUP($F157,Declarations!B$6:C$293,2,FALSE)),"",IF(VLOOKUP($F157,Declarations!B$6:C$293,2,FALSE)="","NOT DECLARED",IF(ISNA(_xlfn.TEXTBEFORE(VLOOKUP($F157,Declarations!B$6:C$293,2,FALSE)," ")),VLOOKUP($F157,Declarations!B$6:C$293,2,FALSE),_xlfn.TEXTBEFORE(VLOOKUP($F157,Declarations!B$6:C$293,2,FALSE)," "))))</f>
        <v/>
      </c>
      <c r="C157" s="122" t="str">
        <f>IF(ISNA(VLOOKUP($F157,Declarations!B$6:C$293,2,FALSE)),"",IF(VLOOKUP($F157,Declarations!B$6:C$293,2,FALSE)="","NOT DECLARED",IF(ISNA(_xlfn.TEXTAFTER(VLOOKUP($F157,Declarations!B$6:C$293,2,FALSE)," ")),VLOOKUP($F157,Declarations!B$6:C$293,2,FALSE),_xlfn.TEXTAFTER(VLOOKUP($F157,Declarations!B$6:C$293,2,FALSE)," "))))</f>
        <v/>
      </c>
      <c r="D157" s="122" t="str">
        <f>IF(ISNA(VLOOKUP($F157,Declarations!$B$6:$F$293,5,FALSE)),"",IF(VLOOKUP($F157,Declarations!$B$6:$F$293,5,FALSE)="","NOT DECLARED",VLOOKUP($F157,Declarations!$B$6:$F$293,5,FALSE)))</f>
        <v/>
      </c>
      <c r="E157" s="120" t="str">
        <f>IF(ISNA(VLOOKUP($F157,Declarations!$B$6:$D$293,3,FALSE)),"",IF(VLOOKUP($F157,Declarations!$B$6:$D$293,3,FALSE)="","NOT DECLARED",VLOOKUP($F157,Declarations!$B$6:$D$293,3,FALSE)&amp;LEFT(VLOOKUP($F157,Declarations!$B$6:$E$293,4,FALSE))))</f>
        <v/>
      </c>
      <c r="F157" s="59"/>
      <c r="G157" s="130"/>
      <c r="H157" s="130"/>
      <c r="I157" s="122" t="str">
        <f>IF(ISNA(VLOOKUP(F157,Declarations!B$6:C$293,2,FALSE)),"",IF(VLOOKUP(F157,Declarations!B$6:C$293,2,FALSE)="","NOT DECLARED",VLOOKUP(F157,Declarations!B$6:C$293,2,FALSE)))</f>
        <v/>
      </c>
      <c r="J157" s="120">
        <f>IF(LOWER(G157)="dnf",1,IF(G157&lt;ScoringTable!B$3,ScoringTable!I$2,VLOOKUP((1000-G157),ScoringTable!G$2:I$95,3)))</f>
        <v>0</v>
      </c>
      <c r="K157" s="120" t="str" cm="1">
        <f t="array" ref="K157">IF(OR(E157="",G157=""),"",_xlfn.IFS(E157="U10B",_xlfn.XLOOKUP(G157,Data!$D$2:$L$2,Data!$D$1:$L$1,"",1,1),E157="U12B",_xlfn.XLOOKUP(G157,Data!$D$8:$L$8,Data!$D$1:$L$1,"",1,1),E157="U10G",_xlfn.XLOOKUP(G157,Data!$D$15:$L$15,Data!$D$1:$L$1,"",1,1),E157="U12G",_xlfn.XLOOKUP(G157,Data!$D$21:$L$21,Data!$D$1:$L$1,"",1,1)))</f>
        <v/>
      </c>
      <c r="L157" s="184" t="str" cm="1">
        <f t="array" ref="L157">IFERROR(_xlfn.IFNA(
                      _xlfn.IFS(
                      G157="", "",
                      AND(E157="U10B",G157&lt;=Data!$M$2), "U10 Boys record",
                      AND(E157="U12B",G157&lt;=Data!$M$8), "U12 Boys record",
                      AND(E157="U10G",G157&lt;=Data!$M$15), "U10 Girls record",
                      AND(E157="U12G",G157&lt;=Data!$M$21), "U12 Girls record"
                       ),""), "")</f>
        <v/>
      </c>
      <c r="M157" s="19" cm="1">
        <f t="array" ref="M157">_xlfn.IFS($G157="",0, AND(NOT(ISNUMBER($G157)),LOWER($G157)&lt;&gt;"dnf"),"Not a valid time",OR(LOWER($G157)="dnf",$G157&gt;ScoringTable!$M$161),1,RIGHT($E157,1)="B",_xlfn.XLOOKUP($G157,ScoringTable!$M$2:$M$161,ScoringTable!$L$2:$L$161,,1),TRUE,_xlfn.XLOOKUP($G157,ScoringTable!$S$2:$S$161,ScoringTable!$R$2:$R$161,,1))</f>
        <v>0</v>
      </c>
    </row>
    <row r="158" spans="1:13" s="7" customFormat="1" ht="16" customHeight="1">
      <c r="A158" s="280" t="s">
        <v>2</v>
      </c>
      <c r="B158" s="122" t="str">
        <f>IF(ISNA(VLOOKUP($F158,Declarations!B$6:C$293,2,FALSE)),"",IF(VLOOKUP($F158,Declarations!B$6:C$293,2,FALSE)="","NOT DECLARED",IF(ISNA(_xlfn.TEXTBEFORE(VLOOKUP($F158,Declarations!B$6:C$293,2,FALSE)," ")),VLOOKUP($F158,Declarations!B$6:C$293,2,FALSE),_xlfn.TEXTBEFORE(VLOOKUP($F158,Declarations!B$6:C$293,2,FALSE)," "))))</f>
        <v/>
      </c>
      <c r="C158" s="122" t="str">
        <f>IF(ISNA(VLOOKUP($F158,Declarations!B$6:C$293,2,FALSE)),"",IF(VLOOKUP($F158,Declarations!B$6:C$293,2,FALSE)="","NOT DECLARED",IF(ISNA(_xlfn.TEXTAFTER(VLOOKUP($F158,Declarations!B$6:C$293,2,FALSE)," ")),VLOOKUP($F158,Declarations!B$6:C$293,2,FALSE),_xlfn.TEXTAFTER(VLOOKUP($F158,Declarations!B$6:C$293,2,FALSE)," "))))</f>
        <v/>
      </c>
      <c r="D158" s="122" t="str">
        <f>IF(ISNA(VLOOKUP($F158,Declarations!$B$6:$F$293,5,FALSE)),"",IF(VLOOKUP($F158,Declarations!$B$6:$F$293,5,FALSE)="","NOT DECLARED",VLOOKUP($F158,Declarations!$B$6:$F$293,5,FALSE)))</f>
        <v/>
      </c>
      <c r="E158" s="120" t="str">
        <f>IF(ISNA(VLOOKUP($F158,Declarations!$B$6:$D$293,3,FALSE)),"",IF(VLOOKUP($F158,Declarations!$B$6:$D$293,3,FALSE)="","NOT DECLARED",VLOOKUP($F158,Declarations!$B$6:$D$293,3,FALSE)&amp;LEFT(VLOOKUP($F158,Declarations!$B$6:$E$293,4,FALSE))))</f>
        <v/>
      </c>
      <c r="F158" s="59"/>
      <c r="G158" s="130"/>
      <c r="H158" s="130"/>
      <c r="I158" s="122" t="str">
        <f>IF(ISNA(VLOOKUP(F158,Declarations!B$6:C$293,2,FALSE)),"",IF(VLOOKUP(F158,Declarations!B$6:C$293,2,FALSE)="","NOT DECLARED",VLOOKUP(F158,Declarations!B$6:C$293,2,FALSE)))</f>
        <v/>
      </c>
      <c r="J158" s="120">
        <f>IF(LOWER(G158)="dnf",1,IF(G158&lt;ScoringTable!B$3,ScoringTable!I$2,VLOOKUP((1000-G158),ScoringTable!G$2:I$95,3)))</f>
        <v>0</v>
      </c>
      <c r="K158" s="120" t="str" cm="1">
        <f t="array" ref="K158">IF(OR(E158="",G158=""),"",_xlfn.IFS(E158="U10B",_xlfn.XLOOKUP(G158,Data!$D$2:$L$2,Data!$D$1:$L$1,"",1,1),E158="U12B",_xlfn.XLOOKUP(G158,Data!$D$8:$L$8,Data!$D$1:$L$1,"",1,1),E158="U10G",_xlfn.XLOOKUP(G158,Data!$D$15:$L$15,Data!$D$1:$L$1,"",1,1),E158="U12G",_xlfn.XLOOKUP(G158,Data!$D$21:$L$21,Data!$D$1:$L$1,"",1,1)))</f>
        <v/>
      </c>
      <c r="L158" s="184" t="str" cm="1">
        <f t="array" ref="L158">IFERROR(_xlfn.IFNA(
                      _xlfn.IFS(
                      G158="", "",
                      AND(E158="U10B",G158&lt;=Data!$M$2), "U10 Boys record",
                      AND(E158="U12B",G158&lt;=Data!$M$8), "U12 Boys record",
                      AND(E158="U10G",G158&lt;=Data!$M$15), "U10 Girls record",
                      AND(E158="U12G",G158&lt;=Data!$M$21), "U12 Girls record"
                       ),""), "")</f>
        <v/>
      </c>
      <c r="M158" s="19" cm="1">
        <f t="array" ref="M158">_xlfn.IFS($G158="",0, AND(NOT(ISNUMBER($G158)),LOWER($G158)&lt;&gt;"dnf"),"Not a valid time",OR(LOWER($G158)="dnf",$G158&gt;ScoringTable!$M$161),1,RIGHT($E158,1)="B",_xlfn.XLOOKUP($G158,ScoringTable!$M$2:$M$161,ScoringTable!$L$2:$L$161,,1),TRUE,_xlfn.XLOOKUP($G158,ScoringTable!$S$2:$S$161,ScoringTable!$R$2:$R$161,,1))</f>
        <v>0</v>
      </c>
    </row>
    <row r="159" spans="1:13" s="7" customFormat="1" ht="16" customHeight="1">
      <c r="A159" s="280" t="s">
        <v>2</v>
      </c>
      <c r="B159" s="122" t="str">
        <f>IF(ISNA(VLOOKUP($F159,Declarations!B$6:C$293,2,FALSE)),"",IF(VLOOKUP($F159,Declarations!B$6:C$293,2,FALSE)="","NOT DECLARED",IF(ISNA(_xlfn.TEXTBEFORE(VLOOKUP($F159,Declarations!B$6:C$293,2,FALSE)," ")),VLOOKUP($F159,Declarations!B$6:C$293,2,FALSE),_xlfn.TEXTBEFORE(VLOOKUP($F159,Declarations!B$6:C$293,2,FALSE)," "))))</f>
        <v/>
      </c>
      <c r="C159" s="122" t="str">
        <f>IF(ISNA(VLOOKUP($F159,Declarations!B$6:C$293,2,FALSE)),"",IF(VLOOKUP($F159,Declarations!B$6:C$293,2,FALSE)="","NOT DECLARED",IF(ISNA(_xlfn.TEXTAFTER(VLOOKUP($F159,Declarations!B$6:C$293,2,FALSE)," ")),VLOOKUP($F159,Declarations!B$6:C$293,2,FALSE),_xlfn.TEXTAFTER(VLOOKUP($F159,Declarations!B$6:C$293,2,FALSE)," "))))</f>
        <v/>
      </c>
      <c r="D159" s="122" t="str">
        <f>IF(ISNA(VLOOKUP($F159,Declarations!$B$6:$F$293,5,FALSE)),"",IF(VLOOKUP($F159,Declarations!$B$6:$F$293,5,FALSE)="","NOT DECLARED",VLOOKUP($F159,Declarations!$B$6:$F$293,5,FALSE)))</f>
        <v/>
      </c>
      <c r="E159" s="120" t="str">
        <f>IF(ISNA(VLOOKUP($F159,Declarations!$B$6:$D$293,3,FALSE)),"",IF(VLOOKUP($F159,Declarations!$B$6:$D$293,3,FALSE)="","NOT DECLARED",VLOOKUP($F159,Declarations!$B$6:$D$293,3,FALSE)&amp;LEFT(VLOOKUP($F159,Declarations!$B$6:$E$293,4,FALSE))))</f>
        <v/>
      </c>
      <c r="F159" s="59"/>
      <c r="G159" s="130"/>
      <c r="H159" s="130"/>
      <c r="I159" s="122" t="str">
        <f>IF(ISNA(VLOOKUP(F159,Declarations!B$6:C$293,2,FALSE)),"",IF(VLOOKUP(F159,Declarations!B$6:C$293,2,FALSE)="","NOT DECLARED",VLOOKUP(F159,Declarations!B$6:C$293,2,FALSE)))</f>
        <v/>
      </c>
      <c r="J159" s="120">
        <f>IF(LOWER(G159)="dnf",1,IF(G159&lt;ScoringTable!B$3,ScoringTable!I$2,VLOOKUP((1000-G159),ScoringTable!G$2:I$95,3)))</f>
        <v>0</v>
      </c>
      <c r="K159" s="120" t="str" cm="1">
        <f t="array" ref="K159">IF(OR(E159="",G159=""),"",_xlfn.IFS(E159="U10B",_xlfn.XLOOKUP(G159,Data!$D$2:$L$2,Data!$D$1:$L$1,"",1,1),E159="U12B",_xlfn.XLOOKUP(G159,Data!$D$8:$L$8,Data!$D$1:$L$1,"",1,1),E159="U10G",_xlfn.XLOOKUP(G159,Data!$D$15:$L$15,Data!$D$1:$L$1,"",1,1),E159="U12G",_xlfn.XLOOKUP(G159,Data!$D$21:$L$21,Data!$D$1:$L$1,"",1,1)))</f>
        <v/>
      </c>
      <c r="L159" s="184" t="str" cm="1">
        <f t="array" ref="L159">IFERROR(_xlfn.IFNA(
                      _xlfn.IFS(
                      G159="", "",
                      AND(E159="U10B",G159&lt;=Data!$M$2), "U10 Boys record",
                      AND(E159="U12B",G159&lt;=Data!$M$8), "U12 Boys record",
                      AND(E159="U10G",G159&lt;=Data!$M$15), "U10 Girls record",
                      AND(E159="U12G",G159&lt;=Data!$M$21), "U12 Girls record"
                       ),""), "")</f>
        <v/>
      </c>
      <c r="M159" s="19" cm="1">
        <f t="array" ref="M159">_xlfn.IFS($G159="",0, AND(NOT(ISNUMBER($G159)),LOWER($G159)&lt;&gt;"dnf"),"Not a valid time",OR(LOWER($G159)="dnf",$G159&gt;ScoringTable!$M$161),1,RIGHT($E159,1)="B",_xlfn.XLOOKUP($G159,ScoringTable!$M$2:$M$161,ScoringTable!$L$2:$L$161,,1),TRUE,_xlfn.XLOOKUP($G159,ScoringTable!$S$2:$S$161,ScoringTable!$R$2:$R$161,,1))</f>
        <v>0</v>
      </c>
    </row>
    <row r="160" spans="1:13" s="7" customFormat="1" ht="16" customHeight="1">
      <c r="A160" s="280" t="s">
        <v>2</v>
      </c>
      <c r="B160" s="122" t="str">
        <f>IF(ISNA(VLOOKUP($F160,Declarations!B$6:C$293,2,FALSE)),"",IF(VLOOKUP($F160,Declarations!B$6:C$293,2,FALSE)="","NOT DECLARED",IF(ISNA(_xlfn.TEXTBEFORE(VLOOKUP($F160,Declarations!B$6:C$293,2,FALSE)," ")),VLOOKUP($F160,Declarations!B$6:C$293,2,FALSE),_xlfn.TEXTBEFORE(VLOOKUP($F160,Declarations!B$6:C$293,2,FALSE)," "))))</f>
        <v/>
      </c>
      <c r="C160" s="122" t="str">
        <f>IF(ISNA(VLOOKUP($F160,Declarations!B$6:C$293,2,FALSE)),"",IF(VLOOKUP($F160,Declarations!B$6:C$293,2,FALSE)="","NOT DECLARED",IF(ISNA(_xlfn.TEXTAFTER(VLOOKUP($F160,Declarations!B$6:C$293,2,FALSE)," ")),VLOOKUP($F160,Declarations!B$6:C$293,2,FALSE),_xlfn.TEXTAFTER(VLOOKUP($F160,Declarations!B$6:C$293,2,FALSE)," "))))</f>
        <v/>
      </c>
      <c r="D160" s="122" t="str">
        <f>IF(ISNA(VLOOKUP($F160,Declarations!$B$6:$F$293,5,FALSE)),"",IF(VLOOKUP($F160,Declarations!$B$6:$F$293,5,FALSE)="","NOT DECLARED",VLOOKUP($F160,Declarations!$B$6:$F$293,5,FALSE)))</f>
        <v/>
      </c>
      <c r="E160" s="120" t="str">
        <f>IF(ISNA(VLOOKUP($F160,Declarations!$B$6:$D$293,3,FALSE)),"",IF(VLOOKUP($F160,Declarations!$B$6:$D$293,3,FALSE)="","NOT DECLARED",VLOOKUP($F160,Declarations!$B$6:$D$293,3,FALSE)&amp;LEFT(VLOOKUP($F160,Declarations!$B$6:$E$293,4,FALSE))))</f>
        <v/>
      </c>
      <c r="F160" s="59"/>
      <c r="G160" s="130"/>
      <c r="H160" s="130"/>
      <c r="I160" s="122" t="str">
        <f>IF(ISNA(VLOOKUP(F160,Declarations!B$6:C$293,2,FALSE)),"",IF(VLOOKUP(F160,Declarations!B$6:C$293,2,FALSE)="","NOT DECLARED",VLOOKUP(F160,Declarations!B$6:C$293,2,FALSE)))</f>
        <v/>
      </c>
      <c r="J160" s="120">
        <f>IF(LOWER(G160)="dnf",1,IF(G160&lt;ScoringTable!B$3,ScoringTable!I$2,VLOOKUP((1000-G160),ScoringTable!G$2:I$95,3)))</f>
        <v>0</v>
      </c>
      <c r="K160" s="120" t="str" cm="1">
        <f t="array" ref="K160">IF(OR(E160="",G160=""),"",_xlfn.IFS(E160="U10B",_xlfn.XLOOKUP(G160,Data!$D$2:$L$2,Data!$D$1:$L$1,"",1,1),E160="U12B",_xlfn.XLOOKUP(G160,Data!$D$8:$L$8,Data!$D$1:$L$1,"",1,1),E160="U10G",_xlfn.XLOOKUP(G160,Data!$D$15:$L$15,Data!$D$1:$L$1,"",1,1),E160="U12G",_xlfn.XLOOKUP(G160,Data!$D$21:$L$21,Data!$D$1:$L$1,"",1,1)))</f>
        <v/>
      </c>
      <c r="L160" s="184" t="str" cm="1">
        <f t="array" ref="L160">IFERROR(_xlfn.IFNA(
                      _xlfn.IFS(
                      G160="", "",
                      AND(E160="U10B",G160&lt;=Data!$M$2), "U10 Boys record",
                      AND(E160="U12B",G160&lt;=Data!$M$8), "U12 Boys record",
                      AND(E160="U10G",G160&lt;=Data!$M$15), "U10 Girls record",
                      AND(E160="U12G",G160&lt;=Data!$M$21), "U12 Girls record"
                       ),""), "")</f>
        <v/>
      </c>
      <c r="M160" s="19" cm="1">
        <f t="array" ref="M160">_xlfn.IFS($G160="",0, AND(NOT(ISNUMBER($G160)),LOWER($G160)&lt;&gt;"dnf"),"Not a valid time",OR(LOWER($G160)="dnf",$G160&gt;ScoringTable!$M$161),1,RIGHT($E160,1)="B",_xlfn.XLOOKUP($G160,ScoringTable!$M$2:$M$161,ScoringTable!$L$2:$L$161,,1),TRUE,_xlfn.XLOOKUP($G160,ScoringTable!$S$2:$S$161,ScoringTable!$R$2:$R$161,,1))</f>
        <v>0</v>
      </c>
    </row>
    <row r="161" spans="1:13" s="7" customFormat="1" ht="16" customHeight="1">
      <c r="A161" s="280" t="s">
        <v>2</v>
      </c>
      <c r="B161" s="122" t="str">
        <f>IF(ISNA(VLOOKUP($F161,Declarations!B$6:C$293,2,FALSE)),"",IF(VLOOKUP($F161,Declarations!B$6:C$293,2,FALSE)="","NOT DECLARED",IF(ISNA(_xlfn.TEXTBEFORE(VLOOKUP($F161,Declarations!B$6:C$293,2,FALSE)," ")),VLOOKUP($F161,Declarations!B$6:C$293,2,FALSE),_xlfn.TEXTBEFORE(VLOOKUP($F161,Declarations!B$6:C$293,2,FALSE)," "))))</f>
        <v/>
      </c>
      <c r="C161" s="122" t="str">
        <f>IF(ISNA(VLOOKUP($F161,Declarations!B$6:C$293,2,FALSE)),"",IF(VLOOKUP($F161,Declarations!B$6:C$293,2,FALSE)="","NOT DECLARED",IF(ISNA(_xlfn.TEXTAFTER(VLOOKUP($F161,Declarations!B$6:C$293,2,FALSE)," ")),VLOOKUP($F161,Declarations!B$6:C$293,2,FALSE),_xlfn.TEXTAFTER(VLOOKUP($F161,Declarations!B$6:C$293,2,FALSE)," "))))</f>
        <v/>
      </c>
      <c r="D161" s="122" t="str">
        <f>IF(ISNA(VLOOKUP($F161,Declarations!$B$6:$F$293,5,FALSE)),"",IF(VLOOKUP($F161,Declarations!$B$6:$F$293,5,FALSE)="","NOT DECLARED",VLOOKUP($F161,Declarations!$B$6:$F$293,5,FALSE)))</f>
        <v/>
      </c>
      <c r="E161" s="120" t="str">
        <f>IF(ISNA(VLOOKUP($F161,Declarations!$B$6:$D$293,3,FALSE)),"",IF(VLOOKUP($F161,Declarations!$B$6:$D$293,3,FALSE)="","NOT DECLARED",VLOOKUP($F161,Declarations!$B$6:$D$293,3,FALSE)&amp;LEFT(VLOOKUP($F161,Declarations!$B$6:$E$293,4,FALSE))))</f>
        <v/>
      </c>
      <c r="F161" s="59"/>
      <c r="G161" s="130"/>
      <c r="H161" s="130"/>
      <c r="I161" s="122" t="str">
        <f>IF(ISNA(VLOOKUP(F161,Declarations!B$6:C$293,2,FALSE)),"",IF(VLOOKUP(F161,Declarations!B$6:C$293,2,FALSE)="","NOT DECLARED",VLOOKUP(F161,Declarations!B$6:C$293,2,FALSE)))</f>
        <v/>
      </c>
      <c r="J161" s="120">
        <f>IF(LOWER(G161)="dnf",1,IF(G161&lt;ScoringTable!B$3,ScoringTable!I$2,VLOOKUP((1000-G161),ScoringTable!G$2:I$95,3)))</f>
        <v>0</v>
      </c>
      <c r="K161" s="120" t="str" cm="1">
        <f t="array" ref="K161">IF(OR(E161="",G161=""),"",_xlfn.IFS(E161="U10B",_xlfn.XLOOKUP(G161,Data!$D$2:$L$2,Data!$D$1:$L$1,"",1,1),E161="U12B",_xlfn.XLOOKUP(G161,Data!$D$8:$L$8,Data!$D$1:$L$1,"",1,1),E161="U10G",_xlfn.XLOOKUP(G161,Data!$D$15:$L$15,Data!$D$1:$L$1,"",1,1),E161="U12G",_xlfn.XLOOKUP(G161,Data!$D$21:$L$21,Data!$D$1:$L$1,"",1,1)))</f>
        <v/>
      </c>
      <c r="L161" s="184" t="str" cm="1">
        <f t="array" ref="L161">IFERROR(_xlfn.IFNA(
                      _xlfn.IFS(
                      G161="", "",
                      AND(E161="U10B",G161&lt;=Data!$M$2), "U10 Boys record",
                      AND(E161="U12B",G161&lt;=Data!$M$8), "U12 Boys record",
                      AND(E161="U10G",G161&lt;=Data!$M$15), "U10 Girls record",
                      AND(E161="U12G",G161&lt;=Data!$M$21), "U12 Girls record"
                       ),""), "")</f>
        <v/>
      </c>
      <c r="M161" s="19" cm="1">
        <f t="array" ref="M161">_xlfn.IFS($G161="",0, AND(NOT(ISNUMBER($G161)),LOWER($G161)&lt;&gt;"dnf"),"Not a valid time",OR(LOWER($G161)="dnf",$G161&gt;ScoringTable!$M$161),1,RIGHT($E161,1)="B",_xlfn.XLOOKUP($G161,ScoringTable!$M$2:$M$161,ScoringTable!$L$2:$L$161,,1),TRUE,_xlfn.XLOOKUP($G161,ScoringTable!$S$2:$S$161,ScoringTable!$R$2:$R$161,,1))</f>
        <v>0</v>
      </c>
    </row>
    <row r="162" spans="1:13" s="7" customFormat="1" ht="16" customHeight="1">
      <c r="A162" s="280" t="s">
        <v>2</v>
      </c>
      <c r="B162" s="122" t="str">
        <f>IF(ISNA(VLOOKUP($F162,Declarations!B$6:C$293,2,FALSE)),"",IF(VLOOKUP($F162,Declarations!B$6:C$293,2,FALSE)="","NOT DECLARED",IF(ISNA(_xlfn.TEXTBEFORE(VLOOKUP($F162,Declarations!B$6:C$293,2,FALSE)," ")),VLOOKUP($F162,Declarations!B$6:C$293,2,FALSE),_xlfn.TEXTBEFORE(VLOOKUP($F162,Declarations!B$6:C$293,2,FALSE)," "))))</f>
        <v/>
      </c>
      <c r="C162" s="122" t="str">
        <f>IF(ISNA(VLOOKUP($F162,Declarations!B$6:C$293,2,FALSE)),"",IF(VLOOKUP($F162,Declarations!B$6:C$293,2,FALSE)="","NOT DECLARED",IF(ISNA(_xlfn.TEXTAFTER(VLOOKUP($F162,Declarations!B$6:C$293,2,FALSE)," ")),VLOOKUP($F162,Declarations!B$6:C$293,2,FALSE),_xlfn.TEXTAFTER(VLOOKUP($F162,Declarations!B$6:C$293,2,FALSE)," "))))</f>
        <v/>
      </c>
      <c r="D162" s="122" t="str">
        <f>IF(ISNA(VLOOKUP($F162,Declarations!$B$6:$F$293,5,FALSE)),"",IF(VLOOKUP($F162,Declarations!$B$6:$F$293,5,FALSE)="","NOT DECLARED",VLOOKUP($F162,Declarations!$B$6:$F$293,5,FALSE)))</f>
        <v/>
      </c>
      <c r="E162" s="120" t="str">
        <f>IF(ISNA(VLOOKUP($F162,Declarations!$B$6:$D$293,3,FALSE)),"",IF(VLOOKUP($F162,Declarations!$B$6:$D$293,3,FALSE)="","NOT DECLARED",VLOOKUP($F162,Declarations!$B$6:$D$293,3,FALSE)&amp;LEFT(VLOOKUP($F162,Declarations!$B$6:$E$293,4,FALSE))))</f>
        <v/>
      </c>
      <c r="F162" s="59"/>
      <c r="G162" s="130"/>
      <c r="H162" s="130"/>
      <c r="I162" s="122" t="str">
        <f>IF(ISNA(VLOOKUP(F162,Declarations!B$6:C$293,2,FALSE)),"",IF(VLOOKUP(F162,Declarations!B$6:C$293,2,FALSE)="","NOT DECLARED",VLOOKUP(F162,Declarations!B$6:C$293,2,FALSE)))</f>
        <v/>
      </c>
      <c r="J162" s="120">
        <f>IF(LOWER(G162)="dnf",1,IF(G162&lt;ScoringTable!B$3,ScoringTable!I$2,VLOOKUP((1000-G162),ScoringTable!G$2:I$95,3)))</f>
        <v>0</v>
      </c>
      <c r="K162" s="120" t="str" cm="1">
        <f t="array" ref="K162">IF(OR(E162="",G162=""),"",_xlfn.IFS(E162="U10B",_xlfn.XLOOKUP(G162,Data!$D$2:$L$2,Data!$D$1:$L$1,"",1,1),E162="U12B",_xlfn.XLOOKUP(G162,Data!$D$8:$L$8,Data!$D$1:$L$1,"",1,1),E162="U10G",_xlfn.XLOOKUP(G162,Data!$D$15:$L$15,Data!$D$1:$L$1,"",1,1),E162="U12G",_xlfn.XLOOKUP(G162,Data!$D$21:$L$21,Data!$D$1:$L$1,"",1,1)))</f>
        <v/>
      </c>
      <c r="L162" s="184" t="str" cm="1">
        <f t="array" ref="L162">IFERROR(_xlfn.IFNA(
                      _xlfn.IFS(
                      G162="", "",
                      AND(E162="U10B",G162&lt;=Data!$M$2), "U10 Boys record",
                      AND(E162="U12B",G162&lt;=Data!$M$8), "U12 Boys record",
                      AND(E162="U10G",G162&lt;=Data!$M$15), "U10 Girls record",
                      AND(E162="U12G",G162&lt;=Data!$M$21), "U12 Girls record"
                       ),""), "")</f>
        <v/>
      </c>
      <c r="M162" s="19" cm="1">
        <f t="array" ref="M162">_xlfn.IFS($G162="",0, AND(NOT(ISNUMBER($G162)),LOWER($G162)&lt;&gt;"dnf"),"Not a valid time",OR(LOWER($G162)="dnf",$G162&gt;ScoringTable!$M$161),1,RIGHT($E162,1)="B",_xlfn.XLOOKUP($G162,ScoringTable!$M$2:$M$161,ScoringTable!$L$2:$L$161,,1),TRUE,_xlfn.XLOOKUP($G162,ScoringTable!$S$2:$S$161,ScoringTable!$R$2:$R$161,,1))</f>
        <v>0</v>
      </c>
    </row>
    <row r="163" spans="1:13" s="7" customFormat="1" ht="16" customHeight="1">
      <c r="A163" s="280" t="s">
        <v>2</v>
      </c>
      <c r="B163" s="122" t="str">
        <f>IF(ISNA(VLOOKUP($F163,Declarations!B$6:C$293,2,FALSE)),"",IF(VLOOKUP($F163,Declarations!B$6:C$293,2,FALSE)="","NOT DECLARED",IF(ISNA(_xlfn.TEXTBEFORE(VLOOKUP($F163,Declarations!B$6:C$293,2,FALSE)," ")),VLOOKUP($F163,Declarations!B$6:C$293,2,FALSE),_xlfn.TEXTBEFORE(VLOOKUP($F163,Declarations!B$6:C$293,2,FALSE)," "))))</f>
        <v/>
      </c>
      <c r="C163" s="122" t="str">
        <f>IF(ISNA(VLOOKUP($F163,Declarations!B$6:C$293,2,FALSE)),"",IF(VLOOKUP($F163,Declarations!B$6:C$293,2,FALSE)="","NOT DECLARED",IF(ISNA(_xlfn.TEXTAFTER(VLOOKUP($F163,Declarations!B$6:C$293,2,FALSE)," ")),VLOOKUP($F163,Declarations!B$6:C$293,2,FALSE),_xlfn.TEXTAFTER(VLOOKUP($F163,Declarations!B$6:C$293,2,FALSE)," "))))</f>
        <v/>
      </c>
      <c r="D163" s="122" t="str">
        <f>IF(ISNA(VLOOKUP($F163,Declarations!$B$6:$F$293,5,FALSE)),"",IF(VLOOKUP($F163,Declarations!$B$6:$F$293,5,FALSE)="","NOT DECLARED",VLOOKUP($F163,Declarations!$B$6:$F$293,5,FALSE)))</f>
        <v/>
      </c>
      <c r="E163" s="120" t="str">
        <f>IF(ISNA(VLOOKUP($F163,Declarations!$B$6:$D$293,3,FALSE)),"",IF(VLOOKUP($F163,Declarations!$B$6:$D$293,3,FALSE)="","NOT DECLARED",VLOOKUP($F163,Declarations!$B$6:$D$293,3,FALSE)&amp;LEFT(VLOOKUP($F163,Declarations!$B$6:$E$293,4,FALSE))))</f>
        <v/>
      </c>
      <c r="F163" s="59"/>
      <c r="G163" s="130"/>
      <c r="H163" s="130"/>
      <c r="I163" s="122" t="str">
        <f>IF(ISNA(VLOOKUP(F163,Declarations!B$6:C$293,2,FALSE)),"",IF(VLOOKUP(F163,Declarations!B$6:C$293,2,FALSE)="","NOT DECLARED",VLOOKUP(F163,Declarations!B$6:C$293,2,FALSE)))</f>
        <v/>
      </c>
      <c r="J163" s="120">
        <f>IF(LOWER(G163)="dnf",1,IF(G163&lt;ScoringTable!B$3,ScoringTable!I$2,VLOOKUP((1000-G163),ScoringTable!G$2:I$95,3)))</f>
        <v>0</v>
      </c>
      <c r="K163" s="120" t="str" cm="1">
        <f t="array" ref="K163">IF(OR(E163="",G163=""),"",_xlfn.IFS(E163="U10B",_xlfn.XLOOKUP(G163,Data!$D$2:$L$2,Data!$D$1:$L$1,"",1,1),E163="U12B",_xlfn.XLOOKUP(G163,Data!$D$8:$L$8,Data!$D$1:$L$1,"",1,1),E163="U10G",_xlfn.XLOOKUP(G163,Data!$D$15:$L$15,Data!$D$1:$L$1,"",1,1),E163="U12G",_xlfn.XLOOKUP(G163,Data!$D$21:$L$21,Data!$D$1:$L$1,"",1,1)))</f>
        <v/>
      </c>
      <c r="L163" s="184" t="str" cm="1">
        <f t="array" ref="L163">IFERROR(_xlfn.IFNA(
                      _xlfn.IFS(
                      G163="", "",
                      AND(E163="U10B",G163&lt;=Data!$M$2), "U10 Boys record",
                      AND(E163="U12B",G163&lt;=Data!$M$8), "U12 Boys record",
                      AND(E163="U10G",G163&lt;=Data!$M$15), "U10 Girls record",
                      AND(E163="U12G",G163&lt;=Data!$M$21), "U12 Girls record"
                       ),""), "")</f>
        <v/>
      </c>
      <c r="M163" s="19" cm="1">
        <f t="array" ref="M163">_xlfn.IFS($G163="",0, AND(NOT(ISNUMBER($G163)),LOWER($G163)&lt;&gt;"dnf"),"Not a valid time",OR(LOWER($G163)="dnf",$G163&gt;ScoringTable!$M$161),1,RIGHT($E163,1)="B",_xlfn.XLOOKUP($G163,ScoringTable!$M$2:$M$161,ScoringTable!$L$2:$L$161,,1),TRUE,_xlfn.XLOOKUP($G163,ScoringTable!$S$2:$S$161,ScoringTable!$R$2:$R$161,,1))</f>
        <v>0</v>
      </c>
    </row>
    <row r="164" spans="1:13" s="7" customFormat="1" ht="16" customHeight="1">
      <c r="A164" s="280" t="s">
        <v>2</v>
      </c>
      <c r="B164" s="122" t="str">
        <f>IF(ISNA(VLOOKUP($F164,Declarations!B$6:C$293,2,FALSE)),"",IF(VLOOKUP($F164,Declarations!B$6:C$293,2,FALSE)="","NOT DECLARED",IF(ISNA(_xlfn.TEXTBEFORE(VLOOKUP($F164,Declarations!B$6:C$293,2,FALSE)," ")),VLOOKUP($F164,Declarations!B$6:C$293,2,FALSE),_xlfn.TEXTBEFORE(VLOOKUP($F164,Declarations!B$6:C$293,2,FALSE)," "))))</f>
        <v/>
      </c>
      <c r="C164" s="122" t="str">
        <f>IF(ISNA(VLOOKUP($F164,Declarations!B$6:C$293,2,FALSE)),"",IF(VLOOKUP($F164,Declarations!B$6:C$293,2,FALSE)="","NOT DECLARED",IF(ISNA(_xlfn.TEXTAFTER(VLOOKUP($F164,Declarations!B$6:C$293,2,FALSE)," ")),VLOOKUP($F164,Declarations!B$6:C$293,2,FALSE),_xlfn.TEXTAFTER(VLOOKUP($F164,Declarations!B$6:C$293,2,FALSE)," "))))</f>
        <v/>
      </c>
      <c r="D164" s="122" t="str">
        <f>IF(ISNA(VLOOKUP($F164,Declarations!$B$6:$F$293,5,FALSE)),"",IF(VLOOKUP($F164,Declarations!$B$6:$F$293,5,FALSE)="","NOT DECLARED",VLOOKUP($F164,Declarations!$B$6:$F$293,5,FALSE)))</f>
        <v/>
      </c>
      <c r="E164" s="120" t="str">
        <f>IF(ISNA(VLOOKUP($F164,Declarations!$B$6:$D$293,3,FALSE)),"",IF(VLOOKUP($F164,Declarations!$B$6:$D$293,3,FALSE)="","NOT DECLARED",VLOOKUP($F164,Declarations!$B$6:$D$293,3,FALSE)&amp;LEFT(VLOOKUP($F164,Declarations!$B$6:$E$293,4,FALSE))))</f>
        <v/>
      </c>
      <c r="F164" s="59"/>
      <c r="G164" s="130"/>
      <c r="H164" s="130"/>
      <c r="I164" s="122" t="str">
        <f>IF(ISNA(VLOOKUP(F164,Declarations!B$6:C$293,2,FALSE)),"",IF(VLOOKUP(F164,Declarations!B$6:C$293,2,FALSE)="","NOT DECLARED",VLOOKUP(F164,Declarations!B$6:C$293,2,FALSE)))</f>
        <v/>
      </c>
      <c r="J164" s="120">
        <f>IF(LOWER(G164)="dnf",1,IF(G164&lt;ScoringTable!B$3,ScoringTable!I$2,VLOOKUP((1000-G164),ScoringTable!G$2:I$95,3)))</f>
        <v>0</v>
      </c>
      <c r="K164" s="120" t="str" cm="1">
        <f t="array" ref="K164">IF(OR(E164="",G164=""),"",_xlfn.IFS(E164="U10B",_xlfn.XLOOKUP(G164,Data!$D$2:$L$2,Data!$D$1:$L$1,"",1,1),E164="U12B",_xlfn.XLOOKUP(G164,Data!$D$8:$L$8,Data!$D$1:$L$1,"",1,1),E164="U10G",_xlfn.XLOOKUP(G164,Data!$D$15:$L$15,Data!$D$1:$L$1,"",1,1),E164="U12G",_xlfn.XLOOKUP(G164,Data!$D$21:$L$21,Data!$D$1:$L$1,"",1,1)))</f>
        <v/>
      </c>
      <c r="L164" s="184" t="str" cm="1">
        <f t="array" ref="L164">IFERROR(_xlfn.IFNA(
                      _xlfn.IFS(
                      G164="", "",
                      AND(E164="U10B",G164&lt;=Data!$M$2), "U10 Boys record",
                      AND(E164="U12B",G164&lt;=Data!$M$8), "U12 Boys record",
                      AND(E164="U10G",G164&lt;=Data!$M$15), "U10 Girls record",
                      AND(E164="U12G",G164&lt;=Data!$M$21), "U12 Girls record"
                       ),""), "")</f>
        <v/>
      </c>
      <c r="M164" s="19" cm="1">
        <f t="array" ref="M164">_xlfn.IFS($G164="",0, AND(NOT(ISNUMBER($G164)),LOWER($G164)&lt;&gt;"dnf"),"Not a valid time",OR(LOWER($G164)="dnf",$G164&gt;ScoringTable!$M$161),1,RIGHT($E164,1)="B",_xlfn.XLOOKUP($G164,ScoringTable!$M$2:$M$161,ScoringTable!$L$2:$L$161,,1),TRUE,_xlfn.XLOOKUP($G164,ScoringTable!$S$2:$S$161,ScoringTable!$R$2:$R$161,,1))</f>
        <v>0</v>
      </c>
    </row>
    <row r="165" spans="1:13" s="7" customFormat="1" ht="16" customHeight="1">
      <c r="A165" s="280" t="s">
        <v>2</v>
      </c>
      <c r="B165" s="122" t="str">
        <f>IF(ISNA(VLOOKUP($F165,Declarations!B$6:C$293,2,FALSE)),"",IF(VLOOKUP($F165,Declarations!B$6:C$293,2,FALSE)="","NOT DECLARED",IF(ISNA(_xlfn.TEXTBEFORE(VLOOKUP($F165,Declarations!B$6:C$293,2,FALSE)," ")),VLOOKUP($F165,Declarations!B$6:C$293,2,FALSE),_xlfn.TEXTBEFORE(VLOOKUP($F165,Declarations!B$6:C$293,2,FALSE)," "))))</f>
        <v/>
      </c>
      <c r="C165" s="122" t="str">
        <f>IF(ISNA(VLOOKUP($F165,Declarations!B$6:C$293,2,FALSE)),"",IF(VLOOKUP($F165,Declarations!B$6:C$293,2,FALSE)="","NOT DECLARED",IF(ISNA(_xlfn.TEXTAFTER(VLOOKUP($F165,Declarations!B$6:C$293,2,FALSE)," ")),VLOOKUP($F165,Declarations!B$6:C$293,2,FALSE),_xlfn.TEXTAFTER(VLOOKUP($F165,Declarations!B$6:C$293,2,FALSE)," "))))</f>
        <v/>
      </c>
      <c r="D165" s="122" t="str">
        <f>IF(ISNA(VLOOKUP($F165,Declarations!$B$6:$F$293,5,FALSE)),"",IF(VLOOKUP($F165,Declarations!$B$6:$F$293,5,FALSE)="","NOT DECLARED",VLOOKUP($F165,Declarations!$B$6:$F$293,5,FALSE)))</f>
        <v/>
      </c>
      <c r="E165" s="120" t="str">
        <f>IF(ISNA(VLOOKUP($F165,Declarations!$B$6:$D$293,3,FALSE)),"",IF(VLOOKUP($F165,Declarations!$B$6:$D$293,3,FALSE)="","NOT DECLARED",VLOOKUP($F165,Declarations!$B$6:$D$293,3,FALSE)&amp;LEFT(VLOOKUP($F165,Declarations!$B$6:$E$293,4,FALSE))))</f>
        <v/>
      </c>
      <c r="F165" s="59"/>
      <c r="G165" s="130"/>
      <c r="H165" s="130"/>
      <c r="I165" s="122" t="str">
        <f>IF(ISNA(VLOOKUP(F165,Declarations!B$6:C$293,2,FALSE)),"",IF(VLOOKUP(F165,Declarations!B$6:C$293,2,FALSE)="","NOT DECLARED",VLOOKUP(F165,Declarations!B$6:C$293,2,FALSE)))</f>
        <v/>
      </c>
      <c r="J165" s="120">
        <f>IF(LOWER(G165)="dnf",1,IF(G165&lt;ScoringTable!B$3,ScoringTable!I$2,VLOOKUP((1000-G165),ScoringTable!G$2:I$95,3)))</f>
        <v>0</v>
      </c>
      <c r="K165" s="120" t="str" cm="1">
        <f t="array" ref="K165">IF(OR(E165="",G165=""),"",_xlfn.IFS(E165="U10B",_xlfn.XLOOKUP(G165,Data!$D$2:$L$2,Data!$D$1:$L$1,"",1,1),E165="U12B",_xlfn.XLOOKUP(G165,Data!$D$8:$L$8,Data!$D$1:$L$1,"",1,1),E165="U10G",_xlfn.XLOOKUP(G165,Data!$D$15:$L$15,Data!$D$1:$L$1,"",1,1),E165="U12G",_xlfn.XLOOKUP(G165,Data!$D$21:$L$21,Data!$D$1:$L$1,"",1,1)))</f>
        <v/>
      </c>
      <c r="L165" s="184" t="str" cm="1">
        <f t="array" ref="L165">IFERROR(_xlfn.IFNA(
                      _xlfn.IFS(
                      G165="", "",
                      AND(E165="U10B",G165&lt;=Data!$M$2), "U10 Boys record",
                      AND(E165="U12B",G165&lt;=Data!$M$8), "U12 Boys record",
                      AND(E165="U10G",G165&lt;=Data!$M$15), "U10 Girls record",
                      AND(E165="U12G",G165&lt;=Data!$M$21), "U12 Girls record"
                       ),""), "")</f>
        <v/>
      </c>
      <c r="M165" s="19" cm="1">
        <f t="array" ref="M165">_xlfn.IFS($G165="",0, AND(NOT(ISNUMBER($G165)),LOWER($G165)&lt;&gt;"dnf"),"Not a valid time",OR(LOWER($G165)="dnf",$G165&gt;ScoringTable!$M$161),1,RIGHT($E165,1)="B",_xlfn.XLOOKUP($G165,ScoringTable!$M$2:$M$161,ScoringTable!$L$2:$L$161,,1),TRUE,_xlfn.XLOOKUP($G165,ScoringTable!$S$2:$S$161,ScoringTable!$R$2:$R$161,,1))</f>
        <v>0</v>
      </c>
    </row>
    <row r="166" spans="1:13" s="7" customFormat="1" ht="16" customHeight="1">
      <c r="A166" s="280" t="s">
        <v>2</v>
      </c>
      <c r="B166" s="122" t="str">
        <f>IF(ISNA(VLOOKUP($F166,Declarations!B$6:C$293,2,FALSE)),"",IF(VLOOKUP($F166,Declarations!B$6:C$293,2,FALSE)="","NOT DECLARED",IF(ISNA(_xlfn.TEXTBEFORE(VLOOKUP($F166,Declarations!B$6:C$293,2,FALSE)," ")),VLOOKUP($F166,Declarations!B$6:C$293,2,FALSE),_xlfn.TEXTBEFORE(VLOOKUP($F166,Declarations!B$6:C$293,2,FALSE)," "))))</f>
        <v/>
      </c>
      <c r="C166" s="122" t="str">
        <f>IF(ISNA(VLOOKUP($F166,Declarations!B$6:C$293,2,FALSE)),"",IF(VLOOKUP($F166,Declarations!B$6:C$293,2,FALSE)="","NOT DECLARED",IF(ISNA(_xlfn.TEXTAFTER(VLOOKUP($F166,Declarations!B$6:C$293,2,FALSE)," ")),VLOOKUP($F166,Declarations!B$6:C$293,2,FALSE),_xlfn.TEXTAFTER(VLOOKUP($F166,Declarations!B$6:C$293,2,FALSE)," "))))</f>
        <v/>
      </c>
      <c r="D166" s="122" t="str">
        <f>IF(ISNA(VLOOKUP($F166,Declarations!$B$6:$F$293,5,FALSE)),"",IF(VLOOKUP($F166,Declarations!$B$6:$F$293,5,FALSE)="","NOT DECLARED",VLOOKUP($F166,Declarations!$B$6:$F$293,5,FALSE)))</f>
        <v/>
      </c>
      <c r="E166" s="120" t="str">
        <f>IF(ISNA(VLOOKUP($F166,Declarations!$B$6:$D$293,3,FALSE)),"",IF(VLOOKUP($F166,Declarations!$B$6:$D$293,3,FALSE)="","NOT DECLARED",VLOOKUP($F166,Declarations!$B$6:$D$293,3,FALSE)&amp;LEFT(VLOOKUP($F166,Declarations!$B$6:$E$293,4,FALSE))))</f>
        <v/>
      </c>
      <c r="F166" s="59"/>
      <c r="G166" s="130"/>
      <c r="H166" s="130"/>
      <c r="I166" s="122" t="str">
        <f>IF(ISNA(VLOOKUP(F166,Declarations!B$6:C$293,2,FALSE)),"",IF(VLOOKUP(F166,Declarations!B$6:C$293,2,FALSE)="","NOT DECLARED",VLOOKUP(F166,Declarations!B$6:C$293,2,FALSE)))</f>
        <v/>
      </c>
      <c r="J166" s="120">
        <f>IF(LOWER(G166)="dnf",1,IF(G166&lt;ScoringTable!B$3,ScoringTable!I$2,VLOOKUP((1000-G166),ScoringTable!G$2:I$95,3)))</f>
        <v>0</v>
      </c>
      <c r="K166" s="120" t="str" cm="1">
        <f t="array" ref="K166">IF(OR(E166="",G166=""),"",_xlfn.IFS(E166="U10B",_xlfn.XLOOKUP(G166,Data!$D$2:$L$2,Data!$D$1:$L$1,"",1,1),E166="U12B",_xlfn.XLOOKUP(G166,Data!$D$8:$L$8,Data!$D$1:$L$1,"",1,1),E166="U10G",_xlfn.XLOOKUP(G166,Data!$D$15:$L$15,Data!$D$1:$L$1,"",1,1),E166="U12G",_xlfn.XLOOKUP(G166,Data!$D$21:$L$21,Data!$D$1:$L$1,"",1,1)))</f>
        <v/>
      </c>
      <c r="L166" s="184" t="str" cm="1">
        <f t="array" ref="L166">IFERROR(_xlfn.IFNA(
                      _xlfn.IFS(
                      G166="", "",
                      AND(E166="U10B",G166&lt;=Data!$M$2), "U10 Boys record",
                      AND(E166="U12B",G166&lt;=Data!$M$8), "U12 Boys record",
                      AND(E166="U10G",G166&lt;=Data!$M$15), "U10 Girls record",
                      AND(E166="U12G",G166&lt;=Data!$M$21), "U12 Girls record"
                       ),""), "")</f>
        <v/>
      </c>
      <c r="M166" s="19" cm="1">
        <f t="array" ref="M166">_xlfn.IFS($G166="",0, AND(NOT(ISNUMBER($G166)),LOWER($G166)&lt;&gt;"dnf"),"Not a valid time",OR(LOWER($G166)="dnf",$G166&gt;ScoringTable!$M$161),1,RIGHT($E166,1)="B",_xlfn.XLOOKUP($G166,ScoringTable!$M$2:$M$161,ScoringTable!$L$2:$L$161,,1),TRUE,_xlfn.XLOOKUP($G166,ScoringTable!$S$2:$S$161,ScoringTable!$R$2:$R$161,,1))</f>
        <v>0</v>
      </c>
    </row>
    <row r="167" spans="1:13" s="7" customFormat="1" ht="16" customHeight="1">
      <c r="A167" s="280" t="s">
        <v>2</v>
      </c>
      <c r="B167" s="122" t="str">
        <f>IF(ISNA(VLOOKUP($F167,Declarations!B$6:C$293,2,FALSE)),"",IF(VLOOKUP($F167,Declarations!B$6:C$293,2,FALSE)="","NOT DECLARED",IF(ISNA(_xlfn.TEXTBEFORE(VLOOKUP($F167,Declarations!B$6:C$293,2,FALSE)," ")),VLOOKUP($F167,Declarations!B$6:C$293,2,FALSE),_xlfn.TEXTBEFORE(VLOOKUP($F167,Declarations!B$6:C$293,2,FALSE)," "))))</f>
        <v/>
      </c>
      <c r="C167" s="122" t="str">
        <f>IF(ISNA(VLOOKUP($F167,Declarations!B$6:C$293,2,FALSE)),"",IF(VLOOKUP($F167,Declarations!B$6:C$293,2,FALSE)="","NOT DECLARED",IF(ISNA(_xlfn.TEXTAFTER(VLOOKUP($F167,Declarations!B$6:C$293,2,FALSE)," ")),VLOOKUP($F167,Declarations!B$6:C$293,2,FALSE),_xlfn.TEXTAFTER(VLOOKUP($F167,Declarations!B$6:C$293,2,FALSE)," "))))</f>
        <v/>
      </c>
      <c r="D167" s="122" t="str">
        <f>IF(ISNA(VLOOKUP($F167,Declarations!$B$6:$F$293,5,FALSE)),"",IF(VLOOKUP($F167,Declarations!$B$6:$F$293,5,FALSE)="","NOT DECLARED",VLOOKUP($F167,Declarations!$B$6:$F$293,5,FALSE)))</f>
        <v/>
      </c>
      <c r="E167" s="120" t="str">
        <f>IF(ISNA(VLOOKUP($F167,Declarations!$B$6:$D$293,3,FALSE)),"",IF(VLOOKUP($F167,Declarations!$B$6:$D$293,3,FALSE)="","NOT DECLARED",VLOOKUP($F167,Declarations!$B$6:$D$293,3,FALSE)&amp;LEFT(VLOOKUP($F167,Declarations!$B$6:$E$293,4,FALSE))))</f>
        <v/>
      </c>
      <c r="F167" s="59"/>
      <c r="G167" s="130"/>
      <c r="H167" s="130"/>
      <c r="I167" s="122" t="str">
        <f>IF(ISNA(VLOOKUP(F167,Declarations!B$6:C$293,2,FALSE)),"",IF(VLOOKUP(F167,Declarations!B$6:C$293,2,FALSE)="","NOT DECLARED",VLOOKUP(F167,Declarations!B$6:C$293,2,FALSE)))</f>
        <v/>
      </c>
      <c r="J167" s="120">
        <f>IF(LOWER(G167)="dnf",1,IF(G167&lt;ScoringTable!B$3,ScoringTable!I$2,VLOOKUP((1000-G167),ScoringTable!G$2:I$95,3)))</f>
        <v>0</v>
      </c>
      <c r="K167" s="120" t="str" cm="1">
        <f t="array" ref="K167">IF(OR(E167="",G167=""),"",_xlfn.IFS(E167="U10B",_xlfn.XLOOKUP(G167,Data!$D$2:$L$2,Data!$D$1:$L$1,"",1,1),E167="U12B",_xlfn.XLOOKUP(G167,Data!$D$8:$L$8,Data!$D$1:$L$1,"",1,1),E167="U10G",_xlfn.XLOOKUP(G167,Data!$D$15:$L$15,Data!$D$1:$L$1,"",1,1),E167="U12G",_xlfn.XLOOKUP(G167,Data!$D$21:$L$21,Data!$D$1:$L$1,"",1,1)))</f>
        <v/>
      </c>
      <c r="L167" s="184" t="str" cm="1">
        <f t="array" ref="L167">IFERROR(_xlfn.IFNA(
                      _xlfn.IFS(
                      G167="", "",
                      AND(E167="U10B",G167&lt;=Data!$M$2), "U10 Boys record",
                      AND(E167="U12B",G167&lt;=Data!$M$8), "U12 Boys record",
                      AND(E167="U10G",G167&lt;=Data!$M$15), "U10 Girls record",
                      AND(E167="U12G",G167&lt;=Data!$M$21), "U12 Girls record"
                       ),""), "")</f>
        <v/>
      </c>
      <c r="M167" s="19" cm="1">
        <f t="array" ref="M167">_xlfn.IFS($G167="",0, AND(NOT(ISNUMBER($G167)),LOWER($G167)&lt;&gt;"dnf"),"Not a valid time",OR(LOWER($G167)="dnf",$G167&gt;ScoringTable!$M$161),1,RIGHT($E167,1)="B",_xlfn.XLOOKUP($G167,ScoringTable!$M$2:$M$161,ScoringTable!$L$2:$L$161,,1),TRUE,_xlfn.XLOOKUP($G167,ScoringTable!$S$2:$S$161,ScoringTable!$R$2:$R$161,,1))</f>
        <v>0</v>
      </c>
    </row>
    <row r="168" spans="1:13" s="7" customFormat="1" ht="16" customHeight="1">
      <c r="A168" s="280" t="s">
        <v>2</v>
      </c>
      <c r="B168" s="122" t="str">
        <f>IF(ISNA(VLOOKUP($F168,Declarations!B$6:C$293,2,FALSE)),"",IF(VLOOKUP($F168,Declarations!B$6:C$293,2,FALSE)="","NOT DECLARED",IF(ISNA(_xlfn.TEXTBEFORE(VLOOKUP($F168,Declarations!B$6:C$293,2,FALSE)," ")),VLOOKUP($F168,Declarations!B$6:C$293,2,FALSE),_xlfn.TEXTBEFORE(VLOOKUP($F168,Declarations!B$6:C$293,2,FALSE)," "))))</f>
        <v/>
      </c>
      <c r="C168" s="122" t="str">
        <f>IF(ISNA(VLOOKUP($F168,Declarations!B$6:C$293,2,FALSE)),"",IF(VLOOKUP($F168,Declarations!B$6:C$293,2,FALSE)="","NOT DECLARED",IF(ISNA(_xlfn.TEXTAFTER(VLOOKUP($F168,Declarations!B$6:C$293,2,FALSE)," ")),VLOOKUP($F168,Declarations!B$6:C$293,2,FALSE),_xlfn.TEXTAFTER(VLOOKUP($F168,Declarations!B$6:C$293,2,FALSE)," "))))</f>
        <v/>
      </c>
      <c r="D168" s="122" t="str">
        <f>IF(ISNA(VLOOKUP($F168,Declarations!$B$6:$F$293,5,FALSE)),"",IF(VLOOKUP($F168,Declarations!$B$6:$F$293,5,FALSE)="","NOT DECLARED",VLOOKUP($F168,Declarations!$B$6:$F$293,5,FALSE)))</f>
        <v/>
      </c>
      <c r="E168" s="120" t="str">
        <f>IF(ISNA(VLOOKUP($F168,Declarations!$B$6:$D$293,3,FALSE)),"",IF(VLOOKUP($F168,Declarations!$B$6:$D$293,3,FALSE)="","NOT DECLARED",VLOOKUP($F168,Declarations!$B$6:$D$293,3,FALSE)&amp;LEFT(VLOOKUP($F168,Declarations!$B$6:$E$293,4,FALSE))))</f>
        <v/>
      </c>
      <c r="F168" s="59"/>
      <c r="G168" s="130"/>
      <c r="H168" s="130"/>
      <c r="I168" s="122" t="str">
        <f>IF(ISNA(VLOOKUP(F168,Declarations!B$6:C$293,2,FALSE)),"",IF(VLOOKUP(F168,Declarations!B$6:C$293,2,FALSE)="","NOT DECLARED",VLOOKUP(F168,Declarations!B$6:C$293,2,FALSE)))</f>
        <v/>
      </c>
      <c r="J168" s="120">
        <f>IF(LOWER(G168)="dnf",1,IF(G168&lt;ScoringTable!B$3,ScoringTable!I$2,VLOOKUP((1000-G168),ScoringTable!G$2:I$95,3)))</f>
        <v>0</v>
      </c>
      <c r="K168" s="120" t="str" cm="1">
        <f t="array" ref="K168">IF(OR(E168="",G168=""),"",_xlfn.IFS(E168="U10B",_xlfn.XLOOKUP(G168,Data!$D$2:$L$2,Data!$D$1:$L$1,"",1,1),E168="U12B",_xlfn.XLOOKUP(G168,Data!$D$8:$L$8,Data!$D$1:$L$1,"",1,1),E168="U10G",_xlfn.XLOOKUP(G168,Data!$D$15:$L$15,Data!$D$1:$L$1,"",1,1),E168="U12G",_xlfn.XLOOKUP(G168,Data!$D$21:$L$21,Data!$D$1:$L$1,"",1,1)))</f>
        <v/>
      </c>
      <c r="L168" s="184" t="str" cm="1">
        <f t="array" ref="L168">IFERROR(_xlfn.IFNA(
                      _xlfn.IFS(
                      G168="", "",
                      AND(E168="U10B",G168&lt;=Data!$M$2), "U10 Boys record",
                      AND(E168="U12B",G168&lt;=Data!$M$8), "U12 Boys record",
                      AND(E168="U10G",G168&lt;=Data!$M$15), "U10 Girls record",
                      AND(E168="U12G",G168&lt;=Data!$M$21), "U12 Girls record"
                       ),""), "")</f>
        <v/>
      </c>
      <c r="M168" s="19" cm="1">
        <f t="array" ref="M168">_xlfn.IFS($G168="",0, AND(NOT(ISNUMBER($G168)),LOWER($G168)&lt;&gt;"dnf"),"Not a valid time",OR(LOWER($G168)="dnf",$G168&gt;ScoringTable!$M$161),1,RIGHT($E168,1)="B",_xlfn.XLOOKUP($G168,ScoringTable!$M$2:$M$161,ScoringTable!$L$2:$L$161,,1),TRUE,_xlfn.XLOOKUP($G168,ScoringTable!$S$2:$S$161,ScoringTable!$R$2:$R$161,,1))</f>
        <v>0</v>
      </c>
    </row>
    <row r="169" spans="1:13" s="7" customFormat="1" ht="16" customHeight="1">
      <c r="A169" s="280" t="s">
        <v>2</v>
      </c>
      <c r="B169" s="122" t="str">
        <f>IF(ISNA(VLOOKUP($F169,Declarations!B$6:C$293,2,FALSE)),"",IF(VLOOKUP($F169,Declarations!B$6:C$293,2,FALSE)="","NOT DECLARED",IF(ISNA(_xlfn.TEXTBEFORE(VLOOKUP($F169,Declarations!B$6:C$293,2,FALSE)," ")),VLOOKUP($F169,Declarations!B$6:C$293,2,FALSE),_xlfn.TEXTBEFORE(VLOOKUP($F169,Declarations!B$6:C$293,2,FALSE)," "))))</f>
        <v/>
      </c>
      <c r="C169" s="122" t="str">
        <f>IF(ISNA(VLOOKUP($F169,Declarations!B$6:C$293,2,FALSE)),"",IF(VLOOKUP($F169,Declarations!B$6:C$293,2,FALSE)="","NOT DECLARED",IF(ISNA(_xlfn.TEXTAFTER(VLOOKUP($F169,Declarations!B$6:C$293,2,FALSE)," ")),VLOOKUP($F169,Declarations!B$6:C$293,2,FALSE),_xlfn.TEXTAFTER(VLOOKUP($F169,Declarations!B$6:C$293,2,FALSE)," "))))</f>
        <v/>
      </c>
      <c r="D169" s="122" t="str">
        <f>IF(ISNA(VLOOKUP($F169,Declarations!$B$6:$F$293,5,FALSE)),"",IF(VLOOKUP($F169,Declarations!$B$6:$F$293,5,FALSE)="","NOT DECLARED",VLOOKUP($F169,Declarations!$B$6:$F$293,5,FALSE)))</f>
        <v/>
      </c>
      <c r="E169" s="120" t="str">
        <f>IF(ISNA(VLOOKUP($F169,Declarations!$B$6:$D$293,3,FALSE)),"",IF(VLOOKUP($F169,Declarations!$B$6:$D$293,3,FALSE)="","NOT DECLARED",VLOOKUP($F169,Declarations!$B$6:$D$293,3,FALSE)&amp;LEFT(VLOOKUP($F169,Declarations!$B$6:$E$293,4,FALSE))))</f>
        <v/>
      </c>
      <c r="F169" s="59"/>
      <c r="G169" s="130"/>
      <c r="H169" s="130"/>
      <c r="I169" s="122" t="str">
        <f>IF(ISNA(VLOOKUP(F169,Declarations!B$6:C$293,2,FALSE)),"",IF(VLOOKUP(F169,Declarations!B$6:C$293,2,FALSE)="","NOT DECLARED",VLOOKUP(F169,Declarations!B$6:C$293,2,FALSE)))</f>
        <v/>
      </c>
      <c r="J169" s="120">
        <f>IF(LOWER(G169)="dnf",1,IF(G169&lt;ScoringTable!B$3,ScoringTable!I$2,VLOOKUP((1000-G169),ScoringTable!G$2:I$95,3)))</f>
        <v>0</v>
      </c>
      <c r="K169" s="120" t="str" cm="1">
        <f t="array" ref="K169">IF(OR(E169="",G169=""),"",_xlfn.IFS(E169="U10B",_xlfn.XLOOKUP(G169,Data!$D$2:$L$2,Data!$D$1:$L$1,"",1,1),E169="U12B",_xlfn.XLOOKUP(G169,Data!$D$8:$L$8,Data!$D$1:$L$1,"",1,1),E169="U10G",_xlfn.XLOOKUP(G169,Data!$D$15:$L$15,Data!$D$1:$L$1,"",1,1),E169="U12G",_xlfn.XLOOKUP(G169,Data!$D$21:$L$21,Data!$D$1:$L$1,"",1,1)))</f>
        <v/>
      </c>
      <c r="L169" s="184" t="str" cm="1">
        <f t="array" ref="L169">IFERROR(_xlfn.IFNA(
                      _xlfn.IFS(
                      G169="", "",
                      AND(E169="U10B",G169&lt;=Data!$M$2), "U10 Boys record",
                      AND(E169="U12B",G169&lt;=Data!$M$8), "U12 Boys record",
                      AND(E169="U10G",G169&lt;=Data!$M$15), "U10 Girls record",
                      AND(E169="U12G",G169&lt;=Data!$M$21), "U12 Girls record"
                       ),""), "")</f>
        <v/>
      </c>
      <c r="M169" s="19" cm="1">
        <f t="array" ref="M169">_xlfn.IFS($G169="",0, AND(NOT(ISNUMBER($G169)),LOWER($G169)&lt;&gt;"dnf"),"Not a valid time",OR(LOWER($G169)="dnf",$G169&gt;ScoringTable!$M$161),1,RIGHT($E169,1)="B",_xlfn.XLOOKUP($G169,ScoringTable!$M$2:$M$161,ScoringTable!$L$2:$L$161,,1),TRUE,_xlfn.XLOOKUP($G169,ScoringTable!$S$2:$S$161,ScoringTable!$R$2:$R$161,,1))</f>
        <v>0</v>
      </c>
    </row>
    <row r="170" spans="1:13" s="7" customFormat="1" ht="16" customHeight="1">
      <c r="A170" s="280" t="s">
        <v>2</v>
      </c>
      <c r="B170" s="122" t="str">
        <f>IF(ISNA(VLOOKUP($F170,Declarations!B$6:C$293,2,FALSE)),"",IF(VLOOKUP($F170,Declarations!B$6:C$293,2,FALSE)="","NOT DECLARED",IF(ISNA(_xlfn.TEXTBEFORE(VLOOKUP($F170,Declarations!B$6:C$293,2,FALSE)," ")),VLOOKUP($F170,Declarations!B$6:C$293,2,FALSE),_xlfn.TEXTBEFORE(VLOOKUP($F170,Declarations!B$6:C$293,2,FALSE)," "))))</f>
        <v/>
      </c>
      <c r="C170" s="122" t="str">
        <f>IF(ISNA(VLOOKUP($F170,Declarations!B$6:C$293,2,FALSE)),"",IF(VLOOKUP($F170,Declarations!B$6:C$293,2,FALSE)="","NOT DECLARED",IF(ISNA(_xlfn.TEXTAFTER(VLOOKUP($F170,Declarations!B$6:C$293,2,FALSE)," ")),VLOOKUP($F170,Declarations!B$6:C$293,2,FALSE),_xlfn.TEXTAFTER(VLOOKUP($F170,Declarations!B$6:C$293,2,FALSE)," "))))</f>
        <v/>
      </c>
      <c r="D170" s="122" t="str">
        <f>IF(ISNA(VLOOKUP($F170,Declarations!$B$6:$F$293,5,FALSE)),"",IF(VLOOKUP($F170,Declarations!$B$6:$F$293,5,FALSE)="","NOT DECLARED",VLOOKUP($F170,Declarations!$B$6:$F$293,5,FALSE)))</f>
        <v/>
      </c>
      <c r="E170" s="120" t="str">
        <f>IF(ISNA(VLOOKUP($F170,Declarations!$B$6:$D$293,3,FALSE)),"",IF(VLOOKUP($F170,Declarations!$B$6:$D$293,3,FALSE)="","NOT DECLARED",VLOOKUP($F170,Declarations!$B$6:$D$293,3,FALSE)&amp;LEFT(VLOOKUP($F170,Declarations!$B$6:$E$293,4,FALSE))))</f>
        <v/>
      </c>
      <c r="F170" s="59"/>
      <c r="G170" s="130"/>
      <c r="H170" s="130"/>
      <c r="I170" s="122" t="str">
        <f>IF(ISNA(VLOOKUP(F170,Declarations!B$6:C$293,2,FALSE)),"",IF(VLOOKUP(F170,Declarations!B$6:C$293,2,FALSE)="","NOT DECLARED",VLOOKUP(F170,Declarations!B$6:C$293,2,FALSE)))</f>
        <v/>
      </c>
      <c r="J170" s="120">
        <f>IF(LOWER(G170)="dnf",1,IF(G170&lt;ScoringTable!B$3,ScoringTable!I$2,VLOOKUP((1000-G170),ScoringTable!G$2:I$95,3)))</f>
        <v>0</v>
      </c>
      <c r="K170" s="120" t="str" cm="1">
        <f t="array" ref="K170">IF(OR(E170="",G170=""),"",_xlfn.IFS(E170="U10B",_xlfn.XLOOKUP(G170,Data!$D$2:$L$2,Data!$D$1:$L$1,"",1,1),E170="U12B",_xlfn.XLOOKUP(G170,Data!$D$8:$L$8,Data!$D$1:$L$1,"",1,1),E170="U10G",_xlfn.XLOOKUP(G170,Data!$D$15:$L$15,Data!$D$1:$L$1,"",1,1),E170="U12G",_xlfn.XLOOKUP(G170,Data!$D$21:$L$21,Data!$D$1:$L$1,"",1,1)))</f>
        <v/>
      </c>
      <c r="L170" s="184" t="str" cm="1">
        <f t="array" ref="L170">IFERROR(_xlfn.IFNA(
                      _xlfn.IFS(
                      G170="", "",
                      AND(E170="U10B",G170&lt;=Data!$M$2), "U10 Boys record",
                      AND(E170="U12B",G170&lt;=Data!$M$8), "U12 Boys record",
                      AND(E170="U10G",G170&lt;=Data!$M$15), "U10 Girls record",
                      AND(E170="U12G",G170&lt;=Data!$M$21), "U12 Girls record"
                       ),""), "")</f>
        <v/>
      </c>
      <c r="M170" s="19" cm="1">
        <f t="array" ref="M170">_xlfn.IFS($G170="",0, AND(NOT(ISNUMBER($G170)),LOWER($G170)&lt;&gt;"dnf"),"Not a valid time",OR(LOWER($G170)="dnf",$G170&gt;ScoringTable!$M$161),1,RIGHT($E170,1)="B",_xlfn.XLOOKUP($G170,ScoringTable!$M$2:$M$161,ScoringTable!$L$2:$L$161,,1),TRUE,_xlfn.XLOOKUP($G170,ScoringTable!$S$2:$S$161,ScoringTable!$R$2:$R$161,,1))</f>
        <v>0</v>
      </c>
    </row>
    <row r="171" spans="1:13" s="7" customFormat="1" ht="16" customHeight="1">
      <c r="A171" s="280" t="s">
        <v>2</v>
      </c>
      <c r="B171" s="122" t="str">
        <f>IF(ISNA(VLOOKUP($F171,Declarations!B$6:C$293,2,FALSE)),"",IF(VLOOKUP($F171,Declarations!B$6:C$293,2,FALSE)="","NOT DECLARED",IF(ISNA(_xlfn.TEXTBEFORE(VLOOKUP($F171,Declarations!B$6:C$293,2,FALSE)," ")),VLOOKUP($F171,Declarations!B$6:C$293,2,FALSE),_xlfn.TEXTBEFORE(VLOOKUP($F171,Declarations!B$6:C$293,2,FALSE)," "))))</f>
        <v/>
      </c>
      <c r="C171" s="122" t="str">
        <f>IF(ISNA(VLOOKUP($F171,Declarations!B$6:C$293,2,FALSE)),"",IF(VLOOKUP($F171,Declarations!B$6:C$293,2,FALSE)="","NOT DECLARED",IF(ISNA(_xlfn.TEXTAFTER(VLOOKUP($F171,Declarations!B$6:C$293,2,FALSE)," ")),VLOOKUP($F171,Declarations!B$6:C$293,2,FALSE),_xlfn.TEXTAFTER(VLOOKUP($F171,Declarations!B$6:C$293,2,FALSE)," "))))</f>
        <v/>
      </c>
      <c r="D171" s="122" t="str">
        <f>IF(ISNA(VLOOKUP($F171,Declarations!$B$6:$F$293,5,FALSE)),"",IF(VLOOKUP($F171,Declarations!$B$6:$F$293,5,FALSE)="","NOT DECLARED",VLOOKUP($F171,Declarations!$B$6:$F$293,5,FALSE)))</f>
        <v/>
      </c>
      <c r="E171" s="120" t="str">
        <f>IF(ISNA(VLOOKUP($F171,Declarations!$B$6:$D$293,3,FALSE)),"",IF(VLOOKUP($F171,Declarations!$B$6:$D$293,3,FALSE)="","NOT DECLARED",VLOOKUP($F171,Declarations!$B$6:$D$293,3,FALSE)&amp;LEFT(VLOOKUP($F171,Declarations!$B$6:$E$293,4,FALSE))))</f>
        <v/>
      </c>
      <c r="F171" s="59"/>
      <c r="G171" s="130"/>
      <c r="H171" s="130"/>
      <c r="I171" s="122" t="str">
        <f>IF(ISNA(VLOOKUP(F171,Declarations!B$6:C$293,2,FALSE)),"",IF(VLOOKUP(F171,Declarations!B$6:C$293,2,FALSE)="","NOT DECLARED",VLOOKUP(F171,Declarations!B$6:C$293,2,FALSE)))</f>
        <v/>
      </c>
      <c r="J171" s="120">
        <f>IF(LOWER(G171)="dnf",1,IF(G171&lt;ScoringTable!B$3,ScoringTable!I$2,VLOOKUP((1000-G171),ScoringTable!G$2:I$95,3)))</f>
        <v>0</v>
      </c>
      <c r="K171" s="120" t="str" cm="1">
        <f t="array" ref="K171">IF(OR(E171="",G171=""),"",_xlfn.IFS(E171="U10B",_xlfn.XLOOKUP(G171,Data!$D$2:$L$2,Data!$D$1:$L$1,"",1,1),E171="U12B",_xlfn.XLOOKUP(G171,Data!$D$8:$L$8,Data!$D$1:$L$1,"",1,1),E171="U10G",_xlfn.XLOOKUP(G171,Data!$D$15:$L$15,Data!$D$1:$L$1,"",1,1),E171="U12G",_xlfn.XLOOKUP(G171,Data!$D$21:$L$21,Data!$D$1:$L$1,"",1,1)))</f>
        <v/>
      </c>
      <c r="L171" s="184" t="str" cm="1">
        <f t="array" ref="L171">IFERROR(_xlfn.IFNA(
                      _xlfn.IFS(
                      G171="", "",
                      AND(E171="U10B",G171&lt;=Data!$M$2), "U10 Boys record",
                      AND(E171="U12B",G171&lt;=Data!$M$8), "U12 Boys record",
                      AND(E171="U10G",G171&lt;=Data!$M$15), "U10 Girls record",
                      AND(E171="U12G",G171&lt;=Data!$M$21), "U12 Girls record"
                       ),""), "")</f>
        <v/>
      </c>
      <c r="M171" s="19" cm="1">
        <f t="array" ref="M171">_xlfn.IFS($G171="",0, AND(NOT(ISNUMBER($G171)),LOWER($G171)&lt;&gt;"dnf"),"Not a valid time",OR(LOWER($G171)="dnf",$G171&gt;ScoringTable!$M$161),1,RIGHT($E171,1)="B",_xlfn.XLOOKUP($G171,ScoringTable!$M$2:$M$161,ScoringTable!$L$2:$L$161,,1),TRUE,_xlfn.XLOOKUP($G171,ScoringTable!$S$2:$S$161,ScoringTable!$R$2:$R$161,,1))</f>
        <v>0</v>
      </c>
    </row>
    <row r="172" spans="1:13" s="7" customFormat="1" ht="16" customHeight="1">
      <c r="A172" s="280" t="s">
        <v>2</v>
      </c>
      <c r="B172" s="122" t="str">
        <f>IF(ISNA(VLOOKUP($F172,Declarations!B$6:C$293,2,FALSE)),"",IF(VLOOKUP($F172,Declarations!B$6:C$293,2,FALSE)="","NOT DECLARED",IF(ISNA(_xlfn.TEXTBEFORE(VLOOKUP($F172,Declarations!B$6:C$293,2,FALSE)," ")),VLOOKUP($F172,Declarations!B$6:C$293,2,FALSE),_xlfn.TEXTBEFORE(VLOOKUP($F172,Declarations!B$6:C$293,2,FALSE)," "))))</f>
        <v/>
      </c>
      <c r="C172" s="122" t="str">
        <f>IF(ISNA(VLOOKUP($F172,Declarations!B$6:C$293,2,FALSE)),"",IF(VLOOKUP($F172,Declarations!B$6:C$293,2,FALSE)="","NOT DECLARED",IF(ISNA(_xlfn.TEXTAFTER(VLOOKUP($F172,Declarations!B$6:C$293,2,FALSE)," ")),VLOOKUP($F172,Declarations!B$6:C$293,2,FALSE),_xlfn.TEXTAFTER(VLOOKUP($F172,Declarations!B$6:C$293,2,FALSE)," "))))</f>
        <v/>
      </c>
      <c r="D172" s="122" t="str">
        <f>IF(ISNA(VLOOKUP($F172,Declarations!$B$6:$F$293,5,FALSE)),"",IF(VLOOKUP($F172,Declarations!$B$6:$F$293,5,FALSE)="","NOT DECLARED",VLOOKUP($F172,Declarations!$B$6:$F$293,5,FALSE)))</f>
        <v/>
      </c>
      <c r="E172" s="120" t="str">
        <f>IF(ISNA(VLOOKUP($F172,Declarations!$B$6:$D$293,3,FALSE)),"",IF(VLOOKUP($F172,Declarations!$B$6:$D$293,3,FALSE)="","NOT DECLARED",VLOOKUP($F172,Declarations!$B$6:$D$293,3,FALSE)&amp;LEFT(VLOOKUP($F172,Declarations!$B$6:$E$293,4,FALSE))))</f>
        <v/>
      </c>
      <c r="F172" s="59"/>
      <c r="G172" s="130"/>
      <c r="H172" s="130"/>
      <c r="I172" s="122" t="str">
        <f>IF(ISNA(VLOOKUP(F172,Declarations!B$6:C$293,2,FALSE)),"",IF(VLOOKUP(F172,Declarations!B$6:C$293,2,FALSE)="","NOT DECLARED",VLOOKUP(F172,Declarations!B$6:C$293,2,FALSE)))</f>
        <v/>
      </c>
      <c r="J172" s="120">
        <f>IF(LOWER(G172)="dnf",1,IF(G172&lt;ScoringTable!B$3,ScoringTable!I$2,VLOOKUP((1000-G172),ScoringTable!G$2:I$95,3)))</f>
        <v>0</v>
      </c>
      <c r="K172" s="120" t="str" cm="1">
        <f t="array" ref="K172">IF(OR(E172="",G172=""),"",_xlfn.IFS(E172="U10B",_xlfn.XLOOKUP(G172,Data!$D$2:$L$2,Data!$D$1:$L$1,"",1,1),E172="U12B",_xlfn.XLOOKUP(G172,Data!$D$8:$L$8,Data!$D$1:$L$1,"",1,1),E172="U10G",_xlfn.XLOOKUP(G172,Data!$D$15:$L$15,Data!$D$1:$L$1,"",1,1),E172="U12G",_xlfn.XLOOKUP(G172,Data!$D$21:$L$21,Data!$D$1:$L$1,"",1,1)))</f>
        <v/>
      </c>
      <c r="L172" s="184" t="str" cm="1">
        <f t="array" ref="L172">IFERROR(_xlfn.IFNA(
                      _xlfn.IFS(
                      G172="", "",
                      AND(E172="U10B",G172&lt;=Data!$M$2), "U10 Boys record",
                      AND(E172="U12B",G172&lt;=Data!$M$8), "U12 Boys record",
                      AND(E172="U10G",G172&lt;=Data!$M$15), "U10 Girls record",
                      AND(E172="U12G",G172&lt;=Data!$M$21), "U12 Girls record"
                       ),""), "")</f>
        <v/>
      </c>
      <c r="M172" s="19" cm="1">
        <f t="array" ref="M172">_xlfn.IFS($G172="",0, AND(NOT(ISNUMBER($G172)),LOWER($G172)&lt;&gt;"dnf"),"Not a valid time",OR(LOWER($G172)="dnf",$G172&gt;ScoringTable!$M$161),1,RIGHT($E172,1)="B",_xlfn.XLOOKUP($G172,ScoringTable!$M$2:$M$161,ScoringTable!$L$2:$L$161,,1),TRUE,_xlfn.XLOOKUP($G172,ScoringTable!$S$2:$S$161,ScoringTable!$R$2:$R$161,,1))</f>
        <v>0</v>
      </c>
    </row>
    <row r="173" spans="1:13" s="7" customFormat="1" ht="16" customHeight="1">
      <c r="A173" s="280" t="s">
        <v>2</v>
      </c>
      <c r="B173" s="122" t="str">
        <f>IF(ISNA(VLOOKUP($F173,Declarations!B$6:C$293,2,FALSE)),"",IF(VLOOKUP($F173,Declarations!B$6:C$293,2,FALSE)="","NOT DECLARED",IF(ISNA(_xlfn.TEXTBEFORE(VLOOKUP($F173,Declarations!B$6:C$293,2,FALSE)," ")),VLOOKUP($F173,Declarations!B$6:C$293,2,FALSE),_xlfn.TEXTBEFORE(VLOOKUP($F173,Declarations!B$6:C$293,2,FALSE)," "))))</f>
        <v/>
      </c>
      <c r="C173" s="122" t="str">
        <f>IF(ISNA(VLOOKUP($F173,Declarations!B$6:C$293,2,FALSE)),"",IF(VLOOKUP($F173,Declarations!B$6:C$293,2,FALSE)="","NOT DECLARED",IF(ISNA(_xlfn.TEXTAFTER(VLOOKUP($F173,Declarations!B$6:C$293,2,FALSE)," ")),VLOOKUP($F173,Declarations!B$6:C$293,2,FALSE),_xlfn.TEXTAFTER(VLOOKUP($F173,Declarations!B$6:C$293,2,FALSE)," "))))</f>
        <v/>
      </c>
      <c r="D173" s="122" t="str">
        <f>IF(ISNA(VLOOKUP($F173,Declarations!$B$6:$F$293,5,FALSE)),"",IF(VLOOKUP($F173,Declarations!$B$6:$F$293,5,FALSE)="","NOT DECLARED",VLOOKUP($F173,Declarations!$B$6:$F$293,5,FALSE)))</f>
        <v/>
      </c>
      <c r="E173" s="120" t="str">
        <f>IF(ISNA(VLOOKUP($F173,Declarations!$B$6:$D$293,3,FALSE)),"",IF(VLOOKUP($F173,Declarations!$B$6:$D$293,3,FALSE)="","NOT DECLARED",VLOOKUP($F173,Declarations!$B$6:$D$293,3,FALSE)&amp;LEFT(VLOOKUP($F173,Declarations!$B$6:$E$293,4,FALSE))))</f>
        <v/>
      </c>
      <c r="F173" s="59"/>
      <c r="G173" s="130"/>
      <c r="H173" s="130"/>
      <c r="I173" s="122" t="str">
        <f>IF(ISNA(VLOOKUP(F173,Declarations!B$6:C$293,2,FALSE)),"",IF(VLOOKUP(F173,Declarations!B$6:C$293,2,FALSE)="","NOT DECLARED",VLOOKUP(F173,Declarations!B$6:C$293,2,FALSE)))</f>
        <v/>
      </c>
      <c r="J173" s="120">
        <f>IF(LOWER(G173)="dnf",1,IF(G173&lt;ScoringTable!B$3,ScoringTable!I$2,VLOOKUP((1000-G173),ScoringTable!G$2:I$95,3)))</f>
        <v>0</v>
      </c>
      <c r="K173" s="120" t="str" cm="1">
        <f t="array" ref="K173">IF(OR(E173="",G173=""),"",_xlfn.IFS(E173="U10B",_xlfn.XLOOKUP(G173,Data!$D$2:$L$2,Data!$D$1:$L$1,"",1,1),E173="U12B",_xlfn.XLOOKUP(G173,Data!$D$8:$L$8,Data!$D$1:$L$1,"",1,1),E173="U10G",_xlfn.XLOOKUP(G173,Data!$D$15:$L$15,Data!$D$1:$L$1,"",1,1),E173="U12G",_xlfn.XLOOKUP(G173,Data!$D$21:$L$21,Data!$D$1:$L$1,"",1,1)))</f>
        <v/>
      </c>
      <c r="L173" s="184" t="str" cm="1">
        <f t="array" ref="L173">IFERROR(_xlfn.IFNA(
                      _xlfn.IFS(
                      G173="", "",
                      AND(E173="U10B",G173&lt;=Data!$M$2), "U10 Boys record",
                      AND(E173="U12B",G173&lt;=Data!$M$8), "U12 Boys record",
                      AND(E173="U10G",G173&lt;=Data!$M$15), "U10 Girls record",
                      AND(E173="U12G",G173&lt;=Data!$M$21), "U12 Girls record"
                       ),""), "")</f>
        <v/>
      </c>
      <c r="M173" s="19" cm="1">
        <f t="array" ref="M173">_xlfn.IFS($G173="",0, AND(NOT(ISNUMBER($G173)),LOWER($G173)&lt;&gt;"dnf"),"Not a valid time",OR(LOWER($G173)="dnf",$G173&gt;ScoringTable!$M$161),1,RIGHT($E173,1)="B",_xlfn.XLOOKUP($G173,ScoringTable!$M$2:$M$161,ScoringTable!$L$2:$L$161,,1),TRUE,_xlfn.XLOOKUP($G173,ScoringTable!$S$2:$S$161,ScoringTable!$R$2:$R$161,,1))</f>
        <v>0</v>
      </c>
    </row>
    <row r="174" spans="1:13" s="7" customFormat="1" ht="16" customHeight="1">
      <c r="A174" s="280" t="s">
        <v>2</v>
      </c>
      <c r="B174" s="122" t="str">
        <f>IF(ISNA(VLOOKUP($F174,Declarations!B$6:C$293,2,FALSE)),"",IF(VLOOKUP($F174,Declarations!B$6:C$293,2,FALSE)="","NOT DECLARED",IF(ISNA(_xlfn.TEXTBEFORE(VLOOKUP($F174,Declarations!B$6:C$293,2,FALSE)," ")),VLOOKUP($F174,Declarations!B$6:C$293,2,FALSE),_xlfn.TEXTBEFORE(VLOOKUP($F174,Declarations!B$6:C$293,2,FALSE)," "))))</f>
        <v/>
      </c>
      <c r="C174" s="122" t="str">
        <f>IF(ISNA(VLOOKUP($F174,Declarations!B$6:C$293,2,FALSE)),"",IF(VLOOKUP($F174,Declarations!B$6:C$293,2,FALSE)="","NOT DECLARED",IF(ISNA(_xlfn.TEXTAFTER(VLOOKUP($F174,Declarations!B$6:C$293,2,FALSE)," ")),VLOOKUP($F174,Declarations!B$6:C$293,2,FALSE),_xlfn.TEXTAFTER(VLOOKUP($F174,Declarations!B$6:C$293,2,FALSE)," "))))</f>
        <v/>
      </c>
      <c r="D174" s="122" t="str">
        <f>IF(ISNA(VLOOKUP($F174,Declarations!$B$6:$F$293,5,FALSE)),"",IF(VLOOKUP($F174,Declarations!$B$6:$F$293,5,FALSE)="","NOT DECLARED",VLOOKUP($F174,Declarations!$B$6:$F$293,5,FALSE)))</f>
        <v/>
      </c>
      <c r="E174" s="120" t="str">
        <f>IF(ISNA(VLOOKUP($F174,Declarations!$B$6:$D$293,3,FALSE)),"",IF(VLOOKUP($F174,Declarations!$B$6:$D$293,3,FALSE)="","NOT DECLARED",VLOOKUP($F174,Declarations!$B$6:$D$293,3,FALSE)&amp;LEFT(VLOOKUP($F174,Declarations!$B$6:$E$293,4,FALSE))))</f>
        <v/>
      </c>
      <c r="F174" s="59"/>
      <c r="G174" s="130"/>
      <c r="H174" s="130"/>
      <c r="I174" s="122" t="str">
        <f>IF(ISNA(VLOOKUP(F174,Declarations!B$6:C$293,2,FALSE)),"",IF(VLOOKUP(F174,Declarations!B$6:C$293,2,FALSE)="","NOT DECLARED",VLOOKUP(F174,Declarations!B$6:C$293,2,FALSE)))</f>
        <v/>
      </c>
      <c r="J174" s="120">
        <f>IF(LOWER(G174)="dnf",1,IF(G174&lt;ScoringTable!B$3,ScoringTable!I$2,VLOOKUP((1000-G174),ScoringTable!G$2:I$95,3)))</f>
        <v>0</v>
      </c>
      <c r="K174" s="120" t="str" cm="1">
        <f t="array" ref="K174">IF(OR(E174="",G174=""),"",_xlfn.IFS(E174="U10B",_xlfn.XLOOKUP(G174,Data!$D$2:$L$2,Data!$D$1:$L$1,"",1,1),E174="U12B",_xlfn.XLOOKUP(G174,Data!$D$8:$L$8,Data!$D$1:$L$1,"",1,1),E174="U10G",_xlfn.XLOOKUP(G174,Data!$D$15:$L$15,Data!$D$1:$L$1,"",1,1),E174="U12G",_xlfn.XLOOKUP(G174,Data!$D$21:$L$21,Data!$D$1:$L$1,"",1,1)))</f>
        <v/>
      </c>
      <c r="L174" s="184" t="str" cm="1">
        <f t="array" ref="L174">IFERROR(_xlfn.IFNA(
                      _xlfn.IFS(
                      G174="", "",
                      AND(E174="U10B",G174&lt;=Data!$M$2), "U10 Boys record",
                      AND(E174="U12B",G174&lt;=Data!$M$8), "U12 Boys record",
                      AND(E174="U10G",G174&lt;=Data!$M$15), "U10 Girls record",
                      AND(E174="U12G",G174&lt;=Data!$M$21), "U12 Girls record"
                       ),""), "")</f>
        <v/>
      </c>
      <c r="M174" s="19" cm="1">
        <f t="array" ref="M174">_xlfn.IFS($G174="",0, AND(NOT(ISNUMBER($G174)),LOWER($G174)&lt;&gt;"dnf"),"Not a valid time",OR(LOWER($G174)="dnf",$G174&gt;ScoringTable!$M$161),1,RIGHT($E174,1)="B",_xlfn.XLOOKUP($G174,ScoringTable!$M$2:$M$161,ScoringTable!$L$2:$L$161,,1),TRUE,_xlfn.XLOOKUP($G174,ScoringTable!$S$2:$S$161,ScoringTable!$R$2:$R$161,,1))</f>
        <v>0</v>
      </c>
    </row>
    <row r="175" spans="1:13" s="7" customFormat="1" ht="16" customHeight="1">
      <c r="A175" s="280" t="s">
        <v>2</v>
      </c>
      <c r="B175" s="122" t="str">
        <f>IF(ISNA(VLOOKUP($F175,Declarations!B$6:C$293,2,FALSE)),"",IF(VLOOKUP($F175,Declarations!B$6:C$293,2,FALSE)="","NOT DECLARED",IF(ISNA(_xlfn.TEXTBEFORE(VLOOKUP($F175,Declarations!B$6:C$293,2,FALSE)," ")),VLOOKUP($F175,Declarations!B$6:C$293,2,FALSE),_xlfn.TEXTBEFORE(VLOOKUP($F175,Declarations!B$6:C$293,2,FALSE)," "))))</f>
        <v/>
      </c>
      <c r="C175" s="122" t="str">
        <f>IF(ISNA(VLOOKUP($F175,Declarations!B$6:C$293,2,FALSE)),"",IF(VLOOKUP($F175,Declarations!B$6:C$293,2,FALSE)="","NOT DECLARED",IF(ISNA(_xlfn.TEXTAFTER(VLOOKUP($F175,Declarations!B$6:C$293,2,FALSE)," ")),VLOOKUP($F175,Declarations!B$6:C$293,2,FALSE),_xlfn.TEXTAFTER(VLOOKUP($F175,Declarations!B$6:C$293,2,FALSE)," "))))</f>
        <v/>
      </c>
      <c r="D175" s="122" t="str">
        <f>IF(ISNA(VLOOKUP($F175,Declarations!$B$6:$F$293,5,FALSE)),"",IF(VLOOKUP($F175,Declarations!$B$6:$F$293,5,FALSE)="","NOT DECLARED",VLOOKUP($F175,Declarations!$B$6:$F$293,5,FALSE)))</f>
        <v/>
      </c>
      <c r="E175" s="120" t="str">
        <f>IF(ISNA(VLOOKUP($F175,Declarations!$B$6:$D$293,3,FALSE)),"",IF(VLOOKUP($F175,Declarations!$B$6:$D$293,3,FALSE)="","NOT DECLARED",VLOOKUP($F175,Declarations!$B$6:$D$293,3,FALSE)&amp;LEFT(VLOOKUP($F175,Declarations!$B$6:$E$293,4,FALSE))))</f>
        <v/>
      </c>
      <c r="F175" s="59"/>
      <c r="G175" s="130"/>
      <c r="H175" s="130"/>
      <c r="I175" s="122" t="str">
        <f>IF(ISNA(VLOOKUP(F175,Declarations!B$6:C$293,2,FALSE)),"",IF(VLOOKUP(F175,Declarations!B$6:C$293,2,FALSE)="","NOT DECLARED",VLOOKUP(F175,Declarations!B$6:C$293,2,FALSE)))</f>
        <v/>
      </c>
      <c r="J175" s="120">
        <f>IF(LOWER(G175)="dnf",1,IF(G175&lt;ScoringTable!B$3,ScoringTable!I$2,VLOOKUP((1000-G175),ScoringTable!G$2:I$95,3)))</f>
        <v>0</v>
      </c>
      <c r="K175" s="120" t="str" cm="1">
        <f t="array" ref="K175">IF(OR(E175="",G175=""),"",_xlfn.IFS(E175="U10B",_xlfn.XLOOKUP(G175,Data!$D$2:$L$2,Data!$D$1:$L$1,"",1,1),E175="U12B",_xlfn.XLOOKUP(G175,Data!$D$8:$L$8,Data!$D$1:$L$1,"",1,1),E175="U10G",_xlfn.XLOOKUP(G175,Data!$D$15:$L$15,Data!$D$1:$L$1,"",1,1),E175="U12G",_xlfn.XLOOKUP(G175,Data!$D$21:$L$21,Data!$D$1:$L$1,"",1,1)))</f>
        <v/>
      </c>
      <c r="L175" s="184" t="str" cm="1">
        <f t="array" ref="L175">IFERROR(_xlfn.IFNA(
                      _xlfn.IFS(
                      G175="", "",
                      AND(E175="U10B",G175&lt;=Data!$M$2), "U10 Boys record",
                      AND(E175="U12B",G175&lt;=Data!$M$8), "U12 Boys record",
                      AND(E175="U10G",G175&lt;=Data!$M$15), "U10 Girls record",
                      AND(E175="U12G",G175&lt;=Data!$M$21), "U12 Girls record"
                       ),""), "")</f>
        <v/>
      </c>
      <c r="M175" s="19" cm="1">
        <f t="array" ref="M175">_xlfn.IFS($G175="",0, AND(NOT(ISNUMBER($G175)),LOWER($G175)&lt;&gt;"dnf"),"Not a valid time",OR(LOWER($G175)="dnf",$G175&gt;ScoringTable!$M$161),1,RIGHT($E175,1)="B",_xlfn.XLOOKUP($G175,ScoringTable!$M$2:$M$161,ScoringTable!$L$2:$L$161,,1),TRUE,_xlfn.XLOOKUP($G175,ScoringTable!$S$2:$S$161,ScoringTable!$R$2:$R$161,,1))</f>
        <v>0</v>
      </c>
    </row>
    <row r="176" spans="1:13" s="7" customFormat="1" ht="16" customHeight="1">
      <c r="A176" s="280" t="s">
        <v>2</v>
      </c>
      <c r="B176" s="122" t="str">
        <f>IF(ISNA(VLOOKUP($F176,Declarations!B$6:C$293,2,FALSE)),"",IF(VLOOKUP($F176,Declarations!B$6:C$293,2,FALSE)="","NOT DECLARED",IF(ISNA(_xlfn.TEXTBEFORE(VLOOKUP($F176,Declarations!B$6:C$293,2,FALSE)," ")),VLOOKUP($F176,Declarations!B$6:C$293,2,FALSE),_xlfn.TEXTBEFORE(VLOOKUP($F176,Declarations!B$6:C$293,2,FALSE)," "))))</f>
        <v/>
      </c>
      <c r="C176" s="122" t="str">
        <f>IF(ISNA(VLOOKUP($F176,Declarations!B$6:C$293,2,FALSE)),"",IF(VLOOKUP($F176,Declarations!B$6:C$293,2,FALSE)="","NOT DECLARED",IF(ISNA(_xlfn.TEXTAFTER(VLOOKUP($F176,Declarations!B$6:C$293,2,FALSE)," ")),VLOOKUP($F176,Declarations!B$6:C$293,2,FALSE),_xlfn.TEXTAFTER(VLOOKUP($F176,Declarations!B$6:C$293,2,FALSE)," "))))</f>
        <v/>
      </c>
      <c r="D176" s="122" t="str">
        <f>IF(ISNA(VLOOKUP($F176,Declarations!$B$6:$F$293,5,FALSE)),"",IF(VLOOKUP($F176,Declarations!$B$6:$F$293,5,FALSE)="","NOT DECLARED",VLOOKUP($F176,Declarations!$B$6:$F$293,5,FALSE)))</f>
        <v/>
      </c>
      <c r="E176" s="120" t="str">
        <f>IF(ISNA(VLOOKUP($F176,Declarations!$B$6:$D$293,3,FALSE)),"",IF(VLOOKUP($F176,Declarations!$B$6:$D$293,3,FALSE)="","NOT DECLARED",VLOOKUP($F176,Declarations!$B$6:$D$293,3,FALSE)&amp;LEFT(VLOOKUP($F176,Declarations!$B$6:$E$293,4,FALSE))))</f>
        <v/>
      </c>
      <c r="F176" s="59"/>
      <c r="G176" s="130"/>
      <c r="H176" s="130"/>
      <c r="I176" s="122" t="str">
        <f>IF(ISNA(VLOOKUP(F176,Declarations!B$6:C$293,2,FALSE)),"",IF(VLOOKUP(F176,Declarations!B$6:C$293,2,FALSE)="","NOT DECLARED",VLOOKUP(F176,Declarations!B$6:C$293,2,FALSE)))</f>
        <v/>
      </c>
      <c r="J176" s="120">
        <f>IF(LOWER(G176)="dnf",1,IF(G176&lt;ScoringTable!B$3,ScoringTable!I$2,VLOOKUP((1000-G176),ScoringTable!G$2:I$95,3)))</f>
        <v>0</v>
      </c>
      <c r="K176" s="120" t="str" cm="1">
        <f t="array" ref="K176">IF(OR(E176="",G176=""),"",_xlfn.IFS(E176="U10B",_xlfn.XLOOKUP(G176,Data!$D$2:$L$2,Data!$D$1:$L$1,"",1,1),E176="U12B",_xlfn.XLOOKUP(G176,Data!$D$8:$L$8,Data!$D$1:$L$1,"",1,1),E176="U10G",_xlfn.XLOOKUP(G176,Data!$D$15:$L$15,Data!$D$1:$L$1,"",1,1),E176="U12G",_xlfn.XLOOKUP(G176,Data!$D$21:$L$21,Data!$D$1:$L$1,"",1,1)))</f>
        <v/>
      </c>
      <c r="L176" s="184" t="str" cm="1">
        <f t="array" ref="L176">IFERROR(_xlfn.IFNA(
                      _xlfn.IFS(
                      G176="", "",
                      AND(E176="U10B",G176&lt;=Data!$M$2), "U10 Boys record",
                      AND(E176="U12B",G176&lt;=Data!$M$8), "U12 Boys record",
                      AND(E176="U10G",G176&lt;=Data!$M$15), "U10 Girls record",
                      AND(E176="U12G",G176&lt;=Data!$M$21), "U12 Girls record"
                       ),""), "")</f>
        <v/>
      </c>
      <c r="M176" s="19" cm="1">
        <f t="array" ref="M176">_xlfn.IFS($G176="",0, AND(NOT(ISNUMBER($G176)),LOWER($G176)&lt;&gt;"dnf"),"Not a valid time",OR(LOWER($G176)="dnf",$G176&gt;ScoringTable!$M$161),1,RIGHT($E176,1)="B",_xlfn.XLOOKUP($G176,ScoringTable!$M$2:$M$161,ScoringTable!$L$2:$L$161,,1),TRUE,_xlfn.XLOOKUP($G176,ScoringTable!$S$2:$S$161,ScoringTable!$R$2:$R$161,,1))</f>
        <v>0</v>
      </c>
    </row>
    <row r="177" spans="1:13" s="7" customFormat="1" ht="16" customHeight="1">
      <c r="A177" s="280" t="s">
        <v>2</v>
      </c>
      <c r="B177" s="122" t="str">
        <f>IF(ISNA(VLOOKUP($F177,Declarations!B$6:C$293,2,FALSE)),"",IF(VLOOKUP($F177,Declarations!B$6:C$293,2,FALSE)="","NOT DECLARED",IF(ISNA(_xlfn.TEXTBEFORE(VLOOKUP($F177,Declarations!B$6:C$293,2,FALSE)," ")),VLOOKUP($F177,Declarations!B$6:C$293,2,FALSE),_xlfn.TEXTBEFORE(VLOOKUP($F177,Declarations!B$6:C$293,2,FALSE)," "))))</f>
        <v/>
      </c>
      <c r="C177" s="122" t="str">
        <f>IF(ISNA(VLOOKUP($F177,Declarations!B$6:C$293,2,FALSE)),"",IF(VLOOKUP($F177,Declarations!B$6:C$293,2,FALSE)="","NOT DECLARED",IF(ISNA(_xlfn.TEXTAFTER(VLOOKUP($F177,Declarations!B$6:C$293,2,FALSE)," ")),VLOOKUP($F177,Declarations!B$6:C$293,2,FALSE),_xlfn.TEXTAFTER(VLOOKUP($F177,Declarations!B$6:C$293,2,FALSE)," "))))</f>
        <v/>
      </c>
      <c r="D177" s="122" t="str">
        <f>IF(ISNA(VLOOKUP($F177,Declarations!$B$6:$F$293,5,FALSE)),"",IF(VLOOKUP($F177,Declarations!$B$6:$F$293,5,FALSE)="","NOT DECLARED",VLOOKUP($F177,Declarations!$B$6:$F$293,5,FALSE)))</f>
        <v/>
      </c>
      <c r="E177" s="120" t="str">
        <f>IF(ISNA(VLOOKUP($F177,Declarations!$B$6:$D$293,3,FALSE)),"",IF(VLOOKUP($F177,Declarations!$B$6:$D$293,3,FALSE)="","NOT DECLARED",VLOOKUP($F177,Declarations!$B$6:$D$293,3,FALSE)&amp;LEFT(VLOOKUP($F177,Declarations!$B$6:$E$293,4,FALSE))))</f>
        <v/>
      </c>
      <c r="F177" s="59"/>
      <c r="G177" s="130"/>
      <c r="H177" s="130"/>
      <c r="I177" s="122" t="str">
        <f>IF(ISNA(VLOOKUP(F177,Declarations!B$6:C$293,2,FALSE)),"",IF(VLOOKUP(F177,Declarations!B$6:C$293,2,FALSE)="","NOT DECLARED",VLOOKUP(F177,Declarations!B$6:C$293,2,FALSE)))</f>
        <v/>
      </c>
      <c r="J177" s="120">
        <f>IF(LOWER(G177)="dnf",1,IF(G177&lt;ScoringTable!B$3,ScoringTable!I$2,VLOOKUP((1000-G177),ScoringTable!G$2:I$95,3)))</f>
        <v>0</v>
      </c>
      <c r="K177" s="120" t="str" cm="1">
        <f t="array" ref="K177">IF(OR(E177="",G177=""),"",_xlfn.IFS(E177="U10B",_xlfn.XLOOKUP(G177,Data!$D$2:$L$2,Data!$D$1:$L$1,"",1,1),E177="U12B",_xlfn.XLOOKUP(G177,Data!$D$8:$L$8,Data!$D$1:$L$1,"",1,1),E177="U10G",_xlfn.XLOOKUP(G177,Data!$D$15:$L$15,Data!$D$1:$L$1,"",1,1),E177="U12G",_xlfn.XLOOKUP(G177,Data!$D$21:$L$21,Data!$D$1:$L$1,"",1,1)))</f>
        <v/>
      </c>
      <c r="L177" s="184" t="str" cm="1">
        <f t="array" ref="L177">IFERROR(_xlfn.IFNA(
                      _xlfn.IFS(
                      G177="", "",
                      AND(E177="U10B",G177&lt;=Data!$M$2), "U10 Boys record",
                      AND(E177="U12B",G177&lt;=Data!$M$8), "U12 Boys record",
                      AND(E177="U10G",G177&lt;=Data!$M$15), "U10 Girls record",
                      AND(E177="U12G",G177&lt;=Data!$M$21), "U12 Girls record"
                       ),""), "")</f>
        <v/>
      </c>
      <c r="M177" s="19" cm="1">
        <f t="array" ref="M177">_xlfn.IFS($G177="",0, AND(NOT(ISNUMBER($G177)),LOWER($G177)&lt;&gt;"dnf"),"Not a valid time",OR(LOWER($G177)="dnf",$G177&gt;ScoringTable!$M$161),1,RIGHT($E177,1)="B",_xlfn.XLOOKUP($G177,ScoringTable!$M$2:$M$161,ScoringTable!$L$2:$L$161,,1),TRUE,_xlfn.XLOOKUP($G177,ScoringTable!$S$2:$S$161,ScoringTable!$R$2:$R$161,,1))</f>
        <v>0</v>
      </c>
    </row>
    <row r="178" spans="1:13" s="7" customFormat="1" ht="16" customHeight="1">
      <c r="A178" s="280" t="s">
        <v>2</v>
      </c>
      <c r="B178" s="122" t="str">
        <f>IF(ISNA(VLOOKUP($F178,Declarations!B$6:C$293,2,FALSE)),"",IF(VLOOKUP($F178,Declarations!B$6:C$293,2,FALSE)="","NOT DECLARED",IF(ISNA(_xlfn.TEXTBEFORE(VLOOKUP($F178,Declarations!B$6:C$293,2,FALSE)," ")),VLOOKUP($F178,Declarations!B$6:C$293,2,FALSE),_xlfn.TEXTBEFORE(VLOOKUP($F178,Declarations!B$6:C$293,2,FALSE)," "))))</f>
        <v/>
      </c>
      <c r="C178" s="122" t="str">
        <f>IF(ISNA(VLOOKUP($F178,Declarations!B$6:C$293,2,FALSE)),"",IF(VLOOKUP($F178,Declarations!B$6:C$293,2,FALSE)="","NOT DECLARED",IF(ISNA(_xlfn.TEXTAFTER(VLOOKUP($F178,Declarations!B$6:C$293,2,FALSE)," ")),VLOOKUP($F178,Declarations!B$6:C$293,2,FALSE),_xlfn.TEXTAFTER(VLOOKUP($F178,Declarations!B$6:C$293,2,FALSE)," "))))</f>
        <v/>
      </c>
      <c r="D178" s="122" t="str">
        <f>IF(ISNA(VLOOKUP($F178,Declarations!$B$6:$F$293,5,FALSE)),"",IF(VLOOKUP($F178,Declarations!$B$6:$F$293,5,FALSE)="","NOT DECLARED",VLOOKUP($F178,Declarations!$B$6:$F$293,5,FALSE)))</f>
        <v/>
      </c>
      <c r="E178" s="120" t="str">
        <f>IF(ISNA(VLOOKUP($F178,Declarations!$B$6:$D$293,3,FALSE)),"",IF(VLOOKUP($F178,Declarations!$B$6:$D$293,3,FALSE)="","NOT DECLARED",VLOOKUP($F178,Declarations!$B$6:$D$293,3,FALSE)&amp;LEFT(VLOOKUP($F178,Declarations!$B$6:$E$293,4,FALSE))))</f>
        <v/>
      </c>
      <c r="F178" s="59"/>
      <c r="G178" s="130"/>
      <c r="H178" s="130"/>
      <c r="I178" s="122" t="str">
        <f>IF(ISNA(VLOOKUP(F178,Declarations!B$6:C$293,2,FALSE)),"",IF(VLOOKUP(F178,Declarations!B$6:C$293,2,FALSE)="","NOT DECLARED",VLOOKUP(F178,Declarations!B$6:C$293,2,FALSE)))</f>
        <v/>
      </c>
      <c r="J178" s="120">
        <f>IF(LOWER(G178)="dnf",1,IF(G178&lt;ScoringTable!B$3,ScoringTable!I$2,VLOOKUP((1000-G178),ScoringTable!G$2:I$95,3)))</f>
        <v>0</v>
      </c>
      <c r="K178" s="120" t="str" cm="1">
        <f t="array" ref="K178">IF(OR(E178="",G178=""),"",_xlfn.IFS(E178="U10B",_xlfn.XLOOKUP(G178,Data!$D$2:$L$2,Data!$D$1:$L$1,"",1,1),E178="U12B",_xlfn.XLOOKUP(G178,Data!$D$8:$L$8,Data!$D$1:$L$1,"",1,1),E178="U10G",_xlfn.XLOOKUP(G178,Data!$D$15:$L$15,Data!$D$1:$L$1,"",1,1),E178="U12G",_xlfn.XLOOKUP(G178,Data!$D$21:$L$21,Data!$D$1:$L$1,"",1,1)))</f>
        <v/>
      </c>
      <c r="L178" s="184" t="str" cm="1">
        <f t="array" ref="L178">IFERROR(_xlfn.IFNA(
                      _xlfn.IFS(
                      G178="", "",
                      AND(E178="U10B",G178&lt;=Data!$M$2), "U10 Boys record",
                      AND(E178="U12B",G178&lt;=Data!$M$8), "U12 Boys record",
                      AND(E178="U10G",G178&lt;=Data!$M$15), "U10 Girls record",
                      AND(E178="U12G",G178&lt;=Data!$M$21), "U12 Girls record"
                       ),""), "")</f>
        <v/>
      </c>
      <c r="M178" s="19" cm="1">
        <f t="array" ref="M178">_xlfn.IFS($G178="",0, AND(NOT(ISNUMBER($G178)),LOWER($G178)&lt;&gt;"dnf"),"Not a valid time",OR(LOWER($G178)="dnf",$G178&gt;ScoringTable!$M$161),1,RIGHT($E178,1)="B",_xlfn.XLOOKUP($G178,ScoringTable!$M$2:$M$161,ScoringTable!$L$2:$L$161,,1),TRUE,_xlfn.XLOOKUP($G178,ScoringTable!$S$2:$S$161,ScoringTable!$R$2:$R$161,,1))</f>
        <v>0</v>
      </c>
    </row>
    <row r="179" spans="1:13" s="7" customFormat="1" ht="16" customHeight="1">
      <c r="A179" s="280" t="s">
        <v>2</v>
      </c>
      <c r="B179" s="122" t="str">
        <f>IF(ISNA(VLOOKUP($F179,Declarations!B$6:C$293,2,FALSE)),"",IF(VLOOKUP($F179,Declarations!B$6:C$293,2,FALSE)="","NOT DECLARED",IF(ISNA(_xlfn.TEXTBEFORE(VLOOKUP($F179,Declarations!B$6:C$293,2,FALSE)," ")),VLOOKUP($F179,Declarations!B$6:C$293,2,FALSE),_xlfn.TEXTBEFORE(VLOOKUP($F179,Declarations!B$6:C$293,2,FALSE)," "))))</f>
        <v/>
      </c>
      <c r="C179" s="122" t="str">
        <f>IF(ISNA(VLOOKUP($F179,Declarations!B$6:C$293,2,FALSE)),"",IF(VLOOKUP($F179,Declarations!B$6:C$293,2,FALSE)="","NOT DECLARED",IF(ISNA(_xlfn.TEXTAFTER(VLOOKUP($F179,Declarations!B$6:C$293,2,FALSE)," ")),VLOOKUP($F179,Declarations!B$6:C$293,2,FALSE),_xlfn.TEXTAFTER(VLOOKUP($F179,Declarations!B$6:C$293,2,FALSE)," "))))</f>
        <v/>
      </c>
      <c r="D179" s="122" t="str">
        <f>IF(ISNA(VLOOKUP($F179,Declarations!$B$6:$F$293,5,FALSE)),"",IF(VLOOKUP($F179,Declarations!$B$6:$F$293,5,FALSE)="","NOT DECLARED",VLOOKUP($F179,Declarations!$B$6:$F$293,5,FALSE)))</f>
        <v/>
      </c>
      <c r="E179" s="120" t="str">
        <f>IF(ISNA(VLOOKUP($F179,Declarations!$B$6:$D$293,3,FALSE)),"",IF(VLOOKUP($F179,Declarations!$B$6:$D$293,3,FALSE)="","NOT DECLARED",VLOOKUP($F179,Declarations!$B$6:$D$293,3,FALSE)&amp;LEFT(VLOOKUP($F179,Declarations!$B$6:$E$293,4,FALSE))))</f>
        <v/>
      </c>
      <c r="F179" s="59"/>
      <c r="G179" s="130"/>
      <c r="H179" s="130"/>
      <c r="I179" s="122" t="str">
        <f>IF(ISNA(VLOOKUP(F179,Declarations!B$6:C$293,2,FALSE)),"",IF(VLOOKUP(F179,Declarations!B$6:C$293,2,FALSE)="","NOT DECLARED",VLOOKUP(F179,Declarations!B$6:C$293,2,FALSE)))</f>
        <v/>
      </c>
      <c r="J179" s="120">
        <f>IF(LOWER(G179)="dnf",1,IF(G179&lt;ScoringTable!B$3,ScoringTable!I$2,VLOOKUP((1000-G179),ScoringTable!G$2:I$95,3)))</f>
        <v>0</v>
      </c>
      <c r="K179" s="120" t="str" cm="1">
        <f t="array" ref="K179">IF(OR(E179="",G179=""),"",_xlfn.IFS(E179="U10B",_xlfn.XLOOKUP(G179,Data!$D$2:$L$2,Data!$D$1:$L$1,"",1,1),E179="U12B",_xlfn.XLOOKUP(G179,Data!$D$8:$L$8,Data!$D$1:$L$1,"",1,1),E179="U10G",_xlfn.XLOOKUP(G179,Data!$D$15:$L$15,Data!$D$1:$L$1,"",1,1),E179="U12G",_xlfn.XLOOKUP(G179,Data!$D$21:$L$21,Data!$D$1:$L$1,"",1,1)))</f>
        <v/>
      </c>
      <c r="L179" s="184" t="str" cm="1">
        <f t="array" ref="L179">IFERROR(_xlfn.IFNA(
                      _xlfn.IFS(
                      G179="", "",
                      AND(E179="U10B",G179&lt;=Data!$M$2), "U10 Boys record",
                      AND(E179="U12B",G179&lt;=Data!$M$8), "U12 Boys record",
                      AND(E179="U10G",G179&lt;=Data!$M$15), "U10 Girls record",
                      AND(E179="U12G",G179&lt;=Data!$M$21), "U12 Girls record"
                       ),""), "")</f>
        <v/>
      </c>
      <c r="M179" s="19" cm="1">
        <f t="array" ref="M179">_xlfn.IFS($G179="",0, AND(NOT(ISNUMBER($G179)),LOWER($G179)&lt;&gt;"dnf"),"Not a valid time",OR(LOWER($G179)="dnf",$G179&gt;ScoringTable!$M$161),1,RIGHT($E179,1)="B",_xlfn.XLOOKUP($G179,ScoringTable!$M$2:$M$161,ScoringTable!$L$2:$L$161,,1),TRUE,_xlfn.XLOOKUP($G179,ScoringTable!$S$2:$S$161,ScoringTable!$R$2:$R$161,,1))</f>
        <v>0</v>
      </c>
    </row>
    <row r="180" spans="1:13" s="7" customFormat="1" ht="16" customHeight="1">
      <c r="A180" s="280" t="s">
        <v>2</v>
      </c>
      <c r="B180" s="122" t="str">
        <f>IF(ISNA(VLOOKUP($F180,Declarations!B$6:C$293,2,FALSE)),"",IF(VLOOKUP($F180,Declarations!B$6:C$293,2,FALSE)="","NOT DECLARED",IF(ISNA(_xlfn.TEXTBEFORE(VLOOKUP($F180,Declarations!B$6:C$293,2,FALSE)," ")),VLOOKUP($F180,Declarations!B$6:C$293,2,FALSE),_xlfn.TEXTBEFORE(VLOOKUP($F180,Declarations!B$6:C$293,2,FALSE)," "))))</f>
        <v/>
      </c>
      <c r="C180" s="122" t="str">
        <f>IF(ISNA(VLOOKUP($F180,Declarations!B$6:C$293,2,FALSE)),"",IF(VLOOKUP($F180,Declarations!B$6:C$293,2,FALSE)="","NOT DECLARED",IF(ISNA(_xlfn.TEXTAFTER(VLOOKUP($F180,Declarations!B$6:C$293,2,FALSE)," ")),VLOOKUP($F180,Declarations!B$6:C$293,2,FALSE),_xlfn.TEXTAFTER(VLOOKUP($F180,Declarations!B$6:C$293,2,FALSE)," "))))</f>
        <v/>
      </c>
      <c r="D180" s="122" t="str">
        <f>IF(ISNA(VLOOKUP($F180,Declarations!$B$6:$F$293,5,FALSE)),"",IF(VLOOKUP($F180,Declarations!$B$6:$F$293,5,FALSE)="","NOT DECLARED",VLOOKUP($F180,Declarations!$B$6:$F$293,5,FALSE)))</f>
        <v/>
      </c>
      <c r="E180" s="120" t="str">
        <f>IF(ISNA(VLOOKUP($F180,Declarations!$B$6:$D$293,3,FALSE)),"",IF(VLOOKUP($F180,Declarations!$B$6:$D$293,3,FALSE)="","NOT DECLARED",VLOOKUP($F180,Declarations!$B$6:$D$293,3,FALSE)&amp;LEFT(VLOOKUP($F180,Declarations!$B$6:$E$293,4,FALSE))))</f>
        <v/>
      </c>
      <c r="F180" s="59"/>
      <c r="G180" s="130"/>
      <c r="H180" s="130"/>
      <c r="I180" s="122" t="str">
        <f>IF(ISNA(VLOOKUP(F180,Declarations!B$6:C$293,2,FALSE)),"",IF(VLOOKUP(F180,Declarations!B$6:C$293,2,FALSE)="","NOT DECLARED",VLOOKUP(F180,Declarations!B$6:C$293,2,FALSE)))</f>
        <v/>
      </c>
      <c r="J180" s="120">
        <f>IF(LOWER(G180)="dnf",1,IF(G180&lt;ScoringTable!B$3,ScoringTable!I$2,VLOOKUP((1000-G180),ScoringTable!G$2:I$95,3)))</f>
        <v>0</v>
      </c>
      <c r="K180" s="120" t="str" cm="1">
        <f t="array" ref="K180">IF(OR(E180="",G180=""),"",_xlfn.IFS(E180="U10B",_xlfn.XLOOKUP(G180,Data!$D$2:$L$2,Data!$D$1:$L$1,"",1,1),E180="U12B",_xlfn.XLOOKUP(G180,Data!$D$8:$L$8,Data!$D$1:$L$1,"",1,1),E180="U10G",_xlfn.XLOOKUP(G180,Data!$D$15:$L$15,Data!$D$1:$L$1,"",1,1),E180="U12G",_xlfn.XLOOKUP(G180,Data!$D$21:$L$21,Data!$D$1:$L$1,"",1,1)))</f>
        <v/>
      </c>
      <c r="L180" s="184" t="str" cm="1">
        <f t="array" ref="L180">IFERROR(_xlfn.IFNA(
                      _xlfn.IFS(
                      G180="", "",
                      AND(E180="U10B",G180&lt;=Data!$M$2), "U10 Boys record",
                      AND(E180="U12B",G180&lt;=Data!$M$8), "U12 Boys record",
                      AND(E180="U10G",G180&lt;=Data!$M$15), "U10 Girls record",
                      AND(E180="U12G",G180&lt;=Data!$M$21), "U12 Girls record"
                       ),""), "")</f>
        <v/>
      </c>
      <c r="M180" s="19" cm="1">
        <f t="array" ref="M180">_xlfn.IFS($G180="",0, AND(NOT(ISNUMBER($G180)),LOWER($G180)&lt;&gt;"dnf"),"Not a valid time",OR(LOWER($G180)="dnf",$G180&gt;ScoringTable!$M$161),1,RIGHT($E180,1)="B",_xlfn.XLOOKUP($G180,ScoringTable!$M$2:$M$161,ScoringTable!$L$2:$L$161,,1),TRUE,_xlfn.XLOOKUP($G180,ScoringTable!$S$2:$S$161,ScoringTable!$R$2:$R$161,,1))</f>
        <v>0</v>
      </c>
    </row>
    <row r="181" spans="1:13" s="7" customFormat="1" ht="16" customHeight="1">
      <c r="A181" s="280" t="s">
        <v>2</v>
      </c>
      <c r="B181" s="122" t="str">
        <f>IF(ISNA(VLOOKUP($F181,Declarations!B$6:C$293,2,FALSE)),"",IF(VLOOKUP($F181,Declarations!B$6:C$293,2,FALSE)="","NOT DECLARED",IF(ISNA(_xlfn.TEXTBEFORE(VLOOKUP($F181,Declarations!B$6:C$293,2,FALSE)," ")),VLOOKUP($F181,Declarations!B$6:C$293,2,FALSE),_xlfn.TEXTBEFORE(VLOOKUP($F181,Declarations!B$6:C$293,2,FALSE)," "))))</f>
        <v/>
      </c>
      <c r="C181" s="122" t="str">
        <f>IF(ISNA(VLOOKUP($F181,Declarations!B$6:C$293,2,FALSE)),"",IF(VLOOKUP($F181,Declarations!B$6:C$293,2,FALSE)="","NOT DECLARED",IF(ISNA(_xlfn.TEXTAFTER(VLOOKUP($F181,Declarations!B$6:C$293,2,FALSE)," ")),VLOOKUP($F181,Declarations!B$6:C$293,2,FALSE),_xlfn.TEXTAFTER(VLOOKUP($F181,Declarations!B$6:C$293,2,FALSE)," "))))</f>
        <v/>
      </c>
      <c r="D181" s="122" t="str">
        <f>IF(ISNA(VLOOKUP($F181,Declarations!$B$6:$F$293,5,FALSE)),"",IF(VLOOKUP($F181,Declarations!$B$6:$F$293,5,FALSE)="","NOT DECLARED",VLOOKUP($F181,Declarations!$B$6:$F$293,5,FALSE)))</f>
        <v/>
      </c>
      <c r="E181" s="120" t="str">
        <f>IF(ISNA(VLOOKUP($F181,Declarations!$B$6:$D$293,3,FALSE)),"",IF(VLOOKUP($F181,Declarations!$B$6:$D$293,3,FALSE)="","NOT DECLARED",VLOOKUP($F181,Declarations!$B$6:$D$293,3,FALSE)&amp;LEFT(VLOOKUP($F181,Declarations!$B$6:$E$293,4,FALSE))))</f>
        <v/>
      </c>
      <c r="F181" s="59"/>
      <c r="G181" s="130"/>
      <c r="H181" s="130"/>
      <c r="I181" s="122" t="str">
        <f>IF(ISNA(VLOOKUP(F181,Declarations!B$6:C$293,2,FALSE)),"",IF(VLOOKUP(F181,Declarations!B$6:C$293,2,FALSE)="","NOT DECLARED",VLOOKUP(F181,Declarations!B$6:C$293,2,FALSE)))</f>
        <v/>
      </c>
      <c r="J181" s="120">
        <f>IF(LOWER(G181)="dnf",1,IF(G181&lt;ScoringTable!B$3,ScoringTable!I$2,VLOOKUP((1000-G181),ScoringTable!G$2:I$95,3)))</f>
        <v>0</v>
      </c>
      <c r="K181" s="120" t="str" cm="1">
        <f t="array" ref="K181">IF(OR(E181="",G181=""),"",_xlfn.IFS(E181="U10B",_xlfn.XLOOKUP(G181,Data!$D$2:$L$2,Data!$D$1:$L$1,"",1,1),E181="U12B",_xlfn.XLOOKUP(G181,Data!$D$8:$L$8,Data!$D$1:$L$1,"",1,1),E181="U10G",_xlfn.XLOOKUP(G181,Data!$D$15:$L$15,Data!$D$1:$L$1,"",1,1),E181="U12G",_xlfn.XLOOKUP(G181,Data!$D$21:$L$21,Data!$D$1:$L$1,"",1,1)))</f>
        <v/>
      </c>
      <c r="L181" s="184" t="str" cm="1">
        <f t="array" ref="L181">IFERROR(_xlfn.IFNA(
                      _xlfn.IFS(
                      G181="", "",
                      AND(E181="U10B",G181&lt;=Data!$M$2), "U10 Boys record",
                      AND(E181="U12B",G181&lt;=Data!$M$8), "U12 Boys record",
                      AND(E181="U10G",G181&lt;=Data!$M$15), "U10 Girls record",
                      AND(E181="U12G",G181&lt;=Data!$M$21), "U12 Girls record"
                       ),""), "")</f>
        <v/>
      </c>
      <c r="M181" s="19" cm="1">
        <f t="array" ref="M181">_xlfn.IFS($G181="",0, AND(NOT(ISNUMBER($G181)),LOWER($G181)&lt;&gt;"dnf"),"Not a valid time",OR(LOWER($G181)="dnf",$G181&gt;ScoringTable!$M$161),1,RIGHT($E181,1)="B",_xlfn.XLOOKUP($G181,ScoringTable!$M$2:$M$161,ScoringTable!$L$2:$L$161,,1),TRUE,_xlfn.XLOOKUP($G181,ScoringTable!$S$2:$S$161,ScoringTable!$R$2:$R$161,,1))</f>
        <v>0</v>
      </c>
    </row>
    <row r="182" spans="1:13" s="7" customFormat="1" ht="16" customHeight="1">
      <c r="A182" s="280" t="s">
        <v>2</v>
      </c>
      <c r="B182" s="122" t="str">
        <f>IF(ISNA(VLOOKUP($F182,Declarations!B$6:C$293,2,FALSE)),"",IF(VLOOKUP($F182,Declarations!B$6:C$293,2,FALSE)="","NOT DECLARED",IF(ISNA(_xlfn.TEXTBEFORE(VLOOKUP($F182,Declarations!B$6:C$293,2,FALSE)," ")),VLOOKUP($F182,Declarations!B$6:C$293,2,FALSE),_xlfn.TEXTBEFORE(VLOOKUP($F182,Declarations!B$6:C$293,2,FALSE)," "))))</f>
        <v/>
      </c>
      <c r="C182" s="122" t="str">
        <f>IF(ISNA(VLOOKUP($F182,Declarations!B$6:C$293,2,FALSE)),"",IF(VLOOKUP($F182,Declarations!B$6:C$293,2,FALSE)="","NOT DECLARED",IF(ISNA(_xlfn.TEXTAFTER(VLOOKUP($F182,Declarations!B$6:C$293,2,FALSE)," ")),VLOOKUP($F182,Declarations!B$6:C$293,2,FALSE),_xlfn.TEXTAFTER(VLOOKUP($F182,Declarations!B$6:C$293,2,FALSE)," "))))</f>
        <v/>
      </c>
      <c r="D182" s="122" t="str">
        <f>IF(ISNA(VLOOKUP($F182,Declarations!$B$6:$F$293,5,FALSE)),"",IF(VLOOKUP($F182,Declarations!$B$6:$F$293,5,FALSE)="","NOT DECLARED",VLOOKUP($F182,Declarations!$B$6:$F$293,5,FALSE)))</f>
        <v/>
      </c>
      <c r="E182" s="120" t="str">
        <f>IF(ISNA(VLOOKUP($F182,Declarations!$B$6:$D$293,3,FALSE)),"",IF(VLOOKUP($F182,Declarations!$B$6:$D$293,3,FALSE)="","NOT DECLARED",VLOOKUP($F182,Declarations!$B$6:$D$293,3,FALSE)&amp;LEFT(VLOOKUP($F182,Declarations!$B$6:$E$293,4,FALSE))))</f>
        <v/>
      </c>
      <c r="F182" s="59"/>
      <c r="G182" s="130"/>
      <c r="H182" s="130"/>
      <c r="I182" s="122" t="str">
        <f>IF(ISNA(VLOOKUP(F182,Declarations!B$6:C$293,2,FALSE)),"",IF(VLOOKUP(F182,Declarations!B$6:C$293,2,FALSE)="","NOT DECLARED",VLOOKUP(F182,Declarations!B$6:C$293,2,FALSE)))</f>
        <v/>
      </c>
      <c r="J182" s="120">
        <f>IF(LOWER(G182)="dnf",1,IF(G182&lt;ScoringTable!B$3,ScoringTable!I$2,VLOOKUP((1000-G182),ScoringTable!G$2:I$95,3)))</f>
        <v>0</v>
      </c>
      <c r="K182" s="120" t="str" cm="1">
        <f t="array" ref="K182">IF(OR(E182="",G182=""),"",_xlfn.IFS(E182="U10B",_xlfn.XLOOKUP(G182,Data!$D$2:$L$2,Data!$D$1:$L$1,"",1,1),E182="U12B",_xlfn.XLOOKUP(G182,Data!$D$8:$L$8,Data!$D$1:$L$1,"",1,1),E182="U10G",_xlfn.XLOOKUP(G182,Data!$D$15:$L$15,Data!$D$1:$L$1,"",1,1),E182="U12G",_xlfn.XLOOKUP(G182,Data!$D$21:$L$21,Data!$D$1:$L$1,"",1,1)))</f>
        <v/>
      </c>
      <c r="L182" s="184" t="str" cm="1">
        <f t="array" ref="L182">IFERROR(_xlfn.IFNA(
                      _xlfn.IFS(
                      G182="", "",
                      AND(E182="U10B",G182&lt;=Data!$M$2), "U10 Boys record",
                      AND(E182="U12B",G182&lt;=Data!$M$8), "U12 Boys record",
                      AND(E182="U10G",G182&lt;=Data!$M$15), "U10 Girls record",
                      AND(E182="U12G",G182&lt;=Data!$M$21), "U12 Girls record"
                       ),""), "")</f>
        <v/>
      </c>
      <c r="M182" s="19" cm="1">
        <f t="array" ref="M182">_xlfn.IFS($G182="",0, AND(NOT(ISNUMBER($G182)),LOWER($G182)&lt;&gt;"dnf"),"Not a valid time",OR(LOWER($G182)="dnf",$G182&gt;ScoringTable!$M$161),1,RIGHT($E182,1)="B",_xlfn.XLOOKUP($G182,ScoringTable!$M$2:$M$161,ScoringTable!$L$2:$L$161,,1),TRUE,_xlfn.XLOOKUP($G182,ScoringTable!$S$2:$S$161,ScoringTable!$R$2:$R$161,,1))</f>
        <v>0</v>
      </c>
    </row>
    <row r="183" spans="1:13" s="7" customFormat="1" ht="16" customHeight="1">
      <c r="A183" s="280" t="s">
        <v>2</v>
      </c>
      <c r="B183" s="122" t="str">
        <f>IF(ISNA(VLOOKUP($F183,Declarations!B$6:C$293,2,FALSE)),"",IF(VLOOKUP($F183,Declarations!B$6:C$293,2,FALSE)="","NOT DECLARED",IF(ISNA(_xlfn.TEXTBEFORE(VLOOKUP($F183,Declarations!B$6:C$293,2,FALSE)," ")),VLOOKUP($F183,Declarations!B$6:C$293,2,FALSE),_xlfn.TEXTBEFORE(VLOOKUP($F183,Declarations!B$6:C$293,2,FALSE)," "))))</f>
        <v/>
      </c>
      <c r="C183" s="122" t="str">
        <f>IF(ISNA(VLOOKUP($F183,Declarations!B$6:C$293,2,FALSE)),"",IF(VLOOKUP($F183,Declarations!B$6:C$293,2,FALSE)="","NOT DECLARED",IF(ISNA(_xlfn.TEXTAFTER(VLOOKUP($F183,Declarations!B$6:C$293,2,FALSE)," ")),VLOOKUP($F183,Declarations!B$6:C$293,2,FALSE),_xlfn.TEXTAFTER(VLOOKUP($F183,Declarations!B$6:C$293,2,FALSE)," "))))</f>
        <v/>
      </c>
      <c r="D183" s="122" t="str">
        <f>IF(ISNA(VLOOKUP($F183,Declarations!$B$6:$F$293,5,FALSE)),"",IF(VLOOKUP($F183,Declarations!$B$6:$F$293,5,FALSE)="","NOT DECLARED",VLOOKUP($F183,Declarations!$B$6:$F$293,5,FALSE)))</f>
        <v/>
      </c>
      <c r="E183" s="120" t="str">
        <f>IF(ISNA(VLOOKUP($F183,Declarations!$B$6:$D$293,3,FALSE)),"",IF(VLOOKUP($F183,Declarations!$B$6:$D$293,3,FALSE)="","NOT DECLARED",VLOOKUP($F183,Declarations!$B$6:$D$293,3,FALSE)&amp;LEFT(VLOOKUP($F183,Declarations!$B$6:$E$293,4,FALSE))))</f>
        <v/>
      </c>
      <c r="F183" s="59"/>
      <c r="G183" s="130"/>
      <c r="H183" s="130"/>
      <c r="I183" s="122" t="str">
        <f>IF(ISNA(VLOOKUP(F183,Declarations!B$6:C$293,2,FALSE)),"",IF(VLOOKUP(F183,Declarations!B$6:C$293,2,FALSE)="","NOT DECLARED",VLOOKUP(F183,Declarations!B$6:C$293,2,FALSE)))</f>
        <v/>
      </c>
      <c r="J183" s="120">
        <f>IF(LOWER(G183)="dnf",1,IF(G183&lt;ScoringTable!B$3,ScoringTable!I$2,VLOOKUP((1000-G183),ScoringTable!G$2:I$95,3)))</f>
        <v>0</v>
      </c>
      <c r="K183" s="120" t="str" cm="1">
        <f t="array" ref="K183">IF(OR(E183="",G183=""),"",_xlfn.IFS(E183="U10B",_xlfn.XLOOKUP(G183,Data!$D$2:$L$2,Data!$D$1:$L$1,"",1,1),E183="U12B",_xlfn.XLOOKUP(G183,Data!$D$8:$L$8,Data!$D$1:$L$1,"",1,1),E183="U10G",_xlfn.XLOOKUP(G183,Data!$D$15:$L$15,Data!$D$1:$L$1,"",1,1),E183="U12G",_xlfn.XLOOKUP(G183,Data!$D$21:$L$21,Data!$D$1:$L$1,"",1,1)))</f>
        <v/>
      </c>
      <c r="L183" s="184" t="str" cm="1">
        <f t="array" ref="L183">IFERROR(_xlfn.IFNA(
                      _xlfn.IFS(
                      G183="", "",
                      AND(E183="U10B",G183&lt;=Data!$M$2), "U10 Boys record",
                      AND(E183="U12B",G183&lt;=Data!$M$8), "U12 Boys record",
                      AND(E183="U10G",G183&lt;=Data!$M$15), "U10 Girls record",
                      AND(E183="U12G",G183&lt;=Data!$M$21), "U12 Girls record"
                       ),""), "")</f>
        <v/>
      </c>
      <c r="M183" s="19" cm="1">
        <f t="array" ref="M183">_xlfn.IFS($G183="",0, AND(NOT(ISNUMBER($G183)),LOWER($G183)&lt;&gt;"dnf"),"Not a valid time",OR(LOWER($G183)="dnf",$G183&gt;ScoringTable!$M$161),1,RIGHT($E183,1)="B",_xlfn.XLOOKUP($G183,ScoringTable!$M$2:$M$161,ScoringTable!$L$2:$L$161,,1),TRUE,_xlfn.XLOOKUP($G183,ScoringTable!$S$2:$S$161,ScoringTable!$R$2:$R$161,,1))</f>
        <v>0</v>
      </c>
    </row>
    <row r="184" spans="1:13" s="7" customFormat="1" ht="16" customHeight="1">
      <c r="A184" s="280" t="s">
        <v>2</v>
      </c>
      <c r="B184" s="122" t="str">
        <f>IF(ISNA(VLOOKUP($F184,Declarations!B$6:C$293,2,FALSE)),"",IF(VLOOKUP($F184,Declarations!B$6:C$293,2,FALSE)="","NOT DECLARED",IF(ISNA(_xlfn.TEXTBEFORE(VLOOKUP($F184,Declarations!B$6:C$293,2,FALSE)," ")),VLOOKUP($F184,Declarations!B$6:C$293,2,FALSE),_xlfn.TEXTBEFORE(VLOOKUP($F184,Declarations!B$6:C$293,2,FALSE)," "))))</f>
        <v/>
      </c>
      <c r="C184" s="122" t="str">
        <f>IF(ISNA(VLOOKUP($F184,Declarations!B$6:C$293,2,FALSE)),"",IF(VLOOKUP($F184,Declarations!B$6:C$293,2,FALSE)="","NOT DECLARED",IF(ISNA(_xlfn.TEXTAFTER(VLOOKUP($F184,Declarations!B$6:C$293,2,FALSE)," ")),VLOOKUP($F184,Declarations!B$6:C$293,2,FALSE),_xlfn.TEXTAFTER(VLOOKUP($F184,Declarations!B$6:C$293,2,FALSE)," "))))</f>
        <v/>
      </c>
      <c r="D184" s="122" t="str">
        <f>IF(ISNA(VLOOKUP($F184,Declarations!$B$6:$F$293,5,FALSE)),"",IF(VLOOKUP($F184,Declarations!$B$6:$F$293,5,FALSE)="","NOT DECLARED",VLOOKUP($F184,Declarations!$B$6:$F$293,5,FALSE)))</f>
        <v/>
      </c>
      <c r="E184" s="120" t="str">
        <f>IF(ISNA(VLOOKUP($F184,Declarations!$B$6:$D$293,3,FALSE)),"",IF(VLOOKUP($F184,Declarations!$B$6:$D$293,3,FALSE)="","NOT DECLARED",VLOOKUP($F184,Declarations!$B$6:$D$293,3,FALSE)&amp;LEFT(VLOOKUP($F184,Declarations!$B$6:$E$293,4,FALSE))))</f>
        <v/>
      </c>
      <c r="F184" s="59"/>
      <c r="G184" s="130"/>
      <c r="H184" s="130"/>
      <c r="I184" s="122" t="str">
        <f>IF(ISNA(VLOOKUP(F184,Declarations!B$6:C$293,2,FALSE)),"",IF(VLOOKUP(F184,Declarations!B$6:C$293,2,FALSE)="","NOT DECLARED",VLOOKUP(F184,Declarations!B$6:C$293,2,FALSE)))</f>
        <v/>
      </c>
      <c r="J184" s="120">
        <f>IF(LOWER(G184)="dnf",1,IF(G184&lt;ScoringTable!B$3,ScoringTable!I$2,VLOOKUP((1000-G184),ScoringTable!G$2:I$95,3)))</f>
        <v>0</v>
      </c>
      <c r="K184" s="120" t="str" cm="1">
        <f t="array" ref="K184">IF(OR(E184="",G184=""),"",_xlfn.IFS(E184="U10B",_xlfn.XLOOKUP(G184,Data!$D$2:$L$2,Data!$D$1:$L$1,"",1,1),E184="U12B",_xlfn.XLOOKUP(G184,Data!$D$8:$L$8,Data!$D$1:$L$1,"",1,1),E184="U10G",_xlfn.XLOOKUP(G184,Data!$D$15:$L$15,Data!$D$1:$L$1,"",1,1),E184="U12G",_xlfn.XLOOKUP(G184,Data!$D$21:$L$21,Data!$D$1:$L$1,"",1,1)))</f>
        <v/>
      </c>
      <c r="L184" s="184" t="str" cm="1">
        <f t="array" ref="L184">IFERROR(_xlfn.IFNA(
                      _xlfn.IFS(
                      G184="", "",
                      AND(E184="U10B",G184&lt;=Data!$M$2), "U10 Boys record",
                      AND(E184="U12B",G184&lt;=Data!$M$8), "U12 Boys record",
                      AND(E184="U10G",G184&lt;=Data!$M$15), "U10 Girls record",
                      AND(E184="U12G",G184&lt;=Data!$M$21), "U12 Girls record"
                       ),""), "")</f>
        <v/>
      </c>
      <c r="M184" s="19" cm="1">
        <f t="array" ref="M184">_xlfn.IFS($G184="",0, AND(NOT(ISNUMBER($G184)),LOWER($G184)&lt;&gt;"dnf"),"Not a valid time",OR(LOWER($G184)="dnf",$G184&gt;ScoringTable!$M$161),1,RIGHT($E184,1)="B",_xlfn.XLOOKUP($G184,ScoringTable!$M$2:$M$161,ScoringTable!$L$2:$L$161,,1),TRUE,_xlfn.XLOOKUP($G184,ScoringTable!$S$2:$S$161,ScoringTable!$R$2:$R$161,,1))</f>
        <v>0</v>
      </c>
    </row>
    <row r="185" spans="1:13" s="7" customFormat="1" ht="16" customHeight="1">
      <c r="A185" s="280" t="s">
        <v>2</v>
      </c>
      <c r="B185" s="122" t="str">
        <f>IF(ISNA(VLOOKUP($F185,Declarations!B$6:C$293,2,FALSE)),"",IF(VLOOKUP($F185,Declarations!B$6:C$293,2,FALSE)="","NOT DECLARED",IF(ISNA(_xlfn.TEXTBEFORE(VLOOKUP($F185,Declarations!B$6:C$293,2,FALSE)," ")),VLOOKUP($F185,Declarations!B$6:C$293,2,FALSE),_xlfn.TEXTBEFORE(VLOOKUP($F185,Declarations!B$6:C$293,2,FALSE)," "))))</f>
        <v/>
      </c>
      <c r="C185" s="122" t="str">
        <f>IF(ISNA(VLOOKUP($F185,Declarations!B$6:C$293,2,FALSE)),"",IF(VLOOKUP($F185,Declarations!B$6:C$293,2,FALSE)="","NOT DECLARED",IF(ISNA(_xlfn.TEXTAFTER(VLOOKUP($F185,Declarations!B$6:C$293,2,FALSE)," ")),VLOOKUP($F185,Declarations!B$6:C$293,2,FALSE),_xlfn.TEXTAFTER(VLOOKUP($F185,Declarations!B$6:C$293,2,FALSE)," "))))</f>
        <v/>
      </c>
      <c r="D185" s="122" t="str">
        <f>IF(ISNA(VLOOKUP($F185,Declarations!$B$6:$F$293,5,FALSE)),"",IF(VLOOKUP($F185,Declarations!$B$6:$F$293,5,FALSE)="","NOT DECLARED",VLOOKUP($F185,Declarations!$B$6:$F$293,5,FALSE)))</f>
        <v/>
      </c>
      <c r="E185" s="120" t="str">
        <f>IF(ISNA(VLOOKUP($F185,Declarations!$B$6:$D$293,3,FALSE)),"",IF(VLOOKUP($F185,Declarations!$B$6:$D$293,3,FALSE)="","NOT DECLARED",VLOOKUP($F185,Declarations!$B$6:$D$293,3,FALSE)&amp;LEFT(VLOOKUP($F185,Declarations!$B$6:$E$293,4,FALSE))))</f>
        <v/>
      </c>
      <c r="F185" s="59"/>
      <c r="G185" s="130"/>
      <c r="H185" s="130"/>
      <c r="I185" s="122" t="str">
        <f>IF(ISNA(VLOOKUP(F185,Declarations!B$6:C$293,2,FALSE)),"",IF(VLOOKUP(F185,Declarations!B$6:C$293,2,FALSE)="","NOT DECLARED",VLOOKUP(F185,Declarations!B$6:C$293,2,FALSE)))</f>
        <v/>
      </c>
      <c r="J185" s="120">
        <f>IF(LOWER(G185)="dnf",1,IF(G185&lt;ScoringTable!B$3,ScoringTable!I$2,VLOOKUP((1000-G185),ScoringTable!G$2:I$95,3)))</f>
        <v>0</v>
      </c>
      <c r="K185" s="120" t="str" cm="1">
        <f t="array" ref="K185">IF(OR(E185="",G185=""),"",_xlfn.IFS(E185="U10B",_xlfn.XLOOKUP(G185,Data!$D$2:$L$2,Data!$D$1:$L$1,"",1,1),E185="U12B",_xlfn.XLOOKUP(G185,Data!$D$8:$L$8,Data!$D$1:$L$1,"",1,1),E185="U10G",_xlfn.XLOOKUP(G185,Data!$D$15:$L$15,Data!$D$1:$L$1,"",1,1),E185="U12G",_xlfn.XLOOKUP(G185,Data!$D$21:$L$21,Data!$D$1:$L$1,"",1,1)))</f>
        <v/>
      </c>
      <c r="L185" s="184" t="str" cm="1">
        <f t="array" ref="L185">IFERROR(_xlfn.IFNA(
                      _xlfn.IFS(
                      G185="", "",
                      AND(E185="U10B",G185&lt;=Data!$M$2), "U10 Boys record",
                      AND(E185="U12B",G185&lt;=Data!$M$8), "U12 Boys record",
                      AND(E185="U10G",G185&lt;=Data!$M$15), "U10 Girls record",
                      AND(E185="U12G",G185&lt;=Data!$M$21), "U12 Girls record"
                       ),""), "")</f>
        <v/>
      </c>
      <c r="M185" s="19" cm="1">
        <f t="array" ref="M185">_xlfn.IFS($G185="",0, AND(NOT(ISNUMBER($G185)),LOWER($G185)&lt;&gt;"dnf"),"Not a valid time",OR(LOWER($G185)="dnf",$G185&gt;ScoringTable!$M$161),1,RIGHT($E185,1)="B",_xlfn.XLOOKUP($G185,ScoringTable!$M$2:$M$161,ScoringTable!$L$2:$L$161,,1),TRUE,_xlfn.XLOOKUP($G185,ScoringTable!$S$2:$S$161,ScoringTable!$R$2:$R$161,,1))</f>
        <v>0</v>
      </c>
    </row>
    <row r="186" spans="1:13" s="7" customFormat="1" ht="16" customHeight="1">
      <c r="A186" s="280" t="s">
        <v>2</v>
      </c>
      <c r="B186" s="122" t="str">
        <f>IF(ISNA(VLOOKUP($F186,Declarations!B$6:C$293,2,FALSE)),"",IF(VLOOKUP($F186,Declarations!B$6:C$293,2,FALSE)="","NOT DECLARED",IF(ISNA(_xlfn.TEXTBEFORE(VLOOKUP($F186,Declarations!B$6:C$293,2,FALSE)," ")),VLOOKUP($F186,Declarations!B$6:C$293,2,FALSE),_xlfn.TEXTBEFORE(VLOOKUP($F186,Declarations!B$6:C$293,2,FALSE)," "))))</f>
        <v/>
      </c>
      <c r="C186" s="122" t="str">
        <f>IF(ISNA(VLOOKUP($F186,Declarations!B$6:C$293,2,FALSE)),"",IF(VLOOKUP($F186,Declarations!B$6:C$293,2,FALSE)="","NOT DECLARED",IF(ISNA(_xlfn.TEXTAFTER(VLOOKUP($F186,Declarations!B$6:C$293,2,FALSE)," ")),VLOOKUP($F186,Declarations!B$6:C$293,2,FALSE),_xlfn.TEXTAFTER(VLOOKUP($F186,Declarations!B$6:C$293,2,FALSE)," "))))</f>
        <v/>
      </c>
      <c r="D186" s="122" t="str">
        <f>IF(ISNA(VLOOKUP($F186,Declarations!$B$6:$F$293,5,FALSE)),"",IF(VLOOKUP($F186,Declarations!$B$6:$F$293,5,FALSE)="","NOT DECLARED",VLOOKUP($F186,Declarations!$B$6:$F$293,5,FALSE)))</f>
        <v/>
      </c>
      <c r="E186" s="120" t="str">
        <f>IF(ISNA(VLOOKUP($F186,Declarations!$B$6:$D$293,3,FALSE)),"",IF(VLOOKUP($F186,Declarations!$B$6:$D$293,3,FALSE)="","NOT DECLARED",VLOOKUP($F186,Declarations!$B$6:$D$293,3,FALSE)&amp;LEFT(VLOOKUP($F186,Declarations!$B$6:$E$293,4,FALSE))))</f>
        <v/>
      </c>
      <c r="F186" s="59"/>
      <c r="G186" s="130"/>
      <c r="H186" s="130"/>
      <c r="I186" s="122" t="str">
        <f>IF(ISNA(VLOOKUP(F186,Declarations!B$6:C$293,2,FALSE)),"",IF(VLOOKUP(F186,Declarations!B$6:C$293,2,FALSE)="","NOT DECLARED",VLOOKUP(F186,Declarations!B$6:C$293,2,FALSE)))</f>
        <v/>
      </c>
      <c r="J186" s="120">
        <f>IF(LOWER(G186)="dnf",1,IF(G186&lt;ScoringTable!B$3,ScoringTable!I$2,VLOOKUP((1000-G186),ScoringTable!G$2:I$95,3)))</f>
        <v>0</v>
      </c>
      <c r="K186" s="120" t="str" cm="1">
        <f t="array" ref="K186">IF(OR(E186="",G186=""),"",_xlfn.IFS(E186="U10B",_xlfn.XLOOKUP(G186,Data!$D$2:$L$2,Data!$D$1:$L$1,"",1,1),E186="U12B",_xlfn.XLOOKUP(G186,Data!$D$8:$L$8,Data!$D$1:$L$1,"",1,1),E186="U10G",_xlfn.XLOOKUP(G186,Data!$D$15:$L$15,Data!$D$1:$L$1,"",1,1),E186="U12G",_xlfn.XLOOKUP(G186,Data!$D$21:$L$21,Data!$D$1:$L$1,"",1,1)))</f>
        <v/>
      </c>
      <c r="L186" s="184" t="str" cm="1">
        <f t="array" ref="L186">IFERROR(_xlfn.IFNA(
                      _xlfn.IFS(
                      G186="", "",
                      AND(E186="U10B",G186&lt;=Data!$M$2), "U10 Boys record",
                      AND(E186="U12B",G186&lt;=Data!$M$8), "U12 Boys record",
                      AND(E186="U10G",G186&lt;=Data!$M$15), "U10 Girls record",
                      AND(E186="U12G",G186&lt;=Data!$M$21), "U12 Girls record"
                       ),""), "")</f>
        <v/>
      </c>
      <c r="M186" s="19" cm="1">
        <f t="array" ref="M186">_xlfn.IFS($G186="",0, AND(NOT(ISNUMBER($G186)),LOWER($G186)&lt;&gt;"dnf"),"Not a valid time",OR(LOWER($G186)="dnf",$G186&gt;ScoringTable!$M$161),1,RIGHT($E186,1)="B",_xlfn.XLOOKUP($G186,ScoringTable!$M$2:$M$161,ScoringTable!$L$2:$L$161,,1),TRUE,_xlfn.XLOOKUP($G186,ScoringTable!$S$2:$S$161,ScoringTable!$R$2:$R$161,,1))</f>
        <v>0</v>
      </c>
    </row>
    <row r="187" spans="1:13" s="7" customFormat="1" ht="16" customHeight="1">
      <c r="A187" s="280" t="s">
        <v>2</v>
      </c>
      <c r="B187" s="122" t="str">
        <f>IF(ISNA(VLOOKUP($F187,Declarations!B$6:C$293,2,FALSE)),"",IF(VLOOKUP($F187,Declarations!B$6:C$293,2,FALSE)="","NOT DECLARED",IF(ISNA(_xlfn.TEXTBEFORE(VLOOKUP($F187,Declarations!B$6:C$293,2,FALSE)," ")),VLOOKUP($F187,Declarations!B$6:C$293,2,FALSE),_xlfn.TEXTBEFORE(VLOOKUP($F187,Declarations!B$6:C$293,2,FALSE)," "))))</f>
        <v/>
      </c>
      <c r="C187" s="122" t="str">
        <f>IF(ISNA(VLOOKUP($F187,Declarations!B$6:C$293,2,FALSE)),"",IF(VLOOKUP($F187,Declarations!B$6:C$293,2,FALSE)="","NOT DECLARED",IF(ISNA(_xlfn.TEXTAFTER(VLOOKUP($F187,Declarations!B$6:C$293,2,FALSE)," ")),VLOOKUP($F187,Declarations!B$6:C$293,2,FALSE),_xlfn.TEXTAFTER(VLOOKUP($F187,Declarations!B$6:C$293,2,FALSE)," "))))</f>
        <v/>
      </c>
      <c r="D187" s="122" t="str">
        <f>IF(ISNA(VLOOKUP($F187,Declarations!$B$6:$F$293,5,FALSE)),"",IF(VLOOKUP($F187,Declarations!$B$6:$F$293,5,FALSE)="","NOT DECLARED",VLOOKUP($F187,Declarations!$B$6:$F$293,5,FALSE)))</f>
        <v/>
      </c>
      <c r="E187" s="120" t="str">
        <f>IF(ISNA(VLOOKUP($F187,Declarations!$B$6:$D$293,3,FALSE)),"",IF(VLOOKUP($F187,Declarations!$B$6:$D$293,3,FALSE)="","NOT DECLARED",VLOOKUP($F187,Declarations!$B$6:$D$293,3,FALSE)&amp;LEFT(VLOOKUP($F187,Declarations!$B$6:$E$293,4,FALSE))))</f>
        <v/>
      </c>
      <c r="F187" s="59"/>
      <c r="G187" s="130"/>
      <c r="H187" s="130"/>
      <c r="I187" s="122" t="str">
        <f>IF(ISNA(VLOOKUP(F187,Declarations!B$6:C$293,2,FALSE)),"",IF(VLOOKUP(F187,Declarations!B$6:C$293,2,FALSE)="","NOT DECLARED",VLOOKUP(F187,Declarations!B$6:C$293,2,FALSE)))</f>
        <v/>
      </c>
      <c r="J187" s="120">
        <f>IF(LOWER(G187)="dnf",1,IF(G187&lt;ScoringTable!B$3,ScoringTable!I$2,VLOOKUP((1000-G187),ScoringTable!G$2:I$95,3)))</f>
        <v>0</v>
      </c>
      <c r="K187" s="120" t="str" cm="1">
        <f t="array" ref="K187">IF(OR(E187="",G187=""),"",_xlfn.IFS(E187="U10B",_xlfn.XLOOKUP(G187,Data!$D$2:$L$2,Data!$D$1:$L$1,"",1,1),E187="U12B",_xlfn.XLOOKUP(G187,Data!$D$8:$L$8,Data!$D$1:$L$1,"",1,1),E187="U10G",_xlfn.XLOOKUP(G187,Data!$D$15:$L$15,Data!$D$1:$L$1,"",1,1),E187="U12G",_xlfn.XLOOKUP(G187,Data!$D$21:$L$21,Data!$D$1:$L$1,"",1,1)))</f>
        <v/>
      </c>
      <c r="L187" s="184" t="str" cm="1">
        <f t="array" ref="L187">IFERROR(_xlfn.IFNA(
                      _xlfn.IFS(
                      G187="", "",
                      AND(E187="U10B",G187&lt;=Data!$M$2), "U10 Boys record",
                      AND(E187="U12B",G187&lt;=Data!$M$8), "U12 Boys record",
                      AND(E187="U10G",G187&lt;=Data!$M$15), "U10 Girls record",
                      AND(E187="U12G",G187&lt;=Data!$M$21), "U12 Girls record"
                       ),""), "")</f>
        <v/>
      </c>
      <c r="M187" s="19" cm="1">
        <f t="array" ref="M187">_xlfn.IFS($G187="",0, AND(NOT(ISNUMBER($G187)),LOWER($G187)&lt;&gt;"dnf"),"Not a valid time",OR(LOWER($G187)="dnf",$G187&gt;ScoringTable!$M$161),1,RIGHT($E187,1)="B",_xlfn.XLOOKUP($G187,ScoringTable!$M$2:$M$161,ScoringTable!$L$2:$L$161,,1),TRUE,_xlfn.XLOOKUP($G187,ScoringTable!$S$2:$S$161,ScoringTable!$R$2:$R$161,,1))</f>
        <v>0</v>
      </c>
    </row>
    <row r="188" spans="1:13" s="7" customFormat="1" ht="16" customHeight="1">
      <c r="A188" s="280" t="s">
        <v>2</v>
      </c>
      <c r="B188" s="122" t="str">
        <f>IF(ISNA(VLOOKUP($F188,Declarations!B$6:C$293,2,FALSE)),"",IF(VLOOKUP($F188,Declarations!B$6:C$293,2,FALSE)="","NOT DECLARED",IF(ISNA(_xlfn.TEXTBEFORE(VLOOKUP($F188,Declarations!B$6:C$293,2,FALSE)," ")),VLOOKUP($F188,Declarations!B$6:C$293,2,FALSE),_xlfn.TEXTBEFORE(VLOOKUP($F188,Declarations!B$6:C$293,2,FALSE)," "))))</f>
        <v/>
      </c>
      <c r="C188" s="122" t="str">
        <f>IF(ISNA(VLOOKUP($F188,Declarations!B$6:C$293,2,FALSE)),"",IF(VLOOKUP($F188,Declarations!B$6:C$293,2,FALSE)="","NOT DECLARED",IF(ISNA(_xlfn.TEXTAFTER(VLOOKUP($F188,Declarations!B$6:C$293,2,FALSE)," ")),VLOOKUP($F188,Declarations!B$6:C$293,2,FALSE),_xlfn.TEXTAFTER(VLOOKUP($F188,Declarations!B$6:C$293,2,FALSE)," "))))</f>
        <v/>
      </c>
      <c r="D188" s="122" t="str">
        <f>IF(ISNA(VLOOKUP($F188,Declarations!$B$6:$F$293,5,FALSE)),"",IF(VLOOKUP($F188,Declarations!$B$6:$F$293,5,FALSE)="","NOT DECLARED",VLOOKUP($F188,Declarations!$B$6:$F$293,5,FALSE)))</f>
        <v/>
      </c>
      <c r="E188" s="120" t="str">
        <f>IF(ISNA(VLOOKUP($F188,Declarations!$B$6:$D$293,3,FALSE)),"",IF(VLOOKUP($F188,Declarations!$B$6:$D$293,3,FALSE)="","NOT DECLARED",VLOOKUP($F188,Declarations!$B$6:$D$293,3,FALSE)&amp;LEFT(VLOOKUP($F188,Declarations!$B$6:$E$293,4,FALSE))))</f>
        <v/>
      </c>
      <c r="F188" s="59"/>
      <c r="G188" s="130"/>
      <c r="H188" s="130"/>
      <c r="I188" s="122" t="str">
        <f>IF(ISNA(VLOOKUP(F188,Declarations!B$6:C$293,2,FALSE)),"",IF(VLOOKUP(F188,Declarations!B$6:C$293,2,FALSE)="","NOT DECLARED",VLOOKUP(F188,Declarations!B$6:C$293,2,FALSE)))</f>
        <v/>
      </c>
      <c r="J188" s="120">
        <f>IF(LOWER(G188)="dnf",1,IF(G188&lt;ScoringTable!B$3,ScoringTable!I$2,VLOOKUP((1000-G188),ScoringTable!G$2:I$95,3)))</f>
        <v>0</v>
      </c>
      <c r="K188" s="120" t="str" cm="1">
        <f t="array" ref="K188">IF(OR(E188="",G188=""),"",_xlfn.IFS(E188="U10B",_xlfn.XLOOKUP(G188,Data!$D$2:$L$2,Data!$D$1:$L$1,"",1,1),E188="U12B",_xlfn.XLOOKUP(G188,Data!$D$8:$L$8,Data!$D$1:$L$1,"",1,1),E188="U10G",_xlfn.XLOOKUP(G188,Data!$D$15:$L$15,Data!$D$1:$L$1,"",1,1),E188="U12G",_xlfn.XLOOKUP(G188,Data!$D$21:$L$21,Data!$D$1:$L$1,"",1,1)))</f>
        <v/>
      </c>
      <c r="L188" s="184" t="str" cm="1">
        <f t="array" ref="L188">IFERROR(_xlfn.IFNA(
                      _xlfn.IFS(
                      G188="", "",
                      AND(E188="U10B",G188&lt;=Data!$M$2), "U10 Boys record",
                      AND(E188="U12B",G188&lt;=Data!$M$8), "U12 Boys record",
                      AND(E188="U10G",G188&lt;=Data!$M$15), "U10 Girls record",
                      AND(E188="U12G",G188&lt;=Data!$M$21), "U12 Girls record"
                       ),""), "")</f>
        <v/>
      </c>
      <c r="M188" s="19" cm="1">
        <f t="array" ref="M188">_xlfn.IFS($G188="",0, AND(NOT(ISNUMBER($G188)),LOWER($G188)&lt;&gt;"dnf"),"Not a valid time",OR(LOWER($G188)="dnf",$G188&gt;ScoringTable!$M$161),1,RIGHT($E188,1)="B",_xlfn.XLOOKUP($G188,ScoringTable!$M$2:$M$161,ScoringTable!$L$2:$L$161,,1),TRUE,_xlfn.XLOOKUP($G188,ScoringTable!$S$2:$S$161,ScoringTable!$R$2:$R$161,,1))</f>
        <v>0</v>
      </c>
    </row>
    <row r="189" spans="1:13" s="7" customFormat="1" ht="16" customHeight="1">
      <c r="A189" s="280" t="s">
        <v>2</v>
      </c>
      <c r="B189" s="122" t="str">
        <f>IF(ISNA(VLOOKUP($F189,Declarations!B$6:C$293,2,FALSE)),"",IF(VLOOKUP($F189,Declarations!B$6:C$293,2,FALSE)="","NOT DECLARED",IF(ISNA(_xlfn.TEXTBEFORE(VLOOKUP($F189,Declarations!B$6:C$293,2,FALSE)," ")),VLOOKUP($F189,Declarations!B$6:C$293,2,FALSE),_xlfn.TEXTBEFORE(VLOOKUP($F189,Declarations!B$6:C$293,2,FALSE)," "))))</f>
        <v/>
      </c>
      <c r="C189" s="122" t="str">
        <f>IF(ISNA(VLOOKUP($F189,Declarations!B$6:C$293,2,FALSE)),"",IF(VLOOKUP($F189,Declarations!B$6:C$293,2,FALSE)="","NOT DECLARED",IF(ISNA(_xlfn.TEXTAFTER(VLOOKUP($F189,Declarations!B$6:C$293,2,FALSE)," ")),VLOOKUP($F189,Declarations!B$6:C$293,2,FALSE),_xlfn.TEXTAFTER(VLOOKUP($F189,Declarations!B$6:C$293,2,FALSE)," "))))</f>
        <v/>
      </c>
      <c r="D189" s="122" t="str">
        <f>IF(ISNA(VLOOKUP($F189,Declarations!$B$6:$F$293,5,FALSE)),"",IF(VLOOKUP($F189,Declarations!$B$6:$F$293,5,FALSE)="","NOT DECLARED",VLOOKUP($F189,Declarations!$B$6:$F$293,5,FALSE)))</f>
        <v/>
      </c>
      <c r="E189" s="120" t="str">
        <f>IF(ISNA(VLOOKUP($F189,Declarations!$B$6:$D$293,3,FALSE)),"",IF(VLOOKUP($F189,Declarations!$B$6:$D$293,3,FALSE)="","NOT DECLARED",VLOOKUP($F189,Declarations!$B$6:$D$293,3,FALSE)&amp;LEFT(VLOOKUP($F189,Declarations!$B$6:$E$293,4,FALSE))))</f>
        <v/>
      </c>
      <c r="F189" s="59"/>
      <c r="G189" s="130"/>
      <c r="H189" s="130"/>
      <c r="I189" s="122" t="str">
        <f>IF(ISNA(VLOOKUP(F189,Declarations!B$6:C$293,2,FALSE)),"",IF(VLOOKUP(F189,Declarations!B$6:C$293,2,FALSE)="","NOT DECLARED",VLOOKUP(F189,Declarations!B$6:C$293,2,FALSE)))</f>
        <v/>
      </c>
      <c r="J189" s="120">
        <f>IF(LOWER(G189)="dnf",1,IF(G189&lt;ScoringTable!B$3,ScoringTable!I$2,VLOOKUP((1000-G189),ScoringTable!G$2:I$95,3)))</f>
        <v>0</v>
      </c>
      <c r="K189" s="120" t="str" cm="1">
        <f t="array" ref="K189">IF(OR(E189="",G189=""),"",_xlfn.IFS(E189="U10B",_xlfn.XLOOKUP(G189,Data!$D$2:$L$2,Data!$D$1:$L$1,"",1,1),E189="U12B",_xlfn.XLOOKUP(G189,Data!$D$8:$L$8,Data!$D$1:$L$1,"",1,1),E189="U10G",_xlfn.XLOOKUP(G189,Data!$D$15:$L$15,Data!$D$1:$L$1,"",1,1),E189="U12G",_xlfn.XLOOKUP(G189,Data!$D$21:$L$21,Data!$D$1:$L$1,"",1,1)))</f>
        <v/>
      </c>
      <c r="L189" s="184" t="str" cm="1">
        <f t="array" ref="L189">IFERROR(_xlfn.IFNA(
                      _xlfn.IFS(
                      G189="", "",
                      AND(E189="U10B",G189&lt;=Data!$M$2), "U10 Boys record",
                      AND(E189="U12B",G189&lt;=Data!$M$8), "U12 Boys record",
                      AND(E189="U10G",G189&lt;=Data!$M$15), "U10 Girls record",
                      AND(E189="U12G",G189&lt;=Data!$M$21), "U12 Girls record"
                       ),""), "")</f>
        <v/>
      </c>
      <c r="M189" s="19" cm="1">
        <f t="array" ref="M189">_xlfn.IFS($G189="",0, AND(NOT(ISNUMBER($G189)),LOWER($G189)&lt;&gt;"dnf"),"Not a valid time",OR(LOWER($G189)="dnf",$G189&gt;ScoringTable!$M$161),1,RIGHT($E189,1)="B",_xlfn.XLOOKUP($G189,ScoringTable!$M$2:$M$161,ScoringTable!$L$2:$L$161,,1),TRUE,_xlfn.XLOOKUP($G189,ScoringTable!$S$2:$S$161,ScoringTable!$R$2:$R$161,,1))</f>
        <v>0</v>
      </c>
    </row>
    <row r="190" spans="1:13" s="7" customFormat="1" ht="16" customHeight="1">
      <c r="A190" s="280" t="s">
        <v>2</v>
      </c>
      <c r="B190" s="122" t="str">
        <f>IF(ISNA(VLOOKUP($F190,Declarations!B$6:C$293,2,FALSE)),"",IF(VLOOKUP($F190,Declarations!B$6:C$293,2,FALSE)="","NOT DECLARED",IF(ISNA(_xlfn.TEXTBEFORE(VLOOKUP($F190,Declarations!B$6:C$293,2,FALSE)," ")),VLOOKUP($F190,Declarations!B$6:C$293,2,FALSE),_xlfn.TEXTBEFORE(VLOOKUP($F190,Declarations!B$6:C$293,2,FALSE)," "))))</f>
        <v/>
      </c>
      <c r="C190" s="122" t="str">
        <f>IF(ISNA(VLOOKUP($F190,Declarations!B$6:C$293,2,FALSE)),"",IF(VLOOKUP($F190,Declarations!B$6:C$293,2,FALSE)="","NOT DECLARED",IF(ISNA(_xlfn.TEXTAFTER(VLOOKUP($F190,Declarations!B$6:C$293,2,FALSE)," ")),VLOOKUP($F190,Declarations!B$6:C$293,2,FALSE),_xlfn.TEXTAFTER(VLOOKUP($F190,Declarations!B$6:C$293,2,FALSE)," "))))</f>
        <v/>
      </c>
      <c r="D190" s="122" t="str">
        <f>IF(ISNA(VLOOKUP($F190,Declarations!$B$6:$F$293,5,FALSE)),"",IF(VLOOKUP($F190,Declarations!$B$6:$F$293,5,FALSE)="","NOT DECLARED",VLOOKUP($F190,Declarations!$B$6:$F$293,5,FALSE)))</f>
        <v/>
      </c>
      <c r="E190" s="120" t="str">
        <f>IF(ISNA(VLOOKUP($F190,Declarations!$B$6:$D$293,3,FALSE)),"",IF(VLOOKUP($F190,Declarations!$B$6:$D$293,3,FALSE)="","NOT DECLARED",VLOOKUP($F190,Declarations!$B$6:$D$293,3,FALSE)&amp;LEFT(VLOOKUP($F190,Declarations!$B$6:$E$293,4,FALSE))))</f>
        <v/>
      </c>
      <c r="F190" s="59"/>
      <c r="G190" s="130"/>
      <c r="H190" s="130"/>
      <c r="I190" s="122" t="str">
        <f>IF(ISNA(VLOOKUP(F190,Declarations!B$6:C$293,2,FALSE)),"",IF(VLOOKUP(F190,Declarations!B$6:C$293,2,FALSE)="","NOT DECLARED",VLOOKUP(F190,Declarations!B$6:C$293,2,FALSE)))</f>
        <v/>
      </c>
      <c r="J190" s="120">
        <f>IF(LOWER(G190)="dnf",1,IF(G190&lt;ScoringTable!B$3,ScoringTable!I$2,VLOOKUP((1000-G190),ScoringTable!G$2:I$95,3)))</f>
        <v>0</v>
      </c>
      <c r="K190" s="120" t="str" cm="1">
        <f t="array" ref="K190">IF(OR(E190="",G190=""),"",_xlfn.IFS(E190="U10B",_xlfn.XLOOKUP(G190,Data!$D$2:$L$2,Data!$D$1:$L$1,"",1,1),E190="U12B",_xlfn.XLOOKUP(G190,Data!$D$8:$L$8,Data!$D$1:$L$1,"",1,1),E190="U10G",_xlfn.XLOOKUP(G190,Data!$D$15:$L$15,Data!$D$1:$L$1,"",1,1),E190="U12G",_xlfn.XLOOKUP(G190,Data!$D$21:$L$21,Data!$D$1:$L$1,"",1,1)))</f>
        <v/>
      </c>
      <c r="L190" s="184" t="str" cm="1">
        <f t="array" ref="L190">IFERROR(_xlfn.IFNA(
                      _xlfn.IFS(
                      G190="", "",
                      AND(E190="U10B",G190&lt;=Data!$M$2), "U10 Boys record",
                      AND(E190="U12B",G190&lt;=Data!$M$8), "U12 Boys record",
                      AND(E190="U10G",G190&lt;=Data!$M$15), "U10 Girls record",
                      AND(E190="U12G",G190&lt;=Data!$M$21), "U12 Girls record"
                       ),""), "")</f>
        <v/>
      </c>
      <c r="M190" s="19" cm="1">
        <f t="array" ref="M190">_xlfn.IFS($G190="",0, AND(NOT(ISNUMBER($G190)),LOWER($G190)&lt;&gt;"dnf"),"Not a valid time",OR(LOWER($G190)="dnf",$G190&gt;ScoringTable!$M$161),1,RIGHT($E190,1)="B",_xlfn.XLOOKUP($G190,ScoringTable!$M$2:$M$161,ScoringTable!$L$2:$L$161,,1),TRUE,_xlfn.XLOOKUP($G190,ScoringTable!$S$2:$S$161,ScoringTable!$R$2:$R$161,,1))</f>
        <v>0</v>
      </c>
    </row>
    <row r="191" spans="1:13" s="7" customFormat="1" ht="16" customHeight="1">
      <c r="A191" s="280" t="s">
        <v>2</v>
      </c>
      <c r="B191" s="122" t="str">
        <f>IF(ISNA(VLOOKUP($F191,Declarations!B$6:C$293,2,FALSE)),"",IF(VLOOKUP($F191,Declarations!B$6:C$293,2,FALSE)="","NOT DECLARED",IF(ISNA(_xlfn.TEXTBEFORE(VLOOKUP($F191,Declarations!B$6:C$293,2,FALSE)," ")),VLOOKUP($F191,Declarations!B$6:C$293,2,FALSE),_xlfn.TEXTBEFORE(VLOOKUP($F191,Declarations!B$6:C$293,2,FALSE)," "))))</f>
        <v/>
      </c>
      <c r="C191" s="122" t="str">
        <f>IF(ISNA(VLOOKUP($F191,Declarations!B$6:C$293,2,FALSE)),"",IF(VLOOKUP($F191,Declarations!B$6:C$293,2,FALSE)="","NOT DECLARED",IF(ISNA(_xlfn.TEXTAFTER(VLOOKUP($F191,Declarations!B$6:C$293,2,FALSE)," ")),VLOOKUP($F191,Declarations!B$6:C$293,2,FALSE),_xlfn.TEXTAFTER(VLOOKUP($F191,Declarations!B$6:C$293,2,FALSE)," "))))</f>
        <v/>
      </c>
      <c r="D191" s="122" t="str">
        <f>IF(ISNA(VLOOKUP($F191,Declarations!$B$6:$F$293,5,FALSE)),"",IF(VLOOKUP($F191,Declarations!$B$6:$F$293,5,FALSE)="","NOT DECLARED",VLOOKUP($F191,Declarations!$B$6:$F$293,5,FALSE)))</f>
        <v/>
      </c>
      <c r="E191" s="120" t="str">
        <f>IF(ISNA(VLOOKUP($F191,Declarations!$B$6:$D$293,3,FALSE)),"",IF(VLOOKUP($F191,Declarations!$B$6:$D$293,3,FALSE)="","NOT DECLARED",VLOOKUP($F191,Declarations!$B$6:$D$293,3,FALSE)&amp;LEFT(VLOOKUP($F191,Declarations!$B$6:$E$293,4,FALSE))))</f>
        <v/>
      </c>
      <c r="F191" s="59"/>
      <c r="G191" s="130"/>
      <c r="H191" s="130"/>
      <c r="I191" s="122" t="str">
        <f>IF(ISNA(VLOOKUP(F191,Declarations!B$6:C$293,2,FALSE)),"",IF(VLOOKUP(F191,Declarations!B$6:C$293,2,FALSE)="","NOT DECLARED",VLOOKUP(F191,Declarations!B$6:C$293,2,FALSE)))</f>
        <v/>
      </c>
      <c r="J191" s="120">
        <f>IF(LOWER(G191)="dnf",1,IF(G191&lt;ScoringTable!B$3,ScoringTable!I$2,VLOOKUP((1000-G191),ScoringTable!G$2:I$95,3)))</f>
        <v>0</v>
      </c>
      <c r="K191" s="120" t="str" cm="1">
        <f t="array" ref="K191">IF(OR(E191="",G191=""),"",_xlfn.IFS(E191="U10B",_xlfn.XLOOKUP(G191,Data!$D$2:$L$2,Data!$D$1:$L$1,"",1,1),E191="U12B",_xlfn.XLOOKUP(G191,Data!$D$8:$L$8,Data!$D$1:$L$1,"",1,1),E191="U10G",_xlfn.XLOOKUP(G191,Data!$D$15:$L$15,Data!$D$1:$L$1,"",1,1),E191="U12G",_xlfn.XLOOKUP(G191,Data!$D$21:$L$21,Data!$D$1:$L$1,"",1,1)))</f>
        <v/>
      </c>
      <c r="L191" s="184" t="str" cm="1">
        <f t="array" ref="L191">IFERROR(_xlfn.IFNA(
                      _xlfn.IFS(
                      G191="", "",
                      AND(E191="U10B",G191&lt;=Data!$M$2), "U10 Boys record",
                      AND(E191="U12B",G191&lt;=Data!$M$8), "U12 Boys record",
                      AND(E191="U10G",G191&lt;=Data!$M$15), "U10 Girls record",
                      AND(E191="U12G",G191&lt;=Data!$M$21), "U12 Girls record"
                       ),""), "")</f>
        <v/>
      </c>
      <c r="M191" s="19" cm="1">
        <f t="array" ref="M191">_xlfn.IFS($G191="",0, AND(NOT(ISNUMBER($G191)),LOWER($G191)&lt;&gt;"dnf"),"Not a valid time",OR(LOWER($G191)="dnf",$G191&gt;ScoringTable!$M$161),1,RIGHT($E191,1)="B",_xlfn.XLOOKUP($G191,ScoringTable!$M$2:$M$161,ScoringTable!$L$2:$L$161,,1),TRUE,_xlfn.XLOOKUP($G191,ScoringTable!$S$2:$S$161,ScoringTable!$R$2:$R$161,,1))</f>
        <v>0</v>
      </c>
    </row>
    <row r="192" spans="1:13" s="7" customFormat="1" ht="16" customHeight="1">
      <c r="A192" s="280" t="s">
        <v>2</v>
      </c>
      <c r="B192" s="122" t="str">
        <f>IF(ISNA(VLOOKUP($F192,Declarations!B$6:C$293,2,FALSE)),"",IF(VLOOKUP($F192,Declarations!B$6:C$293,2,FALSE)="","NOT DECLARED",IF(ISNA(_xlfn.TEXTBEFORE(VLOOKUP($F192,Declarations!B$6:C$293,2,FALSE)," ")),VLOOKUP($F192,Declarations!B$6:C$293,2,FALSE),_xlfn.TEXTBEFORE(VLOOKUP($F192,Declarations!B$6:C$293,2,FALSE)," "))))</f>
        <v/>
      </c>
      <c r="C192" s="122" t="str">
        <f>IF(ISNA(VLOOKUP($F192,Declarations!B$6:C$293,2,FALSE)),"",IF(VLOOKUP($F192,Declarations!B$6:C$293,2,FALSE)="","NOT DECLARED",IF(ISNA(_xlfn.TEXTAFTER(VLOOKUP($F192,Declarations!B$6:C$293,2,FALSE)," ")),VLOOKUP($F192,Declarations!B$6:C$293,2,FALSE),_xlfn.TEXTAFTER(VLOOKUP($F192,Declarations!B$6:C$293,2,FALSE)," "))))</f>
        <v/>
      </c>
      <c r="D192" s="122" t="str">
        <f>IF(ISNA(VLOOKUP($F192,Declarations!$B$6:$F$293,5,FALSE)),"",IF(VLOOKUP($F192,Declarations!$B$6:$F$293,5,FALSE)="","NOT DECLARED",VLOOKUP($F192,Declarations!$B$6:$F$293,5,FALSE)))</f>
        <v/>
      </c>
      <c r="E192" s="120" t="str">
        <f>IF(ISNA(VLOOKUP($F192,Declarations!$B$6:$D$293,3,FALSE)),"",IF(VLOOKUP($F192,Declarations!$B$6:$D$293,3,FALSE)="","NOT DECLARED",VLOOKUP($F192,Declarations!$B$6:$D$293,3,FALSE)&amp;LEFT(VLOOKUP($F192,Declarations!$B$6:$E$293,4,FALSE))))</f>
        <v/>
      </c>
      <c r="F192" s="59"/>
      <c r="G192" s="130"/>
      <c r="H192" s="130"/>
      <c r="I192" s="122" t="str">
        <f>IF(ISNA(VLOOKUP(F192,Declarations!B$6:C$293,2,FALSE)),"",IF(VLOOKUP(F192,Declarations!B$6:C$293,2,FALSE)="","NOT DECLARED",VLOOKUP(F192,Declarations!B$6:C$293,2,FALSE)))</f>
        <v/>
      </c>
      <c r="J192" s="120">
        <f>IF(LOWER(G192)="dnf",1,IF(G192&lt;ScoringTable!B$3,ScoringTable!I$2,VLOOKUP((1000-G192),ScoringTable!G$2:I$95,3)))</f>
        <v>0</v>
      </c>
      <c r="K192" s="120" t="str" cm="1">
        <f t="array" ref="K192">IF(OR(E192="",G192=""),"",_xlfn.IFS(E192="U10B",_xlfn.XLOOKUP(G192,Data!$D$2:$L$2,Data!$D$1:$L$1,"",1,1),E192="U12B",_xlfn.XLOOKUP(G192,Data!$D$8:$L$8,Data!$D$1:$L$1,"",1,1),E192="U10G",_xlfn.XLOOKUP(G192,Data!$D$15:$L$15,Data!$D$1:$L$1,"",1,1),E192="U12G",_xlfn.XLOOKUP(G192,Data!$D$21:$L$21,Data!$D$1:$L$1,"",1,1)))</f>
        <v/>
      </c>
      <c r="L192" s="184" t="str" cm="1">
        <f t="array" ref="L192">IFERROR(_xlfn.IFNA(
                      _xlfn.IFS(
                      G192="", "",
                      AND(E192="U10B",G192&lt;=Data!$M$2), "U10 Boys record",
                      AND(E192="U12B",G192&lt;=Data!$M$8), "U12 Boys record",
                      AND(E192="U10G",G192&lt;=Data!$M$15), "U10 Girls record",
                      AND(E192="U12G",G192&lt;=Data!$M$21), "U12 Girls record"
                       ),""), "")</f>
        <v/>
      </c>
      <c r="M192" s="19" cm="1">
        <f t="array" ref="M192">_xlfn.IFS($G192="",0, AND(NOT(ISNUMBER($G192)),LOWER($G192)&lt;&gt;"dnf"),"Not a valid time",OR(LOWER($G192)="dnf",$G192&gt;ScoringTable!$M$161),1,RIGHT($E192,1)="B",_xlfn.XLOOKUP($G192,ScoringTable!$M$2:$M$161,ScoringTable!$L$2:$L$161,,1),TRUE,_xlfn.XLOOKUP($G192,ScoringTable!$S$2:$S$161,ScoringTable!$R$2:$R$161,,1))</f>
        <v>0</v>
      </c>
    </row>
    <row r="193" spans="1:13" s="7" customFormat="1" ht="16" customHeight="1">
      <c r="A193" s="280" t="s">
        <v>2</v>
      </c>
      <c r="B193" s="122" t="str">
        <f>IF(ISNA(VLOOKUP($F193,Declarations!B$6:C$293,2,FALSE)),"",IF(VLOOKUP($F193,Declarations!B$6:C$293,2,FALSE)="","NOT DECLARED",IF(ISNA(_xlfn.TEXTBEFORE(VLOOKUP($F193,Declarations!B$6:C$293,2,FALSE)," ")),VLOOKUP($F193,Declarations!B$6:C$293,2,FALSE),_xlfn.TEXTBEFORE(VLOOKUP($F193,Declarations!B$6:C$293,2,FALSE)," "))))</f>
        <v/>
      </c>
      <c r="C193" s="122" t="str">
        <f>IF(ISNA(VLOOKUP($F193,Declarations!B$6:C$293,2,FALSE)),"",IF(VLOOKUP($F193,Declarations!B$6:C$293,2,FALSE)="","NOT DECLARED",IF(ISNA(_xlfn.TEXTAFTER(VLOOKUP($F193,Declarations!B$6:C$293,2,FALSE)," ")),VLOOKUP($F193,Declarations!B$6:C$293,2,FALSE),_xlfn.TEXTAFTER(VLOOKUP($F193,Declarations!B$6:C$293,2,FALSE)," "))))</f>
        <v/>
      </c>
      <c r="D193" s="122" t="str">
        <f>IF(ISNA(VLOOKUP($F193,Declarations!$B$6:$F$293,5,FALSE)),"",IF(VLOOKUP($F193,Declarations!$B$6:$F$293,5,FALSE)="","NOT DECLARED",VLOOKUP($F193,Declarations!$B$6:$F$293,5,FALSE)))</f>
        <v/>
      </c>
      <c r="E193" s="120" t="str">
        <f>IF(ISNA(VLOOKUP($F193,Declarations!$B$6:$D$293,3,FALSE)),"",IF(VLOOKUP($F193,Declarations!$B$6:$D$293,3,FALSE)="","NOT DECLARED",VLOOKUP($F193,Declarations!$B$6:$D$293,3,FALSE)&amp;LEFT(VLOOKUP($F193,Declarations!$B$6:$E$293,4,FALSE))))</f>
        <v/>
      </c>
      <c r="F193" s="59"/>
      <c r="G193" s="130"/>
      <c r="H193" s="130"/>
      <c r="I193" s="122" t="str">
        <f>IF(ISNA(VLOOKUP(F193,Declarations!B$6:C$293,2,FALSE)),"",IF(VLOOKUP(F193,Declarations!B$6:C$293,2,FALSE)="","NOT DECLARED",VLOOKUP(F193,Declarations!B$6:C$293,2,FALSE)))</f>
        <v/>
      </c>
      <c r="J193" s="120">
        <f>IF(LOWER(G193)="dnf",1,IF(G193&lt;ScoringTable!B$3,ScoringTable!I$2,VLOOKUP((1000-G193),ScoringTable!G$2:I$95,3)))</f>
        <v>0</v>
      </c>
      <c r="K193" s="120" t="str" cm="1">
        <f t="array" ref="K193">IF(OR(E193="",G193=""),"",_xlfn.IFS(E193="U10B",_xlfn.XLOOKUP(G193,Data!$D$2:$L$2,Data!$D$1:$L$1,"",1,1),E193="U12B",_xlfn.XLOOKUP(G193,Data!$D$8:$L$8,Data!$D$1:$L$1,"",1,1),E193="U10G",_xlfn.XLOOKUP(G193,Data!$D$15:$L$15,Data!$D$1:$L$1,"",1,1),E193="U12G",_xlfn.XLOOKUP(G193,Data!$D$21:$L$21,Data!$D$1:$L$1,"",1,1)))</f>
        <v/>
      </c>
      <c r="L193" s="184" t="str" cm="1">
        <f t="array" ref="L193">IFERROR(_xlfn.IFNA(
                      _xlfn.IFS(
                      G193="", "",
                      AND(E193="U10B",G193&lt;=Data!$M$2), "U10 Boys record",
                      AND(E193="U12B",G193&lt;=Data!$M$8), "U12 Boys record",
                      AND(E193="U10G",G193&lt;=Data!$M$15), "U10 Girls record",
                      AND(E193="U12G",G193&lt;=Data!$M$21), "U12 Girls record"
                       ),""), "")</f>
        <v/>
      </c>
      <c r="M193" s="19" cm="1">
        <f t="array" ref="M193">_xlfn.IFS($G193="",0, AND(NOT(ISNUMBER($G193)),LOWER($G193)&lt;&gt;"dnf"),"Not a valid time",OR(LOWER($G193)="dnf",$G193&gt;ScoringTable!$M$161),1,RIGHT($E193,1)="B",_xlfn.XLOOKUP($G193,ScoringTable!$M$2:$M$161,ScoringTable!$L$2:$L$161,,1),TRUE,_xlfn.XLOOKUP($G193,ScoringTable!$S$2:$S$161,ScoringTable!$R$2:$R$161,,1))</f>
        <v>0</v>
      </c>
    </row>
    <row r="194" spans="1:13" s="7" customFormat="1" ht="16" customHeight="1">
      <c r="A194" s="280" t="s">
        <v>2</v>
      </c>
      <c r="B194" s="122" t="str">
        <f>IF(ISNA(VLOOKUP($F194,Declarations!B$6:C$293,2,FALSE)),"",IF(VLOOKUP($F194,Declarations!B$6:C$293,2,FALSE)="","NOT DECLARED",IF(ISNA(_xlfn.TEXTBEFORE(VLOOKUP($F194,Declarations!B$6:C$293,2,FALSE)," ")),VLOOKUP($F194,Declarations!B$6:C$293,2,FALSE),_xlfn.TEXTBEFORE(VLOOKUP($F194,Declarations!B$6:C$293,2,FALSE)," "))))</f>
        <v/>
      </c>
      <c r="C194" s="122" t="str">
        <f>IF(ISNA(VLOOKUP($F194,Declarations!B$6:C$293,2,FALSE)),"",IF(VLOOKUP($F194,Declarations!B$6:C$293,2,FALSE)="","NOT DECLARED",IF(ISNA(_xlfn.TEXTAFTER(VLOOKUP($F194,Declarations!B$6:C$293,2,FALSE)," ")),VLOOKUP($F194,Declarations!B$6:C$293,2,FALSE),_xlfn.TEXTAFTER(VLOOKUP($F194,Declarations!B$6:C$293,2,FALSE)," "))))</f>
        <v/>
      </c>
      <c r="D194" s="122" t="str">
        <f>IF(ISNA(VLOOKUP($F194,Declarations!$B$6:$F$293,5,FALSE)),"",IF(VLOOKUP($F194,Declarations!$B$6:$F$293,5,FALSE)="","NOT DECLARED",VLOOKUP($F194,Declarations!$B$6:$F$293,5,FALSE)))</f>
        <v/>
      </c>
      <c r="E194" s="120" t="str">
        <f>IF(ISNA(VLOOKUP($F194,Declarations!$B$6:$D$293,3,FALSE)),"",IF(VLOOKUP($F194,Declarations!$B$6:$D$293,3,FALSE)="","NOT DECLARED",VLOOKUP($F194,Declarations!$B$6:$D$293,3,FALSE)&amp;LEFT(VLOOKUP($F194,Declarations!$B$6:$E$293,4,FALSE))))</f>
        <v/>
      </c>
      <c r="F194" s="59"/>
      <c r="G194" s="130"/>
      <c r="H194" s="130"/>
      <c r="I194" s="122" t="str">
        <f>IF(ISNA(VLOOKUP(F194,Declarations!B$6:C$293,2,FALSE)),"",IF(VLOOKUP(F194,Declarations!B$6:C$293,2,FALSE)="","NOT DECLARED",VLOOKUP(F194,Declarations!B$6:C$293,2,FALSE)))</f>
        <v/>
      </c>
      <c r="J194" s="120">
        <f>IF(LOWER(G194)="dnf",1,IF(G194&lt;ScoringTable!B$3,ScoringTable!I$2,VLOOKUP((1000-G194),ScoringTable!G$2:I$95,3)))</f>
        <v>0</v>
      </c>
      <c r="K194" s="120" t="str" cm="1">
        <f t="array" ref="K194">IF(OR(E194="",G194=""),"",_xlfn.IFS(E194="U10B",_xlfn.XLOOKUP(G194,Data!$D$2:$L$2,Data!$D$1:$L$1,"",1,1),E194="U12B",_xlfn.XLOOKUP(G194,Data!$D$8:$L$8,Data!$D$1:$L$1,"",1,1),E194="U10G",_xlfn.XLOOKUP(G194,Data!$D$15:$L$15,Data!$D$1:$L$1,"",1,1),E194="U12G",_xlfn.XLOOKUP(G194,Data!$D$21:$L$21,Data!$D$1:$L$1,"",1,1)))</f>
        <v/>
      </c>
      <c r="L194" s="184" t="str" cm="1">
        <f t="array" ref="L194">IFERROR(_xlfn.IFNA(
                      _xlfn.IFS(
                      G194="", "",
                      AND(E194="U10B",G194&lt;=Data!$M$2), "U10 Boys record",
                      AND(E194="U12B",G194&lt;=Data!$M$8), "U12 Boys record",
                      AND(E194="U10G",G194&lt;=Data!$M$15), "U10 Girls record",
                      AND(E194="U12G",G194&lt;=Data!$M$21), "U12 Girls record"
                       ),""), "")</f>
        <v/>
      </c>
      <c r="M194" s="19" cm="1">
        <f t="array" ref="M194">_xlfn.IFS($G194="",0, AND(NOT(ISNUMBER($G194)),LOWER($G194)&lt;&gt;"dnf"),"Not a valid time",OR(LOWER($G194)="dnf",$G194&gt;ScoringTable!$M$161),1,RIGHT($E194,1)="B",_xlfn.XLOOKUP($G194,ScoringTable!$M$2:$M$161,ScoringTable!$L$2:$L$161,,1),TRUE,_xlfn.XLOOKUP($G194,ScoringTable!$S$2:$S$161,ScoringTable!$R$2:$R$161,,1))</f>
        <v>0</v>
      </c>
    </row>
    <row r="195" spans="1:13" s="7" customFormat="1" ht="16" customHeight="1">
      <c r="A195" s="280" t="s">
        <v>2</v>
      </c>
      <c r="B195" s="122" t="str">
        <f>IF(ISNA(VLOOKUP($F195,Declarations!B$6:C$293,2,FALSE)),"",IF(VLOOKUP($F195,Declarations!B$6:C$293,2,FALSE)="","NOT DECLARED",IF(ISNA(_xlfn.TEXTBEFORE(VLOOKUP($F195,Declarations!B$6:C$293,2,FALSE)," ")),VLOOKUP($F195,Declarations!B$6:C$293,2,FALSE),_xlfn.TEXTBEFORE(VLOOKUP($F195,Declarations!B$6:C$293,2,FALSE)," "))))</f>
        <v/>
      </c>
      <c r="C195" s="122" t="str">
        <f>IF(ISNA(VLOOKUP($F195,Declarations!B$6:C$293,2,FALSE)),"",IF(VLOOKUP($F195,Declarations!B$6:C$293,2,FALSE)="","NOT DECLARED",IF(ISNA(_xlfn.TEXTAFTER(VLOOKUP($F195,Declarations!B$6:C$293,2,FALSE)," ")),VLOOKUP($F195,Declarations!B$6:C$293,2,FALSE),_xlfn.TEXTAFTER(VLOOKUP($F195,Declarations!B$6:C$293,2,FALSE)," "))))</f>
        <v/>
      </c>
      <c r="D195" s="122" t="str">
        <f>IF(ISNA(VLOOKUP($F195,Declarations!$B$6:$F$293,5,FALSE)),"",IF(VLOOKUP($F195,Declarations!$B$6:$F$293,5,FALSE)="","NOT DECLARED",VLOOKUP($F195,Declarations!$B$6:$F$293,5,FALSE)))</f>
        <v/>
      </c>
      <c r="E195" s="120" t="str">
        <f>IF(ISNA(VLOOKUP($F195,Declarations!$B$6:$D$293,3,FALSE)),"",IF(VLOOKUP($F195,Declarations!$B$6:$D$293,3,FALSE)="","NOT DECLARED",VLOOKUP($F195,Declarations!$B$6:$D$293,3,FALSE)&amp;LEFT(VLOOKUP($F195,Declarations!$B$6:$E$293,4,FALSE))))</f>
        <v/>
      </c>
      <c r="F195" s="59"/>
      <c r="G195" s="130"/>
      <c r="H195" s="130"/>
      <c r="I195" s="122" t="str">
        <f>IF(ISNA(VLOOKUP(F195,Declarations!B$6:C$293,2,FALSE)),"",IF(VLOOKUP(F195,Declarations!B$6:C$293,2,FALSE)="","NOT DECLARED",VLOOKUP(F195,Declarations!B$6:C$293,2,FALSE)))</f>
        <v/>
      </c>
      <c r="J195" s="120">
        <f>IF(LOWER(G195)="dnf",1,IF(G195&lt;ScoringTable!B$3,ScoringTable!I$2,VLOOKUP((1000-G195),ScoringTable!G$2:I$95,3)))</f>
        <v>0</v>
      </c>
      <c r="K195" s="120" t="str" cm="1">
        <f t="array" ref="K195">IF(OR(E195="",G195=""),"",_xlfn.IFS(E195="U10B",_xlfn.XLOOKUP(G195,Data!$D$2:$L$2,Data!$D$1:$L$1,"",1,1),E195="U12B",_xlfn.XLOOKUP(G195,Data!$D$8:$L$8,Data!$D$1:$L$1,"",1,1),E195="U10G",_xlfn.XLOOKUP(G195,Data!$D$15:$L$15,Data!$D$1:$L$1,"",1,1),E195="U12G",_xlfn.XLOOKUP(G195,Data!$D$21:$L$21,Data!$D$1:$L$1,"",1,1)))</f>
        <v/>
      </c>
      <c r="L195" s="184" t="str" cm="1">
        <f t="array" ref="L195">IFERROR(_xlfn.IFNA(
                      _xlfn.IFS(
                      G195="", "",
                      AND(E195="U10B",G195&lt;=Data!$M$2), "U10 Boys record",
                      AND(E195="U12B",G195&lt;=Data!$M$8), "U12 Boys record",
                      AND(E195="U10G",G195&lt;=Data!$M$15), "U10 Girls record",
                      AND(E195="U12G",G195&lt;=Data!$M$21), "U12 Girls record"
                       ),""), "")</f>
        <v/>
      </c>
      <c r="M195" s="19" cm="1">
        <f t="array" ref="M195">_xlfn.IFS($G195="",0, AND(NOT(ISNUMBER($G195)),LOWER($G195)&lt;&gt;"dnf"),"Not a valid time",OR(LOWER($G195)="dnf",$G195&gt;ScoringTable!$M$161),1,RIGHT($E195,1)="B",_xlfn.XLOOKUP($G195,ScoringTable!$M$2:$M$161,ScoringTable!$L$2:$L$161,,1),TRUE,_xlfn.XLOOKUP($G195,ScoringTable!$S$2:$S$161,ScoringTable!$R$2:$R$161,,1))</f>
        <v>0</v>
      </c>
    </row>
    <row r="196" spans="1:13" s="7" customFormat="1" ht="16" customHeight="1">
      <c r="A196" s="280" t="s">
        <v>2</v>
      </c>
      <c r="B196" s="122" t="str">
        <f>IF(ISNA(VLOOKUP($F196,Declarations!B$6:C$293,2,FALSE)),"",IF(VLOOKUP($F196,Declarations!B$6:C$293,2,FALSE)="","NOT DECLARED",IF(ISNA(_xlfn.TEXTBEFORE(VLOOKUP($F196,Declarations!B$6:C$293,2,FALSE)," ")),VLOOKUP($F196,Declarations!B$6:C$293,2,FALSE),_xlfn.TEXTBEFORE(VLOOKUP($F196,Declarations!B$6:C$293,2,FALSE)," "))))</f>
        <v/>
      </c>
      <c r="C196" s="122" t="str">
        <f>IF(ISNA(VLOOKUP($F196,Declarations!B$6:C$293,2,FALSE)),"",IF(VLOOKUP($F196,Declarations!B$6:C$293,2,FALSE)="","NOT DECLARED",IF(ISNA(_xlfn.TEXTAFTER(VLOOKUP($F196,Declarations!B$6:C$293,2,FALSE)," ")),VLOOKUP($F196,Declarations!B$6:C$293,2,FALSE),_xlfn.TEXTAFTER(VLOOKUP($F196,Declarations!B$6:C$293,2,FALSE)," "))))</f>
        <v/>
      </c>
      <c r="D196" s="122" t="str">
        <f>IF(ISNA(VLOOKUP($F196,Declarations!$B$6:$F$293,5,FALSE)),"",IF(VLOOKUP($F196,Declarations!$B$6:$F$293,5,FALSE)="","NOT DECLARED",VLOOKUP($F196,Declarations!$B$6:$F$293,5,FALSE)))</f>
        <v/>
      </c>
      <c r="E196" s="120" t="str">
        <f>IF(ISNA(VLOOKUP($F196,Declarations!$B$6:$D$293,3,FALSE)),"",IF(VLOOKUP($F196,Declarations!$B$6:$D$293,3,FALSE)="","NOT DECLARED",VLOOKUP($F196,Declarations!$B$6:$D$293,3,FALSE)&amp;LEFT(VLOOKUP($F196,Declarations!$B$6:$E$293,4,FALSE))))</f>
        <v/>
      </c>
      <c r="F196" s="59"/>
      <c r="G196" s="130"/>
      <c r="H196" s="130"/>
      <c r="I196" s="122" t="str">
        <f>IF(ISNA(VLOOKUP(F196,Declarations!B$6:C$293,2,FALSE)),"",IF(VLOOKUP(F196,Declarations!B$6:C$293,2,FALSE)="","NOT DECLARED",VLOOKUP(F196,Declarations!B$6:C$293,2,FALSE)))</f>
        <v/>
      </c>
      <c r="J196" s="120">
        <f>IF(LOWER(G196)="dnf",1,IF(G196&lt;ScoringTable!B$3,ScoringTable!I$2,VLOOKUP((1000-G196),ScoringTable!G$2:I$95,3)))</f>
        <v>0</v>
      </c>
      <c r="K196" s="120" t="str" cm="1">
        <f t="array" ref="K196">IF(OR(E196="",G196=""),"",_xlfn.IFS(E196="U10B",_xlfn.XLOOKUP(G196,Data!$D$2:$L$2,Data!$D$1:$L$1,"",1,1),E196="U12B",_xlfn.XLOOKUP(G196,Data!$D$8:$L$8,Data!$D$1:$L$1,"",1,1),E196="U10G",_xlfn.XLOOKUP(G196,Data!$D$15:$L$15,Data!$D$1:$L$1,"",1,1),E196="U12G",_xlfn.XLOOKUP(G196,Data!$D$21:$L$21,Data!$D$1:$L$1,"",1,1)))</f>
        <v/>
      </c>
      <c r="L196" s="184" t="str" cm="1">
        <f t="array" ref="L196">IFERROR(_xlfn.IFNA(
                      _xlfn.IFS(
                      G196="", "",
                      AND(E196="U10B",G196&lt;=Data!$M$2), "U10 Boys record",
                      AND(E196="U12B",G196&lt;=Data!$M$8), "U12 Boys record",
                      AND(E196="U10G",G196&lt;=Data!$M$15), "U10 Girls record",
                      AND(E196="U12G",G196&lt;=Data!$M$21), "U12 Girls record"
                       ),""), "")</f>
        <v/>
      </c>
      <c r="M196" s="19" cm="1">
        <f t="array" ref="M196">_xlfn.IFS($G196="",0, AND(NOT(ISNUMBER($G196)),LOWER($G196)&lt;&gt;"dnf"),"Not a valid time",OR(LOWER($G196)="dnf",$G196&gt;ScoringTable!$M$161),1,RIGHT($E196,1)="B",_xlfn.XLOOKUP($G196,ScoringTable!$M$2:$M$161,ScoringTable!$L$2:$L$161,,1),TRUE,_xlfn.XLOOKUP($G196,ScoringTable!$S$2:$S$161,ScoringTable!$R$2:$R$161,,1))</f>
        <v>0</v>
      </c>
    </row>
    <row r="197" spans="1:13" s="7" customFormat="1" ht="16" customHeight="1">
      <c r="A197" s="280" t="s">
        <v>2</v>
      </c>
      <c r="B197" s="122" t="str">
        <f>IF(ISNA(VLOOKUP($F197,Declarations!B$6:C$293,2,FALSE)),"",IF(VLOOKUP($F197,Declarations!B$6:C$293,2,FALSE)="","NOT DECLARED",IF(ISNA(_xlfn.TEXTBEFORE(VLOOKUP($F197,Declarations!B$6:C$293,2,FALSE)," ")),VLOOKUP($F197,Declarations!B$6:C$293,2,FALSE),_xlfn.TEXTBEFORE(VLOOKUP($F197,Declarations!B$6:C$293,2,FALSE)," "))))</f>
        <v/>
      </c>
      <c r="C197" s="122" t="str">
        <f>IF(ISNA(VLOOKUP($F197,Declarations!B$6:C$293,2,FALSE)),"",IF(VLOOKUP($F197,Declarations!B$6:C$293,2,FALSE)="","NOT DECLARED",IF(ISNA(_xlfn.TEXTAFTER(VLOOKUP($F197,Declarations!B$6:C$293,2,FALSE)," ")),VLOOKUP($F197,Declarations!B$6:C$293,2,FALSE),_xlfn.TEXTAFTER(VLOOKUP($F197,Declarations!B$6:C$293,2,FALSE)," "))))</f>
        <v/>
      </c>
      <c r="D197" s="122" t="str">
        <f>IF(ISNA(VLOOKUP($F197,Declarations!$B$6:$F$293,5,FALSE)),"",IF(VLOOKUP($F197,Declarations!$B$6:$F$293,5,FALSE)="","NOT DECLARED",VLOOKUP($F197,Declarations!$B$6:$F$293,5,FALSE)))</f>
        <v/>
      </c>
      <c r="E197" s="120" t="str">
        <f>IF(ISNA(VLOOKUP($F197,Declarations!$B$6:$D$293,3,FALSE)),"",IF(VLOOKUP($F197,Declarations!$B$6:$D$293,3,FALSE)="","NOT DECLARED",VLOOKUP($F197,Declarations!$B$6:$D$293,3,FALSE)&amp;LEFT(VLOOKUP($F197,Declarations!$B$6:$E$293,4,FALSE))))</f>
        <v/>
      </c>
      <c r="F197" s="59"/>
      <c r="G197" s="130"/>
      <c r="H197" s="130"/>
      <c r="I197" s="122" t="str">
        <f>IF(ISNA(VLOOKUP(F197,Declarations!B$6:C$293,2,FALSE)),"",IF(VLOOKUP(F197,Declarations!B$6:C$293,2,FALSE)="","NOT DECLARED",VLOOKUP(F197,Declarations!B$6:C$293,2,FALSE)))</f>
        <v/>
      </c>
      <c r="J197" s="120">
        <f>IF(LOWER(G197)="dnf",1,IF(G197&lt;ScoringTable!B$3,ScoringTable!I$2,VLOOKUP((1000-G197),ScoringTable!G$2:I$95,3)))</f>
        <v>0</v>
      </c>
      <c r="K197" s="120" t="str" cm="1">
        <f t="array" ref="K197">IF(OR(E197="",G197=""),"",_xlfn.IFS(E197="U10B",_xlfn.XLOOKUP(G197,Data!$D$2:$L$2,Data!$D$1:$L$1,"",1,1),E197="U12B",_xlfn.XLOOKUP(G197,Data!$D$8:$L$8,Data!$D$1:$L$1,"",1,1),E197="U10G",_xlfn.XLOOKUP(G197,Data!$D$15:$L$15,Data!$D$1:$L$1,"",1,1),E197="U12G",_xlfn.XLOOKUP(G197,Data!$D$21:$L$21,Data!$D$1:$L$1,"",1,1)))</f>
        <v/>
      </c>
      <c r="L197" s="184" t="str" cm="1">
        <f t="array" ref="L197">IFERROR(_xlfn.IFNA(
                      _xlfn.IFS(
                      G197="", "",
                      AND(E197="U10B",G197&lt;=Data!$M$2), "U10 Boys record",
                      AND(E197="U12B",G197&lt;=Data!$M$8), "U12 Boys record",
                      AND(E197="U10G",G197&lt;=Data!$M$15), "U10 Girls record",
                      AND(E197="U12G",G197&lt;=Data!$M$21), "U12 Girls record"
                       ),""), "")</f>
        <v/>
      </c>
      <c r="M197" s="19" cm="1">
        <f t="array" ref="M197">_xlfn.IFS($G197="",0, AND(NOT(ISNUMBER($G197)),LOWER($G197)&lt;&gt;"dnf"),"Not a valid time",OR(LOWER($G197)="dnf",$G197&gt;ScoringTable!$M$161),1,RIGHT($E197,1)="B",_xlfn.XLOOKUP($G197,ScoringTable!$M$2:$M$161,ScoringTable!$L$2:$L$161,,1),TRUE,_xlfn.XLOOKUP($G197,ScoringTable!$S$2:$S$161,ScoringTable!$R$2:$R$161,,1))</f>
        <v>0</v>
      </c>
    </row>
    <row r="198" spans="1:13" s="7" customFormat="1" ht="16" customHeight="1">
      <c r="A198" s="280" t="s">
        <v>2</v>
      </c>
      <c r="B198" s="122" t="str">
        <f>IF(ISNA(VLOOKUP($F198,Declarations!B$6:C$293,2,FALSE)),"",IF(VLOOKUP($F198,Declarations!B$6:C$293,2,FALSE)="","NOT DECLARED",IF(ISNA(_xlfn.TEXTBEFORE(VLOOKUP($F198,Declarations!B$6:C$293,2,FALSE)," ")),VLOOKUP($F198,Declarations!B$6:C$293,2,FALSE),_xlfn.TEXTBEFORE(VLOOKUP($F198,Declarations!B$6:C$293,2,FALSE)," "))))</f>
        <v/>
      </c>
      <c r="C198" s="122" t="str">
        <f>IF(ISNA(VLOOKUP($F198,Declarations!B$6:C$293,2,FALSE)),"",IF(VLOOKUP($F198,Declarations!B$6:C$293,2,FALSE)="","NOT DECLARED",IF(ISNA(_xlfn.TEXTAFTER(VLOOKUP($F198,Declarations!B$6:C$293,2,FALSE)," ")),VLOOKUP($F198,Declarations!B$6:C$293,2,FALSE),_xlfn.TEXTAFTER(VLOOKUP($F198,Declarations!B$6:C$293,2,FALSE)," "))))</f>
        <v/>
      </c>
      <c r="D198" s="122" t="str">
        <f>IF(ISNA(VLOOKUP($F198,Declarations!$B$6:$F$293,5,FALSE)),"",IF(VLOOKUP($F198,Declarations!$B$6:$F$293,5,FALSE)="","NOT DECLARED",VLOOKUP($F198,Declarations!$B$6:$F$293,5,FALSE)))</f>
        <v/>
      </c>
      <c r="E198" s="120" t="str">
        <f>IF(ISNA(VLOOKUP($F198,Declarations!$B$6:$D$293,3,FALSE)),"",IF(VLOOKUP($F198,Declarations!$B$6:$D$293,3,FALSE)="","NOT DECLARED",VLOOKUP($F198,Declarations!$B$6:$D$293,3,FALSE)&amp;LEFT(VLOOKUP($F198,Declarations!$B$6:$E$293,4,FALSE))))</f>
        <v/>
      </c>
      <c r="F198" s="59"/>
      <c r="G198" s="130"/>
      <c r="H198" s="130"/>
      <c r="I198" s="122" t="str">
        <f>IF(ISNA(VLOOKUP(F198,Declarations!B$6:C$293,2,FALSE)),"",IF(VLOOKUP(F198,Declarations!B$6:C$293,2,FALSE)="","NOT DECLARED",VLOOKUP(F198,Declarations!B$6:C$293,2,FALSE)))</f>
        <v/>
      </c>
      <c r="J198" s="120">
        <f>IF(LOWER(G198)="dnf",1,IF(G198&lt;ScoringTable!B$3,ScoringTable!I$2,VLOOKUP((1000-G198),ScoringTable!G$2:I$95,3)))</f>
        <v>0</v>
      </c>
      <c r="K198" s="120" t="str" cm="1">
        <f t="array" ref="K198">IF(OR(E198="",G198=""),"",_xlfn.IFS(E198="U10B",_xlfn.XLOOKUP(G198,Data!$D$2:$L$2,Data!$D$1:$L$1,"",1,1),E198="U12B",_xlfn.XLOOKUP(G198,Data!$D$8:$L$8,Data!$D$1:$L$1,"",1,1),E198="U10G",_xlfn.XLOOKUP(G198,Data!$D$15:$L$15,Data!$D$1:$L$1,"",1,1),E198="U12G",_xlfn.XLOOKUP(G198,Data!$D$21:$L$21,Data!$D$1:$L$1,"",1,1)))</f>
        <v/>
      </c>
      <c r="L198" s="184" t="str" cm="1">
        <f t="array" ref="L198">IFERROR(_xlfn.IFNA(
                      _xlfn.IFS(
                      G198="", "",
                      AND(E198="U10B",G198&lt;=Data!$M$2), "U10 Boys record",
                      AND(E198="U12B",G198&lt;=Data!$M$8), "U12 Boys record",
                      AND(E198="U10G",G198&lt;=Data!$M$15), "U10 Girls record",
                      AND(E198="U12G",G198&lt;=Data!$M$21), "U12 Girls record"
                       ),""), "")</f>
        <v/>
      </c>
      <c r="M198" s="19" cm="1">
        <f t="array" ref="M198">_xlfn.IFS($G198="",0, AND(NOT(ISNUMBER($G198)),LOWER($G198)&lt;&gt;"dnf"),"Not a valid time",OR(LOWER($G198)="dnf",$G198&gt;ScoringTable!$M$161),1,RIGHT($E198,1)="B",_xlfn.XLOOKUP($G198,ScoringTable!$M$2:$M$161,ScoringTable!$L$2:$L$161,,1),TRUE,_xlfn.XLOOKUP($G198,ScoringTable!$S$2:$S$161,ScoringTable!$R$2:$R$161,,1))</f>
        <v>0</v>
      </c>
    </row>
    <row r="199" spans="1:13" s="7" customFormat="1" ht="16" customHeight="1">
      <c r="A199" s="280" t="s">
        <v>2</v>
      </c>
      <c r="B199" s="122" t="str">
        <f>IF(ISNA(VLOOKUP($F199,Declarations!B$6:C$293,2,FALSE)),"",IF(VLOOKUP($F199,Declarations!B$6:C$293,2,FALSE)="","NOT DECLARED",IF(ISNA(_xlfn.TEXTBEFORE(VLOOKUP($F199,Declarations!B$6:C$293,2,FALSE)," ")),VLOOKUP($F199,Declarations!B$6:C$293,2,FALSE),_xlfn.TEXTBEFORE(VLOOKUP($F199,Declarations!B$6:C$293,2,FALSE)," "))))</f>
        <v/>
      </c>
      <c r="C199" s="122" t="str">
        <f>IF(ISNA(VLOOKUP($F199,Declarations!B$6:C$293,2,FALSE)),"",IF(VLOOKUP($F199,Declarations!B$6:C$293,2,FALSE)="","NOT DECLARED",IF(ISNA(_xlfn.TEXTAFTER(VLOOKUP($F199,Declarations!B$6:C$293,2,FALSE)," ")),VLOOKUP($F199,Declarations!B$6:C$293,2,FALSE),_xlfn.TEXTAFTER(VLOOKUP($F199,Declarations!B$6:C$293,2,FALSE)," "))))</f>
        <v/>
      </c>
      <c r="D199" s="122" t="str">
        <f>IF(ISNA(VLOOKUP($F199,Declarations!$B$6:$F$293,5,FALSE)),"",IF(VLOOKUP($F199,Declarations!$B$6:$F$293,5,FALSE)="","NOT DECLARED",VLOOKUP($F199,Declarations!$B$6:$F$293,5,FALSE)))</f>
        <v/>
      </c>
      <c r="E199" s="120" t="str">
        <f>IF(ISNA(VLOOKUP($F199,Declarations!$B$6:$D$293,3,FALSE)),"",IF(VLOOKUP($F199,Declarations!$B$6:$D$293,3,FALSE)="","NOT DECLARED",VLOOKUP($F199,Declarations!$B$6:$D$293,3,FALSE)&amp;LEFT(VLOOKUP($F199,Declarations!$B$6:$E$293,4,FALSE))))</f>
        <v/>
      </c>
      <c r="F199" s="59"/>
      <c r="G199" s="130"/>
      <c r="H199" s="130"/>
      <c r="I199" s="122" t="str">
        <f>IF(ISNA(VLOOKUP(F199,Declarations!B$6:C$293,2,FALSE)),"",IF(VLOOKUP(F199,Declarations!B$6:C$293,2,FALSE)="","NOT DECLARED",VLOOKUP(F199,Declarations!B$6:C$293,2,FALSE)))</f>
        <v/>
      </c>
      <c r="J199" s="120">
        <f>IF(LOWER(G199)="dnf",1,IF(G199&lt;ScoringTable!B$3,ScoringTable!I$2,VLOOKUP((1000-G199),ScoringTable!G$2:I$95,3)))</f>
        <v>0</v>
      </c>
      <c r="K199" s="120" t="str" cm="1">
        <f t="array" ref="K199">IF(OR(E199="",G199=""),"",_xlfn.IFS(E199="U10B",_xlfn.XLOOKUP(G199,Data!$D$2:$L$2,Data!$D$1:$L$1,"",1,1),E199="U12B",_xlfn.XLOOKUP(G199,Data!$D$8:$L$8,Data!$D$1:$L$1,"",1,1),E199="U10G",_xlfn.XLOOKUP(G199,Data!$D$15:$L$15,Data!$D$1:$L$1,"",1,1),E199="U12G",_xlfn.XLOOKUP(G199,Data!$D$21:$L$21,Data!$D$1:$L$1,"",1,1)))</f>
        <v/>
      </c>
      <c r="L199" s="184" t="str" cm="1">
        <f t="array" ref="L199">IFERROR(_xlfn.IFNA(
                      _xlfn.IFS(
                      G199="", "",
                      AND(E199="U10B",G199&lt;=Data!$M$2), "U10 Boys record",
                      AND(E199="U12B",G199&lt;=Data!$M$8), "U12 Boys record",
                      AND(E199="U10G",G199&lt;=Data!$M$15), "U10 Girls record",
                      AND(E199="U12G",G199&lt;=Data!$M$21), "U12 Girls record"
                       ),""), "")</f>
        <v/>
      </c>
      <c r="M199" s="19" cm="1">
        <f t="array" ref="M199">_xlfn.IFS($G199="",0, AND(NOT(ISNUMBER($G199)),LOWER($G199)&lt;&gt;"dnf"),"Not a valid time",OR(LOWER($G199)="dnf",$G199&gt;ScoringTable!$M$161),1,RIGHT($E199,1)="B",_xlfn.XLOOKUP($G199,ScoringTable!$M$2:$M$161,ScoringTable!$L$2:$L$161,,1),TRUE,_xlfn.XLOOKUP($G199,ScoringTable!$S$2:$S$161,ScoringTable!$R$2:$R$161,,1))</f>
        <v>0</v>
      </c>
    </row>
    <row r="200" spans="1:13" s="7" customFormat="1" ht="16" customHeight="1">
      <c r="A200" s="280" t="s">
        <v>2</v>
      </c>
      <c r="B200" s="122" t="str">
        <f>IF(ISNA(VLOOKUP($F200,Declarations!B$6:C$293,2,FALSE)),"",IF(VLOOKUP($F200,Declarations!B$6:C$293,2,FALSE)="","NOT DECLARED",IF(ISNA(_xlfn.TEXTBEFORE(VLOOKUP($F200,Declarations!B$6:C$293,2,FALSE)," ")),VLOOKUP($F200,Declarations!B$6:C$293,2,FALSE),_xlfn.TEXTBEFORE(VLOOKUP($F200,Declarations!B$6:C$293,2,FALSE)," "))))</f>
        <v/>
      </c>
      <c r="C200" s="122" t="str">
        <f>IF(ISNA(VLOOKUP($F200,Declarations!B$6:C$293,2,FALSE)),"",IF(VLOOKUP($F200,Declarations!B$6:C$293,2,FALSE)="","NOT DECLARED",IF(ISNA(_xlfn.TEXTAFTER(VLOOKUP($F200,Declarations!B$6:C$293,2,FALSE)," ")),VLOOKUP($F200,Declarations!B$6:C$293,2,FALSE),_xlfn.TEXTAFTER(VLOOKUP($F200,Declarations!B$6:C$293,2,FALSE)," "))))</f>
        <v/>
      </c>
      <c r="D200" s="122" t="str">
        <f>IF(ISNA(VLOOKUP($F200,Declarations!$B$6:$F$293,5,FALSE)),"",IF(VLOOKUP($F200,Declarations!$B$6:$F$293,5,FALSE)="","NOT DECLARED",VLOOKUP($F200,Declarations!$B$6:$F$293,5,FALSE)))</f>
        <v/>
      </c>
      <c r="E200" s="120" t="str">
        <f>IF(ISNA(VLOOKUP($F200,Declarations!$B$6:$D$293,3,FALSE)),"",IF(VLOOKUP($F200,Declarations!$B$6:$D$293,3,FALSE)="","NOT DECLARED",VLOOKUP($F200,Declarations!$B$6:$D$293,3,FALSE)&amp;LEFT(VLOOKUP($F200,Declarations!$B$6:$E$293,4,FALSE))))</f>
        <v/>
      </c>
      <c r="F200" s="59"/>
      <c r="G200" s="130"/>
      <c r="H200" s="130"/>
      <c r="I200" s="122" t="str">
        <f>IF(ISNA(VLOOKUP(F200,Declarations!B$6:C$293,2,FALSE)),"",IF(VLOOKUP(F200,Declarations!B$6:C$293,2,FALSE)="","NOT DECLARED",VLOOKUP(F200,Declarations!B$6:C$293,2,FALSE)))</f>
        <v/>
      </c>
      <c r="J200" s="120">
        <f>IF(LOWER(G200)="dnf",1,IF(G200&lt;ScoringTable!B$3,ScoringTable!I$2,VLOOKUP((1000-G200),ScoringTable!G$2:I$95,3)))</f>
        <v>0</v>
      </c>
      <c r="K200" s="120" t="str" cm="1">
        <f t="array" ref="K200">IF(OR(E200="",G200=""),"",_xlfn.IFS(E200="U10B",_xlfn.XLOOKUP(G200,Data!$D$2:$L$2,Data!$D$1:$L$1,"",1,1),E200="U12B",_xlfn.XLOOKUP(G200,Data!$D$8:$L$8,Data!$D$1:$L$1,"",1,1),E200="U10G",_xlfn.XLOOKUP(G200,Data!$D$15:$L$15,Data!$D$1:$L$1,"",1,1),E200="U12G",_xlfn.XLOOKUP(G200,Data!$D$21:$L$21,Data!$D$1:$L$1,"",1,1)))</f>
        <v/>
      </c>
      <c r="L200" s="184" t="str" cm="1">
        <f t="array" ref="L200">IFERROR(_xlfn.IFNA(
                      _xlfn.IFS(
                      G200="", "",
                      AND(E200="U10B",G200&lt;=Data!$M$2), "U10 Boys record",
                      AND(E200="U12B",G200&lt;=Data!$M$8), "U12 Boys record",
                      AND(E200="U10G",G200&lt;=Data!$M$15), "U10 Girls record",
                      AND(E200="U12G",G200&lt;=Data!$M$21), "U12 Girls record"
                       ),""), "")</f>
        <v/>
      </c>
      <c r="M200" s="19" cm="1">
        <f t="array" ref="M200">_xlfn.IFS($G200="",0, AND(NOT(ISNUMBER($G200)),LOWER($G200)&lt;&gt;"dnf"),"Not a valid time",OR(LOWER($G200)="dnf",$G200&gt;ScoringTable!$M$161),1,RIGHT($E200,1)="B",_xlfn.XLOOKUP($G200,ScoringTable!$M$2:$M$161,ScoringTable!$L$2:$L$161,,1),TRUE,_xlfn.XLOOKUP($G200,ScoringTable!$S$2:$S$161,ScoringTable!$R$2:$R$161,,1))</f>
        <v>0</v>
      </c>
    </row>
    <row r="201" spans="1:13" s="7" customFormat="1" ht="16" customHeight="1">
      <c r="A201" s="280" t="s">
        <v>2</v>
      </c>
      <c r="B201" s="122" t="str">
        <f>IF(ISNA(VLOOKUP($F201,Declarations!B$6:C$293,2,FALSE)),"",IF(VLOOKUP($F201,Declarations!B$6:C$293,2,FALSE)="","NOT DECLARED",IF(ISNA(_xlfn.TEXTBEFORE(VLOOKUP($F201,Declarations!B$6:C$293,2,FALSE)," ")),VLOOKUP($F201,Declarations!B$6:C$293,2,FALSE),_xlfn.TEXTBEFORE(VLOOKUP($F201,Declarations!B$6:C$293,2,FALSE)," "))))</f>
        <v/>
      </c>
      <c r="C201" s="122" t="str">
        <f>IF(ISNA(VLOOKUP($F201,Declarations!B$6:C$293,2,FALSE)),"",IF(VLOOKUP($F201,Declarations!B$6:C$293,2,FALSE)="","NOT DECLARED",IF(ISNA(_xlfn.TEXTAFTER(VLOOKUP($F201,Declarations!B$6:C$293,2,FALSE)," ")),VLOOKUP($F201,Declarations!B$6:C$293,2,FALSE),_xlfn.TEXTAFTER(VLOOKUP($F201,Declarations!B$6:C$293,2,FALSE)," "))))</f>
        <v/>
      </c>
      <c r="D201" s="122" t="str">
        <f>IF(ISNA(VLOOKUP($F201,Declarations!$B$6:$F$293,5,FALSE)),"",IF(VLOOKUP($F201,Declarations!$B$6:$F$293,5,FALSE)="","NOT DECLARED",VLOOKUP($F201,Declarations!$B$6:$F$293,5,FALSE)))</f>
        <v/>
      </c>
      <c r="E201" s="120" t="str">
        <f>IF(ISNA(VLOOKUP($F201,Declarations!$B$6:$D$293,3,FALSE)),"",IF(VLOOKUP($F201,Declarations!$B$6:$D$293,3,FALSE)="","NOT DECLARED",VLOOKUP($F201,Declarations!$B$6:$D$293,3,FALSE)&amp;LEFT(VLOOKUP($F201,Declarations!$B$6:$E$293,4,FALSE))))</f>
        <v/>
      </c>
      <c r="F201" s="59"/>
      <c r="G201" s="130"/>
      <c r="H201" s="130"/>
      <c r="I201" s="122" t="str">
        <f>IF(ISNA(VLOOKUP(F201,Declarations!B$6:C$293,2,FALSE)),"",IF(VLOOKUP(F201,Declarations!B$6:C$293,2,FALSE)="","NOT DECLARED",VLOOKUP(F201,Declarations!B$6:C$293,2,FALSE)))</f>
        <v/>
      </c>
      <c r="J201" s="120">
        <f>IF(LOWER(G201)="dnf",1,IF(G201&lt;ScoringTable!B$3,ScoringTable!I$2,VLOOKUP((1000-G201),ScoringTable!G$2:I$95,3)))</f>
        <v>0</v>
      </c>
      <c r="K201" s="120" t="str" cm="1">
        <f t="array" ref="K201">IF(OR(E201="",G201=""),"",_xlfn.IFS(E201="U10B",_xlfn.XLOOKUP(G201,Data!$D$2:$L$2,Data!$D$1:$L$1,"",1,1),E201="U12B",_xlfn.XLOOKUP(G201,Data!$D$8:$L$8,Data!$D$1:$L$1,"",1,1),E201="U10G",_xlfn.XLOOKUP(G201,Data!$D$15:$L$15,Data!$D$1:$L$1,"",1,1),E201="U12G",_xlfn.XLOOKUP(G201,Data!$D$21:$L$21,Data!$D$1:$L$1,"",1,1)))</f>
        <v/>
      </c>
      <c r="L201" s="184" t="str" cm="1">
        <f t="array" ref="L201">IFERROR(_xlfn.IFNA(
                      _xlfn.IFS(
                      G201="", "",
                      AND(E201="U10B",G201&lt;=Data!$M$2), "U10 Boys record",
                      AND(E201="U12B",G201&lt;=Data!$M$8), "U12 Boys record",
                      AND(E201="U10G",G201&lt;=Data!$M$15), "U10 Girls record",
                      AND(E201="U12G",G201&lt;=Data!$M$21), "U12 Girls record"
                       ),""), "")</f>
        <v/>
      </c>
      <c r="M201" s="19" cm="1">
        <f t="array" ref="M201">_xlfn.IFS($G201="",0, AND(NOT(ISNUMBER($G201)),LOWER($G201)&lt;&gt;"dnf"),"Not a valid time",OR(LOWER($G201)="dnf",$G201&gt;ScoringTable!$M$161),1,RIGHT($E201,1)="B",_xlfn.XLOOKUP($G201,ScoringTable!$M$2:$M$161,ScoringTable!$L$2:$L$161,,1),TRUE,_xlfn.XLOOKUP($G201,ScoringTable!$S$2:$S$161,ScoringTable!$R$2:$R$161,,1))</f>
        <v>0</v>
      </c>
    </row>
    <row r="202" spans="1:13" s="7" customFormat="1" ht="16" customHeight="1">
      <c r="A202" s="280" t="s">
        <v>2</v>
      </c>
      <c r="B202" s="122" t="str">
        <f>IF(ISNA(VLOOKUP($F202,Declarations!B$6:C$293,2,FALSE)),"",IF(VLOOKUP($F202,Declarations!B$6:C$293,2,FALSE)="","NOT DECLARED",IF(ISNA(_xlfn.TEXTBEFORE(VLOOKUP($F202,Declarations!B$6:C$293,2,FALSE)," ")),VLOOKUP($F202,Declarations!B$6:C$293,2,FALSE),_xlfn.TEXTBEFORE(VLOOKUP($F202,Declarations!B$6:C$293,2,FALSE)," "))))</f>
        <v/>
      </c>
      <c r="C202" s="122" t="str">
        <f>IF(ISNA(VLOOKUP($F202,Declarations!B$6:C$293,2,FALSE)),"",IF(VLOOKUP($F202,Declarations!B$6:C$293,2,FALSE)="","NOT DECLARED",IF(ISNA(_xlfn.TEXTAFTER(VLOOKUP($F202,Declarations!B$6:C$293,2,FALSE)," ")),VLOOKUP($F202,Declarations!B$6:C$293,2,FALSE),_xlfn.TEXTAFTER(VLOOKUP($F202,Declarations!B$6:C$293,2,FALSE)," "))))</f>
        <v/>
      </c>
      <c r="D202" s="122" t="str">
        <f>IF(ISNA(VLOOKUP($F202,Declarations!$B$6:$F$293,5,FALSE)),"",IF(VLOOKUP($F202,Declarations!$B$6:$F$293,5,FALSE)="","NOT DECLARED",VLOOKUP($F202,Declarations!$B$6:$F$293,5,FALSE)))</f>
        <v/>
      </c>
      <c r="E202" s="120" t="str">
        <f>IF(ISNA(VLOOKUP($F202,Declarations!$B$6:$D$293,3,FALSE)),"",IF(VLOOKUP($F202,Declarations!$B$6:$D$293,3,FALSE)="","NOT DECLARED",VLOOKUP($F202,Declarations!$B$6:$D$293,3,FALSE)&amp;LEFT(VLOOKUP($F202,Declarations!$B$6:$E$293,4,FALSE))))</f>
        <v/>
      </c>
      <c r="F202" s="59"/>
      <c r="G202" s="130"/>
      <c r="H202" s="130"/>
      <c r="I202" s="122" t="str">
        <f>IF(ISNA(VLOOKUP(F202,Declarations!B$6:C$293,2,FALSE)),"",IF(VLOOKUP(F202,Declarations!B$6:C$293,2,FALSE)="","NOT DECLARED",VLOOKUP(F202,Declarations!B$6:C$293,2,FALSE)))</f>
        <v/>
      </c>
      <c r="J202" s="120">
        <f>IF(LOWER(G202)="dnf",1,IF(G202&lt;ScoringTable!B$3,ScoringTable!I$2,VLOOKUP((1000-G202),ScoringTable!G$2:I$95,3)))</f>
        <v>0</v>
      </c>
      <c r="K202" s="120" t="str" cm="1">
        <f t="array" ref="K202">IF(OR(E202="",G202=""),"",_xlfn.IFS(E202="U10B",_xlfn.XLOOKUP(G202,Data!$D$2:$L$2,Data!$D$1:$L$1,"",1,1),E202="U12B",_xlfn.XLOOKUP(G202,Data!$D$8:$L$8,Data!$D$1:$L$1,"",1,1),E202="U10G",_xlfn.XLOOKUP(G202,Data!$D$15:$L$15,Data!$D$1:$L$1,"",1,1),E202="U12G",_xlfn.XLOOKUP(G202,Data!$D$21:$L$21,Data!$D$1:$L$1,"",1,1)))</f>
        <v/>
      </c>
      <c r="L202" s="184" t="str" cm="1">
        <f t="array" ref="L202">IFERROR(_xlfn.IFNA(
                      _xlfn.IFS(
                      G202="", "",
                      AND(E202="U10B",G202&lt;=Data!$M$2), "U10 Boys record",
                      AND(E202="U12B",G202&lt;=Data!$M$8), "U12 Boys record",
                      AND(E202="U10G",G202&lt;=Data!$M$15), "U10 Girls record",
                      AND(E202="U12G",G202&lt;=Data!$M$21), "U12 Girls record"
                       ),""), "")</f>
        <v/>
      </c>
      <c r="M202" s="19" cm="1">
        <f t="array" ref="M202">_xlfn.IFS($G202="",0, AND(NOT(ISNUMBER($G202)),LOWER($G202)&lt;&gt;"dnf"),"Not a valid time",OR(LOWER($G202)="dnf",$G202&gt;ScoringTable!$M$161),1,RIGHT($E202,1)="B",_xlfn.XLOOKUP($G202,ScoringTable!$M$2:$M$161,ScoringTable!$L$2:$L$161,,1),TRUE,_xlfn.XLOOKUP($G202,ScoringTable!$S$2:$S$161,ScoringTable!$R$2:$R$161,,1))</f>
        <v>0</v>
      </c>
    </row>
    <row r="203" spans="1:13" s="7" customFormat="1" ht="16" customHeight="1">
      <c r="A203" s="280" t="s">
        <v>2</v>
      </c>
      <c r="B203" s="122" t="str">
        <f>IF(ISNA(VLOOKUP($F203,Declarations!B$6:C$293,2,FALSE)),"",IF(VLOOKUP($F203,Declarations!B$6:C$293,2,FALSE)="","NOT DECLARED",IF(ISNA(_xlfn.TEXTBEFORE(VLOOKUP($F203,Declarations!B$6:C$293,2,FALSE)," ")),VLOOKUP($F203,Declarations!B$6:C$293,2,FALSE),_xlfn.TEXTBEFORE(VLOOKUP($F203,Declarations!B$6:C$293,2,FALSE)," "))))</f>
        <v/>
      </c>
      <c r="C203" s="122" t="str">
        <f>IF(ISNA(VLOOKUP($F203,Declarations!B$6:C$293,2,FALSE)),"",IF(VLOOKUP($F203,Declarations!B$6:C$293,2,FALSE)="","NOT DECLARED",IF(ISNA(_xlfn.TEXTAFTER(VLOOKUP($F203,Declarations!B$6:C$293,2,FALSE)," ")),VLOOKUP($F203,Declarations!B$6:C$293,2,FALSE),_xlfn.TEXTAFTER(VLOOKUP($F203,Declarations!B$6:C$293,2,FALSE)," "))))</f>
        <v/>
      </c>
      <c r="D203" s="122" t="str">
        <f>IF(ISNA(VLOOKUP($F203,Declarations!$B$6:$F$293,5,FALSE)),"",IF(VLOOKUP($F203,Declarations!$B$6:$F$293,5,FALSE)="","NOT DECLARED",VLOOKUP($F203,Declarations!$B$6:$F$293,5,FALSE)))</f>
        <v/>
      </c>
      <c r="E203" s="120" t="str">
        <f>IF(ISNA(VLOOKUP($F203,Declarations!$B$6:$D$293,3,FALSE)),"",IF(VLOOKUP($F203,Declarations!$B$6:$D$293,3,FALSE)="","NOT DECLARED",VLOOKUP($F203,Declarations!$B$6:$D$293,3,FALSE)&amp;LEFT(VLOOKUP($F203,Declarations!$B$6:$E$293,4,FALSE))))</f>
        <v/>
      </c>
      <c r="F203" s="59"/>
      <c r="G203" s="130"/>
      <c r="H203" s="130"/>
      <c r="I203" s="122" t="str">
        <f>IF(ISNA(VLOOKUP(F203,Declarations!B$6:C$293,2,FALSE)),"",IF(VLOOKUP(F203,Declarations!B$6:C$293,2,FALSE)="","NOT DECLARED",VLOOKUP(F203,Declarations!B$6:C$293,2,FALSE)))</f>
        <v/>
      </c>
      <c r="J203" s="120">
        <f>IF(LOWER(G203)="dnf",1,IF(G203&lt;ScoringTable!B$3,ScoringTable!I$2,VLOOKUP((1000-G203),ScoringTable!G$2:I$95,3)))</f>
        <v>0</v>
      </c>
      <c r="K203" s="120" t="str" cm="1">
        <f t="array" ref="K203">IF(OR(E203="",G203=""),"",_xlfn.IFS(E203="U10B",_xlfn.XLOOKUP(G203,Data!$D$2:$L$2,Data!$D$1:$L$1,"",1,1),E203="U12B",_xlfn.XLOOKUP(G203,Data!$D$8:$L$8,Data!$D$1:$L$1,"",1,1),E203="U10G",_xlfn.XLOOKUP(G203,Data!$D$15:$L$15,Data!$D$1:$L$1,"",1,1),E203="U12G",_xlfn.XLOOKUP(G203,Data!$D$21:$L$21,Data!$D$1:$L$1,"",1,1)))</f>
        <v/>
      </c>
      <c r="L203" s="184" t="str" cm="1">
        <f t="array" ref="L203">IFERROR(_xlfn.IFNA(
                      _xlfn.IFS(
                      G203="", "",
                      AND(E203="U10B",G203&lt;=Data!$M$2), "U10 Boys record",
                      AND(E203="U12B",G203&lt;=Data!$M$8), "U12 Boys record",
                      AND(E203="U10G",G203&lt;=Data!$M$15), "U10 Girls record",
                      AND(E203="U12G",G203&lt;=Data!$M$21), "U12 Girls record"
                       ),""), "")</f>
        <v/>
      </c>
      <c r="M203" s="19" cm="1">
        <f t="array" ref="M203">_xlfn.IFS($G203="",0, AND(NOT(ISNUMBER($G203)),LOWER($G203)&lt;&gt;"dnf"),"Not a valid time",OR(LOWER($G203)="dnf",$G203&gt;ScoringTable!$M$161),1,RIGHT($E203,1)="B",_xlfn.XLOOKUP($G203,ScoringTable!$M$2:$M$161,ScoringTable!$L$2:$L$161,,1),TRUE,_xlfn.XLOOKUP($G203,ScoringTable!$S$2:$S$161,ScoringTable!$R$2:$R$161,,1))</f>
        <v>0</v>
      </c>
    </row>
    <row r="204" spans="1:13" s="7" customFormat="1" ht="16" customHeight="1">
      <c r="A204" s="280" t="s">
        <v>2</v>
      </c>
      <c r="B204" s="122" t="str">
        <f>IF(ISNA(VLOOKUP($F204,Declarations!B$6:C$293,2,FALSE)),"",IF(VLOOKUP($F204,Declarations!B$6:C$293,2,FALSE)="","NOT DECLARED",IF(ISNA(_xlfn.TEXTBEFORE(VLOOKUP($F204,Declarations!B$6:C$293,2,FALSE)," ")),VLOOKUP($F204,Declarations!B$6:C$293,2,FALSE),_xlfn.TEXTBEFORE(VLOOKUP($F204,Declarations!B$6:C$293,2,FALSE)," "))))</f>
        <v/>
      </c>
      <c r="C204" s="122" t="str">
        <f>IF(ISNA(VLOOKUP($F204,Declarations!B$6:C$293,2,FALSE)),"",IF(VLOOKUP($F204,Declarations!B$6:C$293,2,FALSE)="","NOT DECLARED",IF(ISNA(_xlfn.TEXTAFTER(VLOOKUP($F204,Declarations!B$6:C$293,2,FALSE)," ")),VLOOKUP($F204,Declarations!B$6:C$293,2,FALSE),_xlfn.TEXTAFTER(VLOOKUP($F204,Declarations!B$6:C$293,2,FALSE)," "))))</f>
        <v/>
      </c>
      <c r="D204" s="122" t="str">
        <f>IF(ISNA(VLOOKUP($F204,Declarations!$B$6:$F$293,5,FALSE)),"",IF(VLOOKUP($F204,Declarations!$B$6:$F$293,5,FALSE)="","NOT DECLARED",VLOOKUP($F204,Declarations!$B$6:$F$293,5,FALSE)))</f>
        <v/>
      </c>
      <c r="E204" s="120" t="str">
        <f>IF(ISNA(VLOOKUP($F204,Declarations!$B$6:$D$293,3,FALSE)),"",IF(VLOOKUP($F204,Declarations!$B$6:$D$293,3,FALSE)="","NOT DECLARED",VLOOKUP($F204,Declarations!$B$6:$D$293,3,FALSE)&amp;LEFT(VLOOKUP($F204,Declarations!$B$6:$E$293,4,FALSE))))</f>
        <v/>
      </c>
      <c r="F204" s="59"/>
      <c r="G204" s="130"/>
      <c r="H204" s="130"/>
      <c r="I204" s="122" t="str">
        <f>IF(ISNA(VLOOKUP(F204,Declarations!B$6:C$293,2,FALSE)),"",IF(VLOOKUP(F204,Declarations!B$6:C$293,2,FALSE)="","NOT DECLARED",VLOOKUP(F204,Declarations!B$6:C$293,2,FALSE)))</f>
        <v/>
      </c>
      <c r="J204" s="120">
        <f>IF(LOWER(G204)="dnf",1,IF(G204&lt;ScoringTable!B$3,ScoringTable!I$2,VLOOKUP((1000-G204),ScoringTable!G$2:I$95,3)))</f>
        <v>0</v>
      </c>
      <c r="K204" s="120" t="str" cm="1">
        <f t="array" ref="K204">IF(OR(E204="",G204=""),"",_xlfn.IFS(E204="U10B",_xlfn.XLOOKUP(G204,Data!$D$2:$L$2,Data!$D$1:$L$1,"",1,1),E204="U12B",_xlfn.XLOOKUP(G204,Data!$D$8:$L$8,Data!$D$1:$L$1,"",1,1),E204="U10G",_xlfn.XLOOKUP(G204,Data!$D$15:$L$15,Data!$D$1:$L$1,"",1,1),E204="U12G",_xlfn.XLOOKUP(G204,Data!$D$21:$L$21,Data!$D$1:$L$1,"",1,1)))</f>
        <v/>
      </c>
      <c r="L204" s="184" t="str" cm="1">
        <f t="array" ref="L204">IFERROR(_xlfn.IFNA(
                      _xlfn.IFS(
                      G204="", "",
                      AND(E204="U10B",G204&lt;=Data!$M$2), "U10 Boys record",
                      AND(E204="U12B",G204&lt;=Data!$M$8), "U12 Boys record",
                      AND(E204="U10G",G204&lt;=Data!$M$15), "U10 Girls record",
                      AND(E204="U12G",G204&lt;=Data!$M$21), "U12 Girls record"
                       ),""), "")</f>
        <v/>
      </c>
      <c r="M204" s="19" cm="1">
        <f t="array" ref="M204">_xlfn.IFS($G204="",0, AND(NOT(ISNUMBER($G204)),LOWER($G204)&lt;&gt;"dnf"),"Not a valid time",OR(LOWER($G204)="dnf",$G204&gt;ScoringTable!$M$161),1,RIGHT($E204,1)="B",_xlfn.XLOOKUP($G204,ScoringTable!$M$2:$M$161,ScoringTable!$L$2:$L$161,,1),TRUE,_xlfn.XLOOKUP($G204,ScoringTable!$S$2:$S$161,ScoringTable!$R$2:$R$161,,1))</f>
        <v>0</v>
      </c>
    </row>
    <row r="205" spans="1:13" s="7" customFormat="1" ht="16" customHeight="1">
      <c r="A205" s="280" t="s">
        <v>2</v>
      </c>
      <c r="B205" s="122" t="str">
        <f>IF(ISNA(VLOOKUP($F205,Declarations!B$6:C$293,2,FALSE)),"",IF(VLOOKUP($F205,Declarations!B$6:C$293,2,FALSE)="","NOT DECLARED",IF(ISNA(_xlfn.TEXTBEFORE(VLOOKUP($F205,Declarations!B$6:C$293,2,FALSE)," ")),VLOOKUP($F205,Declarations!B$6:C$293,2,FALSE),_xlfn.TEXTBEFORE(VLOOKUP($F205,Declarations!B$6:C$293,2,FALSE)," "))))</f>
        <v/>
      </c>
      <c r="C205" s="122" t="str">
        <f>IF(ISNA(VLOOKUP($F205,Declarations!B$6:C$293,2,FALSE)),"",IF(VLOOKUP($F205,Declarations!B$6:C$293,2,FALSE)="","NOT DECLARED",IF(ISNA(_xlfn.TEXTAFTER(VLOOKUP($F205,Declarations!B$6:C$293,2,FALSE)," ")),VLOOKUP($F205,Declarations!B$6:C$293,2,FALSE),_xlfn.TEXTAFTER(VLOOKUP($F205,Declarations!B$6:C$293,2,FALSE)," "))))</f>
        <v/>
      </c>
      <c r="D205" s="122" t="str">
        <f>IF(ISNA(VLOOKUP($F205,Declarations!$B$6:$F$293,5,FALSE)),"",IF(VLOOKUP($F205,Declarations!$B$6:$F$293,5,FALSE)="","NOT DECLARED",VLOOKUP($F205,Declarations!$B$6:$F$293,5,FALSE)))</f>
        <v/>
      </c>
      <c r="E205" s="120" t="str">
        <f>IF(ISNA(VLOOKUP($F205,Declarations!$B$6:$D$293,3,FALSE)),"",IF(VLOOKUP($F205,Declarations!$B$6:$D$293,3,FALSE)="","NOT DECLARED",VLOOKUP($F205,Declarations!$B$6:$D$293,3,FALSE)&amp;LEFT(VLOOKUP($F205,Declarations!$B$6:$E$293,4,FALSE))))</f>
        <v/>
      </c>
      <c r="F205" s="59"/>
      <c r="G205" s="130"/>
      <c r="H205" s="130"/>
      <c r="I205" s="122" t="str">
        <f>IF(ISNA(VLOOKUP(F205,Declarations!B$6:C$293,2,FALSE)),"",IF(VLOOKUP(F205,Declarations!B$6:C$293,2,FALSE)="","NOT DECLARED",VLOOKUP(F205,Declarations!B$6:C$293,2,FALSE)))</f>
        <v/>
      </c>
      <c r="J205" s="120">
        <f>IF(LOWER(G205)="dnf",1,IF(G205&lt;ScoringTable!B$3,ScoringTable!I$2,VLOOKUP((1000-G205),ScoringTable!G$2:I$95,3)))</f>
        <v>0</v>
      </c>
      <c r="K205" s="120" t="str" cm="1">
        <f t="array" ref="K205">IF(OR(E205="",G205=""),"",_xlfn.IFS(E205="U10B",_xlfn.XLOOKUP(G205,Data!$D$2:$L$2,Data!$D$1:$L$1,"",1,1),E205="U12B",_xlfn.XLOOKUP(G205,Data!$D$8:$L$8,Data!$D$1:$L$1,"",1,1),E205="U10G",_xlfn.XLOOKUP(G205,Data!$D$15:$L$15,Data!$D$1:$L$1,"",1,1),E205="U12G",_xlfn.XLOOKUP(G205,Data!$D$21:$L$21,Data!$D$1:$L$1,"",1,1)))</f>
        <v/>
      </c>
      <c r="L205" s="184" t="str" cm="1">
        <f t="array" ref="L205">IFERROR(_xlfn.IFNA(
                      _xlfn.IFS(
                      G205="", "",
                      AND(E205="U10B",G205&lt;=Data!$M$2), "U10 Boys record",
                      AND(E205="U12B",G205&lt;=Data!$M$8), "U12 Boys record",
                      AND(E205="U10G",G205&lt;=Data!$M$15), "U10 Girls record",
                      AND(E205="U12G",G205&lt;=Data!$M$21), "U12 Girls record"
                       ),""), "")</f>
        <v/>
      </c>
      <c r="M205" s="19" cm="1">
        <f t="array" ref="M205">_xlfn.IFS($G205="",0, AND(NOT(ISNUMBER($G205)),LOWER($G205)&lt;&gt;"dnf"),"Not a valid time",OR(LOWER($G205)="dnf",$G205&gt;ScoringTable!$M$161),1,RIGHT($E205,1)="B",_xlfn.XLOOKUP($G205,ScoringTable!$M$2:$M$161,ScoringTable!$L$2:$L$161,,1),TRUE,_xlfn.XLOOKUP($G205,ScoringTable!$S$2:$S$161,ScoringTable!$R$2:$R$161,,1))</f>
        <v>0</v>
      </c>
    </row>
    <row r="206" spans="1:13" s="7" customFormat="1" ht="16" customHeight="1">
      <c r="A206" s="280" t="s">
        <v>2</v>
      </c>
      <c r="B206" s="122" t="str">
        <f>IF(ISNA(VLOOKUP($F206,Declarations!B$6:C$293,2,FALSE)),"",IF(VLOOKUP($F206,Declarations!B$6:C$293,2,FALSE)="","NOT DECLARED",IF(ISNA(_xlfn.TEXTBEFORE(VLOOKUP($F206,Declarations!B$6:C$293,2,FALSE)," ")),VLOOKUP($F206,Declarations!B$6:C$293,2,FALSE),_xlfn.TEXTBEFORE(VLOOKUP($F206,Declarations!B$6:C$293,2,FALSE)," "))))</f>
        <v/>
      </c>
      <c r="C206" s="122" t="str">
        <f>IF(ISNA(VLOOKUP($F206,Declarations!B$6:C$293,2,FALSE)),"",IF(VLOOKUP($F206,Declarations!B$6:C$293,2,FALSE)="","NOT DECLARED",IF(ISNA(_xlfn.TEXTAFTER(VLOOKUP($F206,Declarations!B$6:C$293,2,FALSE)," ")),VLOOKUP($F206,Declarations!B$6:C$293,2,FALSE),_xlfn.TEXTAFTER(VLOOKUP($F206,Declarations!B$6:C$293,2,FALSE)," "))))</f>
        <v/>
      </c>
      <c r="D206" s="122" t="str">
        <f>IF(ISNA(VLOOKUP($F206,Declarations!$B$6:$F$293,5,FALSE)),"",IF(VLOOKUP($F206,Declarations!$B$6:$F$293,5,FALSE)="","NOT DECLARED",VLOOKUP($F206,Declarations!$B$6:$F$293,5,FALSE)))</f>
        <v/>
      </c>
      <c r="E206" s="120" t="str">
        <f>IF(ISNA(VLOOKUP($F206,Declarations!$B$6:$D$293,3,FALSE)),"",IF(VLOOKUP($F206,Declarations!$B$6:$D$293,3,FALSE)="","NOT DECLARED",VLOOKUP($F206,Declarations!$B$6:$D$293,3,FALSE)&amp;LEFT(VLOOKUP($F206,Declarations!$B$6:$E$293,4,FALSE))))</f>
        <v/>
      </c>
      <c r="F206" s="59"/>
      <c r="G206" s="130"/>
      <c r="H206" s="130"/>
      <c r="I206" s="122" t="str">
        <f>IF(ISNA(VLOOKUP(F206,Declarations!B$6:C$293,2,FALSE)),"",IF(VLOOKUP(F206,Declarations!B$6:C$293,2,FALSE)="","NOT DECLARED",VLOOKUP(F206,Declarations!B$6:C$293,2,FALSE)))</f>
        <v/>
      </c>
      <c r="J206" s="120">
        <f>IF(LOWER(G206)="dnf",1,IF(G206&lt;ScoringTable!B$3,ScoringTable!I$2,VLOOKUP((1000-G206),ScoringTable!G$2:I$95,3)))</f>
        <v>0</v>
      </c>
      <c r="K206" s="120" t="str" cm="1">
        <f t="array" ref="K206">IF(OR(E206="",G206=""),"",_xlfn.IFS(E206="U10B",_xlfn.XLOOKUP(G206,Data!$D$2:$L$2,Data!$D$1:$L$1,"",1,1),E206="U12B",_xlfn.XLOOKUP(G206,Data!$D$8:$L$8,Data!$D$1:$L$1,"",1,1),E206="U10G",_xlfn.XLOOKUP(G206,Data!$D$15:$L$15,Data!$D$1:$L$1,"",1,1),E206="U12G",_xlfn.XLOOKUP(G206,Data!$D$21:$L$21,Data!$D$1:$L$1,"",1,1)))</f>
        <v/>
      </c>
      <c r="L206" s="184" t="str" cm="1">
        <f t="array" ref="L206">IFERROR(_xlfn.IFNA(
                      _xlfn.IFS(
                      G206="", "",
                      AND(E206="U10B",G206&lt;=Data!$M$2), "U10 Boys record",
                      AND(E206="U12B",G206&lt;=Data!$M$8), "U12 Boys record",
                      AND(E206="U10G",G206&lt;=Data!$M$15), "U10 Girls record",
                      AND(E206="U12G",G206&lt;=Data!$M$21), "U12 Girls record"
                       ),""), "")</f>
        <v/>
      </c>
      <c r="M206" s="19" cm="1">
        <f t="array" ref="M206">_xlfn.IFS($G206="",0, AND(NOT(ISNUMBER($G206)),LOWER($G206)&lt;&gt;"dnf"),"Not a valid time",OR(LOWER($G206)="dnf",$G206&gt;ScoringTable!$M$161),1,RIGHT($E206,1)="B",_xlfn.XLOOKUP($G206,ScoringTable!$M$2:$M$161,ScoringTable!$L$2:$L$161,,1),TRUE,_xlfn.XLOOKUP($G206,ScoringTable!$S$2:$S$161,ScoringTable!$R$2:$R$161,,1))</f>
        <v>0</v>
      </c>
    </row>
    <row r="207" spans="1:13" s="7" customFormat="1" ht="16" customHeight="1">
      <c r="A207" s="280" t="s">
        <v>2</v>
      </c>
      <c r="B207" s="122" t="str">
        <f>IF(ISNA(VLOOKUP($F207,Declarations!B$6:C$293,2,FALSE)),"",IF(VLOOKUP($F207,Declarations!B$6:C$293,2,FALSE)="","NOT DECLARED",IF(ISNA(_xlfn.TEXTBEFORE(VLOOKUP($F207,Declarations!B$6:C$293,2,FALSE)," ")),VLOOKUP($F207,Declarations!B$6:C$293,2,FALSE),_xlfn.TEXTBEFORE(VLOOKUP($F207,Declarations!B$6:C$293,2,FALSE)," "))))</f>
        <v/>
      </c>
      <c r="C207" s="122" t="str">
        <f>IF(ISNA(VLOOKUP($F207,Declarations!B$6:C$293,2,FALSE)),"",IF(VLOOKUP($F207,Declarations!B$6:C$293,2,FALSE)="","NOT DECLARED",IF(ISNA(_xlfn.TEXTAFTER(VLOOKUP($F207,Declarations!B$6:C$293,2,FALSE)," ")),VLOOKUP($F207,Declarations!B$6:C$293,2,FALSE),_xlfn.TEXTAFTER(VLOOKUP($F207,Declarations!B$6:C$293,2,FALSE)," "))))</f>
        <v/>
      </c>
      <c r="D207" s="122" t="str">
        <f>IF(ISNA(VLOOKUP($F207,Declarations!$B$6:$F$293,5,FALSE)),"",IF(VLOOKUP($F207,Declarations!$B$6:$F$293,5,FALSE)="","NOT DECLARED",VLOOKUP($F207,Declarations!$B$6:$F$293,5,FALSE)))</f>
        <v/>
      </c>
      <c r="E207" s="120" t="str">
        <f>IF(ISNA(VLOOKUP($F207,Declarations!$B$6:$D$293,3,FALSE)),"",IF(VLOOKUP($F207,Declarations!$B$6:$D$293,3,FALSE)="","NOT DECLARED",VLOOKUP($F207,Declarations!$B$6:$D$293,3,FALSE)&amp;LEFT(VLOOKUP($F207,Declarations!$B$6:$E$293,4,FALSE))))</f>
        <v/>
      </c>
      <c r="F207" s="59"/>
      <c r="G207" s="130"/>
      <c r="H207" s="130"/>
      <c r="I207" s="122" t="str">
        <f>IF(ISNA(VLOOKUP(F207,Declarations!B$6:C$293,2,FALSE)),"",IF(VLOOKUP(F207,Declarations!B$6:C$293,2,FALSE)="","NOT DECLARED",VLOOKUP(F207,Declarations!B$6:C$293,2,FALSE)))</f>
        <v/>
      </c>
      <c r="J207" s="120">
        <f>IF(LOWER(G207)="dnf",1,IF(G207&lt;ScoringTable!B$3,ScoringTable!I$2,VLOOKUP((1000-G207),ScoringTable!G$2:I$95,3)))</f>
        <v>0</v>
      </c>
      <c r="K207" s="120" t="str" cm="1">
        <f t="array" ref="K207">IF(OR(E207="",G207=""),"",_xlfn.IFS(E207="U10B",_xlfn.XLOOKUP(G207,Data!$D$2:$L$2,Data!$D$1:$L$1,"",1,1),E207="U12B",_xlfn.XLOOKUP(G207,Data!$D$8:$L$8,Data!$D$1:$L$1,"",1,1),E207="U10G",_xlfn.XLOOKUP(G207,Data!$D$15:$L$15,Data!$D$1:$L$1,"",1,1),E207="U12G",_xlfn.XLOOKUP(G207,Data!$D$21:$L$21,Data!$D$1:$L$1,"",1,1)))</f>
        <v/>
      </c>
      <c r="L207" s="184" t="str" cm="1">
        <f t="array" ref="L207">IFERROR(_xlfn.IFNA(
                      _xlfn.IFS(
                      G207="", "",
                      AND(E207="U10B",G207&lt;=Data!$M$2), "U10 Boys record",
                      AND(E207="U12B",G207&lt;=Data!$M$8), "U12 Boys record",
                      AND(E207="U10G",G207&lt;=Data!$M$15), "U10 Girls record",
                      AND(E207="U12G",G207&lt;=Data!$M$21), "U12 Girls record"
                       ),""), "")</f>
        <v/>
      </c>
      <c r="M207" s="19" cm="1">
        <f t="array" ref="M207">_xlfn.IFS($G207="",0, AND(NOT(ISNUMBER($G207)),LOWER($G207)&lt;&gt;"dnf"),"Not a valid time",OR(LOWER($G207)="dnf",$G207&gt;ScoringTable!$M$161),1,RIGHT($E207,1)="B",_xlfn.XLOOKUP($G207,ScoringTable!$M$2:$M$161,ScoringTable!$L$2:$L$161,,1),TRUE,_xlfn.XLOOKUP($G207,ScoringTable!$S$2:$S$161,ScoringTable!$R$2:$R$161,,1))</f>
        <v>0</v>
      </c>
    </row>
    <row r="208" spans="1:13" s="7" customFormat="1" ht="16" customHeight="1">
      <c r="A208" s="280" t="s">
        <v>2</v>
      </c>
      <c r="B208" s="122" t="str">
        <f>IF(ISNA(VLOOKUP($F208,Declarations!B$6:C$293,2,FALSE)),"",IF(VLOOKUP($F208,Declarations!B$6:C$293,2,FALSE)="","NOT DECLARED",IF(ISNA(_xlfn.TEXTBEFORE(VLOOKUP($F208,Declarations!B$6:C$293,2,FALSE)," ")),VLOOKUP($F208,Declarations!B$6:C$293,2,FALSE),_xlfn.TEXTBEFORE(VLOOKUP($F208,Declarations!B$6:C$293,2,FALSE)," "))))</f>
        <v/>
      </c>
      <c r="C208" s="122" t="str">
        <f>IF(ISNA(VLOOKUP($F208,Declarations!B$6:C$293,2,FALSE)),"",IF(VLOOKUP($F208,Declarations!B$6:C$293,2,FALSE)="","NOT DECLARED",IF(ISNA(_xlfn.TEXTAFTER(VLOOKUP($F208,Declarations!B$6:C$293,2,FALSE)," ")),VLOOKUP($F208,Declarations!B$6:C$293,2,FALSE),_xlfn.TEXTAFTER(VLOOKUP($F208,Declarations!B$6:C$293,2,FALSE)," "))))</f>
        <v/>
      </c>
      <c r="D208" s="122" t="str">
        <f>IF(ISNA(VLOOKUP($F208,Declarations!$B$6:$F$293,5,FALSE)),"",IF(VLOOKUP($F208,Declarations!$B$6:$F$293,5,FALSE)="","NOT DECLARED",VLOOKUP($F208,Declarations!$B$6:$F$293,5,FALSE)))</f>
        <v/>
      </c>
      <c r="E208" s="120" t="str">
        <f>IF(ISNA(VLOOKUP($F208,Declarations!$B$6:$D$293,3,FALSE)),"",IF(VLOOKUP($F208,Declarations!$B$6:$D$293,3,FALSE)="","NOT DECLARED",VLOOKUP($F208,Declarations!$B$6:$D$293,3,FALSE)&amp;LEFT(VLOOKUP($F208,Declarations!$B$6:$E$293,4,FALSE))))</f>
        <v/>
      </c>
      <c r="F208" s="59"/>
      <c r="G208" s="130"/>
      <c r="H208" s="130"/>
      <c r="I208" s="122" t="str">
        <f>IF(ISNA(VLOOKUP(F208,Declarations!B$6:C$293,2,FALSE)),"",IF(VLOOKUP(F208,Declarations!B$6:C$293,2,FALSE)="","NOT DECLARED",VLOOKUP(F208,Declarations!B$6:C$293,2,FALSE)))</f>
        <v/>
      </c>
      <c r="J208" s="120">
        <f>IF(LOWER(G208)="dnf",1,IF(G208&lt;ScoringTable!B$3,ScoringTable!I$2,VLOOKUP((1000-G208),ScoringTable!G$2:I$95,3)))</f>
        <v>0</v>
      </c>
      <c r="K208" s="120" t="str" cm="1">
        <f t="array" ref="K208">IF(OR(E208="",G208=""),"",_xlfn.IFS(E208="U10B",_xlfn.XLOOKUP(G208,Data!$D$2:$L$2,Data!$D$1:$L$1,"",1,1),E208="U12B",_xlfn.XLOOKUP(G208,Data!$D$8:$L$8,Data!$D$1:$L$1,"",1,1),E208="U10G",_xlfn.XLOOKUP(G208,Data!$D$15:$L$15,Data!$D$1:$L$1,"",1,1),E208="U12G",_xlfn.XLOOKUP(G208,Data!$D$21:$L$21,Data!$D$1:$L$1,"",1,1)))</f>
        <v/>
      </c>
      <c r="L208" s="184" t="str" cm="1">
        <f t="array" ref="L208">IFERROR(_xlfn.IFNA(
                      _xlfn.IFS(
                      G208="", "",
                      AND(E208="U10B",G208&lt;=Data!$M$2), "U10 Boys record",
                      AND(E208="U12B",G208&lt;=Data!$M$8), "U12 Boys record",
                      AND(E208="U10G",G208&lt;=Data!$M$15), "U10 Girls record",
                      AND(E208="U12G",G208&lt;=Data!$M$21), "U12 Girls record"
                       ),""), "")</f>
        <v/>
      </c>
      <c r="M208" s="19" cm="1">
        <f t="array" ref="M208">_xlfn.IFS($G208="",0, AND(NOT(ISNUMBER($G208)),LOWER($G208)&lt;&gt;"dnf"),"Not a valid time",OR(LOWER($G208)="dnf",$G208&gt;ScoringTable!$M$161),1,RIGHT($E208,1)="B",_xlfn.XLOOKUP($G208,ScoringTable!$M$2:$M$161,ScoringTable!$L$2:$L$161,,1),TRUE,_xlfn.XLOOKUP($G208,ScoringTable!$S$2:$S$161,ScoringTable!$R$2:$R$161,,1))</f>
        <v>0</v>
      </c>
    </row>
    <row r="209" spans="1:13" s="7" customFormat="1" ht="16" customHeight="1">
      <c r="A209" s="280" t="s">
        <v>2</v>
      </c>
      <c r="B209" s="122" t="str">
        <f>IF(ISNA(VLOOKUP($F209,Declarations!B$6:C$293,2,FALSE)),"",IF(VLOOKUP($F209,Declarations!B$6:C$293,2,FALSE)="","NOT DECLARED",IF(ISNA(_xlfn.TEXTBEFORE(VLOOKUP($F209,Declarations!B$6:C$293,2,FALSE)," ")),VLOOKUP($F209,Declarations!B$6:C$293,2,FALSE),_xlfn.TEXTBEFORE(VLOOKUP($F209,Declarations!B$6:C$293,2,FALSE)," "))))</f>
        <v/>
      </c>
      <c r="C209" s="122" t="str">
        <f>IF(ISNA(VLOOKUP($F209,Declarations!B$6:C$293,2,FALSE)),"",IF(VLOOKUP($F209,Declarations!B$6:C$293,2,FALSE)="","NOT DECLARED",IF(ISNA(_xlfn.TEXTAFTER(VLOOKUP($F209,Declarations!B$6:C$293,2,FALSE)," ")),VLOOKUP($F209,Declarations!B$6:C$293,2,FALSE),_xlfn.TEXTAFTER(VLOOKUP($F209,Declarations!B$6:C$293,2,FALSE)," "))))</f>
        <v/>
      </c>
      <c r="D209" s="122" t="str">
        <f>IF(ISNA(VLOOKUP($F209,Declarations!$B$6:$F$293,5,FALSE)),"",IF(VLOOKUP($F209,Declarations!$B$6:$F$293,5,FALSE)="","NOT DECLARED",VLOOKUP($F209,Declarations!$B$6:$F$293,5,FALSE)))</f>
        <v/>
      </c>
      <c r="E209" s="120" t="str">
        <f>IF(ISNA(VLOOKUP($F209,Declarations!$B$6:$D$293,3,FALSE)),"",IF(VLOOKUP($F209,Declarations!$B$6:$D$293,3,FALSE)="","NOT DECLARED",VLOOKUP($F209,Declarations!$B$6:$D$293,3,FALSE)&amp;LEFT(VLOOKUP($F209,Declarations!$B$6:$E$293,4,FALSE))))</f>
        <v/>
      </c>
      <c r="F209" s="59"/>
      <c r="G209" s="130"/>
      <c r="H209" s="130"/>
      <c r="I209" s="122" t="str">
        <f>IF(ISNA(VLOOKUP(F209,Declarations!B$6:C$293,2,FALSE)),"",IF(VLOOKUP(F209,Declarations!B$6:C$293,2,FALSE)="","NOT DECLARED",VLOOKUP(F209,Declarations!B$6:C$293,2,FALSE)))</f>
        <v/>
      </c>
      <c r="J209" s="120">
        <f>IF(LOWER(G209)="dnf",1,IF(G209&lt;ScoringTable!B$3,ScoringTable!I$2,VLOOKUP((1000-G209),ScoringTable!G$2:I$95,3)))</f>
        <v>0</v>
      </c>
      <c r="K209" s="120" t="str" cm="1">
        <f t="array" ref="K209">IF(OR(E209="",G209=""),"",_xlfn.IFS(E209="U10B",_xlfn.XLOOKUP(G209,Data!$D$2:$L$2,Data!$D$1:$L$1,"",1,1),E209="U12B",_xlfn.XLOOKUP(G209,Data!$D$8:$L$8,Data!$D$1:$L$1,"",1,1),E209="U10G",_xlfn.XLOOKUP(G209,Data!$D$15:$L$15,Data!$D$1:$L$1,"",1,1),E209="U12G",_xlfn.XLOOKUP(G209,Data!$D$21:$L$21,Data!$D$1:$L$1,"",1,1)))</f>
        <v/>
      </c>
      <c r="L209" s="184" t="str" cm="1">
        <f t="array" ref="L209">IFERROR(_xlfn.IFNA(
                      _xlfn.IFS(
                      G209="", "",
                      AND(E209="U10B",G209&lt;=Data!$M$2), "U10 Boys record",
                      AND(E209="U12B",G209&lt;=Data!$M$8), "U12 Boys record",
                      AND(E209="U10G",G209&lt;=Data!$M$15), "U10 Girls record",
                      AND(E209="U12G",G209&lt;=Data!$M$21), "U12 Girls record"
                       ),""), "")</f>
        <v/>
      </c>
      <c r="M209" s="19" cm="1">
        <f t="array" ref="M209">_xlfn.IFS($G209="",0, AND(NOT(ISNUMBER($G209)),LOWER($G209)&lt;&gt;"dnf"),"Not a valid time",OR(LOWER($G209)="dnf",$G209&gt;ScoringTable!$M$161),1,RIGHT($E209,1)="B",_xlfn.XLOOKUP($G209,ScoringTable!$M$2:$M$161,ScoringTable!$L$2:$L$161,,1),TRUE,_xlfn.XLOOKUP($G209,ScoringTable!$S$2:$S$161,ScoringTable!$R$2:$R$161,,1))</f>
        <v>0</v>
      </c>
    </row>
    <row r="210" spans="1:13" s="7" customFormat="1" ht="16" customHeight="1">
      <c r="A210" s="280" t="s">
        <v>2</v>
      </c>
      <c r="B210" s="122" t="str">
        <f>IF(ISNA(VLOOKUP($F210,Declarations!B$6:C$293,2,FALSE)),"",IF(VLOOKUP($F210,Declarations!B$6:C$293,2,FALSE)="","NOT DECLARED",IF(ISNA(_xlfn.TEXTBEFORE(VLOOKUP($F210,Declarations!B$6:C$293,2,FALSE)," ")),VLOOKUP($F210,Declarations!B$6:C$293,2,FALSE),_xlfn.TEXTBEFORE(VLOOKUP($F210,Declarations!B$6:C$293,2,FALSE)," "))))</f>
        <v/>
      </c>
      <c r="C210" s="122" t="str">
        <f>IF(ISNA(VLOOKUP($F210,Declarations!B$6:C$293,2,FALSE)),"",IF(VLOOKUP($F210,Declarations!B$6:C$293,2,FALSE)="","NOT DECLARED",IF(ISNA(_xlfn.TEXTAFTER(VLOOKUP($F210,Declarations!B$6:C$293,2,FALSE)," ")),VLOOKUP($F210,Declarations!B$6:C$293,2,FALSE),_xlfn.TEXTAFTER(VLOOKUP($F210,Declarations!B$6:C$293,2,FALSE)," "))))</f>
        <v/>
      </c>
      <c r="D210" s="122" t="str">
        <f>IF(ISNA(VLOOKUP($F210,Declarations!$B$6:$F$293,5,FALSE)),"",IF(VLOOKUP($F210,Declarations!$B$6:$F$293,5,FALSE)="","NOT DECLARED",VLOOKUP($F210,Declarations!$B$6:$F$293,5,FALSE)))</f>
        <v/>
      </c>
      <c r="E210" s="120" t="str">
        <f>IF(ISNA(VLOOKUP($F210,Declarations!$B$6:$D$293,3,FALSE)),"",IF(VLOOKUP($F210,Declarations!$B$6:$D$293,3,FALSE)="","NOT DECLARED",VLOOKUP($F210,Declarations!$B$6:$D$293,3,FALSE)&amp;LEFT(VLOOKUP($F210,Declarations!$B$6:$E$293,4,FALSE))))</f>
        <v/>
      </c>
      <c r="F210" s="59"/>
      <c r="G210" s="130"/>
      <c r="H210" s="130"/>
      <c r="I210" s="122" t="str">
        <f>IF(ISNA(VLOOKUP(F210,Declarations!B$6:C$293,2,FALSE)),"",IF(VLOOKUP(F210,Declarations!B$6:C$293,2,FALSE)="","NOT DECLARED",VLOOKUP(F210,Declarations!B$6:C$293,2,FALSE)))</f>
        <v/>
      </c>
      <c r="J210" s="120">
        <f>IF(LOWER(G210)="dnf",1,IF(G210&lt;ScoringTable!B$3,ScoringTable!I$2,VLOOKUP((1000-G210),ScoringTable!G$2:I$95,3)))</f>
        <v>0</v>
      </c>
      <c r="K210" s="120" t="str" cm="1">
        <f t="array" ref="K210">IF(OR(E210="",G210=""),"",_xlfn.IFS(E210="U10B",_xlfn.XLOOKUP(G210,Data!$D$2:$L$2,Data!$D$1:$L$1,"",1,1),E210="U12B",_xlfn.XLOOKUP(G210,Data!$D$8:$L$8,Data!$D$1:$L$1,"",1,1),E210="U10G",_xlfn.XLOOKUP(G210,Data!$D$15:$L$15,Data!$D$1:$L$1,"",1,1),E210="U12G",_xlfn.XLOOKUP(G210,Data!$D$21:$L$21,Data!$D$1:$L$1,"",1,1)))</f>
        <v/>
      </c>
      <c r="L210" s="184" t="str" cm="1">
        <f t="array" ref="L210">IFERROR(_xlfn.IFNA(
                      _xlfn.IFS(
                      G210="", "",
                      AND(E210="U10B",G210&lt;=Data!$M$2), "U10 Boys record",
                      AND(E210="U12B",G210&lt;=Data!$M$8), "U12 Boys record",
                      AND(E210="U10G",G210&lt;=Data!$M$15), "U10 Girls record",
                      AND(E210="U12G",G210&lt;=Data!$M$21), "U12 Girls record"
                       ),""), "")</f>
        <v/>
      </c>
      <c r="M210" s="19" cm="1">
        <f t="array" ref="M210">_xlfn.IFS($G210="",0, AND(NOT(ISNUMBER($G210)),LOWER($G210)&lt;&gt;"dnf"),"Not a valid time",OR(LOWER($G210)="dnf",$G210&gt;ScoringTable!$M$161),1,RIGHT($E210,1)="B",_xlfn.XLOOKUP($G210,ScoringTable!$M$2:$M$161,ScoringTable!$L$2:$L$161,,1),TRUE,_xlfn.XLOOKUP($G210,ScoringTable!$S$2:$S$161,ScoringTable!$R$2:$R$161,,1))</f>
        <v>0</v>
      </c>
    </row>
    <row r="211" spans="1:13" s="7" customFormat="1" ht="16" customHeight="1">
      <c r="A211" s="280" t="s">
        <v>2</v>
      </c>
      <c r="B211" s="122" t="str">
        <f>IF(ISNA(VLOOKUP($F211,Declarations!B$6:C$293,2,FALSE)),"",IF(VLOOKUP($F211,Declarations!B$6:C$293,2,FALSE)="","NOT DECLARED",IF(ISNA(_xlfn.TEXTBEFORE(VLOOKUP($F211,Declarations!B$6:C$293,2,FALSE)," ")),VLOOKUP($F211,Declarations!B$6:C$293,2,FALSE),_xlfn.TEXTBEFORE(VLOOKUP($F211,Declarations!B$6:C$293,2,FALSE)," "))))</f>
        <v/>
      </c>
      <c r="C211" s="122" t="str">
        <f>IF(ISNA(VLOOKUP($F211,Declarations!B$6:C$293,2,FALSE)),"",IF(VLOOKUP($F211,Declarations!B$6:C$293,2,FALSE)="","NOT DECLARED",IF(ISNA(_xlfn.TEXTAFTER(VLOOKUP($F211,Declarations!B$6:C$293,2,FALSE)," ")),VLOOKUP($F211,Declarations!B$6:C$293,2,FALSE),_xlfn.TEXTAFTER(VLOOKUP($F211,Declarations!B$6:C$293,2,FALSE)," "))))</f>
        <v/>
      </c>
      <c r="D211" s="122" t="str">
        <f>IF(ISNA(VLOOKUP($F211,Declarations!$B$6:$F$293,5,FALSE)),"",IF(VLOOKUP($F211,Declarations!$B$6:$F$293,5,FALSE)="","NOT DECLARED",VLOOKUP($F211,Declarations!$B$6:$F$293,5,FALSE)))</f>
        <v/>
      </c>
      <c r="E211" s="120" t="str">
        <f>IF(ISNA(VLOOKUP($F211,Declarations!$B$6:$D$293,3,FALSE)),"",IF(VLOOKUP($F211,Declarations!$B$6:$D$293,3,FALSE)="","NOT DECLARED",VLOOKUP($F211,Declarations!$B$6:$D$293,3,FALSE)&amp;LEFT(VLOOKUP($F211,Declarations!$B$6:$E$293,4,FALSE))))</f>
        <v/>
      </c>
      <c r="F211" s="59"/>
      <c r="G211" s="130"/>
      <c r="H211" s="130"/>
      <c r="I211" s="122" t="str">
        <f>IF(ISNA(VLOOKUP(F211,Declarations!B$6:C$293,2,FALSE)),"",IF(VLOOKUP(F211,Declarations!B$6:C$293,2,FALSE)="","NOT DECLARED",VLOOKUP(F211,Declarations!B$6:C$293,2,FALSE)))</f>
        <v/>
      </c>
      <c r="J211" s="120">
        <f>IF(LOWER(G211)="dnf",1,IF(G211&lt;ScoringTable!B$3,ScoringTable!I$2,VLOOKUP((1000-G211),ScoringTable!G$2:I$95,3)))</f>
        <v>0</v>
      </c>
      <c r="K211" s="120" t="str" cm="1">
        <f t="array" ref="K211">IF(OR(E211="",G211=""),"",_xlfn.IFS(E211="U10B",_xlfn.XLOOKUP(G211,Data!$D$2:$L$2,Data!$D$1:$L$1,"",1,1),E211="U12B",_xlfn.XLOOKUP(G211,Data!$D$8:$L$8,Data!$D$1:$L$1,"",1,1),E211="U10G",_xlfn.XLOOKUP(G211,Data!$D$15:$L$15,Data!$D$1:$L$1,"",1,1),E211="U12G",_xlfn.XLOOKUP(G211,Data!$D$21:$L$21,Data!$D$1:$L$1,"",1,1)))</f>
        <v/>
      </c>
      <c r="L211" s="184" t="str" cm="1">
        <f t="array" ref="L211">IFERROR(_xlfn.IFNA(
                      _xlfn.IFS(
                      G211="", "",
                      AND(E211="U10B",G211&lt;=Data!$M$2), "U10 Boys record",
                      AND(E211="U12B",G211&lt;=Data!$M$8), "U12 Boys record",
                      AND(E211="U10G",G211&lt;=Data!$M$15), "U10 Girls record",
                      AND(E211="U12G",G211&lt;=Data!$M$21), "U12 Girls record"
                       ),""), "")</f>
        <v/>
      </c>
      <c r="M211" s="19" cm="1">
        <f t="array" ref="M211">_xlfn.IFS($G211="",0, AND(NOT(ISNUMBER($G211)),LOWER($G211)&lt;&gt;"dnf"),"Not a valid time",OR(LOWER($G211)="dnf",$G211&gt;ScoringTable!$M$161),1,RIGHT($E211,1)="B",_xlfn.XLOOKUP($G211,ScoringTable!$M$2:$M$161,ScoringTable!$L$2:$L$161,,1),TRUE,_xlfn.XLOOKUP($G211,ScoringTable!$S$2:$S$161,ScoringTable!$R$2:$R$161,,1))</f>
        <v>0</v>
      </c>
    </row>
    <row r="212" spans="1:13" s="7" customFormat="1" ht="16" customHeight="1">
      <c r="A212" s="280" t="s">
        <v>2</v>
      </c>
      <c r="B212" s="122" t="str">
        <f>IF(ISNA(VLOOKUP($F212,Declarations!B$6:C$293,2,FALSE)),"",IF(VLOOKUP($F212,Declarations!B$6:C$293,2,FALSE)="","NOT DECLARED",IF(ISNA(_xlfn.TEXTBEFORE(VLOOKUP($F212,Declarations!B$6:C$293,2,FALSE)," ")),VLOOKUP($F212,Declarations!B$6:C$293,2,FALSE),_xlfn.TEXTBEFORE(VLOOKUP($F212,Declarations!B$6:C$293,2,FALSE)," "))))</f>
        <v/>
      </c>
      <c r="C212" s="122" t="str">
        <f>IF(ISNA(VLOOKUP($F212,Declarations!B$6:C$293,2,FALSE)),"",IF(VLOOKUP($F212,Declarations!B$6:C$293,2,FALSE)="","NOT DECLARED",IF(ISNA(_xlfn.TEXTAFTER(VLOOKUP($F212,Declarations!B$6:C$293,2,FALSE)," ")),VLOOKUP($F212,Declarations!B$6:C$293,2,FALSE),_xlfn.TEXTAFTER(VLOOKUP($F212,Declarations!B$6:C$293,2,FALSE)," "))))</f>
        <v/>
      </c>
      <c r="D212" s="122" t="str">
        <f>IF(ISNA(VLOOKUP($F212,Declarations!$B$6:$F$293,5,FALSE)),"",IF(VLOOKUP($F212,Declarations!$B$6:$F$293,5,FALSE)="","NOT DECLARED",VLOOKUP($F212,Declarations!$B$6:$F$293,5,FALSE)))</f>
        <v/>
      </c>
      <c r="E212" s="120" t="str">
        <f>IF(ISNA(VLOOKUP($F212,Declarations!$B$6:$D$293,3,FALSE)),"",IF(VLOOKUP($F212,Declarations!$B$6:$D$293,3,FALSE)="","NOT DECLARED",VLOOKUP($F212,Declarations!$B$6:$D$293,3,FALSE)&amp;LEFT(VLOOKUP($F212,Declarations!$B$6:$E$293,4,FALSE))))</f>
        <v/>
      </c>
      <c r="F212" s="59"/>
      <c r="G212" s="130"/>
      <c r="H212" s="130"/>
      <c r="I212" s="122" t="str">
        <f>IF(ISNA(VLOOKUP(F212,Declarations!B$6:C$293,2,FALSE)),"",IF(VLOOKUP(F212,Declarations!B$6:C$293,2,FALSE)="","NOT DECLARED",VLOOKUP(F212,Declarations!B$6:C$293,2,FALSE)))</f>
        <v/>
      </c>
      <c r="J212" s="120">
        <f>IF(LOWER(G212)="dnf",1,IF(G212&lt;ScoringTable!B$3,ScoringTable!I$2,VLOOKUP((1000-G212),ScoringTable!G$2:I$95,3)))</f>
        <v>0</v>
      </c>
      <c r="K212" s="120" t="str" cm="1">
        <f t="array" ref="K212">IF(OR(E212="",G212=""),"",_xlfn.IFS(E212="U10B",_xlfn.XLOOKUP(G212,Data!$D$2:$L$2,Data!$D$1:$L$1,"",1,1),E212="U12B",_xlfn.XLOOKUP(G212,Data!$D$8:$L$8,Data!$D$1:$L$1,"",1,1),E212="U10G",_xlfn.XLOOKUP(G212,Data!$D$15:$L$15,Data!$D$1:$L$1,"",1,1),E212="U12G",_xlfn.XLOOKUP(G212,Data!$D$21:$L$21,Data!$D$1:$L$1,"",1,1)))</f>
        <v/>
      </c>
      <c r="L212" s="184" t="str" cm="1">
        <f t="array" ref="L212">IFERROR(_xlfn.IFNA(
                      _xlfn.IFS(
                      G212="", "",
                      AND(E212="U10B",G212&lt;=Data!$M$2), "U10 Boys record",
                      AND(E212="U12B",G212&lt;=Data!$M$8), "U12 Boys record",
                      AND(E212="U10G",G212&lt;=Data!$M$15), "U10 Girls record",
                      AND(E212="U12G",G212&lt;=Data!$M$21), "U12 Girls record"
                       ),""), "")</f>
        <v/>
      </c>
      <c r="M212" s="19" cm="1">
        <f t="array" ref="M212">_xlfn.IFS($G212="",0, AND(NOT(ISNUMBER($G212)),LOWER($G212)&lt;&gt;"dnf"),"Not a valid time",OR(LOWER($G212)="dnf",$G212&gt;ScoringTable!$M$161),1,RIGHT($E212,1)="B",_xlfn.XLOOKUP($G212,ScoringTable!$M$2:$M$161,ScoringTable!$L$2:$L$161,,1),TRUE,_xlfn.XLOOKUP($G212,ScoringTable!$S$2:$S$161,ScoringTable!$R$2:$R$161,,1))</f>
        <v>0</v>
      </c>
    </row>
    <row r="213" spans="1:13" s="7" customFormat="1" ht="16" customHeight="1">
      <c r="A213" s="280" t="s">
        <v>2</v>
      </c>
      <c r="B213" s="122" t="str">
        <f>IF(ISNA(VLOOKUP($F213,Declarations!B$6:C$293,2,FALSE)),"",IF(VLOOKUP($F213,Declarations!B$6:C$293,2,FALSE)="","NOT DECLARED",IF(ISNA(_xlfn.TEXTBEFORE(VLOOKUP($F213,Declarations!B$6:C$293,2,FALSE)," ")),VLOOKUP($F213,Declarations!B$6:C$293,2,FALSE),_xlfn.TEXTBEFORE(VLOOKUP($F213,Declarations!B$6:C$293,2,FALSE)," "))))</f>
        <v/>
      </c>
      <c r="C213" s="122" t="str">
        <f>IF(ISNA(VLOOKUP($F213,Declarations!B$6:C$293,2,FALSE)),"",IF(VLOOKUP($F213,Declarations!B$6:C$293,2,FALSE)="","NOT DECLARED",IF(ISNA(_xlfn.TEXTAFTER(VLOOKUP($F213,Declarations!B$6:C$293,2,FALSE)," ")),VLOOKUP($F213,Declarations!B$6:C$293,2,FALSE),_xlfn.TEXTAFTER(VLOOKUP($F213,Declarations!B$6:C$293,2,FALSE)," "))))</f>
        <v/>
      </c>
      <c r="D213" s="122" t="str">
        <f>IF(ISNA(VLOOKUP($F213,Declarations!$B$6:$F$293,5,FALSE)),"",IF(VLOOKUP($F213,Declarations!$B$6:$F$293,5,FALSE)="","NOT DECLARED",VLOOKUP($F213,Declarations!$B$6:$F$293,5,FALSE)))</f>
        <v/>
      </c>
      <c r="E213" s="120" t="str">
        <f>IF(ISNA(VLOOKUP($F213,Declarations!$B$6:$D$293,3,FALSE)),"",IF(VLOOKUP($F213,Declarations!$B$6:$D$293,3,FALSE)="","NOT DECLARED",VLOOKUP($F213,Declarations!$B$6:$D$293,3,FALSE)&amp;LEFT(VLOOKUP($F213,Declarations!$B$6:$E$293,4,FALSE))))</f>
        <v/>
      </c>
      <c r="F213" s="59"/>
      <c r="G213" s="130"/>
      <c r="H213" s="130"/>
      <c r="I213" s="122" t="str">
        <f>IF(ISNA(VLOOKUP(F213,Declarations!B$6:C$293,2,FALSE)),"",IF(VLOOKUP(F213,Declarations!B$6:C$293,2,FALSE)="","NOT DECLARED",VLOOKUP(F213,Declarations!B$6:C$293,2,FALSE)))</f>
        <v/>
      </c>
      <c r="J213" s="120">
        <f>IF(LOWER(G213)="dnf",1,IF(G213&lt;ScoringTable!B$3,ScoringTable!I$2,VLOOKUP((1000-G213),ScoringTable!G$2:I$95,3)))</f>
        <v>0</v>
      </c>
      <c r="K213" s="120" t="str" cm="1">
        <f t="array" ref="K213">IF(OR(E213="",G213=""),"",_xlfn.IFS(E213="U10B",_xlfn.XLOOKUP(G213,Data!$D$2:$L$2,Data!$D$1:$L$1,"",1,1),E213="U12B",_xlfn.XLOOKUP(G213,Data!$D$8:$L$8,Data!$D$1:$L$1,"",1,1),E213="U10G",_xlfn.XLOOKUP(G213,Data!$D$15:$L$15,Data!$D$1:$L$1,"",1,1),E213="U12G",_xlfn.XLOOKUP(G213,Data!$D$21:$L$21,Data!$D$1:$L$1,"",1,1)))</f>
        <v/>
      </c>
      <c r="L213" s="184" t="str" cm="1">
        <f t="array" ref="L213">IFERROR(_xlfn.IFNA(
                      _xlfn.IFS(
                      G213="", "",
                      AND(E213="U10B",G213&lt;=Data!$M$2), "U10 Boys record",
                      AND(E213="U12B",G213&lt;=Data!$M$8), "U12 Boys record",
                      AND(E213="U10G",G213&lt;=Data!$M$15), "U10 Girls record",
                      AND(E213="U12G",G213&lt;=Data!$M$21), "U12 Girls record"
                       ),""), "")</f>
        <v/>
      </c>
      <c r="M213" s="19" cm="1">
        <f t="array" ref="M213">_xlfn.IFS($G213="",0, AND(NOT(ISNUMBER($G213)),LOWER($G213)&lt;&gt;"dnf"),"Not a valid time",OR(LOWER($G213)="dnf",$G213&gt;ScoringTable!$M$161),1,RIGHT($E213,1)="B",_xlfn.XLOOKUP($G213,ScoringTable!$M$2:$M$161,ScoringTable!$L$2:$L$161,,1),TRUE,_xlfn.XLOOKUP($G213,ScoringTable!$S$2:$S$161,ScoringTable!$R$2:$R$161,,1))</f>
        <v>0</v>
      </c>
    </row>
    <row r="214" spans="1:13" s="7" customFormat="1" ht="16" customHeight="1">
      <c r="A214" s="280" t="s">
        <v>2</v>
      </c>
      <c r="B214" s="122" t="str">
        <f>IF(ISNA(VLOOKUP($F214,Declarations!B$6:C$293,2,FALSE)),"",IF(VLOOKUP($F214,Declarations!B$6:C$293,2,FALSE)="","NOT DECLARED",IF(ISNA(_xlfn.TEXTBEFORE(VLOOKUP($F214,Declarations!B$6:C$293,2,FALSE)," ")),VLOOKUP($F214,Declarations!B$6:C$293,2,FALSE),_xlfn.TEXTBEFORE(VLOOKUP($F214,Declarations!B$6:C$293,2,FALSE)," "))))</f>
        <v/>
      </c>
      <c r="C214" s="122" t="str">
        <f>IF(ISNA(VLOOKUP($F214,Declarations!B$6:C$293,2,FALSE)),"",IF(VLOOKUP($F214,Declarations!B$6:C$293,2,FALSE)="","NOT DECLARED",IF(ISNA(_xlfn.TEXTAFTER(VLOOKUP($F214,Declarations!B$6:C$293,2,FALSE)," ")),VLOOKUP($F214,Declarations!B$6:C$293,2,FALSE),_xlfn.TEXTAFTER(VLOOKUP($F214,Declarations!B$6:C$293,2,FALSE)," "))))</f>
        <v/>
      </c>
      <c r="D214" s="122" t="str">
        <f>IF(ISNA(VLOOKUP($F214,Declarations!$B$6:$F$293,5,FALSE)),"",IF(VLOOKUP($F214,Declarations!$B$6:$F$293,5,FALSE)="","NOT DECLARED",VLOOKUP($F214,Declarations!$B$6:$F$293,5,FALSE)))</f>
        <v/>
      </c>
      <c r="E214" s="120" t="str">
        <f>IF(ISNA(VLOOKUP($F214,Declarations!$B$6:$D$293,3,FALSE)),"",IF(VLOOKUP($F214,Declarations!$B$6:$D$293,3,FALSE)="","NOT DECLARED",VLOOKUP($F214,Declarations!$B$6:$D$293,3,FALSE)&amp;LEFT(VLOOKUP($F214,Declarations!$B$6:$E$293,4,FALSE))))</f>
        <v/>
      </c>
      <c r="F214" s="59"/>
      <c r="G214" s="130"/>
      <c r="H214" s="130"/>
      <c r="I214" s="122" t="str">
        <f>IF(ISNA(VLOOKUP(F214,Declarations!B$6:C$293,2,FALSE)),"",IF(VLOOKUP(F214,Declarations!B$6:C$293,2,FALSE)="","NOT DECLARED",VLOOKUP(F214,Declarations!B$6:C$293,2,FALSE)))</f>
        <v/>
      </c>
      <c r="J214" s="120">
        <f>IF(LOWER(G214)="dnf",1,IF(G214&lt;ScoringTable!B$3,ScoringTable!I$2,VLOOKUP((1000-G214),ScoringTable!G$2:I$95,3)))</f>
        <v>0</v>
      </c>
      <c r="K214" s="120" t="str" cm="1">
        <f t="array" ref="K214">IF(OR(E214="",G214=""),"",_xlfn.IFS(E214="U10B",_xlfn.XLOOKUP(G214,Data!$D$2:$L$2,Data!$D$1:$L$1,"",1,1),E214="U12B",_xlfn.XLOOKUP(G214,Data!$D$8:$L$8,Data!$D$1:$L$1,"",1,1),E214="U10G",_xlfn.XLOOKUP(G214,Data!$D$15:$L$15,Data!$D$1:$L$1,"",1,1),E214="U12G",_xlfn.XLOOKUP(G214,Data!$D$21:$L$21,Data!$D$1:$L$1,"",1,1)))</f>
        <v/>
      </c>
      <c r="L214" s="184" t="str" cm="1">
        <f t="array" ref="L214">IFERROR(_xlfn.IFNA(
                      _xlfn.IFS(
                      G214="", "",
                      AND(E214="U10B",G214&lt;=Data!$M$2), "U10 Boys record",
                      AND(E214="U12B",G214&lt;=Data!$M$8), "U12 Boys record",
                      AND(E214="U10G",G214&lt;=Data!$M$15), "U10 Girls record",
                      AND(E214="U12G",G214&lt;=Data!$M$21), "U12 Girls record"
                       ),""), "")</f>
        <v/>
      </c>
      <c r="M214" s="19" cm="1">
        <f t="array" ref="M214">_xlfn.IFS($G214="",0, AND(NOT(ISNUMBER($G214)),LOWER($G214)&lt;&gt;"dnf"),"Not a valid time",OR(LOWER($G214)="dnf",$G214&gt;ScoringTable!$M$161),1,RIGHT($E214,1)="B",_xlfn.XLOOKUP($G214,ScoringTable!$M$2:$M$161,ScoringTable!$L$2:$L$161,,1),TRUE,_xlfn.XLOOKUP($G214,ScoringTable!$S$2:$S$161,ScoringTable!$R$2:$R$161,,1))</f>
        <v>0</v>
      </c>
    </row>
    <row r="215" spans="1:13" s="7" customFormat="1" ht="16" customHeight="1">
      <c r="A215" s="280" t="s">
        <v>2</v>
      </c>
      <c r="B215" s="122" t="str">
        <f>IF(ISNA(VLOOKUP($F215,Declarations!B$6:C$293,2,FALSE)),"",IF(VLOOKUP($F215,Declarations!B$6:C$293,2,FALSE)="","NOT DECLARED",IF(ISNA(_xlfn.TEXTBEFORE(VLOOKUP($F215,Declarations!B$6:C$293,2,FALSE)," ")),VLOOKUP($F215,Declarations!B$6:C$293,2,FALSE),_xlfn.TEXTBEFORE(VLOOKUP($F215,Declarations!B$6:C$293,2,FALSE)," "))))</f>
        <v/>
      </c>
      <c r="C215" s="122" t="str">
        <f>IF(ISNA(VLOOKUP($F215,Declarations!B$6:C$293,2,FALSE)),"",IF(VLOOKUP($F215,Declarations!B$6:C$293,2,FALSE)="","NOT DECLARED",IF(ISNA(_xlfn.TEXTAFTER(VLOOKUP($F215,Declarations!B$6:C$293,2,FALSE)," ")),VLOOKUP($F215,Declarations!B$6:C$293,2,FALSE),_xlfn.TEXTAFTER(VLOOKUP($F215,Declarations!B$6:C$293,2,FALSE)," "))))</f>
        <v/>
      </c>
      <c r="D215" s="122" t="str">
        <f>IF(ISNA(VLOOKUP($F215,Declarations!$B$6:$F$293,5,FALSE)),"",IF(VLOOKUP($F215,Declarations!$B$6:$F$293,5,FALSE)="","NOT DECLARED",VLOOKUP($F215,Declarations!$B$6:$F$293,5,FALSE)))</f>
        <v/>
      </c>
      <c r="E215" s="120" t="str">
        <f>IF(ISNA(VLOOKUP($F215,Declarations!$B$6:$D$293,3,FALSE)),"",IF(VLOOKUP($F215,Declarations!$B$6:$D$293,3,FALSE)="","NOT DECLARED",VLOOKUP($F215,Declarations!$B$6:$D$293,3,FALSE)&amp;LEFT(VLOOKUP($F215,Declarations!$B$6:$E$293,4,FALSE))))</f>
        <v/>
      </c>
      <c r="F215" s="59"/>
      <c r="G215" s="130"/>
      <c r="H215" s="130"/>
      <c r="I215" s="122" t="str">
        <f>IF(ISNA(VLOOKUP(F215,Declarations!B$6:C$293,2,FALSE)),"",IF(VLOOKUP(F215,Declarations!B$6:C$293,2,FALSE)="","NOT DECLARED",VLOOKUP(F215,Declarations!B$6:C$293,2,FALSE)))</f>
        <v/>
      </c>
      <c r="J215" s="120">
        <f>IF(LOWER(G215)="dnf",1,IF(G215&lt;ScoringTable!B$3,ScoringTable!I$2,VLOOKUP((1000-G215),ScoringTable!G$2:I$95,3)))</f>
        <v>0</v>
      </c>
      <c r="K215" s="120" t="str" cm="1">
        <f t="array" ref="K215">IF(OR(E215="",G215=""),"",_xlfn.IFS(E215="U10B",_xlfn.XLOOKUP(G215,Data!$D$2:$L$2,Data!$D$1:$L$1,"",1,1),E215="U12B",_xlfn.XLOOKUP(G215,Data!$D$8:$L$8,Data!$D$1:$L$1,"",1,1),E215="U10G",_xlfn.XLOOKUP(G215,Data!$D$15:$L$15,Data!$D$1:$L$1,"",1,1),E215="U12G",_xlfn.XLOOKUP(G215,Data!$D$21:$L$21,Data!$D$1:$L$1,"",1,1)))</f>
        <v/>
      </c>
      <c r="L215" s="184" t="str" cm="1">
        <f t="array" ref="L215">IFERROR(_xlfn.IFNA(
                      _xlfn.IFS(
                      G215="", "",
                      AND(E215="U10B",G215&lt;=Data!$M$2), "U10 Boys record",
                      AND(E215="U12B",G215&lt;=Data!$M$8), "U12 Boys record",
                      AND(E215="U10G",G215&lt;=Data!$M$15), "U10 Girls record",
                      AND(E215="U12G",G215&lt;=Data!$M$21), "U12 Girls record"
                       ),""), "")</f>
        <v/>
      </c>
      <c r="M215" s="19" cm="1">
        <f t="array" ref="M215">_xlfn.IFS($G215="",0, AND(NOT(ISNUMBER($G215)),LOWER($G215)&lt;&gt;"dnf"),"Not a valid time",OR(LOWER($G215)="dnf",$G215&gt;ScoringTable!$M$161),1,RIGHT($E215,1)="B",_xlfn.XLOOKUP($G215,ScoringTable!$M$2:$M$161,ScoringTable!$L$2:$L$161,,1),TRUE,_xlfn.XLOOKUP($G215,ScoringTable!$S$2:$S$161,ScoringTable!$R$2:$R$161,,1))</f>
        <v>0</v>
      </c>
    </row>
    <row r="216" spans="1:13" s="7" customFormat="1" ht="16" customHeight="1">
      <c r="A216" s="280" t="s">
        <v>2</v>
      </c>
      <c r="B216" s="122" t="str">
        <f>IF(ISNA(VLOOKUP($F216,Declarations!B$6:C$293,2,FALSE)),"",IF(VLOOKUP($F216,Declarations!B$6:C$293,2,FALSE)="","NOT DECLARED",IF(ISNA(_xlfn.TEXTBEFORE(VLOOKUP($F216,Declarations!B$6:C$293,2,FALSE)," ")),VLOOKUP($F216,Declarations!B$6:C$293,2,FALSE),_xlfn.TEXTBEFORE(VLOOKUP($F216,Declarations!B$6:C$293,2,FALSE)," "))))</f>
        <v/>
      </c>
      <c r="C216" s="122" t="str">
        <f>IF(ISNA(VLOOKUP($F216,Declarations!B$6:C$293,2,FALSE)),"",IF(VLOOKUP($F216,Declarations!B$6:C$293,2,FALSE)="","NOT DECLARED",IF(ISNA(_xlfn.TEXTAFTER(VLOOKUP($F216,Declarations!B$6:C$293,2,FALSE)," ")),VLOOKUP($F216,Declarations!B$6:C$293,2,FALSE),_xlfn.TEXTAFTER(VLOOKUP($F216,Declarations!B$6:C$293,2,FALSE)," "))))</f>
        <v/>
      </c>
      <c r="D216" s="122" t="str">
        <f>IF(ISNA(VLOOKUP($F216,Declarations!$B$6:$F$293,5,FALSE)),"",IF(VLOOKUP($F216,Declarations!$B$6:$F$293,5,FALSE)="","NOT DECLARED",VLOOKUP($F216,Declarations!$B$6:$F$293,5,FALSE)))</f>
        <v/>
      </c>
      <c r="E216" s="120" t="str">
        <f>IF(ISNA(VLOOKUP($F216,Declarations!$B$6:$D$293,3,FALSE)),"",IF(VLOOKUP($F216,Declarations!$B$6:$D$293,3,FALSE)="","NOT DECLARED",VLOOKUP($F216,Declarations!$B$6:$D$293,3,FALSE)&amp;LEFT(VLOOKUP($F216,Declarations!$B$6:$E$293,4,FALSE))))</f>
        <v/>
      </c>
      <c r="F216" s="59"/>
      <c r="G216" s="130"/>
      <c r="H216" s="130"/>
      <c r="I216" s="122" t="str">
        <f>IF(ISNA(VLOOKUP(F216,Declarations!B$6:C$293,2,FALSE)),"",IF(VLOOKUP(F216,Declarations!B$6:C$293,2,FALSE)="","NOT DECLARED",VLOOKUP(F216,Declarations!B$6:C$293,2,FALSE)))</f>
        <v/>
      </c>
      <c r="J216" s="120">
        <f>IF(LOWER(G216)="dnf",1,IF(G216&lt;ScoringTable!B$3,ScoringTable!I$2,VLOOKUP((1000-G216),ScoringTable!G$2:I$95,3)))</f>
        <v>0</v>
      </c>
      <c r="K216" s="120" t="str" cm="1">
        <f t="array" ref="K216">IF(OR(E216="",G216=""),"",_xlfn.IFS(E216="U10B",_xlfn.XLOOKUP(G216,Data!$D$2:$L$2,Data!$D$1:$L$1,"",1,1),E216="U12B",_xlfn.XLOOKUP(G216,Data!$D$8:$L$8,Data!$D$1:$L$1,"",1,1),E216="U10G",_xlfn.XLOOKUP(G216,Data!$D$15:$L$15,Data!$D$1:$L$1,"",1,1),E216="U12G",_xlfn.XLOOKUP(G216,Data!$D$21:$L$21,Data!$D$1:$L$1,"",1,1)))</f>
        <v/>
      </c>
      <c r="L216" s="184" t="str" cm="1">
        <f t="array" ref="L216">IFERROR(_xlfn.IFNA(
                      _xlfn.IFS(
                      G216="", "",
                      AND(E216="U10B",G216&lt;=Data!$M$2), "U10 Boys record",
                      AND(E216="U12B",G216&lt;=Data!$M$8), "U12 Boys record",
                      AND(E216="U10G",G216&lt;=Data!$M$15), "U10 Girls record",
                      AND(E216="U12G",G216&lt;=Data!$M$21), "U12 Girls record"
                       ),""), "")</f>
        <v/>
      </c>
      <c r="M216" s="19" cm="1">
        <f t="array" ref="M216">_xlfn.IFS($G216="",0, AND(NOT(ISNUMBER($G216)),LOWER($G216)&lt;&gt;"dnf"),"Not a valid time",OR(LOWER($G216)="dnf",$G216&gt;ScoringTable!$M$161),1,RIGHT($E216,1)="B",_xlfn.XLOOKUP($G216,ScoringTable!$M$2:$M$161,ScoringTable!$L$2:$L$161,,1),TRUE,_xlfn.XLOOKUP($G216,ScoringTable!$S$2:$S$161,ScoringTable!$R$2:$R$161,,1))</f>
        <v>0</v>
      </c>
    </row>
    <row r="217" spans="1:13" s="7" customFormat="1" ht="16" customHeight="1">
      <c r="A217" s="280" t="s">
        <v>2</v>
      </c>
      <c r="B217" s="122" t="str">
        <f>IF(ISNA(VLOOKUP($F217,Declarations!B$6:C$293,2,FALSE)),"",IF(VLOOKUP($F217,Declarations!B$6:C$293,2,FALSE)="","NOT DECLARED",IF(ISNA(_xlfn.TEXTBEFORE(VLOOKUP($F217,Declarations!B$6:C$293,2,FALSE)," ")),VLOOKUP($F217,Declarations!B$6:C$293,2,FALSE),_xlfn.TEXTBEFORE(VLOOKUP($F217,Declarations!B$6:C$293,2,FALSE)," "))))</f>
        <v/>
      </c>
      <c r="C217" s="122" t="str">
        <f>IF(ISNA(VLOOKUP($F217,Declarations!B$6:C$293,2,FALSE)),"",IF(VLOOKUP($F217,Declarations!B$6:C$293,2,FALSE)="","NOT DECLARED",IF(ISNA(_xlfn.TEXTAFTER(VLOOKUP($F217,Declarations!B$6:C$293,2,FALSE)," ")),VLOOKUP($F217,Declarations!B$6:C$293,2,FALSE),_xlfn.TEXTAFTER(VLOOKUP($F217,Declarations!B$6:C$293,2,FALSE)," "))))</f>
        <v/>
      </c>
      <c r="D217" s="122" t="str">
        <f>IF(ISNA(VLOOKUP($F217,Declarations!$B$6:$F$293,5,FALSE)),"",IF(VLOOKUP($F217,Declarations!$B$6:$F$293,5,FALSE)="","NOT DECLARED",VLOOKUP($F217,Declarations!$B$6:$F$293,5,FALSE)))</f>
        <v/>
      </c>
      <c r="E217" s="120" t="str">
        <f>IF(ISNA(VLOOKUP($F217,Declarations!$B$6:$D$293,3,FALSE)),"",IF(VLOOKUP($F217,Declarations!$B$6:$D$293,3,FALSE)="","NOT DECLARED",VLOOKUP($F217,Declarations!$B$6:$D$293,3,FALSE)&amp;LEFT(VLOOKUP($F217,Declarations!$B$6:$E$293,4,FALSE))))</f>
        <v/>
      </c>
      <c r="F217" s="59"/>
      <c r="G217" s="130"/>
      <c r="H217" s="130"/>
      <c r="I217" s="122" t="str">
        <f>IF(ISNA(VLOOKUP(F217,Declarations!B$6:C$293,2,FALSE)),"",IF(VLOOKUP(F217,Declarations!B$6:C$293,2,FALSE)="","NOT DECLARED",VLOOKUP(F217,Declarations!B$6:C$293,2,FALSE)))</f>
        <v/>
      </c>
      <c r="J217" s="120">
        <f>IF(LOWER(G217)="dnf",1,IF(G217&lt;ScoringTable!B$3,ScoringTable!I$2,VLOOKUP((1000-G217),ScoringTable!G$2:I$95,3)))</f>
        <v>0</v>
      </c>
      <c r="K217" s="120" t="str" cm="1">
        <f t="array" ref="K217">IF(OR(E217="",G217=""),"",_xlfn.IFS(E217="U10B",_xlfn.XLOOKUP(G217,Data!$D$2:$L$2,Data!$D$1:$L$1,"",1,1),E217="U12B",_xlfn.XLOOKUP(G217,Data!$D$8:$L$8,Data!$D$1:$L$1,"",1,1),E217="U10G",_xlfn.XLOOKUP(G217,Data!$D$15:$L$15,Data!$D$1:$L$1,"",1,1),E217="U12G",_xlfn.XLOOKUP(G217,Data!$D$21:$L$21,Data!$D$1:$L$1,"",1,1)))</f>
        <v/>
      </c>
      <c r="L217" s="184" t="str" cm="1">
        <f t="array" ref="L217">IFERROR(_xlfn.IFNA(
                      _xlfn.IFS(
                      G217="", "",
                      AND(E217="U10B",G217&lt;=Data!$M$2), "U10 Boys record",
                      AND(E217="U12B",G217&lt;=Data!$M$8), "U12 Boys record",
                      AND(E217="U10G",G217&lt;=Data!$M$15), "U10 Girls record",
                      AND(E217="U12G",G217&lt;=Data!$M$21), "U12 Girls record"
                       ),""), "")</f>
        <v/>
      </c>
      <c r="M217" s="19" cm="1">
        <f t="array" ref="M217">_xlfn.IFS($G217="",0, AND(NOT(ISNUMBER($G217)),LOWER($G217)&lt;&gt;"dnf"),"Not a valid time",OR(LOWER($G217)="dnf",$G217&gt;ScoringTable!$M$161),1,RIGHT($E217,1)="B",_xlfn.XLOOKUP($G217,ScoringTable!$M$2:$M$161,ScoringTable!$L$2:$L$161,,1),TRUE,_xlfn.XLOOKUP($G217,ScoringTable!$S$2:$S$161,ScoringTable!$R$2:$R$161,,1))</f>
        <v>0</v>
      </c>
    </row>
    <row r="218" spans="1:13" s="7" customFormat="1" ht="16" customHeight="1">
      <c r="A218" s="280" t="s">
        <v>2</v>
      </c>
      <c r="B218" s="122" t="str">
        <f>IF(ISNA(VLOOKUP($F218,Declarations!B$6:C$293,2,FALSE)),"",IF(VLOOKUP($F218,Declarations!B$6:C$293,2,FALSE)="","NOT DECLARED",IF(ISNA(_xlfn.TEXTBEFORE(VLOOKUP($F218,Declarations!B$6:C$293,2,FALSE)," ")),VLOOKUP($F218,Declarations!B$6:C$293,2,FALSE),_xlfn.TEXTBEFORE(VLOOKUP($F218,Declarations!B$6:C$293,2,FALSE)," "))))</f>
        <v/>
      </c>
      <c r="C218" s="122" t="str">
        <f>IF(ISNA(VLOOKUP($F218,Declarations!B$6:C$293,2,FALSE)),"",IF(VLOOKUP($F218,Declarations!B$6:C$293,2,FALSE)="","NOT DECLARED",IF(ISNA(_xlfn.TEXTAFTER(VLOOKUP($F218,Declarations!B$6:C$293,2,FALSE)," ")),VLOOKUP($F218,Declarations!B$6:C$293,2,FALSE),_xlfn.TEXTAFTER(VLOOKUP($F218,Declarations!B$6:C$293,2,FALSE)," "))))</f>
        <v/>
      </c>
      <c r="D218" s="122" t="str">
        <f>IF(ISNA(VLOOKUP($F218,Declarations!$B$6:$F$293,5,FALSE)),"",IF(VLOOKUP($F218,Declarations!$B$6:$F$293,5,FALSE)="","NOT DECLARED",VLOOKUP($F218,Declarations!$B$6:$F$293,5,FALSE)))</f>
        <v/>
      </c>
      <c r="E218" s="120" t="str">
        <f>IF(ISNA(VLOOKUP($F218,Declarations!$B$6:$D$293,3,FALSE)),"",IF(VLOOKUP($F218,Declarations!$B$6:$D$293,3,FALSE)="","NOT DECLARED",VLOOKUP($F218,Declarations!$B$6:$D$293,3,FALSE)&amp;LEFT(VLOOKUP($F218,Declarations!$B$6:$E$293,4,FALSE))))</f>
        <v/>
      </c>
      <c r="F218" s="59"/>
      <c r="G218" s="130"/>
      <c r="H218" s="130"/>
      <c r="I218" s="122" t="str">
        <f>IF(ISNA(VLOOKUP(F218,Declarations!B$6:C$293,2,FALSE)),"",IF(VLOOKUP(F218,Declarations!B$6:C$293,2,FALSE)="","NOT DECLARED",VLOOKUP(F218,Declarations!B$6:C$293,2,FALSE)))</f>
        <v/>
      </c>
      <c r="J218" s="120">
        <f>IF(LOWER(G218)="dnf",1,IF(G218&lt;ScoringTable!B$3,ScoringTable!I$2,VLOOKUP((1000-G218),ScoringTable!G$2:I$95,3)))</f>
        <v>0</v>
      </c>
      <c r="K218" s="120" t="str" cm="1">
        <f t="array" ref="K218">IF(OR(E218="",G218=""),"",_xlfn.IFS(E218="U10B",_xlfn.XLOOKUP(G218,Data!$D$2:$L$2,Data!$D$1:$L$1,"",1,1),E218="U12B",_xlfn.XLOOKUP(G218,Data!$D$8:$L$8,Data!$D$1:$L$1,"",1,1),E218="U10G",_xlfn.XLOOKUP(G218,Data!$D$15:$L$15,Data!$D$1:$L$1,"",1,1),E218="U12G",_xlfn.XLOOKUP(G218,Data!$D$21:$L$21,Data!$D$1:$L$1,"",1,1)))</f>
        <v/>
      </c>
      <c r="L218" s="184" t="str" cm="1">
        <f t="array" ref="L218">IFERROR(_xlfn.IFNA(
                      _xlfn.IFS(
                      G218="", "",
                      AND(E218="U10B",G218&lt;=Data!$M$2), "U10 Boys record",
                      AND(E218="U12B",G218&lt;=Data!$M$8), "U12 Boys record",
                      AND(E218="U10G",G218&lt;=Data!$M$15), "U10 Girls record",
                      AND(E218="U12G",G218&lt;=Data!$M$21), "U12 Girls record"
                       ),""), "")</f>
        <v/>
      </c>
      <c r="M218" s="19" cm="1">
        <f t="array" ref="M218">_xlfn.IFS($G218="",0, AND(NOT(ISNUMBER($G218)),LOWER($G218)&lt;&gt;"dnf"),"Not a valid time",OR(LOWER($G218)="dnf",$G218&gt;ScoringTable!$M$161),1,RIGHT($E218,1)="B",_xlfn.XLOOKUP($G218,ScoringTable!$M$2:$M$161,ScoringTable!$L$2:$L$161,,1),TRUE,_xlfn.XLOOKUP($G218,ScoringTable!$S$2:$S$161,ScoringTable!$R$2:$R$161,,1))</f>
        <v>0</v>
      </c>
    </row>
    <row r="219" spans="1:13" s="7" customFormat="1" ht="16" customHeight="1">
      <c r="A219" s="280" t="s">
        <v>2</v>
      </c>
      <c r="B219" s="122" t="str">
        <f>IF(ISNA(VLOOKUP($F219,Declarations!B$6:C$293,2,FALSE)),"",IF(VLOOKUP($F219,Declarations!B$6:C$293,2,FALSE)="","NOT DECLARED",IF(ISNA(_xlfn.TEXTBEFORE(VLOOKUP($F219,Declarations!B$6:C$293,2,FALSE)," ")),VLOOKUP($F219,Declarations!B$6:C$293,2,FALSE),_xlfn.TEXTBEFORE(VLOOKUP($F219,Declarations!B$6:C$293,2,FALSE)," "))))</f>
        <v/>
      </c>
      <c r="C219" s="122" t="str">
        <f>IF(ISNA(VLOOKUP($F219,Declarations!B$6:C$293,2,FALSE)),"",IF(VLOOKUP($F219,Declarations!B$6:C$293,2,FALSE)="","NOT DECLARED",IF(ISNA(_xlfn.TEXTAFTER(VLOOKUP($F219,Declarations!B$6:C$293,2,FALSE)," ")),VLOOKUP($F219,Declarations!B$6:C$293,2,FALSE),_xlfn.TEXTAFTER(VLOOKUP($F219,Declarations!B$6:C$293,2,FALSE)," "))))</f>
        <v/>
      </c>
      <c r="D219" s="122" t="str">
        <f>IF(ISNA(VLOOKUP($F219,Declarations!$B$6:$F$293,5,FALSE)),"",IF(VLOOKUP($F219,Declarations!$B$6:$F$293,5,FALSE)="","NOT DECLARED",VLOOKUP($F219,Declarations!$B$6:$F$293,5,FALSE)))</f>
        <v/>
      </c>
      <c r="E219" s="120" t="str">
        <f>IF(ISNA(VLOOKUP($F219,Declarations!$B$6:$D$293,3,FALSE)),"",IF(VLOOKUP($F219,Declarations!$B$6:$D$293,3,FALSE)="","NOT DECLARED",VLOOKUP($F219,Declarations!$B$6:$D$293,3,FALSE)&amp;LEFT(VLOOKUP($F219,Declarations!$B$6:$E$293,4,FALSE))))</f>
        <v/>
      </c>
      <c r="F219" s="59"/>
      <c r="G219" s="130"/>
      <c r="H219" s="130"/>
      <c r="I219" s="122" t="str">
        <f>IF(ISNA(VLOOKUP(F219,Declarations!B$6:C$293,2,FALSE)),"",IF(VLOOKUP(F219,Declarations!B$6:C$293,2,FALSE)="","NOT DECLARED",VLOOKUP(F219,Declarations!B$6:C$293,2,FALSE)))</f>
        <v/>
      </c>
      <c r="J219" s="120">
        <f>IF(LOWER(G219)="dnf",1,IF(G219&lt;ScoringTable!B$3,ScoringTable!I$2,VLOOKUP((1000-G219),ScoringTable!G$2:I$95,3)))</f>
        <v>0</v>
      </c>
      <c r="K219" s="120" t="str" cm="1">
        <f t="array" ref="K219">IF(OR(E219="",G219=""),"",_xlfn.IFS(E219="U10B",_xlfn.XLOOKUP(G219,Data!$D$2:$L$2,Data!$D$1:$L$1,"",1,1),E219="U12B",_xlfn.XLOOKUP(G219,Data!$D$8:$L$8,Data!$D$1:$L$1,"",1,1),E219="U10G",_xlfn.XLOOKUP(G219,Data!$D$15:$L$15,Data!$D$1:$L$1,"",1,1),E219="U12G",_xlfn.XLOOKUP(G219,Data!$D$21:$L$21,Data!$D$1:$L$1,"",1,1)))</f>
        <v/>
      </c>
      <c r="L219" s="184" t="str" cm="1">
        <f t="array" ref="L219">IFERROR(_xlfn.IFNA(
                      _xlfn.IFS(
                      G219="", "",
                      AND(E219="U10B",G219&lt;=Data!$M$2), "U10 Boys record",
                      AND(E219="U12B",G219&lt;=Data!$M$8), "U12 Boys record",
                      AND(E219="U10G",G219&lt;=Data!$M$15), "U10 Girls record",
                      AND(E219="U12G",G219&lt;=Data!$M$21), "U12 Girls record"
                       ),""), "")</f>
        <v/>
      </c>
      <c r="M219" s="19" cm="1">
        <f t="array" ref="M219">_xlfn.IFS($G219="",0, AND(NOT(ISNUMBER($G219)),LOWER($G219)&lt;&gt;"dnf"),"Not a valid time",OR(LOWER($G219)="dnf",$G219&gt;ScoringTable!$M$161),1,RIGHT($E219,1)="B",_xlfn.XLOOKUP($G219,ScoringTable!$M$2:$M$161,ScoringTable!$L$2:$L$161,,1),TRUE,_xlfn.XLOOKUP($G219,ScoringTable!$S$2:$S$161,ScoringTable!$R$2:$R$161,,1))</f>
        <v>0</v>
      </c>
    </row>
    <row r="220" spans="1:13" s="7" customFormat="1" ht="16" customHeight="1">
      <c r="A220" s="280" t="s">
        <v>2</v>
      </c>
      <c r="B220" s="122" t="str">
        <f>IF(ISNA(VLOOKUP($F220,Declarations!B$6:C$293,2,FALSE)),"",IF(VLOOKUP($F220,Declarations!B$6:C$293,2,FALSE)="","NOT DECLARED",IF(ISNA(_xlfn.TEXTBEFORE(VLOOKUP($F220,Declarations!B$6:C$293,2,FALSE)," ")),VLOOKUP($F220,Declarations!B$6:C$293,2,FALSE),_xlfn.TEXTBEFORE(VLOOKUP($F220,Declarations!B$6:C$293,2,FALSE)," "))))</f>
        <v/>
      </c>
      <c r="C220" s="122" t="str">
        <f>IF(ISNA(VLOOKUP($F220,Declarations!B$6:C$293,2,FALSE)),"",IF(VLOOKUP($F220,Declarations!B$6:C$293,2,FALSE)="","NOT DECLARED",IF(ISNA(_xlfn.TEXTAFTER(VLOOKUP($F220,Declarations!B$6:C$293,2,FALSE)," ")),VLOOKUP($F220,Declarations!B$6:C$293,2,FALSE),_xlfn.TEXTAFTER(VLOOKUP($F220,Declarations!B$6:C$293,2,FALSE)," "))))</f>
        <v/>
      </c>
      <c r="D220" s="122" t="str">
        <f>IF(ISNA(VLOOKUP($F220,Declarations!$B$6:$F$293,5,FALSE)),"",IF(VLOOKUP($F220,Declarations!$B$6:$F$293,5,FALSE)="","NOT DECLARED",VLOOKUP($F220,Declarations!$B$6:$F$293,5,FALSE)))</f>
        <v/>
      </c>
      <c r="E220" s="120" t="str">
        <f>IF(ISNA(VLOOKUP($F220,Declarations!$B$6:$D$293,3,FALSE)),"",IF(VLOOKUP($F220,Declarations!$B$6:$D$293,3,FALSE)="","NOT DECLARED",VLOOKUP($F220,Declarations!$B$6:$D$293,3,FALSE)&amp;LEFT(VLOOKUP($F220,Declarations!$B$6:$E$293,4,FALSE))))</f>
        <v/>
      </c>
      <c r="F220" s="59"/>
      <c r="G220" s="130"/>
      <c r="H220" s="130"/>
      <c r="I220" s="122" t="str">
        <f>IF(ISNA(VLOOKUP(F220,Declarations!B$6:C$293,2,FALSE)),"",IF(VLOOKUP(F220,Declarations!B$6:C$293,2,FALSE)="","NOT DECLARED",VLOOKUP(F220,Declarations!B$6:C$293,2,FALSE)))</f>
        <v/>
      </c>
      <c r="J220" s="120">
        <f>IF(LOWER(G220)="dnf",1,IF(G220&lt;ScoringTable!B$3,ScoringTable!I$2,VLOOKUP((1000-G220),ScoringTable!G$2:I$95,3)))</f>
        <v>0</v>
      </c>
      <c r="K220" s="120" t="str" cm="1">
        <f t="array" ref="K220">IF(OR(E220="",G220=""),"",_xlfn.IFS(E220="U10B",_xlfn.XLOOKUP(G220,Data!$D$2:$L$2,Data!$D$1:$L$1,"",1,1),E220="U12B",_xlfn.XLOOKUP(G220,Data!$D$8:$L$8,Data!$D$1:$L$1,"",1,1),E220="U10G",_xlfn.XLOOKUP(G220,Data!$D$15:$L$15,Data!$D$1:$L$1,"",1,1),E220="U12G",_xlfn.XLOOKUP(G220,Data!$D$21:$L$21,Data!$D$1:$L$1,"",1,1)))</f>
        <v/>
      </c>
      <c r="L220" s="184" t="str" cm="1">
        <f t="array" ref="L220">IFERROR(_xlfn.IFNA(
                      _xlfn.IFS(
                      G220="", "",
                      AND(E220="U10B",G220&lt;=Data!$M$2), "U10 Boys record",
                      AND(E220="U12B",G220&lt;=Data!$M$8), "U12 Boys record",
                      AND(E220="U10G",G220&lt;=Data!$M$15), "U10 Girls record",
                      AND(E220="U12G",G220&lt;=Data!$M$21), "U12 Girls record"
                       ),""), "")</f>
        <v/>
      </c>
      <c r="M220" s="19" cm="1">
        <f t="array" ref="M220">_xlfn.IFS($G220="",0, AND(NOT(ISNUMBER($G220)),LOWER($G220)&lt;&gt;"dnf"),"Not a valid time",OR(LOWER($G220)="dnf",$G220&gt;ScoringTable!$M$161),1,RIGHT($E220,1)="B",_xlfn.XLOOKUP($G220,ScoringTable!$M$2:$M$161,ScoringTable!$L$2:$L$161,,1),TRUE,_xlfn.XLOOKUP($G220,ScoringTable!$S$2:$S$161,ScoringTable!$R$2:$R$161,,1))</f>
        <v>0</v>
      </c>
    </row>
    <row r="221" spans="1:13" s="7" customFormat="1" ht="16" customHeight="1">
      <c r="A221" s="280" t="s">
        <v>2</v>
      </c>
      <c r="B221" s="122" t="str">
        <f>IF(ISNA(VLOOKUP($F221,Declarations!B$6:C$293,2,FALSE)),"",IF(VLOOKUP($F221,Declarations!B$6:C$293,2,FALSE)="","NOT DECLARED",IF(ISNA(_xlfn.TEXTBEFORE(VLOOKUP($F221,Declarations!B$6:C$293,2,FALSE)," ")),VLOOKUP($F221,Declarations!B$6:C$293,2,FALSE),_xlfn.TEXTBEFORE(VLOOKUP($F221,Declarations!B$6:C$293,2,FALSE)," "))))</f>
        <v/>
      </c>
      <c r="C221" s="122" t="str">
        <f>IF(ISNA(VLOOKUP($F221,Declarations!B$6:C$293,2,FALSE)),"",IF(VLOOKUP($F221,Declarations!B$6:C$293,2,FALSE)="","NOT DECLARED",IF(ISNA(_xlfn.TEXTAFTER(VLOOKUP($F221,Declarations!B$6:C$293,2,FALSE)," ")),VLOOKUP($F221,Declarations!B$6:C$293,2,FALSE),_xlfn.TEXTAFTER(VLOOKUP($F221,Declarations!B$6:C$293,2,FALSE)," "))))</f>
        <v/>
      </c>
      <c r="D221" s="122" t="str">
        <f>IF(ISNA(VLOOKUP($F221,Declarations!$B$6:$F$293,5,FALSE)),"",IF(VLOOKUP($F221,Declarations!$B$6:$F$293,5,FALSE)="","NOT DECLARED",VLOOKUP($F221,Declarations!$B$6:$F$293,5,FALSE)))</f>
        <v/>
      </c>
      <c r="E221" s="120" t="str">
        <f>IF(ISNA(VLOOKUP($F221,Declarations!$B$6:$D$293,3,FALSE)),"",IF(VLOOKUP($F221,Declarations!$B$6:$D$293,3,FALSE)="","NOT DECLARED",VLOOKUP($F221,Declarations!$B$6:$D$293,3,FALSE)&amp;LEFT(VLOOKUP($F221,Declarations!$B$6:$E$293,4,FALSE))))</f>
        <v/>
      </c>
      <c r="F221" s="59"/>
      <c r="G221" s="130"/>
      <c r="H221" s="130"/>
      <c r="I221" s="122" t="str">
        <f>IF(ISNA(VLOOKUP(F221,Declarations!B$6:C$293,2,FALSE)),"",IF(VLOOKUP(F221,Declarations!B$6:C$293,2,FALSE)="","NOT DECLARED",VLOOKUP(F221,Declarations!B$6:C$293,2,FALSE)))</f>
        <v/>
      </c>
      <c r="J221" s="120">
        <f>IF(LOWER(G221)="dnf",1,IF(G221&lt;ScoringTable!B$3,ScoringTable!I$2,VLOOKUP((1000-G221),ScoringTable!G$2:I$95,3)))</f>
        <v>0</v>
      </c>
      <c r="K221" s="120" t="str" cm="1">
        <f t="array" ref="K221">IF(OR(E221="",G221=""),"",_xlfn.IFS(E221="U10B",_xlfn.XLOOKUP(G221,Data!$D$2:$L$2,Data!$D$1:$L$1,"",1,1),E221="U12B",_xlfn.XLOOKUP(G221,Data!$D$8:$L$8,Data!$D$1:$L$1,"",1,1),E221="U10G",_xlfn.XLOOKUP(G221,Data!$D$15:$L$15,Data!$D$1:$L$1,"",1,1),E221="U12G",_xlfn.XLOOKUP(G221,Data!$D$21:$L$21,Data!$D$1:$L$1,"",1,1)))</f>
        <v/>
      </c>
      <c r="L221" s="184" t="str" cm="1">
        <f t="array" ref="L221">IFERROR(_xlfn.IFNA(
                      _xlfn.IFS(
                      G221="", "",
                      AND(E221="U10B",G221&lt;=Data!$M$2), "U10 Boys record",
                      AND(E221="U12B",G221&lt;=Data!$M$8), "U12 Boys record",
                      AND(E221="U10G",G221&lt;=Data!$M$15), "U10 Girls record",
                      AND(E221="U12G",G221&lt;=Data!$M$21), "U12 Girls record"
                       ),""), "")</f>
        <v/>
      </c>
      <c r="M221" s="19" cm="1">
        <f t="array" ref="M221">_xlfn.IFS($G221="",0, AND(NOT(ISNUMBER($G221)),LOWER($G221)&lt;&gt;"dnf"),"Not a valid time",OR(LOWER($G221)="dnf",$G221&gt;ScoringTable!$M$161),1,RIGHT($E221,1)="B",_xlfn.XLOOKUP($G221,ScoringTable!$M$2:$M$161,ScoringTable!$L$2:$L$161,,1),TRUE,_xlfn.XLOOKUP($G221,ScoringTable!$S$2:$S$161,ScoringTable!$R$2:$R$161,,1))</f>
        <v>0</v>
      </c>
    </row>
    <row r="222" spans="1:13" s="7" customFormat="1" ht="16" customHeight="1">
      <c r="A222" s="280" t="s">
        <v>2</v>
      </c>
      <c r="B222" s="122" t="str">
        <f>IF(ISNA(VLOOKUP($F222,Declarations!B$6:C$293,2,FALSE)),"",IF(VLOOKUP($F222,Declarations!B$6:C$293,2,FALSE)="","NOT DECLARED",IF(ISNA(_xlfn.TEXTBEFORE(VLOOKUP($F222,Declarations!B$6:C$293,2,FALSE)," ")),VLOOKUP($F222,Declarations!B$6:C$293,2,FALSE),_xlfn.TEXTBEFORE(VLOOKUP($F222,Declarations!B$6:C$293,2,FALSE)," "))))</f>
        <v/>
      </c>
      <c r="C222" s="122" t="str">
        <f>IF(ISNA(VLOOKUP($F222,Declarations!B$6:C$293,2,FALSE)),"",IF(VLOOKUP($F222,Declarations!B$6:C$293,2,FALSE)="","NOT DECLARED",IF(ISNA(_xlfn.TEXTAFTER(VLOOKUP($F222,Declarations!B$6:C$293,2,FALSE)," ")),VLOOKUP($F222,Declarations!B$6:C$293,2,FALSE),_xlfn.TEXTAFTER(VLOOKUP($F222,Declarations!B$6:C$293,2,FALSE)," "))))</f>
        <v/>
      </c>
      <c r="D222" s="122" t="str">
        <f>IF(ISNA(VLOOKUP($F222,Declarations!$B$6:$F$293,5,FALSE)),"",IF(VLOOKUP($F222,Declarations!$B$6:$F$293,5,FALSE)="","NOT DECLARED",VLOOKUP($F222,Declarations!$B$6:$F$293,5,FALSE)))</f>
        <v/>
      </c>
      <c r="E222" s="120" t="str">
        <f>IF(ISNA(VLOOKUP($F222,Declarations!$B$6:$D$293,3,FALSE)),"",IF(VLOOKUP($F222,Declarations!$B$6:$D$293,3,FALSE)="","NOT DECLARED",VLOOKUP($F222,Declarations!$B$6:$D$293,3,FALSE)&amp;LEFT(VLOOKUP($F222,Declarations!$B$6:$E$293,4,FALSE))))</f>
        <v/>
      </c>
      <c r="F222" s="59"/>
      <c r="G222" s="130"/>
      <c r="H222" s="130"/>
      <c r="I222" s="122" t="str">
        <f>IF(ISNA(VLOOKUP(F222,Declarations!B$6:C$293,2,FALSE)),"",IF(VLOOKUP(F222,Declarations!B$6:C$293,2,FALSE)="","NOT DECLARED",VLOOKUP(F222,Declarations!B$6:C$293,2,FALSE)))</f>
        <v/>
      </c>
      <c r="J222" s="120">
        <f>IF(LOWER(G222)="dnf",1,IF(G222&lt;ScoringTable!B$3,ScoringTable!I$2,VLOOKUP((1000-G222),ScoringTable!G$2:I$95,3)))</f>
        <v>0</v>
      </c>
      <c r="K222" s="120" t="str" cm="1">
        <f t="array" ref="K222">IF(OR(E222="",G222=""),"",_xlfn.IFS(E222="U10B",_xlfn.XLOOKUP(G222,Data!$D$2:$L$2,Data!$D$1:$L$1,"",1,1),E222="U12B",_xlfn.XLOOKUP(G222,Data!$D$8:$L$8,Data!$D$1:$L$1,"",1,1),E222="U10G",_xlfn.XLOOKUP(G222,Data!$D$15:$L$15,Data!$D$1:$L$1,"",1,1),E222="U12G",_xlfn.XLOOKUP(G222,Data!$D$21:$L$21,Data!$D$1:$L$1,"",1,1)))</f>
        <v/>
      </c>
      <c r="L222" s="184" t="str" cm="1">
        <f t="array" ref="L222">IFERROR(_xlfn.IFNA(
                      _xlfn.IFS(
                      G222="", "",
                      AND(E222="U10B",G222&lt;=Data!$M$2), "U10 Boys record",
                      AND(E222="U12B",G222&lt;=Data!$M$8), "U12 Boys record",
                      AND(E222="U10G",G222&lt;=Data!$M$15), "U10 Girls record",
                      AND(E222="U12G",G222&lt;=Data!$M$21), "U12 Girls record"
                       ),""), "")</f>
        <v/>
      </c>
      <c r="M222" s="19" cm="1">
        <f t="array" ref="M222">_xlfn.IFS($G222="",0, AND(NOT(ISNUMBER($G222)),LOWER($G222)&lt;&gt;"dnf"),"Not a valid time",OR(LOWER($G222)="dnf",$G222&gt;ScoringTable!$M$161),1,RIGHT($E222,1)="B",_xlfn.XLOOKUP($G222,ScoringTable!$M$2:$M$161,ScoringTable!$L$2:$L$161,,1),TRUE,_xlfn.XLOOKUP($G222,ScoringTable!$S$2:$S$161,ScoringTable!$R$2:$R$161,,1))</f>
        <v>0</v>
      </c>
    </row>
    <row r="223" spans="1:13" s="7" customFormat="1" ht="16" customHeight="1">
      <c r="A223" s="280" t="s">
        <v>2</v>
      </c>
      <c r="B223" s="122" t="str">
        <f>IF(ISNA(VLOOKUP($F223,Declarations!B$6:C$293,2,FALSE)),"",IF(VLOOKUP($F223,Declarations!B$6:C$293,2,FALSE)="","NOT DECLARED",IF(ISNA(_xlfn.TEXTBEFORE(VLOOKUP($F223,Declarations!B$6:C$293,2,FALSE)," ")),VLOOKUP($F223,Declarations!B$6:C$293,2,FALSE),_xlfn.TEXTBEFORE(VLOOKUP($F223,Declarations!B$6:C$293,2,FALSE)," "))))</f>
        <v/>
      </c>
      <c r="C223" s="122" t="str">
        <f>IF(ISNA(VLOOKUP($F223,Declarations!B$6:C$293,2,FALSE)),"",IF(VLOOKUP($F223,Declarations!B$6:C$293,2,FALSE)="","NOT DECLARED",IF(ISNA(_xlfn.TEXTAFTER(VLOOKUP($F223,Declarations!B$6:C$293,2,FALSE)," ")),VLOOKUP($F223,Declarations!B$6:C$293,2,FALSE),_xlfn.TEXTAFTER(VLOOKUP($F223,Declarations!B$6:C$293,2,FALSE)," "))))</f>
        <v/>
      </c>
      <c r="D223" s="122" t="str">
        <f>IF(ISNA(VLOOKUP($F223,Declarations!$B$6:$F$293,5,FALSE)),"",IF(VLOOKUP($F223,Declarations!$B$6:$F$293,5,FALSE)="","NOT DECLARED",VLOOKUP($F223,Declarations!$B$6:$F$293,5,FALSE)))</f>
        <v/>
      </c>
      <c r="E223" s="120" t="str">
        <f>IF(ISNA(VLOOKUP($F223,Declarations!$B$6:$D$293,3,FALSE)),"",IF(VLOOKUP($F223,Declarations!$B$6:$D$293,3,FALSE)="","NOT DECLARED",VLOOKUP($F223,Declarations!$B$6:$D$293,3,FALSE)&amp;LEFT(VLOOKUP($F223,Declarations!$B$6:$E$293,4,FALSE))))</f>
        <v/>
      </c>
      <c r="F223" s="59"/>
      <c r="G223" s="130"/>
      <c r="H223" s="130"/>
      <c r="I223" s="122" t="str">
        <f>IF(ISNA(VLOOKUP(F223,Declarations!B$6:C$293,2,FALSE)),"",IF(VLOOKUP(F223,Declarations!B$6:C$293,2,FALSE)="","NOT DECLARED",VLOOKUP(F223,Declarations!B$6:C$293,2,FALSE)))</f>
        <v/>
      </c>
      <c r="J223" s="120">
        <f>IF(LOWER(G223)="dnf",1,IF(G223&lt;ScoringTable!B$3,ScoringTable!I$2,VLOOKUP((1000-G223),ScoringTable!G$2:I$95,3)))</f>
        <v>0</v>
      </c>
      <c r="K223" s="120" t="str" cm="1">
        <f t="array" ref="K223">IF(OR(E223="",G223=""),"",_xlfn.IFS(E223="U10B",_xlfn.XLOOKUP(G223,Data!$D$2:$L$2,Data!$D$1:$L$1,"",1,1),E223="U12B",_xlfn.XLOOKUP(G223,Data!$D$8:$L$8,Data!$D$1:$L$1,"",1,1),E223="U10G",_xlfn.XLOOKUP(G223,Data!$D$15:$L$15,Data!$D$1:$L$1,"",1,1),E223="U12G",_xlfn.XLOOKUP(G223,Data!$D$21:$L$21,Data!$D$1:$L$1,"",1,1)))</f>
        <v/>
      </c>
      <c r="L223" s="184" t="str" cm="1">
        <f t="array" ref="L223">IFERROR(_xlfn.IFNA(
                      _xlfn.IFS(
                      G223="", "",
                      AND(E223="U10B",G223&lt;=Data!$M$2), "U10 Boys record",
                      AND(E223="U12B",G223&lt;=Data!$M$8), "U12 Boys record",
                      AND(E223="U10G",G223&lt;=Data!$M$15), "U10 Girls record",
                      AND(E223="U12G",G223&lt;=Data!$M$21), "U12 Girls record"
                       ),""), "")</f>
        <v/>
      </c>
      <c r="M223" s="19" cm="1">
        <f t="array" ref="M223">_xlfn.IFS($G223="",0, AND(NOT(ISNUMBER($G223)),LOWER($G223)&lt;&gt;"dnf"),"Not a valid time",OR(LOWER($G223)="dnf",$G223&gt;ScoringTable!$M$161),1,RIGHT($E223,1)="B",_xlfn.XLOOKUP($G223,ScoringTable!$M$2:$M$161,ScoringTable!$L$2:$L$161,,1),TRUE,_xlfn.XLOOKUP($G223,ScoringTable!$S$2:$S$161,ScoringTable!$R$2:$R$161,,1))</f>
        <v>0</v>
      </c>
    </row>
    <row r="224" spans="1:13" s="7" customFormat="1" ht="16" customHeight="1">
      <c r="A224" s="280" t="s">
        <v>2</v>
      </c>
      <c r="B224" s="122" t="str">
        <f>IF(ISNA(VLOOKUP($F224,Declarations!B$6:C$293,2,FALSE)),"",IF(VLOOKUP($F224,Declarations!B$6:C$293,2,FALSE)="","NOT DECLARED",IF(ISNA(_xlfn.TEXTBEFORE(VLOOKUP($F224,Declarations!B$6:C$293,2,FALSE)," ")),VLOOKUP($F224,Declarations!B$6:C$293,2,FALSE),_xlfn.TEXTBEFORE(VLOOKUP($F224,Declarations!B$6:C$293,2,FALSE)," "))))</f>
        <v/>
      </c>
      <c r="C224" s="122" t="str">
        <f>IF(ISNA(VLOOKUP($F224,Declarations!B$6:C$293,2,FALSE)),"",IF(VLOOKUP($F224,Declarations!B$6:C$293,2,FALSE)="","NOT DECLARED",IF(ISNA(_xlfn.TEXTAFTER(VLOOKUP($F224,Declarations!B$6:C$293,2,FALSE)," ")),VLOOKUP($F224,Declarations!B$6:C$293,2,FALSE),_xlfn.TEXTAFTER(VLOOKUP($F224,Declarations!B$6:C$293,2,FALSE)," "))))</f>
        <v/>
      </c>
      <c r="D224" s="122" t="str">
        <f>IF(ISNA(VLOOKUP($F224,Declarations!$B$6:$F$293,5,FALSE)),"",IF(VLOOKUP($F224,Declarations!$B$6:$F$293,5,FALSE)="","NOT DECLARED",VLOOKUP($F224,Declarations!$B$6:$F$293,5,FALSE)))</f>
        <v/>
      </c>
      <c r="E224" s="120" t="str">
        <f>IF(ISNA(VLOOKUP($F224,Declarations!$B$6:$D$293,3,FALSE)),"",IF(VLOOKUP($F224,Declarations!$B$6:$D$293,3,FALSE)="","NOT DECLARED",VLOOKUP($F224,Declarations!$B$6:$D$293,3,FALSE)&amp;LEFT(VLOOKUP($F224,Declarations!$B$6:$E$293,4,FALSE))))</f>
        <v/>
      </c>
      <c r="F224" s="59"/>
      <c r="G224" s="130"/>
      <c r="H224" s="130"/>
      <c r="I224" s="122" t="str">
        <f>IF(ISNA(VLOOKUP(F224,Declarations!B$6:C$293,2,FALSE)),"",IF(VLOOKUP(F224,Declarations!B$6:C$293,2,FALSE)="","NOT DECLARED",VLOOKUP(F224,Declarations!B$6:C$293,2,FALSE)))</f>
        <v/>
      </c>
      <c r="J224" s="120">
        <f>IF(LOWER(G224)="dnf",1,IF(G224&lt;ScoringTable!B$3,ScoringTable!I$2,VLOOKUP((1000-G224),ScoringTable!G$2:I$95,3)))</f>
        <v>0</v>
      </c>
      <c r="K224" s="120" t="str" cm="1">
        <f t="array" ref="K224">IF(OR(E224="",G224=""),"",_xlfn.IFS(E224="U10B",_xlfn.XLOOKUP(G224,Data!$D$2:$L$2,Data!$D$1:$L$1,"",1,1),E224="U12B",_xlfn.XLOOKUP(G224,Data!$D$8:$L$8,Data!$D$1:$L$1,"",1,1),E224="U10G",_xlfn.XLOOKUP(G224,Data!$D$15:$L$15,Data!$D$1:$L$1,"",1,1),E224="U12G",_xlfn.XLOOKUP(G224,Data!$D$21:$L$21,Data!$D$1:$L$1,"",1,1)))</f>
        <v/>
      </c>
      <c r="L224" s="184" t="str" cm="1">
        <f t="array" ref="L224">IFERROR(_xlfn.IFNA(
                      _xlfn.IFS(
                      G224="", "",
                      AND(E224="U10B",G224&lt;=Data!$M$2), "U10 Boys record",
                      AND(E224="U12B",G224&lt;=Data!$M$8), "U12 Boys record",
                      AND(E224="U10G",G224&lt;=Data!$M$15), "U10 Girls record",
                      AND(E224="U12G",G224&lt;=Data!$M$21), "U12 Girls record"
                       ),""), "")</f>
        <v/>
      </c>
      <c r="M224" s="19" cm="1">
        <f t="array" ref="M224">_xlfn.IFS($G224="",0, AND(NOT(ISNUMBER($G224)),LOWER($G224)&lt;&gt;"dnf"),"Not a valid time",OR(LOWER($G224)="dnf",$G224&gt;ScoringTable!$M$161),1,RIGHT($E224,1)="B",_xlfn.XLOOKUP($G224,ScoringTable!$M$2:$M$161,ScoringTable!$L$2:$L$161,,1),TRUE,_xlfn.XLOOKUP($G224,ScoringTable!$S$2:$S$161,ScoringTable!$R$2:$R$161,,1))</f>
        <v>0</v>
      </c>
    </row>
    <row r="225" spans="1:13" s="7" customFormat="1" ht="16" customHeight="1">
      <c r="A225" s="280" t="s">
        <v>2</v>
      </c>
      <c r="B225" s="122" t="str">
        <f>IF(ISNA(VLOOKUP($F225,Declarations!B$6:C$293,2,FALSE)),"",IF(VLOOKUP($F225,Declarations!B$6:C$293,2,FALSE)="","NOT DECLARED",IF(ISNA(_xlfn.TEXTBEFORE(VLOOKUP($F225,Declarations!B$6:C$293,2,FALSE)," ")),VLOOKUP($F225,Declarations!B$6:C$293,2,FALSE),_xlfn.TEXTBEFORE(VLOOKUP($F225,Declarations!B$6:C$293,2,FALSE)," "))))</f>
        <v/>
      </c>
      <c r="C225" s="122" t="str">
        <f>IF(ISNA(VLOOKUP($F225,Declarations!B$6:C$293,2,FALSE)),"",IF(VLOOKUP($F225,Declarations!B$6:C$293,2,FALSE)="","NOT DECLARED",IF(ISNA(_xlfn.TEXTAFTER(VLOOKUP($F225,Declarations!B$6:C$293,2,FALSE)," ")),VLOOKUP($F225,Declarations!B$6:C$293,2,FALSE),_xlfn.TEXTAFTER(VLOOKUP($F225,Declarations!B$6:C$293,2,FALSE)," "))))</f>
        <v/>
      </c>
      <c r="D225" s="122" t="str">
        <f>IF(ISNA(VLOOKUP($F225,Declarations!$B$6:$F$293,5,FALSE)),"",IF(VLOOKUP($F225,Declarations!$B$6:$F$293,5,FALSE)="","NOT DECLARED",VLOOKUP($F225,Declarations!$B$6:$F$293,5,FALSE)))</f>
        <v/>
      </c>
      <c r="E225" s="120" t="str">
        <f>IF(ISNA(VLOOKUP($F225,Declarations!$B$6:$D$293,3,FALSE)),"",IF(VLOOKUP($F225,Declarations!$B$6:$D$293,3,FALSE)="","NOT DECLARED",VLOOKUP($F225,Declarations!$B$6:$D$293,3,FALSE)&amp;LEFT(VLOOKUP($F225,Declarations!$B$6:$E$293,4,FALSE))))</f>
        <v/>
      </c>
      <c r="F225" s="59"/>
      <c r="G225" s="130"/>
      <c r="H225" s="130"/>
      <c r="I225" s="122" t="str">
        <f>IF(ISNA(VLOOKUP(F225,Declarations!B$6:C$293,2,FALSE)),"",IF(VLOOKUP(F225,Declarations!B$6:C$293,2,FALSE)="","NOT DECLARED",VLOOKUP(F225,Declarations!B$6:C$293,2,FALSE)))</f>
        <v/>
      </c>
      <c r="J225" s="120">
        <f>IF(LOWER(G225)="dnf",1,IF(G225&lt;ScoringTable!B$3,ScoringTable!I$2,VLOOKUP((1000-G225),ScoringTable!G$2:I$95,3)))</f>
        <v>0</v>
      </c>
      <c r="K225" s="120" t="str" cm="1">
        <f t="array" ref="K225">IF(OR(E225="",G225=""),"",_xlfn.IFS(E225="U10B",_xlfn.XLOOKUP(G225,Data!$D$2:$L$2,Data!$D$1:$L$1,"",1,1),E225="U12B",_xlfn.XLOOKUP(G225,Data!$D$8:$L$8,Data!$D$1:$L$1,"",1,1),E225="U10G",_xlfn.XLOOKUP(G225,Data!$D$15:$L$15,Data!$D$1:$L$1,"",1,1),E225="U12G",_xlfn.XLOOKUP(G225,Data!$D$21:$L$21,Data!$D$1:$L$1,"",1,1)))</f>
        <v/>
      </c>
      <c r="L225" s="184" t="str" cm="1">
        <f t="array" ref="L225">IFERROR(_xlfn.IFNA(
                      _xlfn.IFS(
                      G225="", "",
                      AND(E225="U10B",G225&lt;=Data!$M$2), "U10 Boys record",
                      AND(E225="U12B",G225&lt;=Data!$M$8), "U12 Boys record",
                      AND(E225="U10G",G225&lt;=Data!$M$15), "U10 Girls record",
                      AND(E225="U12G",G225&lt;=Data!$M$21), "U12 Girls record"
                       ),""), "")</f>
        <v/>
      </c>
      <c r="M225" s="19" cm="1">
        <f t="array" ref="M225">_xlfn.IFS($G225="",0, AND(NOT(ISNUMBER($G225)),LOWER($G225)&lt;&gt;"dnf"),"Not a valid time",OR(LOWER($G225)="dnf",$G225&gt;ScoringTable!$M$161),1,RIGHT($E225,1)="B",_xlfn.XLOOKUP($G225,ScoringTable!$M$2:$M$161,ScoringTable!$L$2:$L$161,,1),TRUE,_xlfn.XLOOKUP($G225,ScoringTable!$S$2:$S$161,ScoringTable!$R$2:$R$161,,1))</f>
        <v>0</v>
      </c>
    </row>
    <row r="226" spans="1:13" s="7" customFormat="1" ht="16" customHeight="1">
      <c r="A226" s="280" t="s">
        <v>2</v>
      </c>
      <c r="B226" s="122" t="str">
        <f>IF(ISNA(VLOOKUP($F226,Declarations!B$6:C$293,2,FALSE)),"",IF(VLOOKUP($F226,Declarations!B$6:C$293,2,FALSE)="","NOT DECLARED",IF(ISNA(_xlfn.TEXTBEFORE(VLOOKUP($F226,Declarations!B$6:C$293,2,FALSE)," ")),VLOOKUP($F226,Declarations!B$6:C$293,2,FALSE),_xlfn.TEXTBEFORE(VLOOKUP($F226,Declarations!B$6:C$293,2,FALSE)," "))))</f>
        <v/>
      </c>
      <c r="C226" s="122" t="str">
        <f>IF(ISNA(VLOOKUP($F226,Declarations!B$6:C$293,2,FALSE)),"",IF(VLOOKUP($F226,Declarations!B$6:C$293,2,FALSE)="","NOT DECLARED",IF(ISNA(_xlfn.TEXTAFTER(VLOOKUP($F226,Declarations!B$6:C$293,2,FALSE)," ")),VLOOKUP($F226,Declarations!B$6:C$293,2,FALSE),_xlfn.TEXTAFTER(VLOOKUP($F226,Declarations!B$6:C$293,2,FALSE)," "))))</f>
        <v/>
      </c>
      <c r="D226" s="122" t="str">
        <f>IF(ISNA(VLOOKUP($F226,Declarations!$B$6:$F$293,5,FALSE)),"",IF(VLOOKUP($F226,Declarations!$B$6:$F$293,5,FALSE)="","NOT DECLARED",VLOOKUP($F226,Declarations!$B$6:$F$293,5,FALSE)))</f>
        <v/>
      </c>
      <c r="E226" s="120" t="str">
        <f>IF(ISNA(VLOOKUP($F226,Declarations!$B$6:$D$293,3,FALSE)),"",IF(VLOOKUP($F226,Declarations!$B$6:$D$293,3,FALSE)="","NOT DECLARED",VLOOKUP($F226,Declarations!$B$6:$D$293,3,FALSE)&amp;LEFT(VLOOKUP($F226,Declarations!$B$6:$E$293,4,FALSE))))</f>
        <v/>
      </c>
      <c r="F226" s="59"/>
      <c r="G226" s="130"/>
      <c r="H226" s="130"/>
      <c r="I226" s="122" t="str">
        <f>IF(ISNA(VLOOKUP(F226,Declarations!B$6:C$293,2,FALSE)),"",IF(VLOOKUP(F226,Declarations!B$6:C$293,2,FALSE)="","NOT DECLARED",VLOOKUP(F226,Declarations!B$6:C$293,2,FALSE)))</f>
        <v/>
      </c>
      <c r="J226" s="120">
        <f>IF(LOWER(G226)="dnf",1,IF(G226&lt;ScoringTable!B$3,ScoringTable!I$2,VLOOKUP((1000-G226),ScoringTable!G$2:I$95,3)))</f>
        <v>0</v>
      </c>
      <c r="K226" s="120" t="str" cm="1">
        <f t="array" ref="K226">IF(OR(E226="",G226=""),"",_xlfn.IFS(E226="U10B",_xlfn.XLOOKUP(G226,Data!$D$2:$L$2,Data!$D$1:$L$1,"",1,1),E226="U12B",_xlfn.XLOOKUP(G226,Data!$D$8:$L$8,Data!$D$1:$L$1,"",1,1),E226="U10G",_xlfn.XLOOKUP(G226,Data!$D$15:$L$15,Data!$D$1:$L$1,"",1,1),E226="U12G",_xlfn.XLOOKUP(G226,Data!$D$21:$L$21,Data!$D$1:$L$1,"",1,1)))</f>
        <v/>
      </c>
      <c r="L226" s="184" t="str" cm="1">
        <f t="array" ref="L226">IFERROR(_xlfn.IFNA(
                      _xlfn.IFS(
                      G226="", "",
                      AND(E226="U10B",G226&lt;=Data!$M$2), "U10 Boys record",
                      AND(E226="U12B",G226&lt;=Data!$M$8), "U12 Boys record",
                      AND(E226="U10G",G226&lt;=Data!$M$15), "U10 Girls record",
                      AND(E226="U12G",G226&lt;=Data!$M$21), "U12 Girls record"
                       ),""), "")</f>
        <v/>
      </c>
      <c r="M226" s="19" cm="1">
        <f t="array" ref="M226">_xlfn.IFS($G226="",0, AND(NOT(ISNUMBER($G226)),LOWER($G226)&lt;&gt;"dnf"),"Not a valid time",OR(LOWER($G226)="dnf",$G226&gt;ScoringTable!$M$161),1,RIGHT($E226,1)="B",_xlfn.XLOOKUP($G226,ScoringTable!$M$2:$M$161,ScoringTable!$L$2:$L$161,,1),TRUE,_xlfn.XLOOKUP($G226,ScoringTable!$S$2:$S$161,ScoringTable!$R$2:$R$161,,1))</f>
        <v>0</v>
      </c>
    </row>
    <row r="227" spans="1:13" s="7" customFormat="1" ht="16" customHeight="1">
      <c r="A227" s="280" t="s">
        <v>2</v>
      </c>
      <c r="B227" s="122" t="str">
        <f>IF(ISNA(VLOOKUP($F227,Declarations!B$6:C$293,2,FALSE)),"",IF(VLOOKUP($F227,Declarations!B$6:C$293,2,FALSE)="","NOT DECLARED",IF(ISNA(_xlfn.TEXTBEFORE(VLOOKUP($F227,Declarations!B$6:C$293,2,FALSE)," ")),VLOOKUP($F227,Declarations!B$6:C$293,2,FALSE),_xlfn.TEXTBEFORE(VLOOKUP($F227,Declarations!B$6:C$293,2,FALSE)," "))))</f>
        <v/>
      </c>
      <c r="C227" s="122" t="str">
        <f>IF(ISNA(VLOOKUP($F227,Declarations!B$6:C$293,2,FALSE)),"",IF(VLOOKUP($F227,Declarations!B$6:C$293,2,FALSE)="","NOT DECLARED",IF(ISNA(_xlfn.TEXTAFTER(VLOOKUP($F227,Declarations!B$6:C$293,2,FALSE)," ")),VLOOKUP($F227,Declarations!B$6:C$293,2,FALSE),_xlfn.TEXTAFTER(VLOOKUP($F227,Declarations!B$6:C$293,2,FALSE)," "))))</f>
        <v/>
      </c>
      <c r="D227" s="122" t="str">
        <f>IF(ISNA(VLOOKUP($F227,Declarations!$B$6:$F$293,5,FALSE)),"",IF(VLOOKUP($F227,Declarations!$B$6:$F$293,5,FALSE)="","NOT DECLARED",VLOOKUP($F227,Declarations!$B$6:$F$293,5,FALSE)))</f>
        <v/>
      </c>
      <c r="E227" s="120" t="str">
        <f>IF(ISNA(VLOOKUP($F227,Declarations!$B$6:$D$293,3,FALSE)),"",IF(VLOOKUP($F227,Declarations!$B$6:$D$293,3,FALSE)="","NOT DECLARED",VLOOKUP($F227,Declarations!$B$6:$D$293,3,FALSE)&amp;LEFT(VLOOKUP($F227,Declarations!$B$6:$E$293,4,FALSE))))</f>
        <v/>
      </c>
      <c r="F227" s="59"/>
      <c r="G227" s="130"/>
      <c r="H227" s="130"/>
      <c r="I227" s="122" t="str">
        <f>IF(ISNA(VLOOKUP(F227,Declarations!B$6:C$293,2,FALSE)),"",IF(VLOOKUP(F227,Declarations!B$6:C$293,2,FALSE)="","NOT DECLARED",VLOOKUP(F227,Declarations!B$6:C$293,2,FALSE)))</f>
        <v/>
      </c>
      <c r="J227" s="120">
        <f>IF(LOWER(G227)="dnf",1,IF(G227&lt;ScoringTable!B$3,ScoringTable!I$2,VLOOKUP((1000-G227),ScoringTable!G$2:I$95,3)))</f>
        <v>0</v>
      </c>
      <c r="K227" s="120" t="str" cm="1">
        <f t="array" ref="K227">IF(OR(E227="",G227=""),"",_xlfn.IFS(E227="U10B",_xlfn.XLOOKUP(G227,Data!$D$2:$L$2,Data!$D$1:$L$1,"",1,1),E227="U12B",_xlfn.XLOOKUP(G227,Data!$D$8:$L$8,Data!$D$1:$L$1,"",1,1),E227="U10G",_xlfn.XLOOKUP(G227,Data!$D$15:$L$15,Data!$D$1:$L$1,"",1,1),E227="U12G",_xlfn.XLOOKUP(G227,Data!$D$21:$L$21,Data!$D$1:$L$1,"",1,1)))</f>
        <v/>
      </c>
      <c r="L227" s="184" t="str" cm="1">
        <f t="array" ref="L227">IFERROR(_xlfn.IFNA(
                      _xlfn.IFS(
                      G227="", "",
                      AND(E227="U10B",G227&lt;=Data!$M$2), "U10 Boys record",
                      AND(E227="U12B",G227&lt;=Data!$M$8), "U12 Boys record",
                      AND(E227="U10G",G227&lt;=Data!$M$15), "U10 Girls record",
                      AND(E227="U12G",G227&lt;=Data!$M$21), "U12 Girls record"
                       ),""), "")</f>
        <v/>
      </c>
      <c r="M227" s="19" cm="1">
        <f t="array" ref="M227">_xlfn.IFS($G227="",0, AND(NOT(ISNUMBER($G227)),LOWER($G227)&lt;&gt;"dnf"),"Not a valid time",OR(LOWER($G227)="dnf",$G227&gt;ScoringTable!$M$161),1,RIGHT($E227,1)="B",_xlfn.XLOOKUP($G227,ScoringTable!$M$2:$M$161,ScoringTable!$L$2:$L$161,,1),TRUE,_xlfn.XLOOKUP($G227,ScoringTable!$S$2:$S$161,ScoringTable!$R$2:$R$161,,1))</f>
        <v>0</v>
      </c>
    </row>
    <row r="228" spans="1:13" s="7" customFormat="1" ht="16" customHeight="1">
      <c r="A228" s="280" t="s">
        <v>2</v>
      </c>
      <c r="B228" s="122" t="str">
        <f>IF(ISNA(VLOOKUP($F228,Declarations!B$6:C$293,2,FALSE)),"",IF(VLOOKUP($F228,Declarations!B$6:C$293,2,FALSE)="","NOT DECLARED",IF(ISNA(_xlfn.TEXTBEFORE(VLOOKUP($F228,Declarations!B$6:C$293,2,FALSE)," ")),VLOOKUP($F228,Declarations!B$6:C$293,2,FALSE),_xlfn.TEXTBEFORE(VLOOKUP($F228,Declarations!B$6:C$293,2,FALSE)," "))))</f>
        <v/>
      </c>
      <c r="C228" s="122" t="str">
        <f>IF(ISNA(VLOOKUP($F228,Declarations!B$6:C$293,2,FALSE)),"",IF(VLOOKUP($F228,Declarations!B$6:C$293,2,FALSE)="","NOT DECLARED",IF(ISNA(_xlfn.TEXTAFTER(VLOOKUP($F228,Declarations!B$6:C$293,2,FALSE)," ")),VLOOKUP($F228,Declarations!B$6:C$293,2,FALSE),_xlfn.TEXTAFTER(VLOOKUP($F228,Declarations!B$6:C$293,2,FALSE)," "))))</f>
        <v/>
      </c>
      <c r="D228" s="122" t="str">
        <f>IF(ISNA(VLOOKUP($F228,Declarations!$B$6:$F$293,5,FALSE)),"",IF(VLOOKUP($F228,Declarations!$B$6:$F$293,5,FALSE)="","NOT DECLARED",VLOOKUP($F228,Declarations!$B$6:$F$293,5,FALSE)))</f>
        <v/>
      </c>
      <c r="E228" s="120" t="str">
        <f>IF(ISNA(VLOOKUP($F228,Declarations!$B$6:$D$293,3,FALSE)),"",IF(VLOOKUP($F228,Declarations!$B$6:$D$293,3,FALSE)="","NOT DECLARED",VLOOKUP($F228,Declarations!$B$6:$D$293,3,FALSE)&amp;LEFT(VLOOKUP($F228,Declarations!$B$6:$E$293,4,FALSE))))</f>
        <v/>
      </c>
      <c r="F228" s="59"/>
      <c r="G228" s="130"/>
      <c r="H228" s="130"/>
      <c r="I228" s="122" t="str">
        <f>IF(ISNA(VLOOKUP(F228,Declarations!B$6:C$293,2,FALSE)),"",IF(VLOOKUP(F228,Declarations!B$6:C$293,2,FALSE)="","NOT DECLARED",VLOOKUP(F228,Declarations!B$6:C$293,2,FALSE)))</f>
        <v/>
      </c>
      <c r="J228" s="120">
        <f>IF(LOWER(G228)="dnf",1,IF(G228&lt;ScoringTable!B$3,ScoringTable!I$2,VLOOKUP((1000-G228),ScoringTable!G$2:I$95,3)))</f>
        <v>0</v>
      </c>
      <c r="K228" s="120" t="str" cm="1">
        <f t="array" ref="K228">IF(OR(E228="",G228=""),"",_xlfn.IFS(E228="U10B",_xlfn.XLOOKUP(G228,Data!$D$2:$L$2,Data!$D$1:$L$1,"",1,1),E228="U12B",_xlfn.XLOOKUP(G228,Data!$D$8:$L$8,Data!$D$1:$L$1,"",1,1),E228="U10G",_xlfn.XLOOKUP(G228,Data!$D$15:$L$15,Data!$D$1:$L$1,"",1,1),E228="U12G",_xlfn.XLOOKUP(G228,Data!$D$21:$L$21,Data!$D$1:$L$1,"",1,1)))</f>
        <v/>
      </c>
      <c r="L228" s="184" t="str" cm="1">
        <f t="array" ref="L228">IFERROR(_xlfn.IFNA(
                      _xlfn.IFS(
                      G228="", "",
                      AND(E228="U10B",G228&lt;=Data!$M$2), "U10 Boys record",
                      AND(E228="U12B",G228&lt;=Data!$M$8), "U12 Boys record",
                      AND(E228="U10G",G228&lt;=Data!$M$15), "U10 Girls record",
                      AND(E228="U12G",G228&lt;=Data!$M$21), "U12 Girls record"
                       ),""), "")</f>
        <v/>
      </c>
      <c r="M228" s="19" cm="1">
        <f t="array" ref="M228">_xlfn.IFS($G228="",0, AND(NOT(ISNUMBER($G228)),LOWER($G228)&lt;&gt;"dnf"),"Not a valid time",OR(LOWER($G228)="dnf",$G228&gt;ScoringTable!$M$161),1,RIGHT($E228,1)="B",_xlfn.XLOOKUP($G228,ScoringTable!$M$2:$M$161,ScoringTable!$L$2:$L$161,,1),TRUE,_xlfn.XLOOKUP($G228,ScoringTable!$S$2:$S$161,ScoringTable!$R$2:$R$161,,1))</f>
        <v>0</v>
      </c>
    </row>
    <row r="229" spans="1:13" s="7" customFormat="1" ht="16" customHeight="1">
      <c r="A229" s="280" t="s">
        <v>2</v>
      </c>
      <c r="B229" s="122" t="str">
        <f>IF(ISNA(VLOOKUP($F229,Declarations!B$6:C$293,2,FALSE)),"",IF(VLOOKUP($F229,Declarations!B$6:C$293,2,FALSE)="","NOT DECLARED",IF(ISNA(_xlfn.TEXTBEFORE(VLOOKUP($F229,Declarations!B$6:C$293,2,FALSE)," ")),VLOOKUP($F229,Declarations!B$6:C$293,2,FALSE),_xlfn.TEXTBEFORE(VLOOKUP($F229,Declarations!B$6:C$293,2,FALSE)," "))))</f>
        <v/>
      </c>
      <c r="C229" s="122" t="str">
        <f>IF(ISNA(VLOOKUP($F229,Declarations!B$6:C$293,2,FALSE)),"",IF(VLOOKUP($F229,Declarations!B$6:C$293,2,FALSE)="","NOT DECLARED",IF(ISNA(_xlfn.TEXTAFTER(VLOOKUP($F229,Declarations!B$6:C$293,2,FALSE)," ")),VLOOKUP($F229,Declarations!B$6:C$293,2,FALSE),_xlfn.TEXTAFTER(VLOOKUP($F229,Declarations!B$6:C$293,2,FALSE)," "))))</f>
        <v/>
      </c>
      <c r="D229" s="122" t="str">
        <f>IF(ISNA(VLOOKUP($F229,Declarations!$B$6:$F$293,5,FALSE)),"",IF(VLOOKUP($F229,Declarations!$B$6:$F$293,5,FALSE)="","NOT DECLARED",VLOOKUP($F229,Declarations!$B$6:$F$293,5,FALSE)))</f>
        <v/>
      </c>
      <c r="E229" s="120" t="str">
        <f>IF(ISNA(VLOOKUP($F229,Declarations!$B$6:$D$293,3,FALSE)),"",IF(VLOOKUP($F229,Declarations!$B$6:$D$293,3,FALSE)="","NOT DECLARED",VLOOKUP($F229,Declarations!$B$6:$D$293,3,FALSE)&amp;LEFT(VLOOKUP($F229,Declarations!$B$6:$E$293,4,FALSE))))</f>
        <v/>
      </c>
      <c r="F229" s="59"/>
      <c r="G229" s="130"/>
      <c r="H229" s="130"/>
      <c r="I229" s="122" t="str">
        <f>IF(ISNA(VLOOKUP(F229,Declarations!B$6:C$293,2,FALSE)),"",IF(VLOOKUP(F229,Declarations!B$6:C$293,2,FALSE)="","NOT DECLARED",VLOOKUP(F229,Declarations!B$6:C$293,2,FALSE)))</f>
        <v/>
      </c>
      <c r="J229" s="120">
        <f>IF(LOWER(G229)="dnf",1,IF(G229&lt;ScoringTable!B$3,ScoringTable!I$2,VLOOKUP((1000-G229),ScoringTable!G$2:I$95,3)))</f>
        <v>0</v>
      </c>
      <c r="K229" s="120" t="str" cm="1">
        <f t="array" ref="K229">IF(OR(E229="",G229=""),"",_xlfn.IFS(E229="U10B",_xlfn.XLOOKUP(G229,Data!$D$2:$L$2,Data!$D$1:$L$1,"",1,1),E229="U12B",_xlfn.XLOOKUP(G229,Data!$D$8:$L$8,Data!$D$1:$L$1,"",1,1),E229="U10G",_xlfn.XLOOKUP(G229,Data!$D$15:$L$15,Data!$D$1:$L$1,"",1,1),E229="U12G",_xlfn.XLOOKUP(G229,Data!$D$21:$L$21,Data!$D$1:$L$1,"",1,1)))</f>
        <v/>
      </c>
      <c r="L229" s="184" t="str" cm="1">
        <f t="array" ref="L229">IFERROR(_xlfn.IFNA(
                      _xlfn.IFS(
                      G229="", "",
                      AND(E229="U10B",G229&lt;=Data!$M$2), "U10 Boys record",
                      AND(E229="U12B",G229&lt;=Data!$M$8), "U12 Boys record",
                      AND(E229="U10G",G229&lt;=Data!$M$15), "U10 Girls record",
                      AND(E229="U12G",G229&lt;=Data!$M$21), "U12 Girls record"
                       ),""), "")</f>
        <v/>
      </c>
      <c r="M229" s="19" cm="1">
        <f t="array" ref="M229">_xlfn.IFS($G229="",0, AND(NOT(ISNUMBER($G229)),LOWER($G229)&lt;&gt;"dnf"),"Not a valid time",OR(LOWER($G229)="dnf",$G229&gt;ScoringTable!$M$161),1,RIGHT($E229,1)="B",_xlfn.XLOOKUP($G229,ScoringTable!$M$2:$M$161,ScoringTable!$L$2:$L$161,,1),TRUE,_xlfn.XLOOKUP($G229,ScoringTable!$S$2:$S$161,ScoringTable!$R$2:$R$161,,1))</f>
        <v>0</v>
      </c>
    </row>
    <row r="230" spans="1:13" s="7" customFormat="1" ht="16" customHeight="1">
      <c r="A230" s="280" t="s">
        <v>2</v>
      </c>
      <c r="B230" s="122" t="str">
        <f>IF(ISNA(VLOOKUP($F230,Declarations!B$6:C$293,2,FALSE)),"",IF(VLOOKUP($F230,Declarations!B$6:C$293,2,FALSE)="","NOT DECLARED",IF(ISNA(_xlfn.TEXTBEFORE(VLOOKUP($F230,Declarations!B$6:C$293,2,FALSE)," ")),VLOOKUP($F230,Declarations!B$6:C$293,2,FALSE),_xlfn.TEXTBEFORE(VLOOKUP($F230,Declarations!B$6:C$293,2,FALSE)," "))))</f>
        <v/>
      </c>
      <c r="C230" s="122" t="str">
        <f>IF(ISNA(VLOOKUP($F230,Declarations!B$6:C$293,2,FALSE)),"",IF(VLOOKUP($F230,Declarations!B$6:C$293,2,FALSE)="","NOT DECLARED",IF(ISNA(_xlfn.TEXTAFTER(VLOOKUP($F230,Declarations!B$6:C$293,2,FALSE)," ")),VLOOKUP($F230,Declarations!B$6:C$293,2,FALSE),_xlfn.TEXTAFTER(VLOOKUP($F230,Declarations!B$6:C$293,2,FALSE)," "))))</f>
        <v/>
      </c>
      <c r="D230" s="122" t="str">
        <f>IF(ISNA(VLOOKUP($F230,Declarations!$B$6:$F$293,5,FALSE)),"",IF(VLOOKUP($F230,Declarations!$B$6:$F$293,5,FALSE)="","NOT DECLARED",VLOOKUP($F230,Declarations!$B$6:$F$293,5,FALSE)))</f>
        <v/>
      </c>
      <c r="E230" s="120" t="str">
        <f>IF(ISNA(VLOOKUP($F230,Declarations!$B$6:$D$293,3,FALSE)),"",IF(VLOOKUP($F230,Declarations!$B$6:$D$293,3,FALSE)="","NOT DECLARED",VLOOKUP($F230,Declarations!$B$6:$D$293,3,FALSE)&amp;LEFT(VLOOKUP($F230,Declarations!$B$6:$E$293,4,FALSE))))</f>
        <v/>
      </c>
      <c r="F230" s="59"/>
      <c r="G230" s="130"/>
      <c r="H230" s="130"/>
      <c r="I230" s="122" t="str">
        <f>IF(ISNA(VLOOKUP(F230,Declarations!B$6:C$293,2,FALSE)),"",IF(VLOOKUP(F230,Declarations!B$6:C$293,2,FALSE)="","NOT DECLARED",VLOOKUP(F230,Declarations!B$6:C$293,2,FALSE)))</f>
        <v/>
      </c>
      <c r="J230" s="120">
        <f>IF(LOWER(G230)="dnf",1,IF(G230&lt;ScoringTable!B$3,ScoringTable!I$2,VLOOKUP((1000-G230),ScoringTable!G$2:I$95,3)))</f>
        <v>0</v>
      </c>
      <c r="K230" s="120" t="str" cm="1">
        <f t="array" ref="K230">IF(OR(E230="",G230=""),"",_xlfn.IFS(E230="U10B",_xlfn.XLOOKUP(G230,Data!$D$2:$L$2,Data!$D$1:$L$1,"",1,1),E230="U12B",_xlfn.XLOOKUP(G230,Data!$D$8:$L$8,Data!$D$1:$L$1,"",1,1),E230="U10G",_xlfn.XLOOKUP(G230,Data!$D$15:$L$15,Data!$D$1:$L$1,"",1,1),E230="U12G",_xlfn.XLOOKUP(G230,Data!$D$21:$L$21,Data!$D$1:$L$1,"",1,1)))</f>
        <v/>
      </c>
      <c r="L230" s="184" t="str" cm="1">
        <f t="array" ref="L230">IFERROR(_xlfn.IFNA(
                      _xlfn.IFS(
                      G230="", "",
                      AND(E230="U10B",G230&lt;=Data!$M$2), "U10 Boys record",
                      AND(E230="U12B",G230&lt;=Data!$M$8), "U12 Boys record",
                      AND(E230="U10G",G230&lt;=Data!$M$15), "U10 Girls record",
                      AND(E230="U12G",G230&lt;=Data!$M$21), "U12 Girls record"
                       ),""), "")</f>
        <v/>
      </c>
      <c r="M230" s="19" cm="1">
        <f t="array" ref="M230">_xlfn.IFS($G230="",0, AND(NOT(ISNUMBER($G230)),LOWER($G230)&lt;&gt;"dnf"),"Not a valid time",OR(LOWER($G230)="dnf",$G230&gt;ScoringTable!$M$161),1,RIGHT($E230,1)="B",_xlfn.XLOOKUP($G230,ScoringTable!$M$2:$M$161,ScoringTable!$L$2:$L$161,,1),TRUE,_xlfn.XLOOKUP($G230,ScoringTable!$S$2:$S$161,ScoringTable!$R$2:$R$161,,1))</f>
        <v>0</v>
      </c>
    </row>
    <row r="231" spans="1:13" s="7" customFormat="1" ht="16" customHeight="1">
      <c r="A231" s="280" t="s">
        <v>2</v>
      </c>
      <c r="B231" s="122" t="str">
        <f>IF(ISNA(VLOOKUP($F231,Declarations!B$6:C$293,2,FALSE)),"",IF(VLOOKUP($F231,Declarations!B$6:C$293,2,FALSE)="","NOT DECLARED",IF(ISNA(_xlfn.TEXTBEFORE(VLOOKUP($F231,Declarations!B$6:C$293,2,FALSE)," ")),VLOOKUP($F231,Declarations!B$6:C$293,2,FALSE),_xlfn.TEXTBEFORE(VLOOKUP($F231,Declarations!B$6:C$293,2,FALSE)," "))))</f>
        <v/>
      </c>
      <c r="C231" s="122" t="str">
        <f>IF(ISNA(VLOOKUP($F231,Declarations!B$6:C$293,2,FALSE)),"",IF(VLOOKUP($F231,Declarations!B$6:C$293,2,FALSE)="","NOT DECLARED",IF(ISNA(_xlfn.TEXTAFTER(VLOOKUP($F231,Declarations!B$6:C$293,2,FALSE)," ")),VLOOKUP($F231,Declarations!B$6:C$293,2,FALSE),_xlfn.TEXTAFTER(VLOOKUP($F231,Declarations!B$6:C$293,2,FALSE)," "))))</f>
        <v/>
      </c>
      <c r="D231" s="122" t="str">
        <f>IF(ISNA(VLOOKUP($F231,Declarations!$B$6:$F$293,5,FALSE)),"",IF(VLOOKUP($F231,Declarations!$B$6:$F$293,5,FALSE)="","NOT DECLARED",VLOOKUP($F231,Declarations!$B$6:$F$293,5,FALSE)))</f>
        <v/>
      </c>
      <c r="E231" s="120" t="str">
        <f>IF(ISNA(VLOOKUP($F231,Declarations!$B$6:$D$293,3,FALSE)),"",IF(VLOOKUP($F231,Declarations!$B$6:$D$293,3,FALSE)="","NOT DECLARED",VLOOKUP($F231,Declarations!$B$6:$D$293,3,FALSE)&amp;LEFT(VLOOKUP($F231,Declarations!$B$6:$E$293,4,FALSE))))</f>
        <v/>
      </c>
      <c r="F231" s="59"/>
      <c r="G231" s="130"/>
      <c r="H231" s="130"/>
      <c r="I231" s="122" t="str">
        <f>IF(ISNA(VLOOKUP(F231,Declarations!B$6:C$293,2,FALSE)),"",IF(VLOOKUP(F231,Declarations!B$6:C$293,2,FALSE)="","NOT DECLARED",VLOOKUP(F231,Declarations!B$6:C$293,2,FALSE)))</f>
        <v/>
      </c>
      <c r="J231" s="120">
        <f>IF(LOWER(G231)="dnf",1,IF(G231&lt;ScoringTable!B$3,ScoringTable!I$2,VLOOKUP((1000-G231),ScoringTable!G$2:I$95,3)))</f>
        <v>0</v>
      </c>
      <c r="K231" s="120" t="str" cm="1">
        <f t="array" ref="K231">IF(OR(E231="",G231=""),"",_xlfn.IFS(E231="U10B",_xlfn.XLOOKUP(G231,Data!$D$2:$L$2,Data!$D$1:$L$1,"",1,1),E231="U12B",_xlfn.XLOOKUP(G231,Data!$D$8:$L$8,Data!$D$1:$L$1,"",1,1),E231="U10G",_xlfn.XLOOKUP(G231,Data!$D$15:$L$15,Data!$D$1:$L$1,"",1,1),E231="U12G",_xlfn.XLOOKUP(G231,Data!$D$21:$L$21,Data!$D$1:$L$1,"",1,1)))</f>
        <v/>
      </c>
      <c r="L231" s="184" t="str" cm="1">
        <f t="array" ref="L231">IFERROR(_xlfn.IFNA(
                      _xlfn.IFS(
                      G231="", "",
                      AND(E231="U10B",G231&lt;=Data!$M$2), "U10 Boys record",
                      AND(E231="U12B",G231&lt;=Data!$M$8), "U12 Boys record",
                      AND(E231="U10G",G231&lt;=Data!$M$15), "U10 Girls record",
                      AND(E231="U12G",G231&lt;=Data!$M$21), "U12 Girls record"
                       ),""), "")</f>
        <v/>
      </c>
      <c r="M231" s="19" cm="1">
        <f t="array" ref="M231">_xlfn.IFS($G231="",0, AND(NOT(ISNUMBER($G231)),LOWER($G231)&lt;&gt;"dnf"),"Not a valid time",OR(LOWER($G231)="dnf",$G231&gt;ScoringTable!$M$161),1,RIGHT($E231,1)="B",_xlfn.XLOOKUP($G231,ScoringTable!$M$2:$M$161,ScoringTable!$L$2:$L$161,,1),TRUE,_xlfn.XLOOKUP($G231,ScoringTable!$S$2:$S$161,ScoringTable!$R$2:$R$161,,1))</f>
        <v>0</v>
      </c>
    </row>
    <row r="232" spans="1:13" s="7" customFormat="1" ht="16" customHeight="1">
      <c r="A232" s="280" t="s">
        <v>2</v>
      </c>
      <c r="B232" s="122" t="str">
        <f>IF(ISNA(VLOOKUP($F232,Declarations!B$6:C$293,2,FALSE)),"",IF(VLOOKUP($F232,Declarations!B$6:C$293,2,FALSE)="","NOT DECLARED",IF(ISNA(_xlfn.TEXTBEFORE(VLOOKUP($F232,Declarations!B$6:C$293,2,FALSE)," ")),VLOOKUP($F232,Declarations!B$6:C$293,2,FALSE),_xlfn.TEXTBEFORE(VLOOKUP($F232,Declarations!B$6:C$293,2,FALSE)," "))))</f>
        <v/>
      </c>
      <c r="C232" s="122" t="str">
        <f>IF(ISNA(VLOOKUP($F232,Declarations!B$6:C$293,2,FALSE)),"",IF(VLOOKUP($F232,Declarations!B$6:C$293,2,FALSE)="","NOT DECLARED",IF(ISNA(_xlfn.TEXTAFTER(VLOOKUP($F232,Declarations!B$6:C$293,2,FALSE)," ")),VLOOKUP($F232,Declarations!B$6:C$293,2,FALSE),_xlfn.TEXTAFTER(VLOOKUP($F232,Declarations!B$6:C$293,2,FALSE)," "))))</f>
        <v/>
      </c>
      <c r="D232" s="122" t="str">
        <f>IF(ISNA(VLOOKUP($F232,Declarations!$B$6:$F$293,5,FALSE)),"",IF(VLOOKUP($F232,Declarations!$B$6:$F$293,5,FALSE)="","NOT DECLARED",VLOOKUP($F232,Declarations!$B$6:$F$293,5,FALSE)))</f>
        <v/>
      </c>
      <c r="E232" s="120" t="str">
        <f>IF(ISNA(VLOOKUP($F232,Declarations!$B$6:$D$293,3,FALSE)),"",IF(VLOOKUP($F232,Declarations!$B$6:$D$293,3,FALSE)="","NOT DECLARED",VLOOKUP($F232,Declarations!$B$6:$D$293,3,FALSE)&amp;LEFT(VLOOKUP($F232,Declarations!$B$6:$E$293,4,FALSE))))</f>
        <v/>
      </c>
      <c r="F232" s="59"/>
      <c r="G232" s="130"/>
      <c r="H232" s="130"/>
      <c r="I232" s="122" t="str">
        <f>IF(ISNA(VLOOKUP(F232,Declarations!B$6:C$293,2,FALSE)),"",IF(VLOOKUP(F232,Declarations!B$6:C$293,2,FALSE)="","NOT DECLARED",VLOOKUP(F232,Declarations!B$6:C$293,2,FALSE)))</f>
        <v/>
      </c>
      <c r="J232" s="120">
        <f>IF(LOWER(G232)="dnf",1,IF(G232&lt;ScoringTable!B$3,ScoringTable!I$2,VLOOKUP((1000-G232),ScoringTable!G$2:I$95,3)))</f>
        <v>0</v>
      </c>
      <c r="K232" s="120" t="str" cm="1">
        <f t="array" ref="K232">IF(OR(E232="",G232=""),"",_xlfn.IFS(E232="U10B",_xlfn.XLOOKUP(G232,Data!$D$2:$L$2,Data!$D$1:$L$1,"",1,1),E232="U12B",_xlfn.XLOOKUP(G232,Data!$D$8:$L$8,Data!$D$1:$L$1,"",1,1),E232="U10G",_xlfn.XLOOKUP(G232,Data!$D$15:$L$15,Data!$D$1:$L$1,"",1,1),E232="U12G",_xlfn.XLOOKUP(G232,Data!$D$21:$L$21,Data!$D$1:$L$1,"",1,1)))</f>
        <v/>
      </c>
      <c r="L232" s="184" t="str" cm="1">
        <f t="array" ref="L232">IFERROR(_xlfn.IFNA(
                      _xlfn.IFS(
                      G232="", "",
                      AND(E232="U10B",G232&lt;=Data!$M$2), "U10 Boys record",
                      AND(E232="U12B",G232&lt;=Data!$M$8), "U12 Boys record",
                      AND(E232="U10G",G232&lt;=Data!$M$15), "U10 Girls record",
                      AND(E232="U12G",G232&lt;=Data!$M$21), "U12 Girls record"
                       ),""), "")</f>
        <v/>
      </c>
      <c r="M232" s="19" cm="1">
        <f t="array" ref="M232">_xlfn.IFS($G232="",0, AND(NOT(ISNUMBER($G232)),LOWER($G232)&lt;&gt;"dnf"),"Not a valid time",OR(LOWER($G232)="dnf",$G232&gt;ScoringTable!$M$161),1,RIGHT($E232,1)="B",_xlfn.XLOOKUP($G232,ScoringTable!$M$2:$M$161,ScoringTable!$L$2:$L$161,,1),TRUE,_xlfn.XLOOKUP($G232,ScoringTable!$S$2:$S$161,ScoringTable!$R$2:$R$161,,1))</f>
        <v>0</v>
      </c>
    </row>
    <row r="233" spans="1:13" s="7" customFormat="1" ht="16" customHeight="1">
      <c r="A233" s="280" t="s">
        <v>2</v>
      </c>
      <c r="B233" s="122" t="str">
        <f>IF(ISNA(VLOOKUP($F233,Declarations!B$6:C$293,2,FALSE)),"",IF(VLOOKUP($F233,Declarations!B$6:C$293,2,FALSE)="","NOT DECLARED",IF(ISNA(_xlfn.TEXTBEFORE(VLOOKUP($F233,Declarations!B$6:C$293,2,FALSE)," ")),VLOOKUP($F233,Declarations!B$6:C$293,2,FALSE),_xlfn.TEXTBEFORE(VLOOKUP($F233,Declarations!B$6:C$293,2,FALSE)," "))))</f>
        <v/>
      </c>
      <c r="C233" s="122" t="str">
        <f>IF(ISNA(VLOOKUP($F233,Declarations!B$6:C$293,2,FALSE)),"",IF(VLOOKUP($F233,Declarations!B$6:C$293,2,FALSE)="","NOT DECLARED",IF(ISNA(_xlfn.TEXTAFTER(VLOOKUP($F233,Declarations!B$6:C$293,2,FALSE)," ")),VLOOKUP($F233,Declarations!B$6:C$293,2,FALSE),_xlfn.TEXTAFTER(VLOOKUP($F233,Declarations!B$6:C$293,2,FALSE)," "))))</f>
        <v/>
      </c>
      <c r="D233" s="122" t="str">
        <f>IF(ISNA(VLOOKUP($F233,Declarations!$B$6:$F$293,5,FALSE)),"",IF(VLOOKUP($F233,Declarations!$B$6:$F$293,5,FALSE)="","NOT DECLARED",VLOOKUP($F233,Declarations!$B$6:$F$293,5,FALSE)))</f>
        <v/>
      </c>
      <c r="E233" s="120" t="str">
        <f>IF(ISNA(VLOOKUP($F233,Declarations!$B$6:$D$293,3,FALSE)),"",IF(VLOOKUP($F233,Declarations!$B$6:$D$293,3,FALSE)="","NOT DECLARED",VLOOKUP($F233,Declarations!$B$6:$D$293,3,FALSE)&amp;LEFT(VLOOKUP($F233,Declarations!$B$6:$E$293,4,FALSE))))</f>
        <v/>
      </c>
      <c r="F233" s="59"/>
      <c r="G233" s="130"/>
      <c r="H233" s="130"/>
      <c r="I233" s="122" t="str">
        <f>IF(ISNA(VLOOKUP(F233,Declarations!B$6:C$293,2,FALSE)),"",IF(VLOOKUP(F233,Declarations!B$6:C$293,2,FALSE)="","NOT DECLARED",VLOOKUP(F233,Declarations!B$6:C$293,2,FALSE)))</f>
        <v/>
      </c>
      <c r="J233" s="120">
        <f>IF(LOWER(G233)="dnf",1,IF(G233&lt;ScoringTable!B$3,ScoringTable!I$2,VLOOKUP((1000-G233),ScoringTable!G$2:I$95,3)))</f>
        <v>0</v>
      </c>
      <c r="K233" s="120" t="str" cm="1">
        <f t="array" ref="K233">IF(OR(E233="",G233=""),"",_xlfn.IFS(E233="U10B",_xlfn.XLOOKUP(G233,Data!$D$2:$L$2,Data!$D$1:$L$1,"",1,1),E233="U12B",_xlfn.XLOOKUP(G233,Data!$D$8:$L$8,Data!$D$1:$L$1,"",1,1),E233="U10G",_xlfn.XLOOKUP(G233,Data!$D$15:$L$15,Data!$D$1:$L$1,"",1,1),E233="U12G",_xlfn.XLOOKUP(G233,Data!$D$21:$L$21,Data!$D$1:$L$1,"",1,1)))</f>
        <v/>
      </c>
      <c r="L233" s="184" t="str" cm="1">
        <f t="array" ref="L233">IFERROR(_xlfn.IFNA(
                      _xlfn.IFS(
                      G233="", "",
                      AND(E233="U10B",G233&lt;=Data!$M$2), "U10 Boys record",
                      AND(E233="U12B",G233&lt;=Data!$M$8), "U12 Boys record",
                      AND(E233="U10G",G233&lt;=Data!$M$15), "U10 Girls record",
                      AND(E233="U12G",G233&lt;=Data!$M$21), "U12 Girls record"
                       ),""), "")</f>
        <v/>
      </c>
      <c r="M233" s="19" cm="1">
        <f t="array" ref="M233">_xlfn.IFS($G233="",0, AND(NOT(ISNUMBER($G233)),LOWER($G233)&lt;&gt;"dnf"),"Not a valid time",OR(LOWER($G233)="dnf",$G233&gt;ScoringTable!$M$161),1,RIGHT($E233,1)="B",_xlfn.XLOOKUP($G233,ScoringTable!$M$2:$M$161,ScoringTable!$L$2:$L$161,,1),TRUE,_xlfn.XLOOKUP($G233,ScoringTable!$S$2:$S$161,ScoringTable!$R$2:$R$161,,1))</f>
        <v>0</v>
      </c>
    </row>
    <row r="234" spans="1:13" s="7" customFormat="1" ht="16" customHeight="1">
      <c r="A234" s="280" t="s">
        <v>2</v>
      </c>
      <c r="B234" s="122" t="str">
        <f>IF(ISNA(VLOOKUP($F234,Declarations!B$6:C$293,2,FALSE)),"",IF(VLOOKUP($F234,Declarations!B$6:C$293,2,FALSE)="","NOT DECLARED",IF(ISNA(_xlfn.TEXTBEFORE(VLOOKUP($F234,Declarations!B$6:C$293,2,FALSE)," ")),VLOOKUP($F234,Declarations!B$6:C$293,2,FALSE),_xlfn.TEXTBEFORE(VLOOKUP($F234,Declarations!B$6:C$293,2,FALSE)," "))))</f>
        <v/>
      </c>
      <c r="C234" s="122" t="str">
        <f>IF(ISNA(VLOOKUP($F234,Declarations!B$6:C$293,2,FALSE)),"",IF(VLOOKUP($F234,Declarations!B$6:C$293,2,FALSE)="","NOT DECLARED",IF(ISNA(_xlfn.TEXTAFTER(VLOOKUP($F234,Declarations!B$6:C$293,2,FALSE)," ")),VLOOKUP($F234,Declarations!B$6:C$293,2,FALSE),_xlfn.TEXTAFTER(VLOOKUP($F234,Declarations!B$6:C$293,2,FALSE)," "))))</f>
        <v/>
      </c>
      <c r="D234" s="122" t="str">
        <f>IF(ISNA(VLOOKUP($F234,Declarations!$B$6:$F$293,5,FALSE)),"",IF(VLOOKUP($F234,Declarations!$B$6:$F$293,5,FALSE)="","NOT DECLARED",VLOOKUP($F234,Declarations!$B$6:$F$293,5,FALSE)))</f>
        <v/>
      </c>
      <c r="E234" s="120" t="str">
        <f>IF(ISNA(VLOOKUP($F234,Declarations!$B$6:$D$293,3,FALSE)),"",IF(VLOOKUP($F234,Declarations!$B$6:$D$293,3,FALSE)="","NOT DECLARED",VLOOKUP($F234,Declarations!$B$6:$D$293,3,FALSE)&amp;LEFT(VLOOKUP($F234,Declarations!$B$6:$E$293,4,FALSE))))</f>
        <v/>
      </c>
      <c r="F234" s="59"/>
      <c r="G234" s="130"/>
      <c r="H234" s="130"/>
      <c r="I234" s="122" t="str">
        <f>IF(ISNA(VLOOKUP(F234,Declarations!B$6:C$293,2,FALSE)),"",IF(VLOOKUP(F234,Declarations!B$6:C$293,2,FALSE)="","NOT DECLARED",VLOOKUP(F234,Declarations!B$6:C$293,2,FALSE)))</f>
        <v/>
      </c>
      <c r="J234" s="120">
        <f>IF(LOWER(G234)="dnf",1,IF(G234&lt;ScoringTable!B$3,ScoringTable!I$2,VLOOKUP((1000-G234),ScoringTable!G$2:I$95,3)))</f>
        <v>0</v>
      </c>
      <c r="K234" s="120" t="str" cm="1">
        <f t="array" ref="K234">IF(OR(E234="",G234=""),"",_xlfn.IFS(E234="U10B",_xlfn.XLOOKUP(G234,Data!$D$2:$L$2,Data!$D$1:$L$1,"",1,1),E234="U12B",_xlfn.XLOOKUP(G234,Data!$D$8:$L$8,Data!$D$1:$L$1,"",1,1),E234="U10G",_xlfn.XLOOKUP(G234,Data!$D$15:$L$15,Data!$D$1:$L$1,"",1,1),E234="U12G",_xlfn.XLOOKUP(G234,Data!$D$21:$L$21,Data!$D$1:$L$1,"",1,1)))</f>
        <v/>
      </c>
      <c r="L234" s="184" t="str" cm="1">
        <f t="array" ref="L234">IFERROR(_xlfn.IFNA(
                      _xlfn.IFS(
                      G234="", "",
                      AND(E234="U10B",G234&lt;=Data!$M$2), "U10 Boys record",
                      AND(E234="U12B",G234&lt;=Data!$M$8), "U12 Boys record",
                      AND(E234="U10G",G234&lt;=Data!$M$15), "U10 Girls record",
                      AND(E234="U12G",G234&lt;=Data!$M$21), "U12 Girls record"
                       ),""), "")</f>
        <v/>
      </c>
      <c r="M234" s="19" cm="1">
        <f t="array" ref="M234">_xlfn.IFS($G234="",0, AND(NOT(ISNUMBER($G234)),LOWER($G234)&lt;&gt;"dnf"),"Not a valid time",OR(LOWER($G234)="dnf",$G234&gt;ScoringTable!$M$161),1,RIGHT($E234,1)="B",_xlfn.XLOOKUP($G234,ScoringTable!$M$2:$M$161,ScoringTable!$L$2:$L$161,,1),TRUE,_xlfn.XLOOKUP($G234,ScoringTable!$S$2:$S$161,ScoringTable!$R$2:$R$161,,1))</f>
        <v>0</v>
      </c>
    </row>
    <row r="235" spans="1:13" s="7" customFormat="1" ht="16" customHeight="1">
      <c r="A235" s="280" t="s">
        <v>2</v>
      </c>
      <c r="B235" s="122" t="str">
        <f>IF(ISNA(VLOOKUP($F235,Declarations!B$6:C$293,2,FALSE)),"",IF(VLOOKUP($F235,Declarations!B$6:C$293,2,FALSE)="","NOT DECLARED",IF(ISNA(_xlfn.TEXTBEFORE(VLOOKUP($F235,Declarations!B$6:C$293,2,FALSE)," ")),VLOOKUP($F235,Declarations!B$6:C$293,2,FALSE),_xlfn.TEXTBEFORE(VLOOKUP($F235,Declarations!B$6:C$293,2,FALSE)," "))))</f>
        <v/>
      </c>
      <c r="C235" s="122" t="str">
        <f>IF(ISNA(VLOOKUP($F235,Declarations!B$6:C$293,2,FALSE)),"",IF(VLOOKUP($F235,Declarations!B$6:C$293,2,FALSE)="","NOT DECLARED",IF(ISNA(_xlfn.TEXTAFTER(VLOOKUP($F235,Declarations!B$6:C$293,2,FALSE)," ")),VLOOKUP($F235,Declarations!B$6:C$293,2,FALSE),_xlfn.TEXTAFTER(VLOOKUP($F235,Declarations!B$6:C$293,2,FALSE)," "))))</f>
        <v/>
      </c>
      <c r="D235" s="122" t="str">
        <f>IF(ISNA(VLOOKUP($F235,Declarations!$B$6:$F$293,5,FALSE)),"",IF(VLOOKUP($F235,Declarations!$B$6:$F$293,5,FALSE)="","NOT DECLARED",VLOOKUP($F235,Declarations!$B$6:$F$293,5,FALSE)))</f>
        <v/>
      </c>
      <c r="E235" s="120" t="str">
        <f>IF(ISNA(VLOOKUP($F235,Declarations!$B$6:$D$293,3,FALSE)),"",IF(VLOOKUP($F235,Declarations!$B$6:$D$293,3,FALSE)="","NOT DECLARED",VLOOKUP($F235,Declarations!$B$6:$D$293,3,FALSE)&amp;LEFT(VLOOKUP($F235,Declarations!$B$6:$E$293,4,FALSE))))</f>
        <v/>
      </c>
      <c r="F235" s="59"/>
      <c r="G235" s="130"/>
      <c r="H235" s="130"/>
      <c r="I235" s="122" t="str">
        <f>IF(ISNA(VLOOKUP(F235,Declarations!B$6:C$293,2,FALSE)),"",IF(VLOOKUP(F235,Declarations!B$6:C$293,2,FALSE)="","NOT DECLARED",VLOOKUP(F235,Declarations!B$6:C$293,2,FALSE)))</f>
        <v/>
      </c>
      <c r="J235" s="120">
        <f>IF(LOWER(G235)="dnf",1,IF(G235&lt;ScoringTable!B$3,ScoringTable!I$2,VLOOKUP((1000-G235),ScoringTable!G$2:I$95,3)))</f>
        <v>0</v>
      </c>
      <c r="K235" s="120" t="str" cm="1">
        <f t="array" ref="K235">IF(OR(E235="",G235=""),"",_xlfn.IFS(E235="U10B",_xlfn.XLOOKUP(G235,Data!$D$2:$L$2,Data!$D$1:$L$1,"",1,1),E235="U12B",_xlfn.XLOOKUP(G235,Data!$D$8:$L$8,Data!$D$1:$L$1,"",1,1),E235="U10G",_xlfn.XLOOKUP(G235,Data!$D$15:$L$15,Data!$D$1:$L$1,"",1,1),E235="U12G",_xlfn.XLOOKUP(G235,Data!$D$21:$L$21,Data!$D$1:$L$1,"",1,1)))</f>
        <v/>
      </c>
      <c r="L235" s="184" t="str" cm="1">
        <f t="array" ref="L235">IFERROR(_xlfn.IFNA(
                      _xlfn.IFS(
                      G235="", "",
                      AND(E235="U10B",G235&lt;=Data!$M$2), "U10 Boys record",
                      AND(E235="U12B",G235&lt;=Data!$M$8), "U12 Boys record",
                      AND(E235="U10G",G235&lt;=Data!$M$15), "U10 Girls record",
                      AND(E235="U12G",G235&lt;=Data!$M$21), "U12 Girls record"
                       ),""), "")</f>
        <v/>
      </c>
      <c r="M235" s="19" cm="1">
        <f t="array" ref="M235">_xlfn.IFS($G235="",0, AND(NOT(ISNUMBER($G235)),LOWER($G235)&lt;&gt;"dnf"),"Not a valid time",OR(LOWER($G235)="dnf",$G235&gt;ScoringTable!$M$161),1,RIGHT($E235,1)="B",_xlfn.XLOOKUP($G235,ScoringTable!$M$2:$M$161,ScoringTable!$L$2:$L$161,,1),TRUE,_xlfn.XLOOKUP($G235,ScoringTable!$S$2:$S$161,ScoringTable!$R$2:$R$161,,1))</f>
        <v>0</v>
      </c>
    </row>
    <row r="236" spans="1:13" s="7" customFormat="1" ht="16" customHeight="1">
      <c r="A236" s="280" t="s">
        <v>2</v>
      </c>
      <c r="B236" s="122" t="str">
        <f>IF(ISNA(VLOOKUP($F236,Declarations!B$6:C$293,2,FALSE)),"",IF(VLOOKUP($F236,Declarations!B$6:C$293,2,FALSE)="","NOT DECLARED",IF(ISNA(_xlfn.TEXTBEFORE(VLOOKUP($F236,Declarations!B$6:C$293,2,FALSE)," ")),VLOOKUP($F236,Declarations!B$6:C$293,2,FALSE),_xlfn.TEXTBEFORE(VLOOKUP($F236,Declarations!B$6:C$293,2,FALSE)," "))))</f>
        <v/>
      </c>
      <c r="C236" s="122" t="str">
        <f>IF(ISNA(VLOOKUP($F236,Declarations!B$6:C$293,2,FALSE)),"",IF(VLOOKUP($F236,Declarations!B$6:C$293,2,FALSE)="","NOT DECLARED",IF(ISNA(_xlfn.TEXTAFTER(VLOOKUP($F236,Declarations!B$6:C$293,2,FALSE)," ")),VLOOKUP($F236,Declarations!B$6:C$293,2,FALSE),_xlfn.TEXTAFTER(VLOOKUP($F236,Declarations!B$6:C$293,2,FALSE)," "))))</f>
        <v/>
      </c>
      <c r="D236" s="122" t="str">
        <f>IF(ISNA(VLOOKUP($F236,Declarations!$B$6:$F$293,5,FALSE)),"",IF(VLOOKUP($F236,Declarations!$B$6:$F$293,5,FALSE)="","NOT DECLARED",VLOOKUP($F236,Declarations!$B$6:$F$293,5,FALSE)))</f>
        <v/>
      </c>
      <c r="E236" s="120" t="str">
        <f>IF(ISNA(VLOOKUP($F236,Declarations!$B$6:$D$293,3,FALSE)),"",IF(VLOOKUP($F236,Declarations!$B$6:$D$293,3,FALSE)="","NOT DECLARED",VLOOKUP($F236,Declarations!$B$6:$D$293,3,FALSE)&amp;LEFT(VLOOKUP($F236,Declarations!$B$6:$E$293,4,FALSE))))</f>
        <v/>
      </c>
      <c r="F236" s="59"/>
      <c r="G236" s="130"/>
      <c r="H236" s="130"/>
      <c r="I236" s="122" t="str">
        <f>IF(ISNA(VLOOKUP(F236,Declarations!B$6:C$293,2,FALSE)),"",IF(VLOOKUP(F236,Declarations!B$6:C$293,2,FALSE)="","NOT DECLARED",VLOOKUP(F236,Declarations!B$6:C$293,2,FALSE)))</f>
        <v/>
      </c>
      <c r="J236" s="120">
        <f>IF(LOWER(G236)="dnf",1,IF(G236&lt;ScoringTable!B$3,ScoringTable!I$2,VLOOKUP((1000-G236),ScoringTable!G$2:I$95,3)))</f>
        <v>0</v>
      </c>
      <c r="K236" s="120" t="str" cm="1">
        <f t="array" ref="K236">IF(OR(E236="",G236=""),"",_xlfn.IFS(E236="U10B",_xlfn.XLOOKUP(G236,Data!$D$2:$L$2,Data!$D$1:$L$1,"",1,1),E236="U12B",_xlfn.XLOOKUP(G236,Data!$D$8:$L$8,Data!$D$1:$L$1,"",1,1),E236="U10G",_xlfn.XLOOKUP(G236,Data!$D$15:$L$15,Data!$D$1:$L$1,"",1,1),E236="U12G",_xlfn.XLOOKUP(G236,Data!$D$21:$L$21,Data!$D$1:$L$1,"",1,1)))</f>
        <v/>
      </c>
      <c r="L236" s="184" t="str" cm="1">
        <f t="array" ref="L236">IFERROR(_xlfn.IFNA(
                      _xlfn.IFS(
                      G236="", "",
                      AND(E236="U10B",G236&lt;=Data!$M$2), "U10 Boys record",
                      AND(E236="U12B",G236&lt;=Data!$M$8), "U12 Boys record",
                      AND(E236="U10G",G236&lt;=Data!$M$15), "U10 Girls record",
                      AND(E236="U12G",G236&lt;=Data!$M$21), "U12 Girls record"
                       ),""), "")</f>
        <v/>
      </c>
      <c r="M236" s="19" cm="1">
        <f t="array" ref="M236">_xlfn.IFS($G236="",0, AND(NOT(ISNUMBER($G236)),LOWER($G236)&lt;&gt;"dnf"),"Not a valid time",OR(LOWER($G236)="dnf",$G236&gt;ScoringTable!$M$161),1,RIGHT($E236,1)="B",_xlfn.XLOOKUP($G236,ScoringTable!$M$2:$M$161,ScoringTable!$L$2:$L$161,,1),TRUE,_xlfn.XLOOKUP($G236,ScoringTable!$S$2:$S$161,ScoringTable!$R$2:$R$161,,1))</f>
        <v>0</v>
      </c>
    </row>
    <row r="237" spans="1:13" s="7" customFormat="1" ht="16" customHeight="1">
      <c r="A237" s="280" t="s">
        <v>2</v>
      </c>
      <c r="B237" s="122" t="str">
        <f>IF(ISNA(VLOOKUP($F237,Declarations!B$6:C$293,2,FALSE)),"",IF(VLOOKUP($F237,Declarations!B$6:C$293,2,FALSE)="","NOT DECLARED",IF(ISNA(_xlfn.TEXTBEFORE(VLOOKUP($F237,Declarations!B$6:C$293,2,FALSE)," ")),VLOOKUP($F237,Declarations!B$6:C$293,2,FALSE),_xlfn.TEXTBEFORE(VLOOKUP($F237,Declarations!B$6:C$293,2,FALSE)," "))))</f>
        <v/>
      </c>
      <c r="C237" s="122" t="str">
        <f>IF(ISNA(VLOOKUP($F237,Declarations!B$6:C$293,2,FALSE)),"",IF(VLOOKUP($F237,Declarations!B$6:C$293,2,FALSE)="","NOT DECLARED",IF(ISNA(_xlfn.TEXTAFTER(VLOOKUP($F237,Declarations!B$6:C$293,2,FALSE)," ")),VLOOKUP($F237,Declarations!B$6:C$293,2,FALSE),_xlfn.TEXTAFTER(VLOOKUP($F237,Declarations!B$6:C$293,2,FALSE)," "))))</f>
        <v/>
      </c>
      <c r="D237" s="122" t="str">
        <f>IF(ISNA(VLOOKUP($F237,Declarations!$B$6:$F$293,5,FALSE)),"",IF(VLOOKUP($F237,Declarations!$B$6:$F$293,5,FALSE)="","NOT DECLARED",VLOOKUP($F237,Declarations!$B$6:$F$293,5,FALSE)))</f>
        <v/>
      </c>
      <c r="E237" s="120" t="str">
        <f>IF(ISNA(VLOOKUP($F237,Declarations!$B$6:$D$293,3,FALSE)),"",IF(VLOOKUP($F237,Declarations!$B$6:$D$293,3,FALSE)="","NOT DECLARED",VLOOKUP($F237,Declarations!$B$6:$D$293,3,FALSE)&amp;LEFT(VLOOKUP($F237,Declarations!$B$6:$E$293,4,FALSE))))</f>
        <v/>
      </c>
      <c r="F237" s="59"/>
      <c r="G237" s="130"/>
      <c r="H237" s="130"/>
      <c r="I237" s="122" t="str">
        <f>IF(ISNA(VLOOKUP(F237,Declarations!B$6:C$293,2,FALSE)),"",IF(VLOOKUP(F237,Declarations!B$6:C$293,2,FALSE)="","NOT DECLARED",VLOOKUP(F237,Declarations!B$6:C$293,2,FALSE)))</f>
        <v/>
      </c>
      <c r="J237" s="120">
        <f>IF(LOWER(G237)="dnf",1,IF(G237&lt;ScoringTable!B$3,ScoringTable!I$2,VLOOKUP((1000-G237),ScoringTable!G$2:I$95,3)))</f>
        <v>0</v>
      </c>
      <c r="K237" s="120" t="str" cm="1">
        <f t="array" ref="K237">IF(OR(E237="",G237=""),"",_xlfn.IFS(E237="U10B",_xlfn.XLOOKUP(G237,Data!$D$2:$L$2,Data!$D$1:$L$1,"",1,1),E237="U12B",_xlfn.XLOOKUP(G237,Data!$D$8:$L$8,Data!$D$1:$L$1,"",1,1),E237="U10G",_xlfn.XLOOKUP(G237,Data!$D$15:$L$15,Data!$D$1:$L$1,"",1,1),E237="U12G",_xlfn.XLOOKUP(G237,Data!$D$21:$L$21,Data!$D$1:$L$1,"",1,1)))</f>
        <v/>
      </c>
      <c r="L237" s="184" t="str" cm="1">
        <f t="array" ref="L237">IFERROR(_xlfn.IFNA(
                      _xlfn.IFS(
                      G237="", "",
                      AND(E237="U10B",G237&lt;=Data!$M$2), "U10 Boys record",
                      AND(E237="U12B",G237&lt;=Data!$M$8), "U12 Boys record",
                      AND(E237="U10G",G237&lt;=Data!$M$15), "U10 Girls record",
                      AND(E237="U12G",G237&lt;=Data!$M$21), "U12 Girls record"
                       ),""), "")</f>
        <v/>
      </c>
      <c r="M237" s="19" cm="1">
        <f t="array" ref="M237">_xlfn.IFS($G237="",0, AND(NOT(ISNUMBER($G237)),LOWER($G237)&lt;&gt;"dnf"),"Not a valid time",OR(LOWER($G237)="dnf",$G237&gt;ScoringTable!$M$161),1,RIGHT($E237,1)="B",_xlfn.XLOOKUP($G237,ScoringTable!$M$2:$M$161,ScoringTable!$L$2:$L$161,,1),TRUE,_xlfn.XLOOKUP($G237,ScoringTable!$S$2:$S$161,ScoringTable!$R$2:$R$161,,1))</f>
        <v>0</v>
      </c>
    </row>
    <row r="238" spans="1:13" s="7" customFormat="1" ht="16" customHeight="1">
      <c r="A238" s="280" t="s">
        <v>2</v>
      </c>
      <c r="B238" s="122" t="str">
        <f>IF(ISNA(VLOOKUP($F238,Declarations!B$6:C$293,2,FALSE)),"",IF(VLOOKUP($F238,Declarations!B$6:C$293,2,FALSE)="","NOT DECLARED",IF(ISNA(_xlfn.TEXTBEFORE(VLOOKUP($F238,Declarations!B$6:C$293,2,FALSE)," ")),VLOOKUP($F238,Declarations!B$6:C$293,2,FALSE),_xlfn.TEXTBEFORE(VLOOKUP($F238,Declarations!B$6:C$293,2,FALSE)," "))))</f>
        <v/>
      </c>
      <c r="C238" s="122" t="str">
        <f>IF(ISNA(VLOOKUP($F238,Declarations!B$6:C$293,2,FALSE)),"",IF(VLOOKUP($F238,Declarations!B$6:C$293,2,FALSE)="","NOT DECLARED",IF(ISNA(_xlfn.TEXTAFTER(VLOOKUP($F238,Declarations!B$6:C$293,2,FALSE)," ")),VLOOKUP($F238,Declarations!B$6:C$293,2,FALSE),_xlfn.TEXTAFTER(VLOOKUP($F238,Declarations!B$6:C$293,2,FALSE)," "))))</f>
        <v/>
      </c>
      <c r="D238" s="122" t="str">
        <f>IF(ISNA(VLOOKUP($F238,Declarations!$B$6:$F$293,5,FALSE)),"",IF(VLOOKUP($F238,Declarations!$B$6:$F$293,5,FALSE)="","NOT DECLARED",VLOOKUP($F238,Declarations!$B$6:$F$293,5,FALSE)))</f>
        <v/>
      </c>
      <c r="E238" s="120" t="str">
        <f>IF(ISNA(VLOOKUP($F238,Declarations!$B$6:$D$293,3,FALSE)),"",IF(VLOOKUP($F238,Declarations!$B$6:$D$293,3,FALSE)="","NOT DECLARED",VLOOKUP($F238,Declarations!$B$6:$D$293,3,FALSE)&amp;LEFT(VLOOKUP($F238,Declarations!$B$6:$E$293,4,FALSE))))</f>
        <v/>
      </c>
      <c r="F238" s="59"/>
      <c r="G238" s="130"/>
      <c r="H238" s="130"/>
      <c r="I238" s="122" t="str">
        <f>IF(ISNA(VLOOKUP(F238,Declarations!B$6:C$293,2,FALSE)),"",IF(VLOOKUP(F238,Declarations!B$6:C$293,2,FALSE)="","NOT DECLARED",VLOOKUP(F238,Declarations!B$6:C$293,2,FALSE)))</f>
        <v/>
      </c>
      <c r="J238" s="120">
        <f>IF(LOWER(G238)="dnf",1,IF(G238&lt;ScoringTable!B$3,ScoringTable!I$2,VLOOKUP((1000-G238),ScoringTable!G$2:I$95,3)))</f>
        <v>0</v>
      </c>
      <c r="K238" s="120" t="str" cm="1">
        <f t="array" ref="K238">IF(OR(E238="",G238=""),"",_xlfn.IFS(E238="U10B",_xlfn.XLOOKUP(G238,Data!$D$2:$L$2,Data!$D$1:$L$1,"",1,1),E238="U12B",_xlfn.XLOOKUP(G238,Data!$D$8:$L$8,Data!$D$1:$L$1,"",1,1),E238="U10G",_xlfn.XLOOKUP(G238,Data!$D$15:$L$15,Data!$D$1:$L$1,"",1,1),E238="U12G",_xlfn.XLOOKUP(G238,Data!$D$21:$L$21,Data!$D$1:$L$1,"",1,1)))</f>
        <v/>
      </c>
      <c r="L238" s="184" t="str" cm="1">
        <f t="array" ref="L238">IFERROR(_xlfn.IFNA(
                      _xlfn.IFS(
                      G238="", "",
                      AND(E238="U10B",G238&lt;=Data!$M$2), "U10 Boys record",
                      AND(E238="U12B",G238&lt;=Data!$M$8), "U12 Boys record",
                      AND(E238="U10G",G238&lt;=Data!$M$15), "U10 Girls record",
                      AND(E238="U12G",G238&lt;=Data!$M$21), "U12 Girls record"
                       ),""), "")</f>
        <v/>
      </c>
      <c r="M238" s="19" cm="1">
        <f t="array" ref="M238">_xlfn.IFS($G238="",0, AND(NOT(ISNUMBER($G238)),LOWER($G238)&lt;&gt;"dnf"),"Not a valid time",OR(LOWER($G238)="dnf",$G238&gt;ScoringTable!$M$161),1,RIGHT($E238,1)="B",_xlfn.XLOOKUP($G238,ScoringTable!$M$2:$M$161,ScoringTable!$L$2:$L$161,,1),TRUE,_xlfn.XLOOKUP($G238,ScoringTable!$S$2:$S$161,ScoringTable!$R$2:$R$161,,1))</f>
        <v>0</v>
      </c>
    </row>
    <row r="239" spans="1:13" s="7" customFormat="1" ht="16" customHeight="1">
      <c r="A239" s="280" t="s">
        <v>2</v>
      </c>
      <c r="B239" s="122" t="str">
        <f>IF(ISNA(VLOOKUP($F239,Declarations!B$6:C$293,2,FALSE)),"",IF(VLOOKUP($F239,Declarations!B$6:C$293,2,FALSE)="","NOT DECLARED",IF(ISNA(_xlfn.TEXTBEFORE(VLOOKUP($F239,Declarations!B$6:C$293,2,FALSE)," ")),VLOOKUP($F239,Declarations!B$6:C$293,2,FALSE),_xlfn.TEXTBEFORE(VLOOKUP($F239,Declarations!B$6:C$293,2,FALSE)," "))))</f>
        <v/>
      </c>
      <c r="C239" s="122" t="str">
        <f>IF(ISNA(VLOOKUP($F239,Declarations!B$6:C$293,2,FALSE)),"",IF(VLOOKUP($F239,Declarations!B$6:C$293,2,FALSE)="","NOT DECLARED",IF(ISNA(_xlfn.TEXTAFTER(VLOOKUP($F239,Declarations!B$6:C$293,2,FALSE)," ")),VLOOKUP($F239,Declarations!B$6:C$293,2,FALSE),_xlfn.TEXTAFTER(VLOOKUP($F239,Declarations!B$6:C$293,2,FALSE)," "))))</f>
        <v/>
      </c>
      <c r="D239" s="122" t="str">
        <f>IF(ISNA(VLOOKUP($F239,Declarations!$B$6:$F$293,5,FALSE)),"",IF(VLOOKUP($F239,Declarations!$B$6:$F$293,5,FALSE)="","NOT DECLARED",VLOOKUP($F239,Declarations!$B$6:$F$293,5,FALSE)))</f>
        <v/>
      </c>
      <c r="E239" s="120" t="str">
        <f>IF(ISNA(VLOOKUP($F239,Declarations!$B$6:$D$293,3,FALSE)),"",IF(VLOOKUP($F239,Declarations!$B$6:$D$293,3,FALSE)="","NOT DECLARED",VLOOKUP($F239,Declarations!$B$6:$D$293,3,FALSE)&amp;LEFT(VLOOKUP($F239,Declarations!$B$6:$E$293,4,FALSE))))</f>
        <v/>
      </c>
      <c r="F239" s="59"/>
      <c r="G239" s="130"/>
      <c r="H239" s="130"/>
      <c r="I239" s="122" t="str">
        <f>IF(ISNA(VLOOKUP(F239,Declarations!B$6:C$293,2,FALSE)),"",IF(VLOOKUP(F239,Declarations!B$6:C$293,2,FALSE)="","NOT DECLARED",VLOOKUP(F239,Declarations!B$6:C$293,2,FALSE)))</f>
        <v/>
      </c>
      <c r="J239" s="120">
        <f>IF(LOWER(G239)="dnf",1,IF(G239&lt;ScoringTable!B$3,ScoringTable!I$2,VLOOKUP((1000-G239),ScoringTable!G$2:I$95,3)))</f>
        <v>0</v>
      </c>
      <c r="K239" s="120" t="str" cm="1">
        <f t="array" ref="K239">IF(OR(E239="",G239=""),"",_xlfn.IFS(E239="U10B",_xlfn.XLOOKUP(G239,Data!$D$2:$L$2,Data!$D$1:$L$1,"",1,1),E239="U12B",_xlfn.XLOOKUP(G239,Data!$D$8:$L$8,Data!$D$1:$L$1,"",1,1),E239="U10G",_xlfn.XLOOKUP(G239,Data!$D$15:$L$15,Data!$D$1:$L$1,"",1,1),E239="U12G",_xlfn.XLOOKUP(G239,Data!$D$21:$L$21,Data!$D$1:$L$1,"",1,1)))</f>
        <v/>
      </c>
      <c r="L239" s="184" t="str" cm="1">
        <f t="array" ref="L239">IFERROR(_xlfn.IFNA(
                      _xlfn.IFS(
                      G239="", "",
                      AND(E239="U10B",G239&lt;=Data!$M$2), "U10 Boys record",
                      AND(E239="U12B",G239&lt;=Data!$M$8), "U12 Boys record",
                      AND(E239="U10G",G239&lt;=Data!$M$15), "U10 Girls record",
                      AND(E239="U12G",G239&lt;=Data!$M$21), "U12 Girls record"
                       ),""), "")</f>
        <v/>
      </c>
      <c r="M239" s="19" cm="1">
        <f t="array" ref="M239">_xlfn.IFS($G239="",0, AND(NOT(ISNUMBER($G239)),LOWER($G239)&lt;&gt;"dnf"),"Not a valid time",OR(LOWER($G239)="dnf",$G239&gt;ScoringTable!$M$161),1,RIGHT($E239,1)="B",_xlfn.XLOOKUP($G239,ScoringTable!$M$2:$M$161,ScoringTable!$L$2:$L$161,,1),TRUE,_xlfn.XLOOKUP($G239,ScoringTable!$S$2:$S$161,ScoringTable!$R$2:$R$161,,1))</f>
        <v>0</v>
      </c>
    </row>
    <row r="240" spans="1:13" s="7" customFormat="1" ht="16" customHeight="1">
      <c r="A240" s="280" t="s">
        <v>2</v>
      </c>
      <c r="B240" s="122" t="str">
        <f>IF(ISNA(VLOOKUP($F240,Declarations!B$6:C$293,2,FALSE)),"",IF(VLOOKUP($F240,Declarations!B$6:C$293,2,FALSE)="","NOT DECLARED",IF(ISNA(_xlfn.TEXTBEFORE(VLOOKUP($F240,Declarations!B$6:C$293,2,FALSE)," ")),VLOOKUP($F240,Declarations!B$6:C$293,2,FALSE),_xlfn.TEXTBEFORE(VLOOKUP($F240,Declarations!B$6:C$293,2,FALSE)," "))))</f>
        <v/>
      </c>
      <c r="C240" s="122" t="str">
        <f>IF(ISNA(VLOOKUP($F240,Declarations!B$6:C$293,2,FALSE)),"",IF(VLOOKUP($F240,Declarations!B$6:C$293,2,FALSE)="","NOT DECLARED",IF(ISNA(_xlfn.TEXTAFTER(VLOOKUP($F240,Declarations!B$6:C$293,2,FALSE)," ")),VLOOKUP($F240,Declarations!B$6:C$293,2,FALSE),_xlfn.TEXTAFTER(VLOOKUP($F240,Declarations!B$6:C$293,2,FALSE)," "))))</f>
        <v/>
      </c>
      <c r="D240" s="122" t="str">
        <f>IF(ISNA(VLOOKUP($F240,Declarations!$B$6:$F$293,5,FALSE)),"",IF(VLOOKUP($F240,Declarations!$B$6:$F$293,5,FALSE)="","NOT DECLARED",VLOOKUP($F240,Declarations!$B$6:$F$293,5,FALSE)))</f>
        <v/>
      </c>
      <c r="E240" s="120" t="str">
        <f>IF(ISNA(VLOOKUP($F240,Declarations!$B$6:$D$293,3,FALSE)),"",IF(VLOOKUP($F240,Declarations!$B$6:$D$293,3,FALSE)="","NOT DECLARED",VLOOKUP($F240,Declarations!$B$6:$D$293,3,FALSE)&amp;LEFT(VLOOKUP($F240,Declarations!$B$6:$E$293,4,FALSE))))</f>
        <v/>
      </c>
      <c r="F240" s="59"/>
      <c r="G240" s="130"/>
      <c r="H240" s="130"/>
      <c r="I240" s="122" t="str">
        <f>IF(ISNA(VLOOKUP(F240,Declarations!B$6:C$293,2,FALSE)),"",IF(VLOOKUP(F240,Declarations!B$6:C$293,2,FALSE)="","NOT DECLARED",VLOOKUP(F240,Declarations!B$6:C$293,2,FALSE)))</f>
        <v/>
      </c>
      <c r="J240" s="120">
        <f>IF(LOWER(G240)="dnf",1,IF(G240&lt;ScoringTable!B$3,ScoringTable!I$2,VLOOKUP((1000-G240),ScoringTable!G$2:I$95,3)))</f>
        <v>0</v>
      </c>
      <c r="K240" s="120" t="str" cm="1">
        <f t="array" ref="K240">IF(OR(E240="",G240=""),"",_xlfn.IFS(E240="U10B",_xlfn.XLOOKUP(G240,Data!$D$2:$L$2,Data!$D$1:$L$1,"",1,1),E240="U12B",_xlfn.XLOOKUP(G240,Data!$D$8:$L$8,Data!$D$1:$L$1,"",1,1),E240="U10G",_xlfn.XLOOKUP(G240,Data!$D$15:$L$15,Data!$D$1:$L$1,"",1,1),E240="U12G",_xlfn.XLOOKUP(G240,Data!$D$21:$L$21,Data!$D$1:$L$1,"",1,1)))</f>
        <v/>
      </c>
      <c r="L240" s="184" t="str" cm="1">
        <f t="array" ref="L240">IFERROR(_xlfn.IFNA(
                      _xlfn.IFS(
                      G240="", "",
                      AND(E240="U10B",G240&lt;=Data!$M$2), "U10 Boys record",
                      AND(E240="U12B",G240&lt;=Data!$M$8), "U12 Boys record",
                      AND(E240="U10G",G240&lt;=Data!$M$15), "U10 Girls record",
                      AND(E240="U12G",G240&lt;=Data!$M$21), "U12 Girls record"
                       ),""), "")</f>
        <v/>
      </c>
      <c r="M240" s="19" cm="1">
        <f t="array" ref="M240">_xlfn.IFS($G240="",0, AND(NOT(ISNUMBER($G240)),LOWER($G240)&lt;&gt;"dnf"),"Not a valid time",OR(LOWER($G240)="dnf",$G240&gt;ScoringTable!$M$161),1,RIGHT($E240,1)="B",_xlfn.XLOOKUP($G240,ScoringTable!$M$2:$M$161,ScoringTable!$L$2:$L$161,,1),TRUE,_xlfn.XLOOKUP($G240,ScoringTable!$S$2:$S$161,ScoringTable!$R$2:$R$161,,1))</f>
        <v>0</v>
      </c>
    </row>
    <row r="241" spans="1:13" s="7" customFormat="1" ht="16" customHeight="1">
      <c r="A241" s="280" t="s">
        <v>2</v>
      </c>
      <c r="B241" s="122" t="str">
        <f>IF(ISNA(VLOOKUP($F241,Declarations!B$6:C$293,2,FALSE)),"",IF(VLOOKUP($F241,Declarations!B$6:C$293,2,FALSE)="","NOT DECLARED",IF(ISNA(_xlfn.TEXTBEFORE(VLOOKUP($F241,Declarations!B$6:C$293,2,FALSE)," ")),VLOOKUP($F241,Declarations!B$6:C$293,2,FALSE),_xlfn.TEXTBEFORE(VLOOKUP($F241,Declarations!B$6:C$293,2,FALSE)," "))))</f>
        <v/>
      </c>
      <c r="C241" s="122" t="str">
        <f>IF(ISNA(VLOOKUP($F241,Declarations!B$6:C$293,2,FALSE)),"",IF(VLOOKUP($F241,Declarations!B$6:C$293,2,FALSE)="","NOT DECLARED",IF(ISNA(_xlfn.TEXTAFTER(VLOOKUP($F241,Declarations!B$6:C$293,2,FALSE)," ")),VLOOKUP($F241,Declarations!B$6:C$293,2,FALSE),_xlfn.TEXTAFTER(VLOOKUP($F241,Declarations!B$6:C$293,2,FALSE)," "))))</f>
        <v/>
      </c>
      <c r="D241" s="122" t="str">
        <f>IF(ISNA(VLOOKUP($F241,Declarations!$B$6:$F$293,5,FALSE)),"",IF(VLOOKUP($F241,Declarations!$B$6:$F$293,5,FALSE)="","NOT DECLARED",VLOOKUP($F241,Declarations!$B$6:$F$293,5,FALSE)))</f>
        <v/>
      </c>
      <c r="E241" s="120" t="str">
        <f>IF(ISNA(VLOOKUP($F241,Declarations!$B$6:$D$293,3,FALSE)),"",IF(VLOOKUP($F241,Declarations!$B$6:$D$293,3,FALSE)="","NOT DECLARED",VLOOKUP($F241,Declarations!$B$6:$D$293,3,FALSE)&amp;LEFT(VLOOKUP($F241,Declarations!$B$6:$E$293,4,FALSE))))</f>
        <v/>
      </c>
      <c r="F241" s="59"/>
      <c r="G241" s="130"/>
      <c r="H241" s="130"/>
      <c r="I241" s="122" t="str">
        <f>IF(ISNA(VLOOKUP(F241,Declarations!B$6:C$293,2,FALSE)),"",IF(VLOOKUP(F241,Declarations!B$6:C$293,2,FALSE)="","NOT DECLARED",VLOOKUP(F241,Declarations!B$6:C$293,2,FALSE)))</f>
        <v/>
      </c>
      <c r="J241" s="120">
        <f>IF(LOWER(G241)="dnf",1,IF(G241&lt;ScoringTable!B$3,ScoringTable!I$2,VLOOKUP((1000-G241),ScoringTable!G$2:I$95,3)))</f>
        <v>0</v>
      </c>
      <c r="K241" s="120" t="str" cm="1">
        <f t="array" ref="K241">IF(OR(E241="",G241=""),"",_xlfn.IFS(E241="U10B",_xlfn.XLOOKUP(G241,Data!$D$2:$L$2,Data!$D$1:$L$1,"",1,1),E241="U12B",_xlfn.XLOOKUP(G241,Data!$D$8:$L$8,Data!$D$1:$L$1,"",1,1),E241="U10G",_xlfn.XLOOKUP(G241,Data!$D$15:$L$15,Data!$D$1:$L$1,"",1,1),E241="U12G",_xlfn.XLOOKUP(G241,Data!$D$21:$L$21,Data!$D$1:$L$1,"",1,1)))</f>
        <v/>
      </c>
      <c r="L241" s="184" t="str" cm="1">
        <f t="array" ref="L241">IFERROR(_xlfn.IFNA(
                      _xlfn.IFS(
                      G241="", "",
                      AND(E241="U10B",G241&lt;=Data!$M$2), "U10 Boys record",
                      AND(E241="U12B",G241&lt;=Data!$M$8), "U12 Boys record",
                      AND(E241="U10G",G241&lt;=Data!$M$15), "U10 Girls record",
                      AND(E241="U12G",G241&lt;=Data!$M$21), "U12 Girls record"
                       ),""), "")</f>
        <v/>
      </c>
      <c r="M241" s="19" cm="1">
        <f t="array" ref="M241">_xlfn.IFS($G241="",0, AND(NOT(ISNUMBER($G241)),LOWER($G241)&lt;&gt;"dnf"),"Not a valid time",OR(LOWER($G241)="dnf",$G241&gt;ScoringTable!$M$161),1,RIGHT($E241,1)="B",_xlfn.XLOOKUP($G241,ScoringTable!$M$2:$M$161,ScoringTable!$L$2:$L$161,,1),TRUE,_xlfn.XLOOKUP($G241,ScoringTable!$S$2:$S$161,ScoringTable!$R$2:$R$161,,1))</f>
        <v>0</v>
      </c>
    </row>
    <row r="242" spans="1:13" s="7" customFormat="1" ht="16" customHeight="1">
      <c r="A242" s="280" t="s">
        <v>2</v>
      </c>
      <c r="B242" s="122" t="str">
        <f>IF(ISNA(VLOOKUP($F242,Declarations!B$6:C$293,2,FALSE)),"",IF(VLOOKUP($F242,Declarations!B$6:C$293,2,FALSE)="","NOT DECLARED",IF(ISNA(_xlfn.TEXTBEFORE(VLOOKUP($F242,Declarations!B$6:C$293,2,FALSE)," ")),VLOOKUP($F242,Declarations!B$6:C$293,2,FALSE),_xlfn.TEXTBEFORE(VLOOKUP($F242,Declarations!B$6:C$293,2,FALSE)," "))))</f>
        <v/>
      </c>
      <c r="C242" s="122" t="str">
        <f>IF(ISNA(VLOOKUP($F242,Declarations!B$6:C$293,2,FALSE)),"",IF(VLOOKUP($F242,Declarations!B$6:C$293,2,FALSE)="","NOT DECLARED",IF(ISNA(_xlfn.TEXTAFTER(VLOOKUP($F242,Declarations!B$6:C$293,2,FALSE)," ")),VLOOKUP($F242,Declarations!B$6:C$293,2,FALSE),_xlfn.TEXTAFTER(VLOOKUP($F242,Declarations!B$6:C$293,2,FALSE)," "))))</f>
        <v/>
      </c>
      <c r="D242" s="122" t="str">
        <f>IF(ISNA(VLOOKUP($F242,Declarations!$B$6:$F$293,5,FALSE)),"",IF(VLOOKUP($F242,Declarations!$B$6:$F$293,5,FALSE)="","NOT DECLARED",VLOOKUP($F242,Declarations!$B$6:$F$293,5,FALSE)))</f>
        <v/>
      </c>
      <c r="E242" s="120" t="str">
        <f>IF(ISNA(VLOOKUP($F242,Declarations!$B$6:$D$293,3,FALSE)),"",IF(VLOOKUP($F242,Declarations!$B$6:$D$293,3,FALSE)="","NOT DECLARED",VLOOKUP($F242,Declarations!$B$6:$D$293,3,FALSE)&amp;LEFT(VLOOKUP($F242,Declarations!$B$6:$E$293,4,FALSE))))</f>
        <v/>
      </c>
      <c r="F242" s="59"/>
      <c r="G242" s="130"/>
      <c r="H242" s="130"/>
      <c r="I242" s="122" t="str">
        <f>IF(ISNA(VLOOKUP(F242,Declarations!B$6:C$293,2,FALSE)),"",IF(VLOOKUP(F242,Declarations!B$6:C$293,2,FALSE)="","NOT DECLARED",VLOOKUP(F242,Declarations!B$6:C$293,2,FALSE)))</f>
        <v/>
      </c>
      <c r="J242" s="120">
        <f>IF(LOWER(G242)="dnf",1,IF(G242&lt;ScoringTable!B$3,ScoringTable!I$2,VLOOKUP((1000-G242),ScoringTable!G$2:I$95,3)))</f>
        <v>0</v>
      </c>
      <c r="K242" s="120" t="str" cm="1">
        <f t="array" ref="K242">IF(OR(E242="",G242=""),"",_xlfn.IFS(E242="U10B",_xlfn.XLOOKUP(G242,Data!$D$2:$L$2,Data!$D$1:$L$1,"",1,1),E242="U12B",_xlfn.XLOOKUP(G242,Data!$D$8:$L$8,Data!$D$1:$L$1,"",1,1),E242="U10G",_xlfn.XLOOKUP(G242,Data!$D$15:$L$15,Data!$D$1:$L$1,"",1,1),E242="U12G",_xlfn.XLOOKUP(G242,Data!$D$21:$L$21,Data!$D$1:$L$1,"",1,1)))</f>
        <v/>
      </c>
      <c r="L242" s="184" t="str" cm="1">
        <f t="array" ref="L242">IFERROR(_xlfn.IFNA(
                      _xlfn.IFS(
                      G242="", "",
                      AND(E242="U10B",G242&lt;=Data!$M$2), "U10 Boys record",
                      AND(E242="U12B",G242&lt;=Data!$M$8), "U12 Boys record",
                      AND(E242="U10G",G242&lt;=Data!$M$15), "U10 Girls record",
                      AND(E242="U12G",G242&lt;=Data!$M$21), "U12 Girls record"
                       ),""), "")</f>
        <v/>
      </c>
      <c r="M242" s="19" cm="1">
        <f t="array" ref="M242">_xlfn.IFS($G242="",0, AND(NOT(ISNUMBER($G242)),LOWER($G242)&lt;&gt;"dnf"),"Not a valid time",OR(LOWER($G242)="dnf",$G242&gt;ScoringTable!$M$161),1,RIGHT($E242,1)="B",_xlfn.XLOOKUP($G242,ScoringTable!$M$2:$M$161,ScoringTable!$L$2:$L$161,,1),TRUE,_xlfn.XLOOKUP($G242,ScoringTable!$S$2:$S$161,ScoringTable!$R$2:$R$161,,1))</f>
        <v>0</v>
      </c>
    </row>
    <row r="243" spans="1:13" s="7" customFormat="1" ht="16" customHeight="1">
      <c r="A243" s="280" t="s">
        <v>2</v>
      </c>
      <c r="B243" s="122" t="str">
        <f>IF(ISNA(VLOOKUP($F243,Declarations!B$6:C$293,2,FALSE)),"",IF(VLOOKUP($F243,Declarations!B$6:C$293,2,FALSE)="","NOT DECLARED",IF(ISNA(_xlfn.TEXTBEFORE(VLOOKUP($F243,Declarations!B$6:C$293,2,FALSE)," ")),VLOOKUP($F243,Declarations!B$6:C$293,2,FALSE),_xlfn.TEXTBEFORE(VLOOKUP($F243,Declarations!B$6:C$293,2,FALSE)," "))))</f>
        <v/>
      </c>
      <c r="C243" s="122" t="str">
        <f>IF(ISNA(VLOOKUP($F243,Declarations!B$6:C$293,2,FALSE)),"",IF(VLOOKUP($F243,Declarations!B$6:C$293,2,FALSE)="","NOT DECLARED",IF(ISNA(_xlfn.TEXTAFTER(VLOOKUP($F243,Declarations!B$6:C$293,2,FALSE)," ")),VLOOKUP($F243,Declarations!B$6:C$293,2,FALSE),_xlfn.TEXTAFTER(VLOOKUP($F243,Declarations!B$6:C$293,2,FALSE)," "))))</f>
        <v/>
      </c>
      <c r="D243" s="122" t="str">
        <f>IF(ISNA(VLOOKUP($F243,Declarations!$B$6:$F$293,5,FALSE)),"",IF(VLOOKUP($F243,Declarations!$B$6:$F$293,5,FALSE)="","NOT DECLARED",VLOOKUP($F243,Declarations!$B$6:$F$293,5,FALSE)))</f>
        <v/>
      </c>
      <c r="E243" s="120" t="str">
        <f>IF(ISNA(VLOOKUP($F243,Declarations!$B$6:$D$293,3,FALSE)),"",IF(VLOOKUP($F243,Declarations!$B$6:$D$293,3,FALSE)="","NOT DECLARED",VLOOKUP($F243,Declarations!$B$6:$D$293,3,FALSE)&amp;LEFT(VLOOKUP($F243,Declarations!$B$6:$E$293,4,FALSE))))</f>
        <v/>
      </c>
      <c r="F243" s="59"/>
      <c r="G243" s="130"/>
      <c r="H243" s="130"/>
      <c r="I243" s="122" t="str">
        <f>IF(ISNA(VLOOKUP(F243,Declarations!B$6:C$293,2,FALSE)),"",IF(VLOOKUP(F243,Declarations!B$6:C$293,2,FALSE)="","NOT DECLARED",VLOOKUP(F243,Declarations!B$6:C$293,2,FALSE)))</f>
        <v/>
      </c>
      <c r="J243" s="120">
        <f>IF(LOWER(G243)="dnf",1,IF(G243&lt;ScoringTable!B$3,ScoringTable!I$2,VLOOKUP((1000-G243),ScoringTable!G$2:I$95,3)))</f>
        <v>0</v>
      </c>
      <c r="K243" s="120" t="str" cm="1">
        <f t="array" ref="K243">IF(OR(E243="",G243=""),"",_xlfn.IFS(E243="U10B",_xlfn.XLOOKUP(G243,Data!$D$2:$L$2,Data!$D$1:$L$1,"",1,1),E243="U12B",_xlfn.XLOOKUP(G243,Data!$D$8:$L$8,Data!$D$1:$L$1,"",1,1),E243="U10G",_xlfn.XLOOKUP(G243,Data!$D$15:$L$15,Data!$D$1:$L$1,"",1,1),E243="U12G",_xlfn.XLOOKUP(G243,Data!$D$21:$L$21,Data!$D$1:$L$1,"",1,1)))</f>
        <v/>
      </c>
      <c r="L243" s="184" t="str" cm="1">
        <f t="array" ref="L243">IFERROR(_xlfn.IFNA(
                      _xlfn.IFS(
                      G243="", "",
                      AND(E243="U10B",G243&lt;=Data!$M$2), "U10 Boys record",
                      AND(E243="U12B",G243&lt;=Data!$M$8), "U12 Boys record",
                      AND(E243="U10G",G243&lt;=Data!$M$15), "U10 Girls record",
                      AND(E243="U12G",G243&lt;=Data!$M$21), "U12 Girls record"
                       ),""), "")</f>
        <v/>
      </c>
      <c r="M243" s="19" cm="1">
        <f t="array" ref="M243">_xlfn.IFS($G243="",0, AND(NOT(ISNUMBER($G243)),LOWER($G243)&lt;&gt;"dnf"),"Not a valid time",OR(LOWER($G243)="dnf",$G243&gt;ScoringTable!$M$161),1,RIGHT($E243,1)="B",_xlfn.XLOOKUP($G243,ScoringTable!$M$2:$M$161,ScoringTable!$L$2:$L$161,,1),TRUE,_xlfn.XLOOKUP($G243,ScoringTable!$S$2:$S$161,ScoringTable!$R$2:$R$161,,1))</f>
        <v>0</v>
      </c>
    </row>
    <row r="244" spans="1:13" s="7" customFormat="1" ht="16" customHeight="1">
      <c r="A244" s="280" t="s">
        <v>2</v>
      </c>
      <c r="B244" s="122" t="str">
        <f>IF(ISNA(VLOOKUP($F244,Declarations!B$6:C$293,2,FALSE)),"",IF(VLOOKUP($F244,Declarations!B$6:C$293,2,FALSE)="","NOT DECLARED",IF(ISNA(_xlfn.TEXTBEFORE(VLOOKUP($F244,Declarations!B$6:C$293,2,FALSE)," ")),VLOOKUP($F244,Declarations!B$6:C$293,2,FALSE),_xlfn.TEXTBEFORE(VLOOKUP($F244,Declarations!B$6:C$293,2,FALSE)," "))))</f>
        <v/>
      </c>
      <c r="C244" s="122" t="str">
        <f>IF(ISNA(VLOOKUP($F244,Declarations!B$6:C$293,2,FALSE)),"",IF(VLOOKUP($F244,Declarations!B$6:C$293,2,FALSE)="","NOT DECLARED",IF(ISNA(_xlfn.TEXTAFTER(VLOOKUP($F244,Declarations!B$6:C$293,2,FALSE)," ")),VLOOKUP($F244,Declarations!B$6:C$293,2,FALSE),_xlfn.TEXTAFTER(VLOOKUP($F244,Declarations!B$6:C$293,2,FALSE)," "))))</f>
        <v/>
      </c>
      <c r="D244" s="122" t="str">
        <f>IF(ISNA(VLOOKUP($F244,Declarations!$B$6:$F$293,5,FALSE)),"",IF(VLOOKUP($F244,Declarations!$B$6:$F$293,5,FALSE)="","NOT DECLARED",VLOOKUP($F244,Declarations!$B$6:$F$293,5,FALSE)))</f>
        <v/>
      </c>
      <c r="E244" s="120" t="str">
        <f>IF(ISNA(VLOOKUP($F244,Declarations!$B$6:$D$293,3,FALSE)),"",IF(VLOOKUP($F244,Declarations!$B$6:$D$293,3,FALSE)="","NOT DECLARED",VLOOKUP($F244,Declarations!$B$6:$D$293,3,FALSE)&amp;LEFT(VLOOKUP($F244,Declarations!$B$6:$E$293,4,FALSE))))</f>
        <v/>
      </c>
      <c r="F244" s="59"/>
      <c r="G244" s="130"/>
      <c r="H244" s="130"/>
      <c r="I244" s="122" t="str">
        <f>IF(ISNA(VLOOKUP(F244,Declarations!B$6:C$293,2,FALSE)),"",IF(VLOOKUP(F244,Declarations!B$6:C$293,2,FALSE)="","NOT DECLARED",VLOOKUP(F244,Declarations!B$6:C$293,2,FALSE)))</f>
        <v/>
      </c>
      <c r="J244" s="120">
        <f>IF(LOWER(G244)="dnf",1,IF(G244&lt;ScoringTable!B$3,ScoringTable!I$2,VLOOKUP((1000-G244),ScoringTable!G$2:I$95,3)))</f>
        <v>0</v>
      </c>
      <c r="K244" s="120" t="str" cm="1">
        <f t="array" ref="K244">IF(OR(E244="",G244=""),"",_xlfn.IFS(E244="U10B",_xlfn.XLOOKUP(G244,Data!$D$2:$L$2,Data!$D$1:$L$1,"",1,1),E244="U12B",_xlfn.XLOOKUP(G244,Data!$D$8:$L$8,Data!$D$1:$L$1,"",1,1),E244="U10G",_xlfn.XLOOKUP(G244,Data!$D$15:$L$15,Data!$D$1:$L$1,"",1,1),E244="U12G",_xlfn.XLOOKUP(G244,Data!$D$21:$L$21,Data!$D$1:$L$1,"",1,1)))</f>
        <v/>
      </c>
      <c r="L244" s="184" t="str" cm="1">
        <f t="array" ref="L244">IFERROR(_xlfn.IFNA(
                      _xlfn.IFS(
                      G244="", "",
                      AND(E244="U10B",G244&lt;=Data!$M$2), "U10 Boys record",
                      AND(E244="U12B",G244&lt;=Data!$M$8), "U12 Boys record",
                      AND(E244="U10G",G244&lt;=Data!$M$15), "U10 Girls record",
                      AND(E244="U12G",G244&lt;=Data!$M$21), "U12 Girls record"
                       ),""), "")</f>
        <v/>
      </c>
      <c r="M244" s="19" cm="1">
        <f t="array" ref="M244">_xlfn.IFS($G244="",0, AND(NOT(ISNUMBER($G244)),LOWER($G244)&lt;&gt;"dnf"),"Not a valid time",OR(LOWER($G244)="dnf",$G244&gt;ScoringTable!$M$161),1,RIGHT($E244,1)="B",_xlfn.XLOOKUP($G244,ScoringTable!$M$2:$M$161,ScoringTable!$L$2:$L$161,,1),TRUE,_xlfn.XLOOKUP($G244,ScoringTable!$S$2:$S$161,ScoringTable!$R$2:$R$161,,1))</f>
        <v>0</v>
      </c>
    </row>
    <row r="245" spans="1:13" s="7" customFormat="1" ht="16" customHeight="1">
      <c r="A245" s="280" t="s">
        <v>2</v>
      </c>
      <c r="B245" s="122" t="str">
        <f>IF(ISNA(VLOOKUP($F245,Declarations!B$6:C$293,2,FALSE)),"",IF(VLOOKUP($F245,Declarations!B$6:C$293,2,FALSE)="","NOT DECLARED",IF(ISNA(_xlfn.TEXTBEFORE(VLOOKUP($F245,Declarations!B$6:C$293,2,FALSE)," ")),VLOOKUP($F245,Declarations!B$6:C$293,2,FALSE),_xlfn.TEXTBEFORE(VLOOKUP($F245,Declarations!B$6:C$293,2,FALSE)," "))))</f>
        <v/>
      </c>
      <c r="C245" s="122" t="str">
        <f>IF(ISNA(VLOOKUP($F245,Declarations!B$6:C$293,2,FALSE)),"",IF(VLOOKUP($F245,Declarations!B$6:C$293,2,FALSE)="","NOT DECLARED",IF(ISNA(_xlfn.TEXTAFTER(VLOOKUP($F245,Declarations!B$6:C$293,2,FALSE)," ")),VLOOKUP($F245,Declarations!B$6:C$293,2,FALSE),_xlfn.TEXTAFTER(VLOOKUP($F245,Declarations!B$6:C$293,2,FALSE)," "))))</f>
        <v/>
      </c>
      <c r="D245" s="122" t="str">
        <f>IF(ISNA(VLOOKUP($F245,Declarations!$B$6:$F$293,5,FALSE)),"",IF(VLOOKUP($F245,Declarations!$B$6:$F$293,5,FALSE)="","NOT DECLARED",VLOOKUP($F245,Declarations!$B$6:$F$293,5,FALSE)))</f>
        <v/>
      </c>
      <c r="E245" s="120" t="str">
        <f>IF(ISNA(VLOOKUP($F245,Declarations!$B$6:$D$293,3,FALSE)),"",IF(VLOOKUP($F245,Declarations!$B$6:$D$293,3,FALSE)="","NOT DECLARED",VLOOKUP($F245,Declarations!$B$6:$D$293,3,FALSE)&amp;LEFT(VLOOKUP($F245,Declarations!$B$6:$E$293,4,FALSE))))</f>
        <v/>
      </c>
      <c r="F245" s="59"/>
      <c r="G245" s="130"/>
      <c r="H245" s="130"/>
      <c r="I245" s="122" t="str">
        <f>IF(ISNA(VLOOKUP(F245,Declarations!B$6:C$293,2,FALSE)),"",IF(VLOOKUP(F245,Declarations!B$6:C$293,2,FALSE)="","NOT DECLARED",VLOOKUP(F245,Declarations!B$6:C$293,2,FALSE)))</f>
        <v/>
      </c>
      <c r="J245" s="120">
        <f>IF(LOWER(G245)="dnf",1,IF(G245&lt;ScoringTable!B$3,ScoringTable!I$2,VLOOKUP((1000-G245),ScoringTable!G$2:I$95,3)))</f>
        <v>0</v>
      </c>
      <c r="K245" s="120" t="str" cm="1">
        <f t="array" ref="K245">IF(OR(E245="",G245=""),"",_xlfn.IFS(E245="U10B",_xlfn.XLOOKUP(G245,Data!$D$2:$L$2,Data!$D$1:$L$1,"",1,1),E245="U12B",_xlfn.XLOOKUP(G245,Data!$D$8:$L$8,Data!$D$1:$L$1,"",1,1),E245="U10G",_xlfn.XLOOKUP(G245,Data!$D$15:$L$15,Data!$D$1:$L$1,"",1,1),E245="U12G",_xlfn.XLOOKUP(G245,Data!$D$21:$L$21,Data!$D$1:$L$1,"",1,1)))</f>
        <v/>
      </c>
      <c r="L245" s="184" t="str" cm="1">
        <f t="array" ref="L245">IFERROR(_xlfn.IFNA(
                      _xlfn.IFS(
                      G245="", "",
                      AND(E245="U10B",G245&lt;=Data!$M$2), "U10 Boys record",
                      AND(E245="U12B",G245&lt;=Data!$M$8), "U12 Boys record",
                      AND(E245="U10G",G245&lt;=Data!$M$15), "U10 Girls record",
                      AND(E245="U12G",G245&lt;=Data!$M$21), "U12 Girls record"
                       ),""), "")</f>
        <v/>
      </c>
      <c r="M245" s="19" cm="1">
        <f t="array" ref="M245">_xlfn.IFS($G245="",0, AND(NOT(ISNUMBER($G245)),LOWER($G245)&lt;&gt;"dnf"),"Not a valid time",OR(LOWER($G245)="dnf",$G245&gt;ScoringTable!$M$161),1,RIGHT($E245,1)="B",_xlfn.XLOOKUP($G245,ScoringTable!$M$2:$M$161,ScoringTable!$L$2:$L$161,,1),TRUE,_xlfn.XLOOKUP($G245,ScoringTable!$S$2:$S$161,ScoringTable!$R$2:$R$161,,1))</f>
        <v>0</v>
      </c>
    </row>
    <row r="246" spans="1:13" s="7" customFormat="1" ht="16" customHeight="1">
      <c r="A246" s="280" t="s">
        <v>2</v>
      </c>
      <c r="B246" s="122" t="str">
        <f>IF(ISNA(VLOOKUP($F246,Declarations!B$6:C$293,2,FALSE)),"",IF(VLOOKUP($F246,Declarations!B$6:C$293,2,FALSE)="","NOT DECLARED",IF(ISNA(_xlfn.TEXTBEFORE(VLOOKUP($F246,Declarations!B$6:C$293,2,FALSE)," ")),VLOOKUP($F246,Declarations!B$6:C$293,2,FALSE),_xlfn.TEXTBEFORE(VLOOKUP($F246,Declarations!B$6:C$293,2,FALSE)," "))))</f>
        <v/>
      </c>
      <c r="C246" s="122" t="str">
        <f>IF(ISNA(VLOOKUP($F246,Declarations!B$6:C$293,2,FALSE)),"",IF(VLOOKUP($F246,Declarations!B$6:C$293,2,FALSE)="","NOT DECLARED",IF(ISNA(_xlfn.TEXTAFTER(VLOOKUP($F246,Declarations!B$6:C$293,2,FALSE)," ")),VLOOKUP($F246,Declarations!B$6:C$293,2,FALSE),_xlfn.TEXTAFTER(VLOOKUP($F246,Declarations!B$6:C$293,2,FALSE)," "))))</f>
        <v/>
      </c>
      <c r="D246" s="122" t="str">
        <f>IF(ISNA(VLOOKUP($F246,Declarations!$B$6:$F$293,5,FALSE)),"",IF(VLOOKUP($F246,Declarations!$B$6:$F$293,5,FALSE)="","NOT DECLARED",VLOOKUP($F246,Declarations!$B$6:$F$293,5,FALSE)))</f>
        <v/>
      </c>
      <c r="E246" s="120" t="str">
        <f>IF(ISNA(VLOOKUP($F246,Declarations!$B$6:$D$293,3,FALSE)),"",IF(VLOOKUP($F246,Declarations!$B$6:$D$293,3,FALSE)="","NOT DECLARED",VLOOKUP($F246,Declarations!$B$6:$D$293,3,FALSE)&amp;LEFT(VLOOKUP($F246,Declarations!$B$6:$E$293,4,FALSE))))</f>
        <v/>
      </c>
      <c r="F246" s="59"/>
      <c r="G246" s="130"/>
      <c r="H246" s="130"/>
      <c r="I246" s="122" t="str">
        <f>IF(ISNA(VLOOKUP(F246,Declarations!B$6:C$293,2,FALSE)),"",IF(VLOOKUP(F246,Declarations!B$6:C$293,2,FALSE)="","NOT DECLARED",VLOOKUP(F246,Declarations!B$6:C$293,2,FALSE)))</f>
        <v/>
      </c>
      <c r="J246" s="120">
        <f>IF(LOWER(G246)="dnf",1,IF(G246&lt;ScoringTable!B$3,ScoringTable!I$2,VLOOKUP((1000-G246),ScoringTable!G$2:I$95,3)))</f>
        <v>0</v>
      </c>
      <c r="K246" s="120" t="str" cm="1">
        <f t="array" ref="K246">IF(OR(E246="",G246=""),"",_xlfn.IFS(E246="U10B",_xlfn.XLOOKUP(G246,Data!$D$2:$L$2,Data!$D$1:$L$1,"",1,1),E246="U12B",_xlfn.XLOOKUP(G246,Data!$D$8:$L$8,Data!$D$1:$L$1,"",1,1),E246="U10G",_xlfn.XLOOKUP(G246,Data!$D$15:$L$15,Data!$D$1:$L$1,"",1,1),E246="U12G",_xlfn.XLOOKUP(G246,Data!$D$21:$L$21,Data!$D$1:$L$1,"",1,1)))</f>
        <v/>
      </c>
      <c r="L246" s="184" t="str" cm="1">
        <f t="array" ref="L246">IFERROR(_xlfn.IFNA(
                      _xlfn.IFS(
                      G246="", "",
                      AND(E246="U10B",G246&lt;=Data!$M$2), "U10 Boys record",
                      AND(E246="U12B",G246&lt;=Data!$M$8), "U12 Boys record",
                      AND(E246="U10G",G246&lt;=Data!$M$15), "U10 Girls record",
                      AND(E246="U12G",G246&lt;=Data!$M$21), "U12 Girls record"
                       ),""), "")</f>
        <v/>
      </c>
      <c r="M246" s="19" cm="1">
        <f t="array" ref="M246">_xlfn.IFS($G246="",0, AND(NOT(ISNUMBER($G246)),LOWER($G246)&lt;&gt;"dnf"),"Not a valid time",OR(LOWER($G246)="dnf",$G246&gt;ScoringTable!$M$161),1,RIGHT($E246,1)="B",_xlfn.XLOOKUP($G246,ScoringTable!$M$2:$M$161,ScoringTable!$L$2:$L$161,,1),TRUE,_xlfn.XLOOKUP($G246,ScoringTable!$S$2:$S$161,ScoringTable!$R$2:$R$161,,1))</f>
        <v>0</v>
      </c>
    </row>
    <row r="247" spans="1:13" s="7" customFormat="1" ht="16" customHeight="1">
      <c r="A247" s="280" t="s">
        <v>2</v>
      </c>
      <c r="B247" s="122" t="str">
        <f>IF(ISNA(VLOOKUP($F247,Declarations!B$6:C$293,2,FALSE)),"",IF(VLOOKUP($F247,Declarations!B$6:C$293,2,FALSE)="","NOT DECLARED",IF(ISNA(_xlfn.TEXTBEFORE(VLOOKUP($F247,Declarations!B$6:C$293,2,FALSE)," ")),VLOOKUP($F247,Declarations!B$6:C$293,2,FALSE),_xlfn.TEXTBEFORE(VLOOKUP($F247,Declarations!B$6:C$293,2,FALSE)," "))))</f>
        <v/>
      </c>
      <c r="C247" s="122" t="str">
        <f>IF(ISNA(VLOOKUP($F247,Declarations!B$6:C$293,2,FALSE)),"",IF(VLOOKUP($F247,Declarations!B$6:C$293,2,FALSE)="","NOT DECLARED",IF(ISNA(_xlfn.TEXTAFTER(VLOOKUP($F247,Declarations!B$6:C$293,2,FALSE)," ")),VLOOKUP($F247,Declarations!B$6:C$293,2,FALSE),_xlfn.TEXTAFTER(VLOOKUP($F247,Declarations!B$6:C$293,2,FALSE)," "))))</f>
        <v/>
      </c>
      <c r="D247" s="122" t="str">
        <f>IF(ISNA(VLOOKUP($F247,Declarations!$B$6:$F$293,5,FALSE)),"",IF(VLOOKUP($F247,Declarations!$B$6:$F$293,5,FALSE)="","NOT DECLARED",VLOOKUP($F247,Declarations!$B$6:$F$293,5,FALSE)))</f>
        <v/>
      </c>
      <c r="E247" s="120" t="str">
        <f>IF(ISNA(VLOOKUP($F247,Declarations!$B$6:$D$293,3,FALSE)),"",IF(VLOOKUP($F247,Declarations!$B$6:$D$293,3,FALSE)="","NOT DECLARED",VLOOKUP($F247,Declarations!$B$6:$D$293,3,FALSE)&amp;LEFT(VLOOKUP($F247,Declarations!$B$6:$E$293,4,FALSE))))</f>
        <v/>
      </c>
      <c r="F247" s="59"/>
      <c r="G247" s="130"/>
      <c r="H247" s="130"/>
      <c r="I247" s="122" t="str">
        <f>IF(ISNA(VLOOKUP(F247,Declarations!B$6:C$293,2,FALSE)),"",IF(VLOOKUP(F247,Declarations!B$6:C$293,2,FALSE)="","NOT DECLARED",VLOOKUP(F247,Declarations!B$6:C$293,2,FALSE)))</f>
        <v/>
      </c>
      <c r="J247" s="120">
        <f>IF(LOWER(G247)="dnf",1,IF(G247&lt;ScoringTable!B$3,ScoringTable!I$2,VLOOKUP((1000-G247),ScoringTable!G$2:I$95,3)))</f>
        <v>0</v>
      </c>
      <c r="K247" s="120" t="str" cm="1">
        <f t="array" ref="K247">IF(OR(E247="",G247=""),"",_xlfn.IFS(E247="U10B",_xlfn.XLOOKUP(G247,Data!$D$2:$L$2,Data!$D$1:$L$1,"",1,1),E247="U12B",_xlfn.XLOOKUP(G247,Data!$D$8:$L$8,Data!$D$1:$L$1,"",1,1),E247="U10G",_xlfn.XLOOKUP(G247,Data!$D$15:$L$15,Data!$D$1:$L$1,"",1,1),E247="U12G",_xlfn.XLOOKUP(G247,Data!$D$21:$L$21,Data!$D$1:$L$1,"",1,1)))</f>
        <v/>
      </c>
      <c r="L247" s="184" t="str" cm="1">
        <f t="array" ref="L247">IFERROR(_xlfn.IFNA(
                      _xlfn.IFS(
                      G247="", "",
                      AND(E247="U10B",G247&lt;=Data!$M$2), "U10 Boys record",
                      AND(E247="U12B",G247&lt;=Data!$M$8), "U12 Boys record",
                      AND(E247="U10G",G247&lt;=Data!$M$15), "U10 Girls record",
                      AND(E247="U12G",G247&lt;=Data!$M$21), "U12 Girls record"
                       ),""), "")</f>
        <v/>
      </c>
      <c r="M247" s="19" cm="1">
        <f t="array" ref="M247">_xlfn.IFS($G247="",0, AND(NOT(ISNUMBER($G247)),LOWER($G247)&lt;&gt;"dnf"),"Not a valid time",OR(LOWER($G247)="dnf",$G247&gt;ScoringTable!$M$161),1,RIGHT($E247,1)="B",_xlfn.XLOOKUP($G247,ScoringTable!$M$2:$M$161,ScoringTable!$L$2:$L$161,,1),TRUE,_xlfn.XLOOKUP($G247,ScoringTable!$S$2:$S$161,ScoringTable!$R$2:$R$161,,1))</f>
        <v>0</v>
      </c>
    </row>
    <row r="248" spans="1:13" s="7" customFormat="1" ht="16" customHeight="1">
      <c r="A248" s="280" t="s">
        <v>2</v>
      </c>
      <c r="B248" s="122" t="str">
        <f>IF(ISNA(VLOOKUP($F248,Declarations!B$6:C$293,2,FALSE)),"",IF(VLOOKUP($F248,Declarations!B$6:C$293,2,FALSE)="","NOT DECLARED",IF(ISNA(_xlfn.TEXTBEFORE(VLOOKUP($F248,Declarations!B$6:C$293,2,FALSE)," ")),VLOOKUP($F248,Declarations!B$6:C$293,2,FALSE),_xlfn.TEXTBEFORE(VLOOKUP($F248,Declarations!B$6:C$293,2,FALSE)," "))))</f>
        <v/>
      </c>
      <c r="C248" s="122" t="str">
        <f>IF(ISNA(VLOOKUP($F248,Declarations!B$6:C$293,2,FALSE)),"",IF(VLOOKUP($F248,Declarations!B$6:C$293,2,FALSE)="","NOT DECLARED",IF(ISNA(_xlfn.TEXTAFTER(VLOOKUP($F248,Declarations!B$6:C$293,2,FALSE)," ")),VLOOKUP($F248,Declarations!B$6:C$293,2,FALSE),_xlfn.TEXTAFTER(VLOOKUP($F248,Declarations!B$6:C$293,2,FALSE)," "))))</f>
        <v/>
      </c>
      <c r="D248" s="122" t="str">
        <f>IF(ISNA(VLOOKUP($F248,Declarations!$B$6:$F$293,5,FALSE)),"",IF(VLOOKUP($F248,Declarations!$B$6:$F$293,5,FALSE)="","NOT DECLARED",VLOOKUP($F248,Declarations!$B$6:$F$293,5,FALSE)))</f>
        <v/>
      </c>
      <c r="E248" s="120" t="str">
        <f>IF(ISNA(VLOOKUP($F248,Declarations!$B$6:$D$293,3,FALSE)),"",IF(VLOOKUP($F248,Declarations!$B$6:$D$293,3,FALSE)="","NOT DECLARED",VLOOKUP($F248,Declarations!$B$6:$D$293,3,FALSE)&amp;LEFT(VLOOKUP($F248,Declarations!$B$6:$E$293,4,FALSE))))</f>
        <v/>
      </c>
      <c r="F248" s="59"/>
      <c r="G248" s="130"/>
      <c r="H248" s="130"/>
      <c r="I248" s="122" t="str">
        <f>IF(ISNA(VLOOKUP(F248,Declarations!B$6:C$293,2,FALSE)),"",IF(VLOOKUP(F248,Declarations!B$6:C$293,2,FALSE)="","NOT DECLARED",VLOOKUP(F248,Declarations!B$6:C$293,2,FALSE)))</f>
        <v/>
      </c>
      <c r="J248" s="120">
        <f>IF(LOWER(G248)="dnf",1,IF(G248&lt;ScoringTable!B$3,ScoringTable!I$2,VLOOKUP((1000-G248),ScoringTable!G$2:I$95,3)))</f>
        <v>0</v>
      </c>
      <c r="K248" s="120" t="str" cm="1">
        <f t="array" ref="K248">IF(OR(E248="",G248=""),"",_xlfn.IFS(E248="U10B",_xlfn.XLOOKUP(G248,Data!$D$2:$L$2,Data!$D$1:$L$1,"",1,1),E248="U12B",_xlfn.XLOOKUP(G248,Data!$D$8:$L$8,Data!$D$1:$L$1,"",1,1),E248="U10G",_xlfn.XLOOKUP(G248,Data!$D$15:$L$15,Data!$D$1:$L$1,"",1,1),E248="U12G",_xlfn.XLOOKUP(G248,Data!$D$21:$L$21,Data!$D$1:$L$1,"",1,1)))</f>
        <v/>
      </c>
      <c r="L248" s="184" t="str" cm="1">
        <f t="array" ref="L248">IFERROR(_xlfn.IFNA(
                      _xlfn.IFS(
                      G248="", "",
                      AND(E248="U10B",G248&lt;=Data!$M$2), "U10 Boys record",
                      AND(E248="U12B",G248&lt;=Data!$M$8), "U12 Boys record",
                      AND(E248="U10G",G248&lt;=Data!$M$15), "U10 Girls record",
                      AND(E248="U12G",G248&lt;=Data!$M$21), "U12 Girls record"
                       ),""), "")</f>
        <v/>
      </c>
      <c r="M248" s="19" cm="1">
        <f t="array" ref="M248">_xlfn.IFS($G248="",0, AND(NOT(ISNUMBER($G248)),LOWER($G248)&lt;&gt;"dnf"),"Not a valid time",OR(LOWER($G248)="dnf",$G248&gt;ScoringTable!$M$161),1,RIGHT($E248,1)="B",_xlfn.XLOOKUP($G248,ScoringTable!$M$2:$M$161,ScoringTable!$L$2:$L$161,,1),TRUE,_xlfn.XLOOKUP($G248,ScoringTable!$S$2:$S$161,ScoringTable!$R$2:$R$161,,1))</f>
        <v>0</v>
      </c>
    </row>
    <row r="249" spans="1:13" s="7" customFormat="1" ht="16" customHeight="1">
      <c r="A249" s="280" t="s">
        <v>2</v>
      </c>
      <c r="B249" s="122" t="str">
        <f>IF(ISNA(VLOOKUP($F249,Declarations!B$6:C$293,2,FALSE)),"",IF(VLOOKUP($F249,Declarations!B$6:C$293,2,FALSE)="","NOT DECLARED",IF(ISNA(_xlfn.TEXTBEFORE(VLOOKUP($F249,Declarations!B$6:C$293,2,FALSE)," ")),VLOOKUP($F249,Declarations!B$6:C$293,2,FALSE),_xlfn.TEXTBEFORE(VLOOKUP($F249,Declarations!B$6:C$293,2,FALSE)," "))))</f>
        <v/>
      </c>
      <c r="C249" s="122" t="str">
        <f>IF(ISNA(VLOOKUP($F249,Declarations!B$6:C$293,2,FALSE)),"",IF(VLOOKUP($F249,Declarations!B$6:C$293,2,FALSE)="","NOT DECLARED",IF(ISNA(_xlfn.TEXTAFTER(VLOOKUP($F249,Declarations!B$6:C$293,2,FALSE)," ")),VLOOKUP($F249,Declarations!B$6:C$293,2,FALSE),_xlfn.TEXTAFTER(VLOOKUP($F249,Declarations!B$6:C$293,2,FALSE)," "))))</f>
        <v/>
      </c>
      <c r="D249" s="122" t="str">
        <f>IF(ISNA(VLOOKUP($F249,Declarations!$B$6:$F$293,5,FALSE)),"",IF(VLOOKUP($F249,Declarations!$B$6:$F$293,5,FALSE)="","NOT DECLARED",VLOOKUP($F249,Declarations!$B$6:$F$293,5,FALSE)))</f>
        <v/>
      </c>
      <c r="E249" s="120" t="str">
        <f>IF(ISNA(VLOOKUP($F249,Declarations!$B$6:$D$293,3,FALSE)),"",IF(VLOOKUP($F249,Declarations!$B$6:$D$293,3,FALSE)="","NOT DECLARED",VLOOKUP($F249,Declarations!$B$6:$D$293,3,FALSE)&amp;LEFT(VLOOKUP($F249,Declarations!$B$6:$E$293,4,FALSE))))</f>
        <v/>
      </c>
      <c r="F249" s="59"/>
      <c r="G249" s="130"/>
      <c r="H249" s="130"/>
      <c r="I249" s="122" t="str">
        <f>IF(ISNA(VLOOKUP(F249,Declarations!B$6:C$293,2,FALSE)),"",IF(VLOOKUP(F249,Declarations!B$6:C$293,2,FALSE)="","NOT DECLARED",VLOOKUP(F249,Declarations!B$6:C$293,2,FALSE)))</f>
        <v/>
      </c>
      <c r="J249" s="120">
        <f>IF(LOWER(G249)="dnf",1,IF(G249&lt;ScoringTable!B$3,ScoringTable!I$2,VLOOKUP((1000-G249),ScoringTable!G$2:I$95,3)))</f>
        <v>0</v>
      </c>
      <c r="K249" s="120" t="str" cm="1">
        <f t="array" ref="K249">IF(OR(E249="",G249=""),"",_xlfn.IFS(E249="U10B",_xlfn.XLOOKUP(G249,Data!$D$2:$L$2,Data!$D$1:$L$1,"",1,1),E249="U12B",_xlfn.XLOOKUP(G249,Data!$D$8:$L$8,Data!$D$1:$L$1,"",1,1),E249="U10G",_xlfn.XLOOKUP(G249,Data!$D$15:$L$15,Data!$D$1:$L$1,"",1,1),E249="U12G",_xlfn.XLOOKUP(G249,Data!$D$21:$L$21,Data!$D$1:$L$1,"",1,1)))</f>
        <v/>
      </c>
      <c r="L249" s="184" t="str" cm="1">
        <f t="array" ref="L249">IFERROR(_xlfn.IFNA(
                      _xlfn.IFS(
                      G249="", "",
                      AND(E249="U10B",G249&lt;=Data!$M$2), "U10 Boys record",
                      AND(E249="U12B",G249&lt;=Data!$M$8), "U12 Boys record",
                      AND(E249="U10G",G249&lt;=Data!$M$15), "U10 Girls record",
                      AND(E249="U12G",G249&lt;=Data!$M$21), "U12 Girls record"
                       ),""), "")</f>
        <v/>
      </c>
      <c r="M249" s="19" cm="1">
        <f t="array" ref="M249">_xlfn.IFS($G249="",0, AND(NOT(ISNUMBER($G249)),LOWER($G249)&lt;&gt;"dnf"),"Not a valid time",OR(LOWER($G249)="dnf",$G249&gt;ScoringTable!$M$161),1,RIGHT($E249,1)="B",_xlfn.XLOOKUP($G249,ScoringTable!$M$2:$M$161,ScoringTable!$L$2:$L$161,,1),TRUE,_xlfn.XLOOKUP($G249,ScoringTable!$S$2:$S$161,ScoringTable!$R$2:$R$161,,1))</f>
        <v>0</v>
      </c>
    </row>
    <row r="250" spans="1:13" s="7" customFormat="1" ht="16" customHeight="1">
      <c r="A250" s="280" t="s">
        <v>2</v>
      </c>
      <c r="B250" s="122" t="str">
        <f>IF(ISNA(VLOOKUP($F250,Declarations!B$6:C$293,2,FALSE)),"",IF(VLOOKUP($F250,Declarations!B$6:C$293,2,FALSE)="","NOT DECLARED",IF(ISNA(_xlfn.TEXTBEFORE(VLOOKUP($F250,Declarations!B$6:C$293,2,FALSE)," ")),VLOOKUP($F250,Declarations!B$6:C$293,2,FALSE),_xlfn.TEXTBEFORE(VLOOKUP($F250,Declarations!B$6:C$293,2,FALSE)," "))))</f>
        <v/>
      </c>
      <c r="C250" s="122" t="str">
        <f>IF(ISNA(VLOOKUP($F250,Declarations!B$6:C$293,2,FALSE)),"",IF(VLOOKUP($F250,Declarations!B$6:C$293,2,FALSE)="","NOT DECLARED",IF(ISNA(_xlfn.TEXTAFTER(VLOOKUP($F250,Declarations!B$6:C$293,2,FALSE)," ")),VLOOKUP($F250,Declarations!B$6:C$293,2,FALSE),_xlfn.TEXTAFTER(VLOOKUP($F250,Declarations!B$6:C$293,2,FALSE)," "))))</f>
        <v/>
      </c>
      <c r="D250" s="122" t="str">
        <f>IF(ISNA(VLOOKUP($F250,Declarations!$B$6:$F$293,5,FALSE)),"",IF(VLOOKUP($F250,Declarations!$B$6:$F$293,5,FALSE)="","NOT DECLARED",VLOOKUP($F250,Declarations!$B$6:$F$293,5,FALSE)))</f>
        <v/>
      </c>
      <c r="E250" s="120" t="str">
        <f>IF(ISNA(VLOOKUP($F250,Declarations!$B$6:$D$293,3,FALSE)),"",IF(VLOOKUP($F250,Declarations!$B$6:$D$293,3,FALSE)="","NOT DECLARED",VLOOKUP($F250,Declarations!$B$6:$D$293,3,FALSE)&amp;LEFT(VLOOKUP($F250,Declarations!$B$6:$E$293,4,FALSE))))</f>
        <v/>
      </c>
      <c r="F250" s="59"/>
      <c r="G250" s="130"/>
      <c r="H250" s="130"/>
      <c r="I250" s="122" t="str">
        <f>IF(ISNA(VLOOKUP(F250,Declarations!B$6:C$293,2,FALSE)),"",IF(VLOOKUP(F250,Declarations!B$6:C$293,2,FALSE)="","NOT DECLARED",VLOOKUP(F250,Declarations!B$6:C$293,2,FALSE)))</f>
        <v/>
      </c>
      <c r="J250" s="120">
        <f>IF(LOWER(G250)="dnf",1,IF(G250&lt;ScoringTable!B$3,ScoringTable!I$2,VLOOKUP((1000-G250),ScoringTable!G$2:I$95,3)))</f>
        <v>0</v>
      </c>
      <c r="K250" s="120" t="str" cm="1">
        <f t="array" ref="K250">IF(OR(E250="",G250=""),"",_xlfn.IFS(E250="U10B",_xlfn.XLOOKUP(G250,Data!$D$2:$L$2,Data!$D$1:$L$1,"",1,1),E250="U12B",_xlfn.XLOOKUP(G250,Data!$D$8:$L$8,Data!$D$1:$L$1,"",1,1),E250="U10G",_xlfn.XLOOKUP(G250,Data!$D$15:$L$15,Data!$D$1:$L$1,"",1,1),E250="U12G",_xlfn.XLOOKUP(G250,Data!$D$21:$L$21,Data!$D$1:$L$1,"",1,1)))</f>
        <v/>
      </c>
      <c r="L250" s="184" t="str" cm="1">
        <f t="array" ref="L250">IFERROR(_xlfn.IFNA(
                      _xlfn.IFS(
                      G250="", "",
                      AND(E250="U10B",G250&lt;=Data!$M$2), "U10 Boys record",
                      AND(E250="U12B",G250&lt;=Data!$M$8), "U12 Boys record",
                      AND(E250="U10G",G250&lt;=Data!$M$15), "U10 Girls record",
                      AND(E250="U12G",G250&lt;=Data!$M$21), "U12 Girls record"
                       ),""), "")</f>
        <v/>
      </c>
      <c r="M250" s="19" cm="1">
        <f t="array" ref="M250">_xlfn.IFS($G250="",0, AND(NOT(ISNUMBER($G250)),LOWER($G250)&lt;&gt;"dnf"),"Not a valid time",OR(LOWER($G250)="dnf",$G250&gt;ScoringTable!$M$161),1,RIGHT($E250,1)="B",_xlfn.XLOOKUP($G250,ScoringTable!$M$2:$M$161,ScoringTable!$L$2:$L$161,,1),TRUE,_xlfn.XLOOKUP($G250,ScoringTable!$S$2:$S$161,ScoringTable!$R$2:$R$161,,1))</f>
        <v>0</v>
      </c>
    </row>
    <row r="251" spans="1:13" s="7" customFormat="1" ht="16" customHeight="1">
      <c r="A251" s="280" t="s">
        <v>2</v>
      </c>
      <c r="B251" s="122" t="str">
        <f>IF(ISNA(VLOOKUP($F251,Declarations!B$6:C$293,2,FALSE)),"",IF(VLOOKUP($F251,Declarations!B$6:C$293,2,FALSE)="","NOT DECLARED",IF(ISNA(_xlfn.TEXTBEFORE(VLOOKUP($F251,Declarations!B$6:C$293,2,FALSE)," ")),VLOOKUP($F251,Declarations!B$6:C$293,2,FALSE),_xlfn.TEXTBEFORE(VLOOKUP($F251,Declarations!B$6:C$293,2,FALSE)," "))))</f>
        <v/>
      </c>
      <c r="C251" s="122" t="str">
        <f>IF(ISNA(VLOOKUP($F251,Declarations!B$6:C$293,2,FALSE)),"",IF(VLOOKUP($F251,Declarations!B$6:C$293,2,FALSE)="","NOT DECLARED",IF(ISNA(_xlfn.TEXTAFTER(VLOOKUP($F251,Declarations!B$6:C$293,2,FALSE)," ")),VLOOKUP($F251,Declarations!B$6:C$293,2,FALSE),_xlfn.TEXTAFTER(VLOOKUP($F251,Declarations!B$6:C$293,2,FALSE)," "))))</f>
        <v/>
      </c>
      <c r="D251" s="122" t="str">
        <f>IF(ISNA(VLOOKUP($F251,Declarations!$B$6:$F$293,5,FALSE)),"",IF(VLOOKUP($F251,Declarations!$B$6:$F$293,5,FALSE)="","NOT DECLARED",VLOOKUP($F251,Declarations!$B$6:$F$293,5,FALSE)))</f>
        <v/>
      </c>
      <c r="E251" s="120" t="str">
        <f>IF(ISNA(VLOOKUP($F251,Declarations!$B$6:$D$293,3,FALSE)),"",IF(VLOOKUP($F251,Declarations!$B$6:$D$293,3,FALSE)="","NOT DECLARED",VLOOKUP($F251,Declarations!$B$6:$D$293,3,FALSE)&amp;LEFT(VLOOKUP($F251,Declarations!$B$6:$E$293,4,FALSE))))</f>
        <v/>
      </c>
      <c r="F251" s="59"/>
      <c r="G251" s="130"/>
      <c r="H251" s="130"/>
      <c r="I251" s="122" t="str">
        <f>IF(ISNA(VLOOKUP(F251,Declarations!B$6:C$293,2,FALSE)),"",IF(VLOOKUP(F251,Declarations!B$6:C$293,2,FALSE)="","NOT DECLARED",VLOOKUP(F251,Declarations!B$6:C$293,2,FALSE)))</f>
        <v/>
      </c>
      <c r="J251" s="120">
        <f>IF(LOWER(G251)="dnf",1,IF(G251&lt;ScoringTable!B$3,ScoringTable!I$2,VLOOKUP((1000-G251),ScoringTable!G$2:I$95,3)))</f>
        <v>0</v>
      </c>
      <c r="K251" s="120" t="str" cm="1">
        <f t="array" ref="K251">IF(OR(E251="",G251=""),"",_xlfn.IFS(E251="U10B",_xlfn.XLOOKUP(G251,Data!$D$2:$L$2,Data!$D$1:$L$1,"",1,1),E251="U12B",_xlfn.XLOOKUP(G251,Data!$D$8:$L$8,Data!$D$1:$L$1,"",1,1),E251="U10G",_xlfn.XLOOKUP(G251,Data!$D$15:$L$15,Data!$D$1:$L$1,"",1,1),E251="U12G",_xlfn.XLOOKUP(G251,Data!$D$21:$L$21,Data!$D$1:$L$1,"",1,1)))</f>
        <v/>
      </c>
      <c r="L251" s="184" t="str" cm="1">
        <f t="array" ref="L251">IFERROR(_xlfn.IFNA(
                      _xlfn.IFS(
                      G251="", "",
                      AND(E251="U10B",G251&lt;=Data!$M$2), "U10 Boys record",
                      AND(E251="U12B",G251&lt;=Data!$M$8), "U12 Boys record",
                      AND(E251="U10G",G251&lt;=Data!$M$15), "U10 Girls record",
                      AND(E251="U12G",G251&lt;=Data!$M$21), "U12 Girls record"
                       ),""), "")</f>
        <v/>
      </c>
      <c r="M251" s="19" cm="1">
        <f t="array" ref="M251">_xlfn.IFS($G251="",0, AND(NOT(ISNUMBER($G251)),LOWER($G251)&lt;&gt;"dnf"),"Not a valid time",OR(LOWER($G251)="dnf",$G251&gt;ScoringTable!$M$161),1,RIGHT($E251,1)="B",_xlfn.XLOOKUP($G251,ScoringTable!$M$2:$M$161,ScoringTable!$L$2:$L$161,,1),TRUE,_xlfn.XLOOKUP($G251,ScoringTable!$S$2:$S$161,ScoringTable!$R$2:$R$161,,1))</f>
        <v>0</v>
      </c>
    </row>
    <row r="252" spans="1:13" s="7" customFormat="1" ht="16" customHeight="1">
      <c r="A252" s="280" t="s">
        <v>2</v>
      </c>
      <c r="B252" s="122" t="str">
        <f>IF(ISNA(VLOOKUP($F252,Declarations!B$6:C$293,2,FALSE)),"",IF(VLOOKUP($F252,Declarations!B$6:C$293,2,FALSE)="","NOT DECLARED",IF(ISNA(_xlfn.TEXTBEFORE(VLOOKUP($F252,Declarations!B$6:C$293,2,FALSE)," ")),VLOOKUP($F252,Declarations!B$6:C$293,2,FALSE),_xlfn.TEXTBEFORE(VLOOKUP($F252,Declarations!B$6:C$293,2,FALSE)," "))))</f>
        <v/>
      </c>
      <c r="C252" s="122" t="str">
        <f>IF(ISNA(VLOOKUP($F252,Declarations!B$6:C$293,2,FALSE)),"",IF(VLOOKUP($F252,Declarations!B$6:C$293,2,FALSE)="","NOT DECLARED",IF(ISNA(_xlfn.TEXTAFTER(VLOOKUP($F252,Declarations!B$6:C$293,2,FALSE)," ")),VLOOKUP($F252,Declarations!B$6:C$293,2,FALSE),_xlfn.TEXTAFTER(VLOOKUP($F252,Declarations!B$6:C$293,2,FALSE)," "))))</f>
        <v/>
      </c>
      <c r="D252" s="122" t="str">
        <f>IF(ISNA(VLOOKUP($F252,Declarations!$B$6:$F$293,5,FALSE)),"",IF(VLOOKUP($F252,Declarations!$B$6:$F$293,5,FALSE)="","NOT DECLARED",VLOOKUP($F252,Declarations!$B$6:$F$293,5,FALSE)))</f>
        <v/>
      </c>
      <c r="E252" s="120" t="str">
        <f>IF(ISNA(VLOOKUP($F252,Declarations!$B$6:$D$293,3,FALSE)),"",IF(VLOOKUP($F252,Declarations!$B$6:$D$293,3,FALSE)="","NOT DECLARED",VLOOKUP($F252,Declarations!$B$6:$D$293,3,FALSE)&amp;LEFT(VLOOKUP($F252,Declarations!$B$6:$E$293,4,FALSE))))</f>
        <v/>
      </c>
      <c r="F252" s="59"/>
      <c r="G252" s="130"/>
      <c r="H252" s="130"/>
      <c r="I252" s="122" t="str">
        <f>IF(ISNA(VLOOKUP(F252,Declarations!B$6:C$293,2,FALSE)),"",IF(VLOOKUP(F252,Declarations!B$6:C$293,2,FALSE)="","NOT DECLARED",VLOOKUP(F252,Declarations!B$6:C$293,2,FALSE)))</f>
        <v/>
      </c>
      <c r="J252" s="120">
        <f>IF(LOWER(G252)="dnf",1,IF(G252&lt;ScoringTable!B$3,ScoringTable!I$2,VLOOKUP((1000-G252),ScoringTable!G$2:I$95,3)))</f>
        <v>0</v>
      </c>
      <c r="K252" s="120" t="str" cm="1">
        <f t="array" ref="K252">IF(OR(E252="",G252=""),"",_xlfn.IFS(E252="U10B",_xlfn.XLOOKUP(G252,Data!$D$2:$L$2,Data!$D$1:$L$1,"",1,1),E252="U12B",_xlfn.XLOOKUP(G252,Data!$D$8:$L$8,Data!$D$1:$L$1,"",1,1),E252="U10G",_xlfn.XLOOKUP(G252,Data!$D$15:$L$15,Data!$D$1:$L$1,"",1,1),E252="U12G",_xlfn.XLOOKUP(G252,Data!$D$21:$L$21,Data!$D$1:$L$1,"",1,1)))</f>
        <v/>
      </c>
      <c r="L252" s="184" t="str" cm="1">
        <f t="array" ref="L252">IFERROR(_xlfn.IFNA(
                      _xlfn.IFS(
                      G252="", "",
                      AND(E252="U10B",G252&lt;=Data!$M$2), "U10 Boys record",
                      AND(E252="U12B",G252&lt;=Data!$M$8), "U12 Boys record",
                      AND(E252="U10G",G252&lt;=Data!$M$15), "U10 Girls record",
                      AND(E252="U12G",G252&lt;=Data!$M$21), "U12 Girls record"
                       ),""), "")</f>
        <v/>
      </c>
      <c r="M252" s="19" cm="1">
        <f t="array" ref="M252">_xlfn.IFS($G252="",0, AND(NOT(ISNUMBER($G252)),LOWER($G252)&lt;&gt;"dnf"),"Not a valid time",OR(LOWER($G252)="dnf",$G252&gt;ScoringTable!$M$161),1,RIGHT($E252,1)="B",_xlfn.XLOOKUP($G252,ScoringTable!$M$2:$M$161,ScoringTable!$L$2:$L$161,,1),TRUE,_xlfn.XLOOKUP($G252,ScoringTable!$S$2:$S$161,ScoringTable!$R$2:$R$161,,1))</f>
        <v>0</v>
      </c>
    </row>
    <row r="253" spans="1:13" s="7" customFormat="1" ht="16" customHeight="1">
      <c r="A253" s="280" t="s">
        <v>2</v>
      </c>
      <c r="B253" s="122" t="str">
        <f>IF(ISNA(VLOOKUP($F253,Declarations!B$6:C$293,2,FALSE)),"",IF(VLOOKUP($F253,Declarations!B$6:C$293,2,FALSE)="","NOT DECLARED",IF(ISNA(_xlfn.TEXTBEFORE(VLOOKUP($F253,Declarations!B$6:C$293,2,FALSE)," ")),VLOOKUP($F253,Declarations!B$6:C$293,2,FALSE),_xlfn.TEXTBEFORE(VLOOKUP($F253,Declarations!B$6:C$293,2,FALSE)," "))))</f>
        <v/>
      </c>
      <c r="C253" s="122" t="str">
        <f>IF(ISNA(VLOOKUP($F253,Declarations!B$6:C$293,2,FALSE)),"",IF(VLOOKUP($F253,Declarations!B$6:C$293,2,FALSE)="","NOT DECLARED",IF(ISNA(_xlfn.TEXTAFTER(VLOOKUP($F253,Declarations!B$6:C$293,2,FALSE)," ")),VLOOKUP($F253,Declarations!B$6:C$293,2,FALSE),_xlfn.TEXTAFTER(VLOOKUP($F253,Declarations!B$6:C$293,2,FALSE)," "))))</f>
        <v/>
      </c>
      <c r="D253" s="122" t="str">
        <f>IF(ISNA(VLOOKUP($F253,Declarations!$B$6:$F$293,5,FALSE)),"",IF(VLOOKUP($F253,Declarations!$B$6:$F$293,5,FALSE)="","NOT DECLARED",VLOOKUP($F253,Declarations!$B$6:$F$293,5,FALSE)))</f>
        <v/>
      </c>
      <c r="E253" s="120" t="str">
        <f>IF(ISNA(VLOOKUP($F253,Declarations!$B$6:$D$293,3,FALSE)),"",IF(VLOOKUP($F253,Declarations!$B$6:$D$293,3,FALSE)="","NOT DECLARED",VLOOKUP($F253,Declarations!$B$6:$D$293,3,FALSE)&amp;LEFT(VLOOKUP($F253,Declarations!$B$6:$E$293,4,FALSE))))</f>
        <v/>
      </c>
      <c r="F253" s="59"/>
      <c r="G253" s="130"/>
      <c r="H253" s="130"/>
      <c r="I253" s="122" t="str">
        <f>IF(ISNA(VLOOKUP(F253,Declarations!B$6:C$293,2,FALSE)),"",IF(VLOOKUP(F253,Declarations!B$6:C$293,2,FALSE)="","NOT DECLARED",VLOOKUP(F253,Declarations!B$6:C$293,2,FALSE)))</f>
        <v/>
      </c>
      <c r="J253" s="120">
        <f>IF(LOWER(G253)="dnf",1,IF(G253&lt;ScoringTable!B$3,ScoringTable!I$2,VLOOKUP((1000-G253),ScoringTable!G$2:I$95,3)))</f>
        <v>0</v>
      </c>
      <c r="K253" s="120" t="str" cm="1">
        <f t="array" ref="K253">IF(OR(E253="",G253=""),"",_xlfn.IFS(E253="U10B",_xlfn.XLOOKUP(G253,Data!$D$2:$L$2,Data!$D$1:$L$1,"",1,1),E253="U12B",_xlfn.XLOOKUP(G253,Data!$D$8:$L$8,Data!$D$1:$L$1,"",1,1),E253="U10G",_xlfn.XLOOKUP(G253,Data!$D$15:$L$15,Data!$D$1:$L$1,"",1,1),E253="U12G",_xlfn.XLOOKUP(G253,Data!$D$21:$L$21,Data!$D$1:$L$1,"",1,1)))</f>
        <v/>
      </c>
      <c r="L253" s="184" t="str" cm="1">
        <f t="array" ref="L253">IFERROR(_xlfn.IFNA(
                      _xlfn.IFS(
                      G253="", "",
                      AND(E253="U10B",G253&lt;=Data!$M$2), "U10 Boys record",
                      AND(E253="U12B",G253&lt;=Data!$M$8), "U12 Boys record",
                      AND(E253="U10G",G253&lt;=Data!$M$15), "U10 Girls record",
                      AND(E253="U12G",G253&lt;=Data!$M$21), "U12 Girls record"
                       ),""), "")</f>
        <v/>
      </c>
      <c r="M253" s="19" cm="1">
        <f t="array" ref="M253">_xlfn.IFS($G253="",0, AND(NOT(ISNUMBER($G253)),LOWER($G253)&lt;&gt;"dnf"),"Not a valid time",OR(LOWER($G253)="dnf",$G253&gt;ScoringTable!$M$161),1,RIGHT($E253,1)="B",_xlfn.XLOOKUP($G253,ScoringTable!$M$2:$M$161,ScoringTable!$L$2:$L$161,,1),TRUE,_xlfn.XLOOKUP($G253,ScoringTable!$S$2:$S$161,ScoringTable!$R$2:$R$161,,1))</f>
        <v>0</v>
      </c>
    </row>
    <row r="254" spans="1:13" s="7" customFormat="1" ht="16" customHeight="1">
      <c r="A254" s="280" t="s">
        <v>2</v>
      </c>
      <c r="B254" s="122" t="str">
        <f>IF(ISNA(VLOOKUP($F254,Declarations!B$6:C$293,2,FALSE)),"",IF(VLOOKUP($F254,Declarations!B$6:C$293,2,FALSE)="","NOT DECLARED",IF(ISNA(_xlfn.TEXTBEFORE(VLOOKUP($F254,Declarations!B$6:C$293,2,FALSE)," ")),VLOOKUP($F254,Declarations!B$6:C$293,2,FALSE),_xlfn.TEXTBEFORE(VLOOKUP($F254,Declarations!B$6:C$293,2,FALSE)," "))))</f>
        <v/>
      </c>
      <c r="C254" s="122" t="str">
        <f>IF(ISNA(VLOOKUP($F254,Declarations!B$6:C$293,2,FALSE)),"",IF(VLOOKUP($F254,Declarations!B$6:C$293,2,FALSE)="","NOT DECLARED",IF(ISNA(_xlfn.TEXTAFTER(VLOOKUP($F254,Declarations!B$6:C$293,2,FALSE)," ")),VLOOKUP($F254,Declarations!B$6:C$293,2,FALSE),_xlfn.TEXTAFTER(VLOOKUP($F254,Declarations!B$6:C$293,2,FALSE)," "))))</f>
        <v/>
      </c>
      <c r="D254" s="122" t="str">
        <f>IF(ISNA(VLOOKUP($F254,Declarations!$B$6:$F$293,5,FALSE)),"",IF(VLOOKUP($F254,Declarations!$B$6:$F$293,5,FALSE)="","NOT DECLARED",VLOOKUP($F254,Declarations!$B$6:$F$293,5,FALSE)))</f>
        <v/>
      </c>
      <c r="E254" s="120" t="str">
        <f>IF(ISNA(VLOOKUP($F254,Declarations!$B$6:$D$293,3,FALSE)),"",IF(VLOOKUP($F254,Declarations!$B$6:$D$293,3,FALSE)="","NOT DECLARED",VLOOKUP($F254,Declarations!$B$6:$D$293,3,FALSE)&amp;LEFT(VLOOKUP($F254,Declarations!$B$6:$E$293,4,FALSE))))</f>
        <v/>
      </c>
      <c r="F254" s="59"/>
      <c r="G254" s="130"/>
      <c r="H254" s="130"/>
      <c r="I254" s="122" t="str">
        <f>IF(ISNA(VLOOKUP(F254,Declarations!B$6:C$293,2,FALSE)),"",IF(VLOOKUP(F254,Declarations!B$6:C$293,2,FALSE)="","NOT DECLARED",VLOOKUP(F254,Declarations!B$6:C$293,2,FALSE)))</f>
        <v/>
      </c>
      <c r="J254" s="120">
        <f>IF(LOWER(G254)="dnf",1,IF(G254&lt;ScoringTable!B$3,ScoringTable!I$2,VLOOKUP((1000-G254),ScoringTable!G$2:I$95,3)))</f>
        <v>0</v>
      </c>
      <c r="K254" s="120" t="str" cm="1">
        <f t="array" ref="K254">IF(OR(E254="",G254=""),"",_xlfn.IFS(E254="U10B",_xlfn.XLOOKUP(G254,Data!$D$2:$L$2,Data!$D$1:$L$1,"",1,1),E254="U12B",_xlfn.XLOOKUP(G254,Data!$D$8:$L$8,Data!$D$1:$L$1,"",1,1),E254="U10G",_xlfn.XLOOKUP(G254,Data!$D$15:$L$15,Data!$D$1:$L$1,"",1,1),E254="U12G",_xlfn.XLOOKUP(G254,Data!$D$21:$L$21,Data!$D$1:$L$1,"",1,1)))</f>
        <v/>
      </c>
      <c r="L254" s="184" t="str" cm="1">
        <f t="array" ref="L254">IFERROR(_xlfn.IFNA(
                      _xlfn.IFS(
                      G254="", "",
                      AND(E254="U10B",G254&lt;=Data!$M$2), "U10 Boys record",
                      AND(E254="U12B",G254&lt;=Data!$M$8), "U12 Boys record",
                      AND(E254="U10G",G254&lt;=Data!$M$15), "U10 Girls record",
                      AND(E254="U12G",G254&lt;=Data!$M$21), "U12 Girls record"
                       ),""), "")</f>
        <v/>
      </c>
      <c r="M254" s="19" cm="1">
        <f t="array" ref="M254">_xlfn.IFS($G254="",0, AND(NOT(ISNUMBER($G254)),LOWER($G254)&lt;&gt;"dnf"),"Not a valid time",OR(LOWER($G254)="dnf",$G254&gt;ScoringTable!$M$161),1,RIGHT($E254,1)="B",_xlfn.XLOOKUP($G254,ScoringTable!$M$2:$M$161,ScoringTable!$L$2:$L$161,,1),TRUE,_xlfn.XLOOKUP($G254,ScoringTable!$S$2:$S$161,ScoringTable!$R$2:$R$161,,1))</f>
        <v>0</v>
      </c>
    </row>
    <row r="255" spans="1:13" s="7" customFormat="1" ht="16" customHeight="1">
      <c r="A255" s="280" t="s">
        <v>2</v>
      </c>
      <c r="B255" s="122" t="str">
        <f>IF(ISNA(VLOOKUP($F255,Declarations!B$6:C$293,2,FALSE)),"",IF(VLOOKUP($F255,Declarations!B$6:C$293,2,FALSE)="","NOT DECLARED",IF(ISNA(_xlfn.TEXTBEFORE(VLOOKUP($F255,Declarations!B$6:C$293,2,FALSE)," ")),VLOOKUP($F255,Declarations!B$6:C$293,2,FALSE),_xlfn.TEXTBEFORE(VLOOKUP($F255,Declarations!B$6:C$293,2,FALSE)," "))))</f>
        <v/>
      </c>
      <c r="C255" s="122" t="str">
        <f>IF(ISNA(VLOOKUP($F255,Declarations!B$6:C$293,2,FALSE)),"",IF(VLOOKUP($F255,Declarations!B$6:C$293,2,FALSE)="","NOT DECLARED",IF(ISNA(_xlfn.TEXTAFTER(VLOOKUP($F255,Declarations!B$6:C$293,2,FALSE)," ")),VLOOKUP($F255,Declarations!B$6:C$293,2,FALSE),_xlfn.TEXTAFTER(VLOOKUP($F255,Declarations!B$6:C$293,2,FALSE)," "))))</f>
        <v/>
      </c>
      <c r="D255" s="122" t="str">
        <f>IF(ISNA(VLOOKUP($F255,Declarations!$B$6:$F$293,5,FALSE)),"",IF(VLOOKUP($F255,Declarations!$B$6:$F$293,5,FALSE)="","NOT DECLARED",VLOOKUP($F255,Declarations!$B$6:$F$293,5,FALSE)))</f>
        <v/>
      </c>
      <c r="E255" s="120" t="str">
        <f>IF(ISNA(VLOOKUP($F255,Declarations!$B$6:$D$293,3,FALSE)),"",IF(VLOOKUP($F255,Declarations!$B$6:$D$293,3,FALSE)="","NOT DECLARED",VLOOKUP($F255,Declarations!$B$6:$D$293,3,FALSE)&amp;LEFT(VLOOKUP($F255,Declarations!$B$6:$E$293,4,FALSE))))</f>
        <v/>
      </c>
      <c r="F255" s="59"/>
      <c r="G255" s="130"/>
      <c r="H255" s="130"/>
      <c r="I255" s="122" t="str">
        <f>IF(ISNA(VLOOKUP(F255,Declarations!B$6:C$293,2,FALSE)),"",IF(VLOOKUP(F255,Declarations!B$6:C$293,2,FALSE)="","NOT DECLARED",VLOOKUP(F255,Declarations!B$6:C$293,2,FALSE)))</f>
        <v/>
      </c>
      <c r="J255" s="120">
        <f>IF(LOWER(G255)="dnf",1,IF(G255&lt;ScoringTable!B$3,ScoringTable!I$2,VLOOKUP((1000-G255),ScoringTable!G$2:I$95,3)))</f>
        <v>0</v>
      </c>
      <c r="K255" s="120" t="str" cm="1">
        <f t="array" ref="K255">IF(OR(E255="",G255=""),"",_xlfn.IFS(E255="U10B",_xlfn.XLOOKUP(G255,Data!$D$2:$L$2,Data!$D$1:$L$1,"",1,1),E255="U12B",_xlfn.XLOOKUP(G255,Data!$D$8:$L$8,Data!$D$1:$L$1,"",1,1),E255="U10G",_xlfn.XLOOKUP(G255,Data!$D$15:$L$15,Data!$D$1:$L$1,"",1,1),E255="U12G",_xlfn.XLOOKUP(G255,Data!$D$21:$L$21,Data!$D$1:$L$1,"",1,1)))</f>
        <v/>
      </c>
      <c r="L255" s="184" t="str" cm="1">
        <f t="array" ref="L255">IFERROR(_xlfn.IFNA(
                      _xlfn.IFS(
                      G255="", "",
                      AND(E255="U10B",G255&lt;=Data!$M$2), "U10 Boys record",
                      AND(E255="U12B",G255&lt;=Data!$M$8), "U12 Boys record",
                      AND(E255="U10G",G255&lt;=Data!$M$15), "U10 Girls record",
                      AND(E255="U12G",G255&lt;=Data!$M$21), "U12 Girls record"
                       ),""), "")</f>
        <v/>
      </c>
      <c r="M255" s="19" cm="1">
        <f t="array" ref="M255">_xlfn.IFS($G255="",0, AND(NOT(ISNUMBER($G255)),LOWER($G255)&lt;&gt;"dnf"),"Not a valid time",OR(LOWER($G255)="dnf",$G255&gt;ScoringTable!$M$161),1,RIGHT($E255,1)="B",_xlfn.XLOOKUP($G255,ScoringTable!$M$2:$M$161,ScoringTable!$L$2:$L$161,,1),TRUE,_xlfn.XLOOKUP($G255,ScoringTable!$S$2:$S$161,ScoringTable!$R$2:$R$161,,1))</f>
        <v>0</v>
      </c>
    </row>
    <row r="256" spans="1:13" s="7" customFormat="1" ht="16" customHeight="1">
      <c r="A256" s="280" t="s">
        <v>2</v>
      </c>
      <c r="B256" s="122" t="str">
        <f>IF(ISNA(VLOOKUP($F256,Declarations!B$6:C$293,2,FALSE)),"",IF(VLOOKUP($F256,Declarations!B$6:C$293,2,FALSE)="","NOT DECLARED",IF(ISNA(_xlfn.TEXTBEFORE(VLOOKUP($F256,Declarations!B$6:C$293,2,FALSE)," ")),VLOOKUP($F256,Declarations!B$6:C$293,2,FALSE),_xlfn.TEXTBEFORE(VLOOKUP($F256,Declarations!B$6:C$293,2,FALSE)," "))))</f>
        <v/>
      </c>
      <c r="C256" s="122" t="str">
        <f>IF(ISNA(VLOOKUP($F256,Declarations!B$6:C$293,2,FALSE)),"",IF(VLOOKUP($F256,Declarations!B$6:C$293,2,FALSE)="","NOT DECLARED",IF(ISNA(_xlfn.TEXTAFTER(VLOOKUP($F256,Declarations!B$6:C$293,2,FALSE)," ")),VLOOKUP($F256,Declarations!B$6:C$293,2,FALSE),_xlfn.TEXTAFTER(VLOOKUP($F256,Declarations!B$6:C$293,2,FALSE)," "))))</f>
        <v/>
      </c>
      <c r="D256" s="122" t="str">
        <f>IF(ISNA(VLOOKUP($F256,Declarations!$B$6:$F$293,5,FALSE)),"",IF(VLOOKUP($F256,Declarations!$B$6:$F$293,5,FALSE)="","NOT DECLARED",VLOOKUP($F256,Declarations!$B$6:$F$293,5,FALSE)))</f>
        <v/>
      </c>
      <c r="E256" s="120" t="str">
        <f>IF(ISNA(VLOOKUP($F256,Declarations!$B$6:$D$293,3,FALSE)),"",IF(VLOOKUP($F256,Declarations!$B$6:$D$293,3,FALSE)="","NOT DECLARED",VLOOKUP($F256,Declarations!$B$6:$D$293,3,FALSE)&amp;LEFT(VLOOKUP($F256,Declarations!$B$6:$E$293,4,FALSE))))</f>
        <v/>
      </c>
      <c r="F256" s="59"/>
      <c r="G256" s="130"/>
      <c r="H256" s="130"/>
      <c r="I256" s="122" t="str">
        <f>IF(ISNA(VLOOKUP(F256,Declarations!B$6:C$293,2,FALSE)),"",IF(VLOOKUP(F256,Declarations!B$6:C$293,2,FALSE)="","NOT DECLARED",VLOOKUP(F256,Declarations!B$6:C$293,2,FALSE)))</f>
        <v/>
      </c>
      <c r="J256" s="120">
        <f>IF(LOWER(G256)="dnf",1,IF(G256&lt;ScoringTable!B$3,ScoringTable!I$2,VLOOKUP((1000-G256),ScoringTable!G$2:I$95,3)))</f>
        <v>0</v>
      </c>
      <c r="K256" s="120" t="str" cm="1">
        <f t="array" ref="K256">IF(OR(E256="",G256=""),"",_xlfn.IFS(E256="U10B",_xlfn.XLOOKUP(G256,Data!$D$2:$L$2,Data!$D$1:$L$1,"",1,1),E256="U12B",_xlfn.XLOOKUP(G256,Data!$D$8:$L$8,Data!$D$1:$L$1,"",1,1),E256="U10G",_xlfn.XLOOKUP(G256,Data!$D$15:$L$15,Data!$D$1:$L$1,"",1,1),E256="U12G",_xlfn.XLOOKUP(G256,Data!$D$21:$L$21,Data!$D$1:$L$1,"",1,1)))</f>
        <v/>
      </c>
      <c r="L256" s="184" t="str" cm="1">
        <f t="array" ref="L256">IFERROR(_xlfn.IFNA(
                      _xlfn.IFS(
                      G256="", "",
                      AND(E256="U10B",G256&lt;=Data!$M$2), "U10 Boys record",
                      AND(E256="U12B",G256&lt;=Data!$M$8), "U12 Boys record",
                      AND(E256="U10G",G256&lt;=Data!$M$15), "U10 Girls record",
                      AND(E256="U12G",G256&lt;=Data!$M$21), "U12 Girls record"
                       ),""), "")</f>
        <v/>
      </c>
      <c r="M256" s="19" cm="1">
        <f t="array" ref="M256">_xlfn.IFS($G256="",0, AND(NOT(ISNUMBER($G256)),LOWER($G256)&lt;&gt;"dnf"),"Not a valid time",OR(LOWER($G256)="dnf",$G256&gt;ScoringTable!$M$161),1,RIGHT($E256,1)="B",_xlfn.XLOOKUP($G256,ScoringTable!$M$2:$M$161,ScoringTable!$L$2:$L$161,,1),TRUE,_xlfn.XLOOKUP($G256,ScoringTable!$S$2:$S$161,ScoringTable!$R$2:$R$161,,1))</f>
        <v>0</v>
      </c>
    </row>
    <row r="257" spans="1:13" s="7" customFormat="1" ht="16" customHeight="1">
      <c r="A257" s="280" t="s">
        <v>2</v>
      </c>
      <c r="B257" s="122" t="str">
        <f>IF(ISNA(VLOOKUP($F257,Declarations!B$6:C$293,2,FALSE)),"",IF(VLOOKUP($F257,Declarations!B$6:C$293,2,FALSE)="","NOT DECLARED",IF(ISNA(_xlfn.TEXTBEFORE(VLOOKUP($F257,Declarations!B$6:C$293,2,FALSE)," ")),VLOOKUP($F257,Declarations!B$6:C$293,2,FALSE),_xlfn.TEXTBEFORE(VLOOKUP($F257,Declarations!B$6:C$293,2,FALSE)," "))))</f>
        <v/>
      </c>
      <c r="C257" s="122" t="str">
        <f>IF(ISNA(VLOOKUP($F257,Declarations!B$6:C$293,2,FALSE)),"",IF(VLOOKUP($F257,Declarations!B$6:C$293,2,FALSE)="","NOT DECLARED",IF(ISNA(_xlfn.TEXTAFTER(VLOOKUP($F257,Declarations!B$6:C$293,2,FALSE)," ")),VLOOKUP($F257,Declarations!B$6:C$293,2,FALSE),_xlfn.TEXTAFTER(VLOOKUP($F257,Declarations!B$6:C$293,2,FALSE)," "))))</f>
        <v/>
      </c>
      <c r="D257" s="122" t="str">
        <f>IF(ISNA(VLOOKUP($F257,Declarations!$B$6:$F$293,5,FALSE)),"",IF(VLOOKUP($F257,Declarations!$B$6:$F$293,5,FALSE)="","NOT DECLARED",VLOOKUP($F257,Declarations!$B$6:$F$293,5,FALSE)))</f>
        <v/>
      </c>
      <c r="E257" s="120" t="str">
        <f>IF(ISNA(VLOOKUP($F257,Declarations!$B$6:$D$293,3,FALSE)),"",IF(VLOOKUP($F257,Declarations!$B$6:$D$293,3,FALSE)="","NOT DECLARED",VLOOKUP($F257,Declarations!$B$6:$D$293,3,FALSE)&amp;LEFT(VLOOKUP($F257,Declarations!$B$6:$E$293,4,FALSE))))</f>
        <v/>
      </c>
      <c r="F257" s="59"/>
      <c r="G257" s="130"/>
      <c r="H257" s="130"/>
      <c r="I257" s="122" t="str">
        <f>IF(ISNA(VLOOKUP(F257,Declarations!B$6:C$293,2,FALSE)),"",IF(VLOOKUP(F257,Declarations!B$6:C$293,2,FALSE)="","NOT DECLARED",VLOOKUP(F257,Declarations!B$6:C$293,2,FALSE)))</f>
        <v/>
      </c>
      <c r="J257" s="120">
        <f>IF(LOWER(G257)="dnf",1,IF(G257&lt;ScoringTable!B$3,ScoringTable!I$2,VLOOKUP((1000-G257),ScoringTable!G$2:I$95,3)))</f>
        <v>0</v>
      </c>
      <c r="K257" s="120" t="str" cm="1">
        <f t="array" ref="K257">IF(OR(E257="",G257=""),"",_xlfn.IFS(E257="U10B",_xlfn.XLOOKUP(G257,Data!$D$2:$L$2,Data!$D$1:$L$1,"",1,1),E257="U12B",_xlfn.XLOOKUP(G257,Data!$D$8:$L$8,Data!$D$1:$L$1,"",1,1),E257="U10G",_xlfn.XLOOKUP(G257,Data!$D$15:$L$15,Data!$D$1:$L$1,"",1,1),E257="U12G",_xlfn.XLOOKUP(G257,Data!$D$21:$L$21,Data!$D$1:$L$1,"",1,1)))</f>
        <v/>
      </c>
      <c r="L257" s="184" t="str" cm="1">
        <f t="array" ref="L257">IFERROR(_xlfn.IFNA(
                      _xlfn.IFS(
                      G257="", "",
                      AND(E257="U10B",G257&lt;=Data!$M$2), "U10 Boys record",
                      AND(E257="U12B",G257&lt;=Data!$M$8), "U12 Boys record",
                      AND(E257="U10G",G257&lt;=Data!$M$15), "U10 Girls record",
                      AND(E257="U12G",G257&lt;=Data!$M$21), "U12 Girls record"
                       ),""), "")</f>
        <v/>
      </c>
      <c r="M257" s="19" cm="1">
        <f t="array" ref="M257">_xlfn.IFS($G257="",0, AND(NOT(ISNUMBER($G257)),LOWER($G257)&lt;&gt;"dnf"),"Not a valid time",OR(LOWER($G257)="dnf",$G257&gt;ScoringTable!$M$161),1,RIGHT($E257,1)="B",_xlfn.XLOOKUP($G257,ScoringTable!$M$2:$M$161,ScoringTable!$L$2:$L$161,,1),TRUE,_xlfn.XLOOKUP($G257,ScoringTable!$S$2:$S$161,ScoringTable!$R$2:$R$161,,1))</f>
        <v>0</v>
      </c>
    </row>
    <row r="258" spans="1:13" s="7" customFormat="1" ht="16" customHeight="1">
      <c r="A258" s="280" t="s">
        <v>2</v>
      </c>
      <c r="B258" s="122" t="str">
        <f>IF(ISNA(VLOOKUP($F258,Declarations!B$6:C$293,2,FALSE)),"",IF(VLOOKUP($F258,Declarations!B$6:C$293,2,FALSE)="","NOT DECLARED",IF(ISNA(_xlfn.TEXTBEFORE(VLOOKUP($F258,Declarations!B$6:C$293,2,FALSE)," ")),VLOOKUP($F258,Declarations!B$6:C$293,2,FALSE),_xlfn.TEXTBEFORE(VLOOKUP($F258,Declarations!B$6:C$293,2,FALSE)," "))))</f>
        <v/>
      </c>
      <c r="C258" s="122" t="str">
        <f>IF(ISNA(VLOOKUP($F258,Declarations!B$6:C$293,2,FALSE)),"",IF(VLOOKUP($F258,Declarations!B$6:C$293,2,FALSE)="","NOT DECLARED",IF(ISNA(_xlfn.TEXTAFTER(VLOOKUP($F258,Declarations!B$6:C$293,2,FALSE)," ")),VLOOKUP($F258,Declarations!B$6:C$293,2,FALSE),_xlfn.TEXTAFTER(VLOOKUP($F258,Declarations!B$6:C$293,2,FALSE)," "))))</f>
        <v/>
      </c>
      <c r="D258" s="122" t="str">
        <f>IF(ISNA(VLOOKUP($F258,Declarations!$B$6:$F$293,5,FALSE)),"",IF(VLOOKUP($F258,Declarations!$B$6:$F$293,5,FALSE)="","NOT DECLARED",VLOOKUP($F258,Declarations!$B$6:$F$293,5,FALSE)))</f>
        <v/>
      </c>
      <c r="E258" s="120" t="str">
        <f>IF(ISNA(VLOOKUP($F258,Declarations!$B$6:$D$293,3,FALSE)),"",IF(VLOOKUP($F258,Declarations!$B$6:$D$293,3,FALSE)="","NOT DECLARED",VLOOKUP($F258,Declarations!$B$6:$D$293,3,FALSE)&amp;LEFT(VLOOKUP($F258,Declarations!$B$6:$E$293,4,FALSE))))</f>
        <v/>
      </c>
      <c r="F258" s="59"/>
      <c r="G258" s="130"/>
      <c r="H258" s="130"/>
      <c r="I258" s="122" t="str">
        <f>IF(ISNA(VLOOKUP(F258,Declarations!B$6:C$293,2,FALSE)),"",IF(VLOOKUP(F258,Declarations!B$6:C$293,2,FALSE)="","NOT DECLARED",VLOOKUP(F258,Declarations!B$6:C$293,2,FALSE)))</f>
        <v/>
      </c>
      <c r="J258" s="120">
        <f>IF(LOWER(G258)="dnf",1,IF(G258&lt;ScoringTable!B$3,ScoringTable!I$2,VLOOKUP((1000-G258),ScoringTable!G$2:I$95,3)))</f>
        <v>0</v>
      </c>
      <c r="K258" s="120" t="str" cm="1">
        <f t="array" ref="K258">IF(OR(E258="",G258=""),"",_xlfn.IFS(E258="U10B",_xlfn.XLOOKUP(G258,Data!$D$2:$L$2,Data!$D$1:$L$1,"",1,1),E258="U12B",_xlfn.XLOOKUP(G258,Data!$D$8:$L$8,Data!$D$1:$L$1,"",1,1),E258="U10G",_xlfn.XLOOKUP(G258,Data!$D$15:$L$15,Data!$D$1:$L$1,"",1,1),E258="U12G",_xlfn.XLOOKUP(G258,Data!$D$21:$L$21,Data!$D$1:$L$1,"",1,1)))</f>
        <v/>
      </c>
      <c r="L258" s="184" t="str" cm="1">
        <f t="array" ref="L258">IFERROR(_xlfn.IFNA(
                      _xlfn.IFS(
                      G258="", "",
                      AND(E258="U10B",G258&lt;=Data!$M$2), "U10 Boys record",
                      AND(E258="U12B",G258&lt;=Data!$M$8), "U12 Boys record",
                      AND(E258="U10G",G258&lt;=Data!$M$15), "U10 Girls record",
                      AND(E258="U12G",G258&lt;=Data!$M$21), "U12 Girls record"
                       ),""), "")</f>
        <v/>
      </c>
      <c r="M258" s="19" cm="1">
        <f t="array" ref="M258">_xlfn.IFS($G258="",0, AND(NOT(ISNUMBER($G258)),LOWER($G258)&lt;&gt;"dnf"),"Not a valid time",OR(LOWER($G258)="dnf",$G258&gt;ScoringTable!$M$161),1,RIGHT($E258,1)="B",_xlfn.XLOOKUP($G258,ScoringTable!$M$2:$M$161,ScoringTable!$L$2:$L$161,,1),TRUE,_xlfn.XLOOKUP($G258,ScoringTable!$S$2:$S$161,ScoringTable!$R$2:$R$161,,1))</f>
        <v>0</v>
      </c>
    </row>
    <row r="259" spans="1:13" s="7" customFormat="1" ht="16" customHeight="1">
      <c r="A259" s="280" t="s">
        <v>2</v>
      </c>
      <c r="B259" s="122" t="str">
        <f>IF(ISNA(VLOOKUP($F259,Declarations!B$6:C$293,2,FALSE)),"",IF(VLOOKUP($F259,Declarations!B$6:C$293,2,FALSE)="","NOT DECLARED",IF(ISNA(_xlfn.TEXTBEFORE(VLOOKUP($F259,Declarations!B$6:C$293,2,FALSE)," ")),VLOOKUP($F259,Declarations!B$6:C$293,2,FALSE),_xlfn.TEXTBEFORE(VLOOKUP($F259,Declarations!B$6:C$293,2,FALSE)," "))))</f>
        <v/>
      </c>
      <c r="C259" s="122" t="str">
        <f>IF(ISNA(VLOOKUP($F259,Declarations!B$6:C$293,2,FALSE)),"",IF(VLOOKUP($F259,Declarations!B$6:C$293,2,FALSE)="","NOT DECLARED",IF(ISNA(_xlfn.TEXTAFTER(VLOOKUP($F259,Declarations!B$6:C$293,2,FALSE)," ")),VLOOKUP($F259,Declarations!B$6:C$293,2,FALSE),_xlfn.TEXTAFTER(VLOOKUP($F259,Declarations!B$6:C$293,2,FALSE)," "))))</f>
        <v/>
      </c>
      <c r="D259" s="122" t="str">
        <f>IF(ISNA(VLOOKUP($F259,Declarations!$B$6:$F$293,5,FALSE)),"",IF(VLOOKUP($F259,Declarations!$B$6:$F$293,5,FALSE)="","NOT DECLARED",VLOOKUP($F259,Declarations!$B$6:$F$293,5,FALSE)))</f>
        <v/>
      </c>
      <c r="E259" s="120" t="str">
        <f>IF(ISNA(VLOOKUP($F259,Declarations!$B$6:$D$293,3,FALSE)),"",IF(VLOOKUP($F259,Declarations!$B$6:$D$293,3,FALSE)="","NOT DECLARED",VLOOKUP($F259,Declarations!$B$6:$D$293,3,FALSE)&amp;LEFT(VLOOKUP($F259,Declarations!$B$6:$E$293,4,FALSE))))</f>
        <v/>
      </c>
      <c r="F259" s="59"/>
      <c r="G259" s="130"/>
      <c r="H259" s="130"/>
      <c r="I259" s="122" t="str">
        <f>IF(ISNA(VLOOKUP(F259,Declarations!B$6:C$293,2,FALSE)),"",IF(VLOOKUP(F259,Declarations!B$6:C$293,2,FALSE)="","NOT DECLARED",VLOOKUP(F259,Declarations!B$6:C$293,2,FALSE)))</f>
        <v/>
      </c>
      <c r="J259" s="120">
        <f>IF(LOWER(G259)="dnf",1,IF(G259&lt;ScoringTable!B$3,ScoringTable!I$2,VLOOKUP((1000-G259),ScoringTable!G$2:I$95,3)))</f>
        <v>0</v>
      </c>
      <c r="K259" s="120" t="str" cm="1">
        <f t="array" ref="K259">IF(OR(E259="",G259=""),"",_xlfn.IFS(E259="U10B",_xlfn.XLOOKUP(G259,Data!$D$2:$L$2,Data!$D$1:$L$1,"",1,1),E259="U12B",_xlfn.XLOOKUP(G259,Data!$D$8:$L$8,Data!$D$1:$L$1,"",1,1),E259="U10G",_xlfn.XLOOKUP(G259,Data!$D$15:$L$15,Data!$D$1:$L$1,"",1,1),E259="U12G",_xlfn.XLOOKUP(G259,Data!$D$21:$L$21,Data!$D$1:$L$1,"",1,1)))</f>
        <v/>
      </c>
      <c r="L259" s="184" t="str" cm="1">
        <f t="array" ref="L259">IFERROR(_xlfn.IFNA(
                      _xlfn.IFS(
                      G259="", "",
                      AND(E259="U10B",G259&lt;=Data!$M$2), "U10 Boys record",
                      AND(E259="U12B",G259&lt;=Data!$M$8), "U12 Boys record",
                      AND(E259="U10G",G259&lt;=Data!$M$15), "U10 Girls record",
                      AND(E259="U12G",G259&lt;=Data!$M$21), "U12 Girls record"
                       ),""), "")</f>
        <v/>
      </c>
      <c r="M259" s="19" cm="1">
        <f t="array" ref="M259">_xlfn.IFS($G259="",0, AND(NOT(ISNUMBER($G259)),LOWER($G259)&lt;&gt;"dnf"),"Not a valid time",OR(LOWER($G259)="dnf",$G259&gt;ScoringTable!$M$161),1,RIGHT($E259,1)="B",_xlfn.XLOOKUP($G259,ScoringTable!$M$2:$M$161,ScoringTable!$L$2:$L$161,,1),TRUE,_xlfn.XLOOKUP($G259,ScoringTable!$S$2:$S$161,ScoringTable!$R$2:$R$161,,1))</f>
        <v>0</v>
      </c>
    </row>
    <row r="260" spans="1:13" s="7" customFormat="1" ht="16" customHeight="1">
      <c r="A260" s="280" t="s">
        <v>2</v>
      </c>
      <c r="B260" s="122" t="str">
        <f>IF(ISNA(VLOOKUP($F260,Declarations!B$6:C$293,2,FALSE)),"",IF(VLOOKUP($F260,Declarations!B$6:C$293,2,FALSE)="","NOT DECLARED",IF(ISNA(_xlfn.TEXTBEFORE(VLOOKUP($F260,Declarations!B$6:C$293,2,FALSE)," ")),VLOOKUP($F260,Declarations!B$6:C$293,2,FALSE),_xlfn.TEXTBEFORE(VLOOKUP($F260,Declarations!B$6:C$293,2,FALSE)," "))))</f>
        <v/>
      </c>
      <c r="C260" s="122" t="str">
        <f>IF(ISNA(VLOOKUP($F260,Declarations!B$6:C$293,2,FALSE)),"",IF(VLOOKUP($F260,Declarations!B$6:C$293,2,FALSE)="","NOT DECLARED",IF(ISNA(_xlfn.TEXTAFTER(VLOOKUP($F260,Declarations!B$6:C$293,2,FALSE)," ")),VLOOKUP($F260,Declarations!B$6:C$293,2,FALSE),_xlfn.TEXTAFTER(VLOOKUP($F260,Declarations!B$6:C$293,2,FALSE)," "))))</f>
        <v/>
      </c>
      <c r="D260" s="122" t="str">
        <f>IF(ISNA(VLOOKUP($F260,Declarations!$B$6:$F$293,5,FALSE)),"",IF(VLOOKUP($F260,Declarations!$B$6:$F$293,5,FALSE)="","NOT DECLARED",VLOOKUP($F260,Declarations!$B$6:$F$293,5,FALSE)))</f>
        <v/>
      </c>
      <c r="E260" s="120" t="str">
        <f>IF(ISNA(VLOOKUP($F260,Declarations!$B$6:$D$293,3,FALSE)),"",IF(VLOOKUP($F260,Declarations!$B$6:$D$293,3,FALSE)="","NOT DECLARED",VLOOKUP($F260,Declarations!$B$6:$D$293,3,FALSE)&amp;LEFT(VLOOKUP($F260,Declarations!$B$6:$E$293,4,FALSE))))</f>
        <v/>
      </c>
      <c r="F260" s="59"/>
      <c r="G260" s="130"/>
      <c r="H260" s="130"/>
      <c r="I260" s="122" t="str">
        <f>IF(ISNA(VLOOKUP(F260,Declarations!B$6:C$293,2,FALSE)),"",IF(VLOOKUP(F260,Declarations!B$6:C$293,2,FALSE)="","NOT DECLARED",VLOOKUP(F260,Declarations!B$6:C$293,2,FALSE)))</f>
        <v/>
      </c>
      <c r="J260" s="120">
        <f>IF(LOWER(G260)="dnf",1,IF(G260&lt;ScoringTable!B$3,ScoringTable!I$2,VLOOKUP((1000-G260),ScoringTable!G$2:I$95,3)))</f>
        <v>0</v>
      </c>
      <c r="K260" s="120" t="str" cm="1">
        <f t="array" ref="K260">IF(OR(E260="",G260=""),"",_xlfn.IFS(E260="U10B",_xlfn.XLOOKUP(G260,Data!$D$2:$L$2,Data!$D$1:$L$1,"",1,1),E260="U12B",_xlfn.XLOOKUP(G260,Data!$D$8:$L$8,Data!$D$1:$L$1,"",1,1),E260="U10G",_xlfn.XLOOKUP(G260,Data!$D$15:$L$15,Data!$D$1:$L$1,"",1,1),E260="U12G",_xlfn.XLOOKUP(G260,Data!$D$21:$L$21,Data!$D$1:$L$1,"",1,1)))</f>
        <v/>
      </c>
      <c r="L260" s="184" t="str" cm="1">
        <f t="array" ref="L260">IFERROR(_xlfn.IFNA(
                      _xlfn.IFS(
                      G260="", "",
                      AND(E260="U10B",G260&lt;=Data!$M$2), "U10 Boys record",
                      AND(E260="U12B",G260&lt;=Data!$M$8), "U12 Boys record",
                      AND(E260="U10G",G260&lt;=Data!$M$15), "U10 Girls record",
                      AND(E260="U12G",G260&lt;=Data!$M$21), "U12 Girls record"
                       ),""), "")</f>
        <v/>
      </c>
      <c r="M260" s="19" cm="1">
        <f t="array" ref="M260">_xlfn.IFS($G260="",0, AND(NOT(ISNUMBER($G260)),LOWER($G260)&lt;&gt;"dnf"),"Not a valid time",OR(LOWER($G260)="dnf",$G260&gt;ScoringTable!$M$161),1,RIGHT($E260,1)="B",_xlfn.XLOOKUP($G260,ScoringTable!$M$2:$M$161,ScoringTable!$L$2:$L$161,,1),TRUE,_xlfn.XLOOKUP($G260,ScoringTable!$S$2:$S$161,ScoringTable!$R$2:$R$161,,1))</f>
        <v>0</v>
      </c>
    </row>
    <row r="261" spans="1:13" s="7" customFormat="1" ht="16" customHeight="1">
      <c r="A261" s="280" t="s">
        <v>2</v>
      </c>
      <c r="B261" s="122" t="str">
        <f>IF(ISNA(VLOOKUP($F261,Declarations!B$6:C$293,2,FALSE)),"",IF(VLOOKUP($F261,Declarations!B$6:C$293,2,FALSE)="","NOT DECLARED",IF(ISNA(_xlfn.TEXTBEFORE(VLOOKUP($F261,Declarations!B$6:C$293,2,FALSE)," ")),VLOOKUP($F261,Declarations!B$6:C$293,2,FALSE),_xlfn.TEXTBEFORE(VLOOKUP($F261,Declarations!B$6:C$293,2,FALSE)," "))))</f>
        <v/>
      </c>
      <c r="C261" s="122" t="str">
        <f>IF(ISNA(VLOOKUP($F261,Declarations!B$6:C$293,2,FALSE)),"",IF(VLOOKUP($F261,Declarations!B$6:C$293,2,FALSE)="","NOT DECLARED",IF(ISNA(_xlfn.TEXTAFTER(VLOOKUP($F261,Declarations!B$6:C$293,2,FALSE)," ")),VLOOKUP($F261,Declarations!B$6:C$293,2,FALSE),_xlfn.TEXTAFTER(VLOOKUP($F261,Declarations!B$6:C$293,2,FALSE)," "))))</f>
        <v/>
      </c>
      <c r="D261" s="122" t="str">
        <f>IF(ISNA(VLOOKUP($F261,Declarations!$B$6:$F$293,5,FALSE)),"",IF(VLOOKUP($F261,Declarations!$B$6:$F$293,5,FALSE)="","NOT DECLARED",VLOOKUP($F261,Declarations!$B$6:$F$293,5,FALSE)))</f>
        <v/>
      </c>
      <c r="E261" s="120" t="str">
        <f>IF(ISNA(VLOOKUP($F261,Declarations!$B$6:$D$293,3,FALSE)),"",IF(VLOOKUP($F261,Declarations!$B$6:$D$293,3,FALSE)="","NOT DECLARED",VLOOKUP($F261,Declarations!$B$6:$D$293,3,FALSE)&amp;LEFT(VLOOKUP($F261,Declarations!$B$6:$E$293,4,FALSE))))</f>
        <v/>
      </c>
      <c r="F261" s="59"/>
      <c r="G261" s="130"/>
      <c r="H261" s="130"/>
      <c r="I261" s="122" t="str">
        <f>IF(ISNA(VLOOKUP(F261,Declarations!B$6:C$293,2,FALSE)),"",IF(VLOOKUP(F261,Declarations!B$6:C$293,2,FALSE)="","NOT DECLARED",VLOOKUP(F261,Declarations!B$6:C$293,2,FALSE)))</f>
        <v/>
      </c>
      <c r="J261" s="120">
        <f>IF(LOWER(G261)="dnf",1,IF(G261&lt;ScoringTable!B$3,ScoringTable!I$2,VLOOKUP((1000-G261),ScoringTable!G$2:I$95,3)))</f>
        <v>0</v>
      </c>
      <c r="K261" s="120" t="str" cm="1">
        <f t="array" ref="K261">IF(OR(E261="",G261=""),"",_xlfn.IFS(E261="U10B",_xlfn.XLOOKUP(G261,Data!$D$2:$L$2,Data!$D$1:$L$1,"",1,1),E261="U12B",_xlfn.XLOOKUP(G261,Data!$D$8:$L$8,Data!$D$1:$L$1,"",1,1),E261="U10G",_xlfn.XLOOKUP(G261,Data!$D$15:$L$15,Data!$D$1:$L$1,"",1,1),E261="U12G",_xlfn.XLOOKUP(G261,Data!$D$21:$L$21,Data!$D$1:$L$1,"",1,1)))</f>
        <v/>
      </c>
      <c r="L261" s="184" t="str" cm="1">
        <f t="array" ref="L261">IFERROR(_xlfn.IFNA(
                      _xlfn.IFS(
                      G261="", "",
                      AND(E261="U10B",G261&lt;=Data!$M$2), "U10 Boys record",
                      AND(E261="U12B",G261&lt;=Data!$M$8), "U12 Boys record",
                      AND(E261="U10G",G261&lt;=Data!$M$15), "U10 Girls record",
                      AND(E261="U12G",G261&lt;=Data!$M$21), "U12 Girls record"
                       ),""), "")</f>
        <v/>
      </c>
      <c r="M261" s="19" cm="1">
        <f t="array" ref="M261">_xlfn.IFS($G261="",0, AND(NOT(ISNUMBER($G261)),LOWER($G261)&lt;&gt;"dnf"),"Not a valid time",OR(LOWER($G261)="dnf",$G261&gt;ScoringTable!$M$161),1,RIGHT($E261,1)="B",_xlfn.XLOOKUP($G261,ScoringTable!$M$2:$M$161,ScoringTable!$L$2:$L$161,,1),TRUE,_xlfn.XLOOKUP($G261,ScoringTable!$S$2:$S$161,ScoringTable!$R$2:$R$161,,1))</f>
        <v>0</v>
      </c>
    </row>
    <row r="262" spans="1:13" s="7" customFormat="1" ht="16" customHeight="1">
      <c r="A262" s="280" t="s">
        <v>2</v>
      </c>
      <c r="B262" s="122" t="str">
        <f>IF(ISNA(VLOOKUP($F262,Declarations!B$6:C$293,2,FALSE)),"",IF(VLOOKUP($F262,Declarations!B$6:C$293,2,FALSE)="","NOT DECLARED",IF(ISNA(_xlfn.TEXTBEFORE(VLOOKUP($F262,Declarations!B$6:C$293,2,FALSE)," ")),VLOOKUP($F262,Declarations!B$6:C$293,2,FALSE),_xlfn.TEXTBEFORE(VLOOKUP($F262,Declarations!B$6:C$293,2,FALSE)," "))))</f>
        <v/>
      </c>
      <c r="C262" s="122" t="str">
        <f>IF(ISNA(VLOOKUP($F262,Declarations!B$6:C$293,2,FALSE)),"",IF(VLOOKUP($F262,Declarations!B$6:C$293,2,FALSE)="","NOT DECLARED",IF(ISNA(_xlfn.TEXTAFTER(VLOOKUP($F262,Declarations!B$6:C$293,2,FALSE)," ")),VLOOKUP($F262,Declarations!B$6:C$293,2,FALSE),_xlfn.TEXTAFTER(VLOOKUP($F262,Declarations!B$6:C$293,2,FALSE)," "))))</f>
        <v/>
      </c>
      <c r="D262" s="122" t="str">
        <f>IF(ISNA(VLOOKUP($F262,Declarations!$B$6:$F$293,5,FALSE)),"",IF(VLOOKUP($F262,Declarations!$B$6:$F$293,5,FALSE)="","NOT DECLARED",VLOOKUP($F262,Declarations!$B$6:$F$293,5,FALSE)))</f>
        <v/>
      </c>
      <c r="E262" s="120" t="str">
        <f>IF(ISNA(VLOOKUP($F262,Declarations!$B$6:$D$293,3,FALSE)),"",IF(VLOOKUP($F262,Declarations!$B$6:$D$293,3,FALSE)="","NOT DECLARED",VLOOKUP($F262,Declarations!$B$6:$D$293,3,FALSE)&amp;LEFT(VLOOKUP($F262,Declarations!$B$6:$E$293,4,FALSE))))</f>
        <v/>
      </c>
      <c r="F262" s="59"/>
      <c r="G262" s="130"/>
      <c r="H262" s="130"/>
      <c r="I262" s="122" t="str">
        <f>IF(ISNA(VLOOKUP(F262,Declarations!B$6:C$293,2,FALSE)),"",IF(VLOOKUP(F262,Declarations!B$6:C$293,2,FALSE)="","NOT DECLARED",VLOOKUP(F262,Declarations!B$6:C$293,2,FALSE)))</f>
        <v/>
      </c>
      <c r="J262" s="120">
        <f>IF(LOWER(G262)="dnf",1,IF(G262&lt;ScoringTable!B$3,ScoringTable!I$2,VLOOKUP((1000-G262),ScoringTable!G$2:I$95,3)))</f>
        <v>0</v>
      </c>
      <c r="K262" s="120" t="str" cm="1">
        <f t="array" ref="K262">IF(OR(E262="",G262=""),"",_xlfn.IFS(E262="U10B",_xlfn.XLOOKUP(G262,Data!$D$2:$L$2,Data!$D$1:$L$1,"",1,1),E262="U12B",_xlfn.XLOOKUP(G262,Data!$D$8:$L$8,Data!$D$1:$L$1,"",1,1),E262="U10G",_xlfn.XLOOKUP(G262,Data!$D$15:$L$15,Data!$D$1:$L$1,"",1,1),E262="U12G",_xlfn.XLOOKUP(G262,Data!$D$21:$L$21,Data!$D$1:$L$1,"",1,1)))</f>
        <v/>
      </c>
      <c r="L262" s="184" t="str" cm="1">
        <f t="array" ref="L262">IFERROR(_xlfn.IFNA(
                      _xlfn.IFS(
                      G262="", "",
                      AND(E262="U10B",G262&lt;=Data!$M$2), "U10 Boys record",
                      AND(E262="U12B",G262&lt;=Data!$M$8), "U12 Boys record",
                      AND(E262="U10G",G262&lt;=Data!$M$15), "U10 Girls record",
                      AND(E262="U12G",G262&lt;=Data!$M$21), "U12 Girls record"
                       ),""), "")</f>
        <v/>
      </c>
      <c r="M262" s="19" cm="1">
        <f t="array" ref="M262">_xlfn.IFS($G262="",0, AND(NOT(ISNUMBER($G262)),LOWER($G262)&lt;&gt;"dnf"),"Not a valid time",OR(LOWER($G262)="dnf",$G262&gt;ScoringTable!$M$161),1,RIGHT($E262,1)="B",_xlfn.XLOOKUP($G262,ScoringTable!$M$2:$M$161,ScoringTable!$L$2:$L$161,,1),TRUE,_xlfn.XLOOKUP($G262,ScoringTable!$S$2:$S$161,ScoringTable!$R$2:$R$161,,1))</f>
        <v>0</v>
      </c>
    </row>
    <row r="263" spans="1:13" s="7" customFormat="1" ht="16" customHeight="1">
      <c r="A263" s="280" t="s">
        <v>2</v>
      </c>
      <c r="B263" s="122" t="str">
        <f>IF(ISNA(VLOOKUP($F263,Declarations!B$6:C$293,2,FALSE)),"",IF(VLOOKUP($F263,Declarations!B$6:C$293,2,FALSE)="","NOT DECLARED",IF(ISNA(_xlfn.TEXTBEFORE(VLOOKUP($F263,Declarations!B$6:C$293,2,FALSE)," ")),VLOOKUP($F263,Declarations!B$6:C$293,2,FALSE),_xlfn.TEXTBEFORE(VLOOKUP($F263,Declarations!B$6:C$293,2,FALSE)," "))))</f>
        <v/>
      </c>
      <c r="C263" s="122" t="str">
        <f>IF(ISNA(VLOOKUP($F263,Declarations!B$6:C$293,2,FALSE)),"",IF(VLOOKUP($F263,Declarations!B$6:C$293,2,FALSE)="","NOT DECLARED",IF(ISNA(_xlfn.TEXTAFTER(VLOOKUP($F263,Declarations!B$6:C$293,2,FALSE)," ")),VLOOKUP($F263,Declarations!B$6:C$293,2,FALSE),_xlfn.TEXTAFTER(VLOOKUP($F263,Declarations!B$6:C$293,2,FALSE)," "))))</f>
        <v/>
      </c>
      <c r="D263" s="122" t="str">
        <f>IF(ISNA(VLOOKUP($F263,Declarations!$B$6:$F$293,5,FALSE)),"",IF(VLOOKUP($F263,Declarations!$B$6:$F$293,5,FALSE)="","NOT DECLARED",VLOOKUP($F263,Declarations!$B$6:$F$293,5,FALSE)))</f>
        <v/>
      </c>
      <c r="E263" s="120" t="str">
        <f>IF(ISNA(VLOOKUP($F263,Declarations!$B$6:$D$293,3,FALSE)),"",IF(VLOOKUP($F263,Declarations!$B$6:$D$293,3,FALSE)="","NOT DECLARED",VLOOKUP($F263,Declarations!$B$6:$D$293,3,FALSE)&amp;LEFT(VLOOKUP($F263,Declarations!$B$6:$E$293,4,FALSE))))</f>
        <v/>
      </c>
      <c r="F263" s="59"/>
      <c r="G263" s="130"/>
      <c r="H263" s="130"/>
      <c r="I263" s="122" t="str">
        <f>IF(ISNA(VLOOKUP(F263,Declarations!B$6:C$293,2,FALSE)),"",IF(VLOOKUP(F263,Declarations!B$6:C$293,2,FALSE)="","NOT DECLARED",VLOOKUP(F263,Declarations!B$6:C$293,2,FALSE)))</f>
        <v/>
      </c>
      <c r="J263" s="120">
        <f>IF(LOWER(G263)="dnf",1,IF(G263&lt;ScoringTable!B$3,ScoringTable!I$2,VLOOKUP((1000-G263),ScoringTable!G$2:I$95,3)))</f>
        <v>0</v>
      </c>
      <c r="K263" s="120" t="str" cm="1">
        <f t="array" ref="K263">IF(OR(E263="",G263=""),"",_xlfn.IFS(E263="U10B",_xlfn.XLOOKUP(G263,Data!$D$2:$L$2,Data!$D$1:$L$1,"",1,1),E263="U12B",_xlfn.XLOOKUP(G263,Data!$D$8:$L$8,Data!$D$1:$L$1,"",1,1),E263="U10G",_xlfn.XLOOKUP(G263,Data!$D$15:$L$15,Data!$D$1:$L$1,"",1,1),E263="U12G",_xlfn.XLOOKUP(G263,Data!$D$21:$L$21,Data!$D$1:$L$1,"",1,1)))</f>
        <v/>
      </c>
      <c r="L263" s="184" t="str" cm="1">
        <f t="array" ref="L263">IFERROR(_xlfn.IFNA(
                      _xlfn.IFS(
                      G263="", "",
                      AND(E263="U10B",G263&lt;=Data!$M$2), "U10 Boys record",
                      AND(E263="U12B",G263&lt;=Data!$M$8), "U12 Boys record",
                      AND(E263="U10G",G263&lt;=Data!$M$15), "U10 Girls record",
                      AND(E263="U12G",G263&lt;=Data!$M$21), "U12 Girls record"
                       ),""), "")</f>
        <v/>
      </c>
      <c r="M263" s="19" cm="1">
        <f t="array" ref="M263">_xlfn.IFS($G263="",0, AND(NOT(ISNUMBER($G263)),LOWER($G263)&lt;&gt;"dnf"),"Not a valid time",OR(LOWER($G263)="dnf",$G263&gt;ScoringTable!$M$161),1,RIGHT($E263,1)="B",_xlfn.XLOOKUP($G263,ScoringTable!$M$2:$M$161,ScoringTable!$L$2:$L$161,,1),TRUE,_xlfn.XLOOKUP($G263,ScoringTable!$S$2:$S$161,ScoringTable!$R$2:$R$161,,1))</f>
        <v>0</v>
      </c>
    </row>
    <row r="264" spans="1:13" s="7" customFormat="1" ht="16" customHeight="1">
      <c r="A264" s="280" t="s">
        <v>2</v>
      </c>
      <c r="B264" s="122" t="str">
        <f>IF(ISNA(VLOOKUP($F264,Declarations!B$6:C$293,2,FALSE)),"",IF(VLOOKUP($F264,Declarations!B$6:C$293,2,FALSE)="","NOT DECLARED",IF(ISNA(_xlfn.TEXTBEFORE(VLOOKUP($F264,Declarations!B$6:C$293,2,FALSE)," ")),VLOOKUP($F264,Declarations!B$6:C$293,2,FALSE),_xlfn.TEXTBEFORE(VLOOKUP($F264,Declarations!B$6:C$293,2,FALSE)," "))))</f>
        <v/>
      </c>
      <c r="C264" s="122" t="str">
        <f>IF(ISNA(VLOOKUP($F264,Declarations!B$6:C$293,2,FALSE)),"",IF(VLOOKUP($F264,Declarations!B$6:C$293,2,FALSE)="","NOT DECLARED",IF(ISNA(_xlfn.TEXTAFTER(VLOOKUP($F264,Declarations!B$6:C$293,2,FALSE)," ")),VLOOKUP($F264,Declarations!B$6:C$293,2,FALSE),_xlfn.TEXTAFTER(VLOOKUP($F264,Declarations!B$6:C$293,2,FALSE)," "))))</f>
        <v/>
      </c>
      <c r="D264" s="122" t="str">
        <f>IF(ISNA(VLOOKUP($F264,Declarations!$B$6:$F$293,5,FALSE)),"",IF(VLOOKUP($F264,Declarations!$B$6:$F$293,5,FALSE)="","NOT DECLARED",VLOOKUP($F264,Declarations!$B$6:$F$293,5,FALSE)))</f>
        <v/>
      </c>
      <c r="E264" s="120" t="str">
        <f>IF(ISNA(VLOOKUP($F264,Declarations!$B$6:$D$293,3,FALSE)),"",IF(VLOOKUP($F264,Declarations!$B$6:$D$293,3,FALSE)="","NOT DECLARED",VLOOKUP($F264,Declarations!$B$6:$D$293,3,FALSE)&amp;LEFT(VLOOKUP($F264,Declarations!$B$6:$E$293,4,FALSE))))</f>
        <v/>
      </c>
      <c r="F264" s="59"/>
      <c r="G264" s="130"/>
      <c r="H264" s="130"/>
      <c r="I264" s="122" t="str">
        <f>IF(ISNA(VLOOKUP(F264,Declarations!B$6:C$293,2,FALSE)),"",IF(VLOOKUP(F264,Declarations!B$6:C$293,2,FALSE)="","NOT DECLARED",VLOOKUP(F264,Declarations!B$6:C$293,2,FALSE)))</f>
        <v/>
      </c>
      <c r="J264" s="120">
        <f>IF(LOWER(G264)="dnf",1,IF(G264&lt;ScoringTable!B$3,ScoringTable!I$2,VLOOKUP((1000-G264),ScoringTable!G$2:I$95,3)))</f>
        <v>0</v>
      </c>
      <c r="K264" s="120" t="str" cm="1">
        <f t="array" ref="K264">IF(OR(E264="",G264=""),"",_xlfn.IFS(E264="U10B",_xlfn.XLOOKUP(G264,Data!$D$2:$L$2,Data!$D$1:$L$1,"",1,1),E264="U12B",_xlfn.XLOOKUP(G264,Data!$D$8:$L$8,Data!$D$1:$L$1,"",1,1),E264="U10G",_xlfn.XLOOKUP(G264,Data!$D$15:$L$15,Data!$D$1:$L$1,"",1,1),E264="U12G",_xlfn.XLOOKUP(G264,Data!$D$21:$L$21,Data!$D$1:$L$1,"",1,1)))</f>
        <v/>
      </c>
      <c r="L264" s="184" t="str" cm="1">
        <f t="array" ref="L264">IFERROR(_xlfn.IFNA(
                      _xlfn.IFS(
                      G264="", "",
                      AND(E264="U10B",G264&lt;=Data!$M$2), "U10 Boys record",
                      AND(E264="U12B",G264&lt;=Data!$M$8), "U12 Boys record",
                      AND(E264="U10G",G264&lt;=Data!$M$15), "U10 Girls record",
                      AND(E264="U12G",G264&lt;=Data!$M$21), "U12 Girls record"
                       ),""), "")</f>
        <v/>
      </c>
      <c r="M264" s="19" cm="1">
        <f t="array" ref="M264">_xlfn.IFS($G264="",0, AND(NOT(ISNUMBER($G264)),LOWER($G264)&lt;&gt;"dnf"),"Not a valid time",OR(LOWER($G264)="dnf",$G264&gt;ScoringTable!$M$161),1,RIGHT($E264,1)="B",_xlfn.XLOOKUP($G264,ScoringTable!$M$2:$M$161,ScoringTable!$L$2:$L$161,,1),TRUE,_xlfn.XLOOKUP($G264,ScoringTable!$S$2:$S$161,ScoringTable!$R$2:$R$161,,1))</f>
        <v>0</v>
      </c>
    </row>
    <row r="265" spans="1:13" s="7" customFormat="1" ht="16" customHeight="1">
      <c r="A265" s="280" t="s">
        <v>2</v>
      </c>
      <c r="B265" s="122" t="str">
        <f>IF(ISNA(VLOOKUP($F265,Declarations!B$6:C$293,2,FALSE)),"",IF(VLOOKUP($F265,Declarations!B$6:C$293,2,FALSE)="","NOT DECLARED",IF(ISNA(_xlfn.TEXTBEFORE(VLOOKUP($F265,Declarations!B$6:C$293,2,FALSE)," ")),VLOOKUP($F265,Declarations!B$6:C$293,2,FALSE),_xlfn.TEXTBEFORE(VLOOKUP($F265,Declarations!B$6:C$293,2,FALSE)," "))))</f>
        <v/>
      </c>
      <c r="C265" s="122" t="str">
        <f>IF(ISNA(VLOOKUP($F265,Declarations!B$6:C$293,2,FALSE)),"",IF(VLOOKUP($F265,Declarations!B$6:C$293,2,FALSE)="","NOT DECLARED",IF(ISNA(_xlfn.TEXTAFTER(VLOOKUP($F265,Declarations!B$6:C$293,2,FALSE)," ")),VLOOKUP($F265,Declarations!B$6:C$293,2,FALSE),_xlfn.TEXTAFTER(VLOOKUP($F265,Declarations!B$6:C$293,2,FALSE)," "))))</f>
        <v/>
      </c>
      <c r="D265" s="122" t="str">
        <f>IF(ISNA(VLOOKUP($F265,Declarations!$B$6:$F$293,5,FALSE)),"",IF(VLOOKUP($F265,Declarations!$B$6:$F$293,5,FALSE)="","NOT DECLARED",VLOOKUP($F265,Declarations!$B$6:$F$293,5,FALSE)))</f>
        <v/>
      </c>
      <c r="E265" s="120" t="str">
        <f>IF(ISNA(VLOOKUP($F265,Declarations!$B$6:$D$293,3,FALSE)),"",IF(VLOOKUP($F265,Declarations!$B$6:$D$293,3,FALSE)="","NOT DECLARED",VLOOKUP($F265,Declarations!$B$6:$D$293,3,FALSE)&amp;LEFT(VLOOKUP($F265,Declarations!$B$6:$E$293,4,FALSE))))</f>
        <v/>
      </c>
      <c r="F265" s="59"/>
      <c r="G265" s="130"/>
      <c r="H265" s="130"/>
      <c r="I265" s="122" t="str">
        <f>IF(ISNA(VLOOKUP(F265,Declarations!B$6:C$293,2,FALSE)),"",IF(VLOOKUP(F265,Declarations!B$6:C$293,2,FALSE)="","NOT DECLARED",VLOOKUP(F265,Declarations!B$6:C$293,2,FALSE)))</f>
        <v/>
      </c>
      <c r="J265" s="120">
        <f>IF(LOWER(G265)="dnf",1,IF(G265&lt;ScoringTable!B$3,ScoringTable!I$2,VLOOKUP((1000-G265),ScoringTable!G$2:I$95,3)))</f>
        <v>0</v>
      </c>
      <c r="K265" s="120" t="str" cm="1">
        <f t="array" ref="K265">IF(OR(E265="",G265=""),"",_xlfn.IFS(E265="U10B",_xlfn.XLOOKUP(G265,Data!$D$2:$L$2,Data!$D$1:$L$1,"",1,1),E265="U12B",_xlfn.XLOOKUP(G265,Data!$D$8:$L$8,Data!$D$1:$L$1,"",1,1),E265="U10G",_xlfn.XLOOKUP(G265,Data!$D$15:$L$15,Data!$D$1:$L$1,"",1,1),E265="U12G",_xlfn.XLOOKUP(G265,Data!$D$21:$L$21,Data!$D$1:$L$1,"",1,1)))</f>
        <v/>
      </c>
      <c r="L265" s="184" t="str" cm="1">
        <f t="array" ref="L265">IFERROR(_xlfn.IFNA(
                      _xlfn.IFS(
                      G265="", "",
                      AND(E265="U10B",G265&lt;=Data!$M$2), "U10 Boys record",
                      AND(E265="U12B",G265&lt;=Data!$M$8), "U12 Boys record",
                      AND(E265="U10G",G265&lt;=Data!$M$15), "U10 Girls record",
                      AND(E265="U12G",G265&lt;=Data!$M$21), "U12 Girls record"
                       ),""), "")</f>
        <v/>
      </c>
      <c r="M265" s="19" cm="1">
        <f t="array" ref="M265">_xlfn.IFS($G265="",0, AND(NOT(ISNUMBER($G265)),LOWER($G265)&lt;&gt;"dnf"),"Not a valid time",OR(LOWER($G265)="dnf",$G265&gt;ScoringTable!$M$161),1,RIGHT($E265,1)="B",_xlfn.XLOOKUP($G265,ScoringTable!$M$2:$M$161,ScoringTable!$L$2:$L$161,,1),TRUE,_xlfn.XLOOKUP($G265,ScoringTable!$S$2:$S$161,ScoringTable!$R$2:$R$161,,1))</f>
        <v>0</v>
      </c>
    </row>
    <row r="266" spans="1:13" s="7" customFormat="1" ht="16" customHeight="1">
      <c r="A266" s="280" t="s">
        <v>2</v>
      </c>
      <c r="B266" s="122" t="str">
        <f>IF(ISNA(VLOOKUP($F266,Declarations!B$6:C$293,2,FALSE)),"",IF(VLOOKUP($F266,Declarations!B$6:C$293,2,FALSE)="","NOT DECLARED",IF(ISNA(_xlfn.TEXTBEFORE(VLOOKUP($F266,Declarations!B$6:C$293,2,FALSE)," ")),VLOOKUP($F266,Declarations!B$6:C$293,2,FALSE),_xlfn.TEXTBEFORE(VLOOKUP($F266,Declarations!B$6:C$293,2,FALSE)," "))))</f>
        <v/>
      </c>
      <c r="C266" s="122" t="str">
        <f>IF(ISNA(VLOOKUP($F266,Declarations!B$6:C$293,2,FALSE)),"",IF(VLOOKUP($F266,Declarations!B$6:C$293,2,FALSE)="","NOT DECLARED",IF(ISNA(_xlfn.TEXTAFTER(VLOOKUP($F266,Declarations!B$6:C$293,2,FALSE)," ")),VLOOKUP($F266,Declarations!B$6:C$293,2,FALSE),_xlfn.TEXTAFTER(VLOOKUP($F266,Declarations!B$6:C$293,2,FALSE)," "))))</f>
        <v/>
      </c>
      <c r="D266" s="122" t="str">
        <f>IF(ISNA(VLOOKUP($F266,Declarations!$B$6:$F$293,5,FALSE)),"",IF(VLOOKUP($F266,Declarations!$B$6:$F$293,5,FALSE)="","NOT DECLARED",VLOOKUP($F266,Declarations!$B$6:$F$293,5,FALSE)))</f>
        <v/>
      </c>
      <c r="E266" s="120" t="str">
        <f>IF(ISNA(VLOOKUP($F266,Declarations!$B$6:$D$293,3,FALSE)),"",IF(VLOOKUP($F266,Declarations!$B$6:$D$293,3,FALSE)="","NOT DECLARED",VLOOKUP($F266,Declarations!$B$6:$D$293,3,FALSE)&amp;LEFT(VLOOKUP($F266,Declarations!$B$6:$E$293,4,FALSE))))</f>
        <v/>
      </c>
      <c r="F266" s="59"/>
      <c r="G266" s="130"/>
      <c r="H266" s="130"/>
      <c r="I266" s="122" t="str">
        <f>IF(ISNA(VLOOKUP(F266,Declarations!B$6:C$293,2,FALSE)),"",IF(VLOOKUP(F266,Declarations!B$6:C$293,2,FALSE)="","NOT DECLARED",VLOOKUP(F266,Declarations!B$6:C$293,2,FALSE)))</f>
        <v/>
      </c>
      <c r="J266" s="120">
        <f>IF(LOWER(G266)="dnf",1,IF(G266&lt;ScoringTable!B$3,ScoringTable!I$2,VLOOKUP((1000-G266),ScoringTable!G$2:I$95,3)))</f>
        <v>0</v>
      </c>
      <c r="K266" s="120" t="str" cm="1">
        <f t="array" ref="K266">IF(OR(E266="",G266=""),"",_xlfn.IFS(E266="U10B",_xlfn.XLOOKUP(G266,Data!$D$2:$L$2,Data!$D$1:$L$1,"",1,1),E266="U12B",_xlfn.XLOOKUP(G266,Data!$D$8:$L$8,Data!$D$1:$L$1,"",1,1),E266="U10G",_xlfn.XLOOKUP(G266,Data!$D$15:$L$15,Data!$D$1:$L$1,"",1,1),E266="U12G",_xlfn.XLOOKUP(G266,Data!$D$21:$L$21,Data!$D$1:$L$1,"",1,1)))</f>
        <v/>
      </c>
      <c r="L266" s="184" t="str" cm="1">
        <f t="array" ref="L266">IFERROR(_xlfn.IFNA(
                      _xlfn.IFS(
                      G266="", "",
                      AND(E266="U10B",G266&lt;=Data!$M$2), "U10 Boys record",
                      AND(E266="U12B",G266&lt;=Data!$M$8), "U12 Boys record",
                      AND(E266="U10G",G266&lt;=Data!$M$15), "U10 Girls record",
                      AND(E266="U12G",G266&lt;=Data!$M$21), "U12 Girls record"
                       ),""), "")</f>
        <v/>
      </c>
      <c r="M266" s="19" cm="1">
        <f t="array" ref="M266">_xlfn.IFS($G266="",0, AND(NOT(ISNUMBER($G266)),LOWER($G266)&lt;&gt;"dnf"),"Not a valid time",OR(LOWER($G266)="dnf",$G266&gt;ScoringTable!$M$161),1,RIGHT($E266,1)="B",_xlfn.XLOOKUP($G266,ScoringTable!$M$2:$M$161,ScoringTable!$L$2:$L$161,,1),TRUE,_xlfn.XLOOKUP($G266,ScoringTable!$S$2:$S$161,ScoringTable!$R$2:$R$161,,1))</f>
        <v>0</v>
      </c>
    </row>
    <row r="267" spans="1:13" s="7" customFormat="1" ht="16" customHeight="1">
      <c r="A267" s="280" t="s">
        <v>2</v>
      </c>
      <c r="B267" s="122" t="str">
        <f>IF(ISNA(VLOOKUP($F267,Declarations!B$6:C$293,2,FALSE)),"",IF(VLOOKUP($F267,Declarations!B$6:C$293,2,FALSE)="","NOT DECLARED",IF(ISNA(_xlfn.TEXTBEFORE(VLOOKUP($F267,Declarations!B$6:C$293,2,FALSE)," ")),VLOOKUP($F267,Declarations!B$6:C$293,2,FALSE),_xlfn.TEXTBEFORE(VLOOKUP($F267,Declarations!B$6:C$293,2,FALSE)," "))))</f>
        <v/>
      </c>
      <c r="C267" s="122" t="str">
        <f>IF(ISNA(VLOOKUP($F267,Declarations!B$6:C$293,2,FALSE)),"",IF(VLOOKUP($F267,Declarations!B$6:C$293,2,FALSE)="","NOT DECLARED",IF(ISNA(_xlfn.TEXTAFTER(VLOOKUP($F267,Declarations!B$6:C$293,2,FALSE)," ")),VLOOKUP($F267,Declarations!B$6:C$293,2,FALSE),_xlfn.TEXTAFTER(VLOOKUP($F267,Declarations!B$6:C$293,2,FALSE)," "))))</f>
        <v/>
      </c>
      <c r="D267" s="122" t="str">
        <f>IF(ISNA(VLOOKUP($F267,Declarations!$B$6:$F$293,5,FALSE)),"",IF(VLOOKUP($F267,Declarations!$B$6:$F$293,5,FALSE)="","NOT DECLARED",VLOOKUP($F267,Declarations!$B$6:$F$293,5,FALSE)))</f>
        <v/>
      </c>
      <c r="E267" s="120" t="str">
        <f>IF(ISNA(VLOOKUP($F267,Declarations!$B$6:$D$293,3,FALSE)),"",IF(VLOOKUP($F267,Declarations!$B$6:$D$293,3,FALSE)="","NOT DECLARED",VLOOKUP($F267,Declarations!$B$6:$D$293,3,FALSE)&amp;LEFT(VLOOKUP($F267,Declarations!$B$6:$E$293,4,FALSE))))</f>
        <v/>
      </c>
      <c r="F267" s="59"/>
      <c r="G267" s="130"/>
      <c r="H267" s="130"/>
      <c r="I267" s="122" t="str">
        <f>IF(ISNA(VLOOKUP(F267,Declarations!B$6:C$293,2,FALSE)),"",IF(VLOOKUP(F267,Declarations!B$6:C$293,2,FALSE)="","NOT DECLARED",VLOOKUP(F267,Declarations!B$6:C$293,2,FALSE)))</f>
        <v/>
      </c>
      <c r="J267" s="120">
        <f>IF(LOWER(G267)="dnf",1,IF(G267&lt;ScoringTable!B$3,ScoringTable!I$2,VLOOKUP((1000-G267),ScoringTable!G$2:I$95,3)))</f>
        <v>0</v>
      </c>
      <c r="K267" s="120" t="str" cm="1">
        <f t="array" ref="K267">IF(OR(E267="",G267=""),"",_xlfn.IFS(E267="U10B",_xlfn.XLOOKUP(G267,Data!$D$2:$L$2,Data!$D$1:$L$1,"",1,1),E267="U12B",_xlfn.XLOOKUP(G267,Data!$D$8:$L$8,Data!$D$1:$L$1,"",1,1),E267="U10G",_xlfn.XLOOKUP(G267,Data!$D$15:$L$15,Data!$D$1:$L$1,"",1,1),E267="U12G",_xlfn.XLOOKUP(G267,Data!$D$21:$L$21,Data!$D$1:$L$1,"",1,1)))</f>
        <v/>
      </c>
      <c r="L267" s="184" t="str" cm="1">
        <f t="array" ref="L267">IFERROR(_xlfn.IFNA(
                      _xlfn.IFS(
                      G267="", "",
                      AND(E267="U10B",G267&lt;=Data!$M$2), "U10 Boys record",
                      AND(E267="U12B",G267&lt;=Data!$M$8), "U12 Boys record",
                      AND(E267="U10G",G267&lt;=Data!$M$15), "U10 Girls record",
                      AND(E267="U12G",G267&lt;=Data!$M$21), "U12 Girls record"
                       ),""), "")</f>
        <v/>
      </c>
      <c r="M267" s="19" cm="1">
        <f t="array" ref="M267">_xlfn.IFS($G267="",0, AND(NOT(ISNUMBER($G267)),LOWER($G267)&lt;&gt;"dnf"),"Not a valid time",OR(LOWER($G267)="dnf",$G267&gt;ScoringTable!$M$161),1,RIGHT($E267,1)="B",_xlfn.XLOOKUP($G267,ScoringTable!$M$2:$M$161,ScoringTable!$L$2:$L$161,,1),TRUE,_xlfn.XLOOKUP($G267,ScoringTable!$S$2:$S$161,ScoringTable!$R$2:$R$161,,1))</f>
        <v>0</v>
      </c>
    </row>
    <row r="268" spans="1:13" s="7" customFormat="1" ht="16" customHeight="1">
      <c r="A268" s="280" t="s">
        <v>2</v>
      </c>
      <c r="B268" s="122" t="str">
        <f>IF(ISNA(VLOOKUP($F268,Declarations!B$6:C$293,2,FALSE)),"",IF(VLOOKUP($F268,Declarations!B$6:C$293,2,FALSE)="","NOT DECLARED",IF(ISNA(_xlfn.TEXTBEFORE(VLOOKUP($F268,Declarations!B$6:C$293,2,FALSE)," ")),VLOOKUP($F268,Declarations!B$6:C$293,2,FALSE),_xlfn.TEXTBEFORE(VLOOKUP($F268,Declarations!B$6:C$293,2,FALSE)," "))))</f>
        <v/>
      </c>
      <c r="C268" s="122" t="str">
        <f>IF(ISNA(VLOOKUP($F268,Declarations!B$6:C$293,2,FALSE)),"",IF(VLOOKUP($F268,Declarations!B$6:C$293,2,FALSE)="","NOT DECLARED",IF(ISNA(_xlfn.TEXTAFTER(VLOOKUP($F268,Declarations!B$6:C$293,2,FALSE)," ")),VLOOKUP($F268,Declarations!B$6:C$293,2,FALSE),_xlfn.TEXTAFTER(VLOOKUP($F268,Declarations!B$6:C$293,2,FALSE)," "))))</f>
        <v/>
      </c>
      <c r="D268" s="122" t="str">
        <f>IF(ISNA(VLOOKUP($F268,Declarations!$B$6:$F$293,5,FALSE)),"",IF(VLOOKUP($F268,Declarations!$B$6:$F$293,5,FALSE)="","NOT DECLARED",VLOOKUP($F268,Declarations!$B$6:$F$293,5,FALSE)))</f>
        <v/>
      </c>
      <c r="E268" s="120" t="str">
        <f>IF(ISNA(VLOOKUP($F268,Declarations!$B$6:$D$293,3,FALSE)),"",IF(VLOOKUP($F268,Declarations!$B$6:$D$293,3,FALSE)="","NOT DECLARED",VLOOKUP($F268,Declarations!$B$6:$D$293,3,FALSE)&amp;LEFT(VLOOKUP($F268,Declarations!$B$6:$E$293,4,FALSE))))</f>
        <v/>
      </c>
      <c r="F268" s="59"/>
      <c r="G268" s="130"/>
      <c r="H268" s="130"/>
      <c r="I268" s="122" t="str">
        <f>IF(ISNA(VLOOKUP(F268,Declarations!B$6:C$293,2,FALSE)),"",IF(VLOOKUP(F268,Declarations!B$6:C$293,2,FALSE)="","NOT DECLARED",VLOOKUP(F268,Declarations!B$6:C$293,2,FALSE)))</f>
        <v/>
      </c>
      <c r="J268" s="120">
        <f>IF(LOWER(G268)="dnf",1,IF(G268&lt;ScoringTable!B$3,ScoringTable!I$2,VLOOKUP((1000-G268),ScoringTable!G$2:I$95,3)))</f>
        <v>0</v>
      </c>
      <c r="K268" s="120" t="str" cm="1">
        <f t="array" ref="K268">IF(OR(E268="",G268=""),"",_xlfn.IFS(E268="U10B",_xlfn.XLOOKUP(G268,Data!$D$2:$L$2,Data!$D$1:$L$1,"",1,1),E268="U12B",_xlfn.XLOOKUP(G268,Data!$D$8:$L$8,Data!$D$1:$L$1,"",1,1),E268="U10G",_xlfn.XLOOKUP(G268,Data!$D$15:$L$15,Data!$D$1:$L$1,"",1,1),E268="U12G",_xlfn.XLOOKUP(G268,Data!$D$21:$L$21,Data!$D$1:$L$1,"",1,1)))</f>
        <v/>
      </c>
      <c r="L268" s="184" t="str" cm="1">
        <f t="array" ref="L268">IFERROR(_xlfn.IFNA(
                      _xlfn.IFS(
                      G268="", "",
                      AND(E268="U10B",G268&lt;=Data!$M$2), "U10 Boys record",
                      AND(E268="U12B",G268&lt;=Data!$M$8), "U12 Boys record",
                      AND(E268="U10G",G268&lt;=Data!$M$15), "U10 Girls record",
                      AND(E268="U12G",G268&lt;=Data!$M$21), "U12 Girls record"
                       ),""), "")</f>
        <v/>
      </c>
      <c r="M268" s="19" cm="1">
        <f t="array" ref="M268">_xlfn.IFS($G268="",0, AND(NOT(ISNUMBER($G268)),LOWER($G268)&lt;&gt;"dnf"),"Not a valid time",OR(LOWER($G268)="dnf",$G268&gt;ScoringTable!$M$161),1,RIGHT($E268,1)="B",_xlfn.XLOOKUP($G268,ScoringTable!$M$2:$M$161,ScoringTable!$L$2:$L$161,,1),TRUE,_xlfn.XLOOKUP($G268,ScoringTable!$S$2:$S$161,ScoringTable!$R$2:$R$161,,1))</f>
        <v>0</v>
      </c>
    </row>
    <row r="269" spans="1:13" s="7" customFormat="1" ht="16" customHeight="1">
      <c r="A269" s="280" t="s">
        <v>2</v>
      </c>
      <c r="B269" s="122" t="str">
        <f>IF(ISNA(VLOOKUP($F269,Declarations!B$6:C$293,2,FALSE)),"",IF(VLOOKUP($F269,Declarations!B$6:C$293,2,FALSE)="","NOT DECLARED",IF(ISNA(_xlfn.TEXTBEFORE(VLOOKUP($F269,Declarations!B$6:C$293,2,FALSE)," ")),VLOOKUP($F269,Declarations!B$6:C$293,2,FALSE),_xlfn.TEXTBEFORE(VLOOKUP($F269,Declarations!B$6:C$293,2,FALSE)," "))))</f>
        <v/>
      </c>
      <c r="C269" s="122" t="str">
        <f>IF(ISNA(VLOOKUP($F269,Declarations!B$6:C$293,2,FALSE)),"",IF(VLOOKUP($F269,Declarations!B$6:C$293,2,FALSE)="","NOT DECLARED",IF(ISNA(_xlfn.TEXTAFTER(VLOOKUP($F269,Declarations!B$6:C$293,2,FALSE)," ")),VLOOKUP($F269,Declarations!B$6:C$293,2,FALSE),_xlfn.TEXTAFTER(VLOOKUP($F269,Declarations!B$6:C$293,2,FALSE)," "))))</f>
        <v/>
      </c>
      <c r="D269" s="122" t="str">
        <f>IF(ISNA(VLOOKUP($F269,Declarations!$B$6:$F$293,5,FALSE)),"",IF(VLOOKUP($F269,Declarations!$B$6:$F$293,5,FALSE)="","NOT DECLARED",VLOOKUP($F269,Declarations!$B$6:$F$293,5,FALSE)))</f>
        <v/>
      </c>
      <c r="E269" s="120" t="str">
        <f>IF(ISNA(VLOOKUP($F269,Declarations!$B$6:$D$293,3,FALSE)),"",IF(VLOOKUP($F269,Declarations!$B$6:$D$293,3,FALSE)="","NOT DECLARED",VLOOKUP($F269,Declarations!$B$6:$D$293,3,FALSE)&amp;LEFT(VLOOKUP($F269,Declarations!$B$6:$E$293,4,FALSE))))</f>
        <v/>
      </c>
      <c r="F269" s="59"/>
      <c r="G269" s="130"/>
      <c r="H269" s="130"/>
      <c r="I269" s="122" t="str">
        <f>IF(ISNA(VLOOKUP(F269,Declarations!B$6:C$293,2,FALSE)),"",IF(VLOOKUP(F269,Declarations!B$6:C$293,2,FALSE)="","NOT DECLARED",VLOOKUP(F269,Declarations!B$6:C$293,2,FALSE)))</f>
        <v/>
      </c>
      <c r="J269" s="120">
        <f>IF(LOWER(G269)="dnf",1,IF(G269&lt;ScoringTable!B$3,ScoringTable!I$2,VLOOKUP((1000-G269),ScoringTable!G$2:I$95,3)))</f>
        <v>0</v>
      </c>
      <c r="K269" s="120" t="str" cm="1">
        <f t="array" ref="K269">IF(OR(E269="",G269=""),"",_xlfn.IFS(E269="U10B",_xlfn.XLOOKUP(G269,Data!$D$2:$L$2,Data!$D$1:$L$1,"",1,1),E269="U12B",_xlfn.XLOOKUP(G269,Data!$D$8:$L$8,Data!$D$1:$L$1,"",1,1),E269="U10G",_xlfn.XLOOKUP(G269,Data!$D$15:$L$15,Data!$D$1:$L$1,"",1,1),E269="U12G",_xlfn.XLOOKUP(G269,Data!$D$21:$L$21,Data!$D$1:$L$1,"",1,1)))</f>
        <v/>
      </c>
      <c r="L269" s="184" t="str" cm="1">
        <f t="array" ref="L269">IFERROR(_xlfn.IFNA(
                      _xlfn.IFS(
                      G269="", "",
                      AND(E269="U10B",G269&lt;=Data!$M$2), "U10 Boys record",
                      AND(E269="U12B",G269&lt;=Data!$M$8), "U12 Boys record",
                      AND(E269="U10G",G269&lt;=Data!$M$15), "U10 Girls record",
                      AND(E269="U12G",G269&lt;=Data!$M$21), "U12 Girls record"
                       ),""), "")</f>
        <v/>
      </c>
      <c r="M269" s="19" cm="1">
        <f t="array" ref="M269">_xlfn.IFS($G269="",0, AND(NOT(ISNUMBER($G269)),LOWER($G269)&lt;&gt;"dnf"),"Not a valid time",OR(LOWER($G269)="dnf",$G269&gt;ScoringTable!$M$161),1,RIGHT($E269,1)="B",_xlfn.XLOOKUP($G269,ScoringTable!$M$2:$M$161,ScoringTable!$L$2:$L$161,,1),TRUE,_xlfn.XLOOKUP($G269,ScoringTable!$S$2:$S$161,ScoringTable!$R$2:$R$161,,1))</f>
        <v>0</v>
      </c>
    </row>
    <row r="270" spans="1:13" s="7" customFormat="1" ht="16" customHeight="1">
      <c r="A270" s="280" t="s">
        <v>2</v>
      </c>
      <c r="B270" s="122" t="str">
        <f>IF(ISNA(VLOOKUP($F270,Declarations!B$6:C$293,2,FALSE)),"",IF(VLOOKUP($F270,Declarations!B$6:C$293,2,FALSE)="","NOT DECLARED",IF(ISNA(_xlfn.TEXTBEFORE(VLOOKUP($F270,Declarations!B$6:C$293,2,FALSE)," ")),VLOOKUP($F270,Declarations!B$6:C$293,2,FALSE),_xlfn.TEXTBEFORE(VLOOKUP($F270,Declarations!B$6:C$293,2,FALSE)," "))))</f>
        <v/>
      </c>
      <c r="C270" s="122" t="str">
        <f>IF(ISNA(VLOOKUP($F270,Declarations!B$6:C$293,2,FALSE)),"",IF(VLOOKUP($F270,Declarations!B$6:C$293,2,FALSE)="","NOT DECLARED",IF(ISNA(_xlfn.TEXTAFTER(VLOOKUP($F270,Declarations!B$6:C$293,2,FALSE)," ")),VLOOKUP($F270,Declarations!B$6:C$293,2,FALSE),_xlfn.TEXTAFTER(VLOOKUP($F270,Declarations!B$6:C$293,2,FALSE)," "))))</f>
        <v/>
      </c>
      <c r="D270" s="122" t="str">
        <f>IF(ISNA(VLOOKUP($F270,Declarations!$B$6:$F$293,5,FALSE)),"",IF(VLOOKUP($F270,Declarations!$B$6:$F$293,5,FALSE)="","NOT DECLARED",VLOOKUP($F270,Declarations!$B$6:$F$293,5,FALSE)))</f>
        <v/>
      </c>
      <c r="E270" s="120" t="str">
        <f>IF(ISNA(VLOOKUP($F270,Declarations!$B$6:$D$293,3,FALSE)),"",IF(VLOOKUP($F270,Declarations!$B$6:$D$293,3,FALSE)="","NOT DECLARED",VLOOKUP($F270,Declarations!$B$6:$D$293,3,FALSE)&amp;LEFT(VLOOKUP($F270,Declarations!$B$6:$E$293,4,FALSE))))</f>
        <v/>
      </c>
      <c r="F270" s="59"/>
      <c r="G270" s="130"/>
      <c r="H270" s="130"/>
      <c r="I270" s="122" t="str">
        <f>IF(ISNA(VLOOKUP(F270,Declarations!B$6:C$293,2,FALSE)),"",IF(VLOOKUP(F270,Declarations!B$6:C$293,2,FALSE)="","NOT DECLARED",VLOOKUP(F270,Declarations!B$6:C$293,2,FALSE)))</f>
        <v/>
      </c>
      <c r="J270" s="120">
        <f>IF(LOWER(G270)="dnf",1,IF(G270&lt;ScoringTable!B$3,ScoringTable!I$2,VLOOKUP((1000-G270),ScoringTable!G$2:I$95,3)))</f>
        <v>0</v>
      </c>
      <c r="K270" s="120" t="str" cm="1">
        <f t="array" ref="K270">IF(OR(E270="",G270=""),"",_xlfn.IFS(E270="U10B",_xlfn.XLOOKUP(G270,Data!$D$2:$L$2,Data!$D$1:$L$1,"",1,1),E270="U12B",_xlfn.XLOOKUP(G270,Data!$D$8:$L$8,Data!$D$1:$L$1,"",1,1),E270="U10G",_xlfn.XLOOKUP(G270,Data!$D$15:$L$15,Data!$D$1:$L$1,"",1,1),E270="U12G",_xlfn.XLOOKUP(G270,Data!$D$21:$L$21,Data!$D$1:$L$1,"",1,1)))</f>
        <v/>
      </c>
      <c r="L270" s="184" t="str" cm="1">
        <f t="array" ref="L270">IFERROR(_xlfn.IFNA(
                      _xlfn.IFS(
                      G270="", "",
                      AND(E270="U10B",G270&lt;=Data!$M$2), "U10 Boys record",
                      AND(E270="U12B",G270&lt;=Data!$M$8), "U12 Boys record",
                      AND(E270="U10G",G270&lt;=Data!$M$15), "U10 Girls record",
                      AND(E270="U12G",G270&lt;=Data!$M$21), "U12 Girls record"
                       ),""), "")</f>
        <v/>
      </c>
      <c r="M270" s="19" cm="1">
        <f t="array" ref="M270">_xlfn.IFS($G270="",0, AND(NOT(ISNUMBER($G270)),LOWER($G270)&lt;&gt;"dnf"),"Not a valid time",OR(LOWER($G270)="dnf",$G270&gt;ScoringTable!$M$161),1,RIGHT($E270,1)="B",_xlfn.XLOOKUP($G270,ScoringTable!$M$2:$M$161,ScoringTable!$L$2:$L$161,,1),TRUE,_xlfn.XLOOKUP($G270,ScoringTable!$S$2:$S$161,ScoringTable!$R$2:$R$161,,1))</f>
        <v>0</v>
      </c>
    </row>
    <row r="271" spans="1:13" s="7" customFormat="1" ht="16" customHeight="1">
      <c r="A271" s="280" t="s">
        <v>2</v>
      </c>
      <c r="B271" s="122" t="str">
        <f>IF(ISNA(VLOOKUP($F271,Declarations!B$6:C$293,2,FALSE)),"",IF(VLOOKUP($F271,Declarations!B$6:C$293,2,FALSE)="","NOT DECLARED",IF(ISNA(_xlfn.TEXTBEFORE(VLOOKUP($F271,Declarations!B$6:C$293,2,FALSE)," ")),VLOOKUP($F271,Declarations!B$6:C$293,2,FALSE),_xlfn.TEXTBEFORE(VLOOKUP($F271,Declarations!B$6:C$293,2,FALSE)," "))))</f>
        <v/>
      </c>
      <c r="C271" s="122" t="str">
        <f>IF(ISNA(VLOOKUP($F271,Declarations!B$6:C$293,2,FALSE)),"",IF(VLOOKUP($F271,Declarations!B$6:C$293,2,FALSE)="","NOT DECLARED",IF(ISNA(_xlfn.TEXTAFTER(VLOOKUP($F271,Declarations!B$6:C$293,2,FALSE)," ")),VLOOKUP($F271,Declarations!B$6:C$293,2,FALSE),_xlfn.TEXTAFTER(VLOOKUP($F271,Declarations!B$6:C$293,2,FALSE)," "))))</f>
        <v/>
      </c>
      <c r="D271" s="122" t="str">
        <f>IF(ISNA(VLOOKUP($F271,Declarations!$B$6:$F$293,5,FALSE)),"",IF(VLOOKUP($F271,Declarations!$B$6:$F$293,5,FALSE)="","NOT DECLARED",VLOOKUP($F271,Declarations!$B$6:$F$293,5,FALSE)))</f>
        <v/>
      </c>
      <c r="E271" s="120" t="str">
        <f>IF(ISNA(VLOOKUP($F271,Declarations!$B$6:$D$293,3,FALSE)),"",IF(VLOOKUP($F271,Declarations!$B$6:$D$293,3,FALSE)="","NOT DECLARED",VLOOKUP($F271,Declarations!$B$6:$D$293,3,FALSE)&amp;LEFT(VLOOKUP($F271,Declarations!$B$6:$E$293,4,FALSE))))</f>
        <v/>
      </c>
      <c r="F271" s="59"/>
      <c r="G271" s="130"/>
      <c r="H271" s="130"/>
      <c r="I271" s="122" t="str">
        <f>IF(ISNA(VLOOKUP(F271,Declarations!B$6:C$293,2,FALSE)),"",IF(VLOOKUP(F271,Declarations!B$6:C$293,2,FALSE)="","NOT DECLARED",VLOOKUP(F271,Declarations!B$6:C$293,2,FALSE)))</f>
        <v/>
      </c>
      <c r="J271" s="120">
        <f>IF(LOWER(G271)="dnf",1,IF(G271&lt;ScoringTable!B$3,ScoringTable!I$2,VLOOKUP((1000-G271),ScoringTable!G$2:I$95,3)))</f>
        <v>0</v>
      </c>
      <c r="K271" s="120" t="str" cm="1">
        <f t="array" ref="K271">IF(OR(E271="",G271=""),"",_xlfn.IFS(E271="U10B",_xlfn.XLOOKUP(G271,Data!$D$2:$L$2,Data!$D$1:$L$1,"",1,1),E271="U12B",_xlfn.XLOOKUP(G271,Data!$D$8:$L$8,Data!$D$1:$L$1,"",1,1),E271="U10G",_xlfn.XLOOKUP(G271,Data!$D$15:$L$15,Data!$D$1:$L$1,"",1,1),E271="U12G",_xlfn.XLOOKUP(G271,Data!$D$21:$L$21,Data!$D$1:$L$1,"",1,1)))</f>
        <v/>
      </c>
      <c r="L271" s="184" t="str" cm="1">
        <f t="array" ref="L271">IFERROR(_xlfn.IFNA(
                      _xlfn.IFS(
                      G271="", "",
                      AND(E271="U10B",G271&lt;=Data!$M$2), "U10 Boys record",
                      AND(E271="U12B",G271&lt;=Data!$M$8), "U12 Boys record",
                      AND(E271="U10G",G271&lt;=Data!$M$15), "U10 Girls record",
                      AND(E271="U12G",G271&lt;=Data!$M$21), "U12 Girls record"
                       ),""), "")</f>
        <v/>
      </c>
      <c r="M271" s="19" cm="1">
        <f t="array" ref="M271">_xlfn.IFS($G271="",0, AND(NOT(ISNUMBER($G271)),LOWER($G271)&lt;&gt;"dnf"),"Not a valid time",OR(LOWER($G271)="dnf",$G271&gt;ScoringTable!$M$161),1,RIGHT($E271,1)="B",_xlfn.XLOOKUP($G271,ScoringTable!$M$2:$M$161,ScoringTable!$L$2:$L$161,,1),TRUE,_xlfn.XLOOKUP($G271,ScoringTable!$S$2:$S$161,ScoringTable!$R$2:$R$161,,1))</f>
        <v>0</v>
      </c>
    </row>
    <row r="272" spans="1:13" s="7" customFormat="1" ht="16" customHeight="1">
      <c r="A272" s="280" t="s">
        <v>2</v>
      </c>
      <c r="B272" s="122" t="str">
        <f>IF(ISNA(VLOOKUP($F272,Declarations!B$6:C$293,2,FALSE)),"",IF(VLOOKUP($F272,Declarations!B$6:C$293,2,FALSE)="","NOT DECLARED",IF(ISNA(_xlfn.TEXTBEFORE(VLOOKUP($F272,Declarations!B$6:C$293,2,FALSE)," ")),VLOOKUP($F272,Declarations!B$6:C$293,2,FALSE),_xlfn.TEXTBEFORE(VLOOKUP($F272,Declarations!B$6:C$293,2,FALSE)," "))))</f>
        <v/>
      </c>
      <c r="C272" s="122" t="str">
        <f>IF(ISNA(VLOOKUP($F272,Declarations!B$6:C$293,2,FALSE)),"",IF(VLOOKUP($F272,Declarations!B$6:C$293,2,FALSE)="","NOT DECLARED",IF(ISNA(_xlfn.TEXTAFTER(VLOOKUP($F272,Declarations!B$6:C$293,2,FALSE)," ")),VLOOKUP($F272,Declarations!B$6:C$293,2,FALSE),_xlfn.TEXTAFTER(VLOOKUP($F272,Declarations!B$6:C$293,2,FALSE)," "))))</f>
        <v/>
      </c>
      <c r="D272" s="122" t="str">
        <f>IF(ISNA(VLOOKUP($F272,Declarations!$B$6:$F$293,5,FALSE)),"",IF(VLOOKUP($F272,Declarations!$B$6:$F$293,5,FALSE)="","NOT DECLARED",VLOOKUP($F272,Declarations!$B$6:$F$293,5,FALSE)))</f>
        <v/>
      </c>
      <c r="E272" s="120" t="str">
        <f>IF(ISNA(VLOOKUP($F272,Declarations!$B$6:$D$293,3,FALSE)),"",IF(VLOOKUP($F272,Declarations!$B$6:$D$293,3,FALSE)="","NOT DECLARED",VLOOKUP($F272,Declarations!$B$6:$D$293,3,FALSE)&amp;LEFT(VLOOKUP($F272,Declarations!$B$6:$E$293,4,FALSE))))</f>
        <v/>
      </c>
      <c r="F272" s="59"/>
      <c r="G272" s="130"/>
      <c r="H272" s="130"/>
      <c r="I272" s="122" t="str">
        <f>IF(ISNA(VLOOKUP(F272,Declarations!B$6:C$293,2,FALSE)),"",IF(VLOOKUP(F272,Declarations!B$6:C$293,2,FALSE)="","NOT DECLARED",VLOOKUP(F272,Declarations!B$6:C$293,2,FALSE)))</f>
        <v/>
      </c>
      <c r="J272" s="120">
        <f>IF(LOWER(G272)="dnf",1,IF(G272&lt;ScoringTable!B$3,ScoringTable!I$2,VLOOKUP((1000-G272),ScoringTable!G$2:I$95,3)))</f>
        <v>0</v>
      </c>
      <c r="K272" s="120" t="str" cm="1">
        <f t="array" ref="K272">IF(OR(E272="",G272=""),"",_xlfn.IFS(E272="U10B",_xlfn.XLOOKUP(G272,Data!$D$2:$L$2,Data!$D$1:$L$1,"",1,1),E272="U12B",_xlfn.XLOOKUP(G272,Data!$D$8:$L$8,Data!$D$1:$L$1,"",1,1),E272="U10G",_xlfn.XLOOKUP(G272,Data!$D$15:$L$15,Data!$D$1:$L$1,"",1,1),E272="U12G",_xlfn.XLOOKUP(G272,Data!$D$21:$L$21,Data!$D$1:$L$1,"",1,1)))</f>
        <v/>
      </c>
      <c r="L272" s="184" t="str" cm="1">
        <f t="array" ref="L272">IFERROR(_xlfn.IFNA(
                      _xlfn.IFS(
                      G272="", "",
                      AND(E272="U10B",G272&lt;=Data!$M$2), "U10 Boys record",
                      AND(E272="U12B",G272&lt;=Data!$M$8), "U12 Boys record",
                      AND(E272="U10G",G272&lt;=Data!$M$15), "U10 Girls record",
                      AND(E272="U12G",G272&lt;=Data!$M$21), "U12 Girls record"
                       ),""), "")</f>
        <v/>
      </c>
      <c r="M272" s="19" cm="1">
        <f t="array" ref="M272">_xlfn.IFS($G272="",0, AND(NOT(ISNUMBER($G272)),LOWER($G272)&lt;&gt;"dnf"),"Not a valid time",OR(LOWER($G272)="dnf",$G272&gt;ScoringTable!$M$161),1,RIGHT($E272,1)="B",_xlfn.XLOOKUP($G272,ScoringTable!$M$2:$M$161,ScoringTable!$L$2:$L$161,,1),TRUE,_xlfn.XLOOKUP($G272,ScoringTable!$S$2:$S$161,ScoringTable!$R$2:$R$161,,1))</f>
        <v>0</v>
      </c>
    </row>
    <row r="273" spans="1:13" s="7" customFormat="1" ht="16" customHeight="1">
      <c r="A273" s="280" t="s">
        <v>2</v>
      </c>
      <c r="B273" s="122" t="str">
        <f>IF(ISNA(VLOOKUP($F273,Declarations!B$6:C$293,2,FALSE)),"",IF(VLOOKUP($F273,Declarations!B$6:C$293,2,FALSE)="","NOT DECLARED",IF(ISNA(_xlfn.TEXTBEFORE(VLOOKUP($F273,Declarations!B$6:C$293,2,FALSE)," ")),VLOOKUP($F273,Declarations!B$6:C$293,2,FALSE),_xlfn.TEXTBEFORE(VLOOKUP($F273,Declarations!B$6:C$293,2,FALSE)," "))))</f>
        <v/>
      </c>
      <c r="C273" s="122" t="str">
        <f>IF(ISNA(VLOOKUP($F273,Declarations!B$6:C$293,2,FALSE)),"",IF(VLOOKUP($F273,Declarations!B$6:C$293,2,FALSE)="","NOT DECLARED",IF(ISNA(_xlfn.TEXTAFTER(VLOOKUP($F273,Declarations!B$6:C$293,2,FALSE)," ")),VLOOKUP($F273,Declarations!B$6:C$293,2,FALSE),_xlfn.TEXTAFTER(VLOOKUP($F273,Declarations!B$6:C$293,2,FALSE)," "))))</f>
        <v/>
      </c>
      <c r="D273" s="122" t="str">
        <f>IF(ISNA(VLOOKUP($F273,Declarations!$B$6:$F$293,5,FALSE)),"",IF(VLOOKUP($F273,Declarations!$B$6:$F$293,5,FALSE)="","NOT DECLARED",VLOOKUP($F273,Declarations!$B$6:$F$293,5,FALSE)))</f>
        <v/>
      </c>
      <c r="E273" s="120" t="str">
        <f>IF(ISNA(VLOOKUP($F273,Declarations!$B$6:$D$293,3,FALSE)),"",IF(VLOOKUP($F273,Declarations!$B$6:$D$293,3,FALSE)="","NOT DECLARED",VLOOKUP($F273,Declarations!$B$6:$D$293,3,FALSE)&amp;LEFT(VLOOKUP($F273,Declarations!$B$6:$E$293,4,FALSE))))</f>
        <v/>
      </c>
      <c r="F273" s="59"/>
      <c r="G273" s="130"/>
      <c r="H273" s="130"/>
      <c r="I273" s="122" t="str">
        <f>IF(ISNA(VLOOKUP(F273,Declarations!B$6:C$293,2,FALSE)),"",IF(VLOOKUP(F273,Declarations!B$6:C$293,2,FALSE)="","NOT DECLARED",VLOOKUP(F273,Declarations!B$6:C$293,2,FALSE)))</f>
        <v/>
      </c>
      <c r="J273" s="120">
        <f>IF(LOWER(G273)="dnf",1,IF(G273&lt;ScoringTable!B$3,ScoringTable!I$2,VLOOKUP((1000-G273),ScoringTable!G$2:I$95,3)))</f>
        <v>0</v>
      </c>
      <c r="K273" s="120" t="str" cm="1">
        <f t="array" ref="K273">IF(OR(E273="",G273=""),"",_xlfn.IFS(E273="U10B",_xlfn.XLOOKUP(G273,Data!$D$2:$L$2,Data!$D$1:$L$1,"",1,1),E273="U12B",_xlfn.XLOOKUP(G273,Data!$D$8:$L$8,Data!$D$1:$L$1,"",1,1),E273="U10G",_xlfn.XLOOKUP(G273,Data!$D$15:$L$15,Data!$D$1:$L$1,"",1,1),E273="U12G",_xlfn.XLOOKUP(G273,Data!$D$21:$L$21,Data!$D$1:$L$1,"",1,1)))</f>
        <v/>
      </c>
      <c r="L273" s="184" t="str" cm="1">
        <f t="array" ref="L273">IFERROR(_xlfn.IFNA(
                      _xlfn.IFS(
                      G273="", "",
                      AND(E273="U10B",G273&lt;=Data!$M$2), "U10 Boys record",
                      AND(E273="U12B",G273&lt;=Data!$M$8), "U12 Boys record",
                      AND(E273="U10G",G273&lt;=Data!$M$15), "U10 Girls record",
                      AND(E273="U12G",G273&lt;=Data!$M$21), "U12 Girls record"
                       ),""), "")</f>
        <v/>
      </c>
      <c r="M273" s="19" cm="1">
        <f t="array" ref="M273">_xlfn.IFS($G273="",0, AND(NOT(ISNUMBER($G273)),LOWER($G273)&lt;&gt;"dnf"),"Not a valid time",OR(LOWER($G273)="dnf",$G273&gt;ScoringTable!$M$161),1,RIGHT($E273,1)="B",_xlfn.XLOOKUP($G273,ScoringTable!$M$2:$M$161,ScoringTable!$L$2:$L$161,,1),TRUE,_xlfn.XLOOKUP($G273,ScoringTable!$S$2:$S$161,ScoringTable!$R$2:$R$161,,1))</f>
        <v>0</v>
      </c>
    </row>
    <row r="274" spans="1:13" s="7" customFormat="1" ht="16" customHeight="1">
      <c r="A274" s="280" t="s">
        <v>2</v>
      </c>
      <c r="B274" s="122" t="str">
        <f>IF(ISNA(VLOOKUP($F274,Declarations!B$6:C$293,2,FALSE)),"",IF(VLOOKUP($F274,Declarations!B$6:C$293,2,FALSE)="","NOT DECLARED",IF(ISNA(_xlfn.TEXTBEFORE(VLOOKUP($F274,Declarations!B$6:C$293,2,FALSE)," ")),VLOOKUP($F274,Declarations!B$6:C$293,2,FALSE),_xlfn.TEXTBEFORE(VLOOKUP($F274,Declarations!B$6:C$293,2,FALSE)," "))))</f>
        <v/>
      </c>
      <c r="C274" s="122" t="str">
        <f>IF(ISNA(VLOOKUP($F274,Declarations!B$6:C$293,2,FALSE)),"",IF(VLOOKUP($F274,Declarations!B$6:C$293,2,FALSE)="","NOT DECLARED",IF(ISNA(_xlfn.TEXTAFTER(VLOOKUP($F274,Declarations!B$6:C$293,2,FALSE)," ")),VLOOKUP($F274,Declarations!B$6:C$293,2,FALSE),_xlfn.TEXTAFTER(VLOOKUP($F274,Declarations!B$6:C$293,2,FALSE)," "))))</f>
        <v/>
      </c>
      <c r="D274" s="122" t="str">
        <f>IF(ISNA(VLOOKUP($F274,Declarations!$B$6:$F$293,5,FALSE)),"",IF(VLOOKUP($F274,Declarations!$B$6:$F$293,5,FALSE)="","NOT DECLARED",VLOOKUP($F274,Declarations!$B$6:$F$293,5,FALSE)))</f>
        <v/>
      </c>
      <c r="E274" s="120" t="str">
        <f>IF(ISNA(VLOOKUP($F274,Declarations!$B$6:$D$293,3,FALSE)),"",IF(VLOOKUP($F274,Declarations!$B$6:$D$293,3,FALSE)="","NOT DECLARED",VLOOKUP($F274,Declarations!$B$6:$D$293,3,FALSE)&amp;LEFT(VLOOKUP($F274,Declarations!$B$6:$E$293,4,FALSE))))</f>
        <v/>
      </c>
      <c r="F274" s="59"/>
      <c r="G274" s="130"/>
      <c r="H274" s="130"/>
      <c r="I274" s="122" t="str">
        <f>IF(ISNA(VLOOKUP(F274,Declarations!B$6:C$293,2,FALSE)),"",IF(VLOOKUP(F274,Declarations!B$6:C$293,2,FALSE)="","NOT DECLARED",VLOOKUP(F274,Declarations!B$6:C$293,2,FALSE)))</f>
        <v/>
      </c>
      <c r="J274" s="120">
        <f>IF(LOWER(G274)="dnf",1,IF(G274&lt;ScoringTable!B$3,ScoringTable!I$2,VLOOKUP((1000-G274),ScoringTable!G$2:I$95,3)))</f>
        <v>0</v>
      </c>
      <c r="K274" s="120" t="str" cm="1">
        <f t="array" ref="K274">IF(OR(E274="",G274=""),"",_xlfn.IFS(E274="U10B",_xlfn.XLOOKUP(G274,Data!$D$2:$L$2,Data!$D$1:$L$1,"",1,1),E274="U12B",_xlfn.XLOOKUP(G274,Data!$D$8:$L$8,Data!$D$1:$L$1,"",1,1),E274="U10G",_xlfn.XLOOKUP(G274,Data!$D$15:$L$15,Data!$D$1:$L$1,"",1,1),E274="U12G",_xlfn.XLOOKUP(G274,Data!$D$21:$L$21,Data!$D$1:$L$1,"",1,1)))</f>
        <v/>
      </c>
      <c r="L274" s="184" t="str" cm="1">
        <f t="array" ref="L274">IFERROR(_xlfn.IFNA(
                      _xlfn.IFS(
                      G274="", "",
                      AND(E274="U10B",G274&lt;=Data!$M$2), "U10 Boys record",
                      AND(E274="U12B",G274&lt;=Data!$M$8), "U12 Boys record",
                      AND(E274="U10G",G274&lt;=Data!$M$15), "U10 Girls record",
                      AND(E274="U12G",G274&lt;=Data!$M$21), "U12 Girls record"
                       ),""), "")</f>
        <v/>
      </c>
      <c r="M274" s="19" cm="1">
        <f t="array" ref="M274">_xlfn.IFS($G274="",0, AND(NOT(ISNUMBER($G274)),LOWER($G274)&lt;&gt;"dnf"),"Not a valid time",OR(LOWER($G274)="dnf",$G274&gt;ScoringTable!$M$161),1,RIGHT($E274,1)="B",_xlfn.XLOOKUP($G274,ScoringTable!$M$2:$M$161,ScoringTable!$L$2:$L$161,,1),TRUE,_xlfn.XLOOKUP($G274,ScoringTable!$S$2:$S$161,ScoringTable!$R$2:$R$161,,1))</f>
        <v>0</v>
      </c>
    </row>
    <row r="275" spans="1:13" s="7" customFormat="1" ht="16" customHeight="1">
      <c r="A275" s="280" t="s">
        <v>2</v>
      </c>
      <c r="B275" s="122" t="str">
        <f>IF(ISNA(VLOOKUP($F275,Declarations!B$6:C$293,2,FALSE)),"",IF(VLOOKUP($F275,Declarations!B$6:C$293,2,FALSE)="","NOT DECLARED",IF(ISNA(_xlfn.TEXTBEFORE(VLOOKUP($F275,Declarations!B$6:C$293,2,FALSE)," ")),VLOOKUP($F275,Declarations!B$6:C$293,2,FALSE),_xlfn.TEXTBEFORE(VLOOKUP($F275,Declarations!B$6:C$293,2,FALSE)," "))))</f>
        <v/>
      </c>
      <c r="C275" s="122" t="str">
        <f>IF(ISNA(VLOOKUP($F275,Declarations!B$6:C$293,2,FALSE)),"",IF(VLOOKUP($F275,Declarations!B$6:C$293,2,FALSE)="","NOT DECLARED",IF(ISNA(_xlfn.TEXTAFTER(VLOOKUP($F275,Declarations!B$6:C$293,2,FALSE)," ")),VLOOKUP($F275,Declarations!B$6:C$293,2,FALSE),_xlfn.TEXTAFTER(VLOOKUP($F275,Declarations!B$6:C$293,2,FALSE)," "))))</f>
        <v/>
      </c>
      <c r="D275" s="122" t="str">
        <f>IF(ISNA(VLOOKUP($F275,Declarations!$B$6:$F$293,5,FALSE)),"",IF(VLOOKUP($F275,Declarations!$B$6:$F$293,5,FALSE)="","NOT DECLARED",VLOOKUP($F275,Declarations!$B$6:$F$293,5,FALSE)))</f>
        <v/>
      </c>
      <c r="E275" s="120" t="str">
        <f>IF(ISNA(VLOOKUP($F275,Declarations!$B$6:$D$293,3,FALSE)),"",IF(VLOOKUP($F275,Declarations!$B$6:$D$293,3,FALSE)="","NOT DECLARED",VLOOKUP($F275,Declarations!$B$6:$D$293,3,FALSE)&amp;LEFT(VLOOKUP($F275,Declarations!$B$6:$E$293,4,FALSE))))</f>
        <v/>
      </c>
      <c r="F275" s="59"/>
      <c r="G275" s="130"/>
      <c r="H275" s="130"/>
      <c r="I275" s="122" t="str">
        <f>IF(ISNA(VLOOKUP(F275,Declarations!B$6:C$293,2,FALSE)),"",IF(VLOOKUP(F275,Declarations!B$6:C$293,2,FALSE)="","NOT DECLARED",VLOOKUP(F275,Declarations!B$6:C$293,2,FALSE)))</f>
        <v/>
      </c>
      <c r="J275" s="120">
        <f>IF(LOWER(G275)="dnf",1,IF(G275&lt;ScoringTable!B$3,ScoringTable!I$2,VLOOKUP((1000-G275),ScoringTable!G$2:I$95,3)))</f>
        <v>0</v>
      </c>
      <c r="K275" s="120" t="str" cm="1">
        <f t="array" ref="K275">IF(OR(E275="",G275=""),"",_xlfn.IFS(E275="U10B",_xlfn.XLOOKUP(G275,Data!$D$2:$L$2,Data!$D$1:$L$1,"",1,1),E275="U12B",_xlfn.XLOOKUP(G275,Data!$D$8:$L$8,Data!$D$1:$L$1,"",1,1),E275="U10G",_xlfn.XLOOKUP(G275,Data!$D$15:$L$15,Data!$D$1:$L$1,"",1,1),E275="U12G",_xlfn.XLOOKUP(G275,Data!$D$21:$L$21,Data!$D$1:$L$1,"",1,1)))</f>
        <v/>
      </c>
      <c r="L275" s="184" t="str" cm="1">
        <f t="array" ref="L275">IFERROR(_xlfn.IFNA(
                      _xlfn.IFS(
                      G275="", "",
                      AND(E275="U10B",G275&lt;=Data!$M$2), "U10 Boys record",
                      AND(E275="U12B",G275&lt;=Data!$M$8), "U12 Boys record",
                      AND(E275="U10G",G275&lt;=Data!$M$15), "U10 Girls record",
                      AND(E275="U12G",G275&lt;=Data!$M$21), "U12 Girls record"
                       ),""), "")</f>
        <v/>
      </c>
      <c r="M275" s="19" cm="1">
        <f t="array" ref="M275">_xlfn.IFS($G275="",0, AND(NOT(ISNUMBER($G275)),LOWER($G275)&lt;&gt;"dnf"),"Not a valid time",OR(LOWER($G275)="dnf",$G275&gt;ScoringTable!$M$161),1,RIGHT($E275,1)="B",_xlfn.XLOOKUP($G275,ScoringTable!$M$2:$M$161,ScoringTable!$L$2:$L$161,,1),TRUE,_xlfn.XLOOKUP($G275,ScoringTable!$S$2:$S$161,ScoringTable!$R$2:$R$161,,1))</f>
        <v>0</v>
      </c>
    </row>
    <row r="276" spans="1:13" s="7" customFormat="1" ht="16" customHeight="1">
      <c r="A276" s="280" t="s">
        <v>2</v>
      </c>
      <c r="B276" s="122" t="str">
        <f>IF(ISNA(VLOOKUP($F276,Declarations!B$6:C$293,2,FALSE)),"",IF(VLOOKUP($F276,Declarations!B$6:C$293,2,FALSE)="","NOT DECLARED",IF(ISNA(_xlfn.TEXTBEFORE(VLOOKUP($F276,Declarations!B$6:C$293,2,FALSE)," ")),VLOOKUP($F276,Declarations!B$6:C$293,2,FALSE),_xlfn.TEXTBEFORE(VLOOKUP($F276,Declarations!B$6:C$293,2,FALSE)," "))))</f>
        <v/>
      </c>
      <c r="C276" s="122" t="str">
        <f>IF(ISNA(VLOOKUP($F276,Declarations!B$6:C$293,2,FALSE)),"",IF(VLOOKUP($F276,Declarations!B$6:C$293,2,FALSE)="","NOT DECLARED",IF(ISNA(_xlfn.TEXTAFTER(VLOOKUP($F276,Declarations!B$6:C$293,2,FALSE)," ")),VLOOKUP($F276,Declarations!B$6:C$293,2,FALSE),_xlfn.TEXTAFTER(VLOOKUP($F276,Declarations!B$6:C$293,2,FALSE)," "))))</f>
        <v/>
      </c>
      <c r="D276" s="122" t="str">
        <f>IF(ISNA(VLOOKUP($F276,Declarations!$B$6:$F$293,5,FALSE)),"",IF(VLOOKUP($F276,Declarations!$B$6:$F$293,5,FALSE)="","NOT DECLARED",VLOOKUP($F276,Declarations!$B$6:$F$293,5,FALSE)))</f>
        <v/>
      </c>
      <c r="E276" s="120" t="str">
        <f>IF(ISNA(VLOOKUP($F276,Declarations!$B$6:$D$293,3,FALSE)),"",IF(VLOOKUP($F276,Declarations!$B$6:$D$293,3,FALSE)="","NOT DECLARED",VLOOKUP($F276,Declarations!$B$6:$D$293,3,FALSE)&amp;LEFT(VLOOKUP($F276,Declarations!$B$6:$E$293,4,FALSE))))</f>
        <v/>
      </c>
      <c r="F276" s="59"/>
      <c r="G276" s="130"/>
      <c r="H276" s="130"/>
      <c r="I276" s="122" t="str">
        <f>IF(ISNA(VLOOKUP(F276,Declarations!B$6:C$293,2,FALSE)),"",IF(VLOOKUP(F276,Declarations!B$6:C$293,2,FALSE)="","NOT DECLARED",VLOOKUP(F276,Declarations!B$6:C$293,2,FALSE)))</f>
        <v/>
      </c>
      <c r="J276" s="120">
        <f>IF(LOWER(G276)="dnf",1,IF(G276&lt;ScoringTable!B$3,ScoringTable!I$2,VLOOKUP((1000-G276),ScoringTable!G$2:I$95,3)))</f>
        <v>0</v>
      </c>
      <c r="K276" s="120" t="str" cm="1">
        <f t="array" ref="K276">IF(OR(E276="",G276=""),"",_xlfn.IFS(E276="U10B",_xlfn.XLOOKUP(G276,Data!$D$2:$L$2,Data!$D$1:$L$1,"",1,1),E276="U12B",_xlfn.XLOOKUP(G276,Data!$D$8:$L$8,Data!$D$1:$L$1,"",1,1),E276="U10G",_xlfn.XLOOKUP(G276,Data!$D$15:$L$15,Data!$D$1:$L$1,"",1,1),E276="U12G",_xlfn.XLOOKUP(G276,Data!$D$21:$L$21,Data!$D$1:$L$1,"",1,1)))</f>
        <v/>
      </c>
      <c r="L276" s="184" t="str" cm="1">
        <f t="array" ref="L276">IFERROR(_xlfn.IFNA(
                      _xlfn.IFS(
                      G276="", "",
                      AND(E276="U10B",G276&lt;=Data!$M$2), "U10 Boys record",
                      AND(E276="U12B",G276&lt;=Data!$M$8), "U12 Boys record",
                      AND(E276="U10G",G276&lt;=Data!$M$15), "U10 Girls record",
                      AND(E276="U12G",G276&lt;=Data!$M$21), "U12 Girls record"
                       ),""), "")</f>
        <v/>
      </c>
      <c r="M276" s="19" cm="1">
        <f t="array" ref="M276">_xlfn.IFS($G276="",0, AND(NOT(ISNUMBER($G276)),LOWER($G276)&lt;&gt;"dnf"),"Not a valid time",OR(LOWER($G276)="dnf",$G276&gt;ScoringTable!$M$161),1,RIGHT($E276,1)="B",_xlfn.XLOOKUP($G276,ScoringTable!$M$2:$M$161,ScoringTable!$L$2:$L$161,,1),TRUE,_xlfn.XLOOKUP($G276,ScoringTable!$S$2:$S$161,ScoringTable!$R$2:$R$161,,1))</f>
        <v>0</v>
      </c>
    </row>
    <row r="277" spans="1:13" s="7" customFormat="1" ht="16" customHeight="1">
      <c r="A277" s="280" t="s">
        <v>2</v>
      </c>
      <c r="B277" s="122" t="str">
        <f>IF(ISNA(VLOOKUP($F277,Declarations!B$6:C$293,2,FALSE)),"",IF(VLOOKUP($F277,Declarations!B$6:C$293,2,FALSE)="","NOT DECLARED",IF(ISNA(_xlfn.TEXTBEFORE(VLOOKUP($F277,Declarations!B$6:C$293,2,FALSE)," ")),VLOOKUP($F277,Declarations!B$6:C$293,2,FALSE),_xlfn.TEXTBEFORE(VLOOKUP($F277,Declarations!B$6:C$293,2,FALSE)," "))))</f>
        <v/>
      </c>
      <c r="C277" s="122" t="str">
        <f>IF(ISNA(VLOOKUP($F277,Declarations!B$6:C$293,2,FALSE)),"",IF(VLOOKUP($F277,Declarations!B$6:C$293,2,FALSE)="","NOT DECLARED",IF(ISNA(_xlfn.TEXTAFTER(VLOOKUP($F277,Declarations!B$6:C$293,2,FALSE)," ")),VLOOKUP($F277,Declarations!B$6:C$293,2,FALSE),_xlfn.TEXTAFTER(VLOOKUP($F277,Declarations!B$6:C$293,2,FALSE)," "))))</f>
        <v/>
      </c>
      <c r="D277" s="122" t="str">
        <f>IF(ISNA(VLOOKUP($F277,Declarations!$B$6:$F$293,5,FALSE)),"",IF(VLOOKUP($F277,Declarations!$B$6:$F$293,5,FALSE)="","NOT DECLARED",VLOOKUP($F277,Declarations!$B$6:$F$293,5,FALSE)))</f>
        <v/>
      </c>
      <c r="E277" s="120" t="str">
        <f>IF(ISNA(VLOOKUP($F277,Declarations!$B$6:$D$293,3,FALSE)),"",IF(VLOOKUP($F277,Declarations!$B$6:$D$293,3,FALSE)="","NOT DECLARED",VLOOKUP($F277,Declarations!$B$6:$D$293,3,FALSE)&amp;LEFT(VLOOKUP($F277,Declarations!$B$6:$E$293,4,FALSE))))</f>
        <v/>
      </c>
      <c r="F277" s="59"/>
      <c r="G277" s="130"/>
      <c r="H277" s="130"/>
      <c r="I277" s="122" t="str">
        <f>IF(ISNA(VLOOKUP(F277,Declarations!B$6:C$293,2,FALSE)),"",IF(VLOOKUP(F277,Declarations!B$6:C$293,2,FALSE)="","NOT DECLARED",VLOOKUP(F277,Declarations!B$6:C$293,2,FALSE)))</f>
        <v/>
      </c>
      <c r="J277" s="120">
        <f>IF(LOWER(G277)="dnf",1,IF(G277&lt;ScoringTable!B$3,ScoringTable!I$2,VLOOKUP((1000-G277),ScoringTable!G$2:I$95,3)))</f>
        <v>0</v>
      </c>
      <c r="K277" s="120" t="str" cm="1">
        <f t="array" ref="K277">IF(OR(E277="",G277=""),"",_xlfn.IFS(E277="U10B",_xlfn.XLOOKUP(G277,Data!$D$2:$L$2,Data!$D$1:$L$1,"",1,1),E277="U12B",_xlfn.XLOOKUP(G277,Data!$D$8:$L$8,Data!$D$1:$L$1,"",1,1),E277="U10G",_xlfn.XLOOKUP(G277,Data!$D$15:$L$15,Data!$D$1:$L$1,"",1,1),E277="U12G",_xlfn.XLOOKUP(G277,Data!$D$21:$L$21,Data!$D$1:$L$1,"",1,1)))</f>
        <v/>
      </c>
      <c r="L277" s="184" t="str" cm="1">
        <f t="array" ref="L277">IFERROR(_xlfn.IFNA(
                      _xlfn.IFS(
                      G277="", "",
                      AND(E277="U10B",G277&lt;=Data!$M$2), "U10 Boys record",
                      AND(E277="U12B",G277&lt;=Data!$M$8), "U12 Boys record",
                      AND(E277="U10G",G277&lt;=Data!$M$15), "U10 Girls record",
                      AND(E277="U12G",G277&lt;=Data!$M$21), "U12 Girls record"
                       ),""), "")</f>
        <v/>
      </c>
      <c r="M277" s="19" cm="1">
        <f t="array" ref="M277">_xlfn.IFS($G277="",0, AND(NOT(ISNUMBER($G277)),LOWER($G277)&lt;&gt;"dnf"),"Not a valid time",OR(LOWER($G277)="dnf",$G277&gt;ScoringTable!$M$161),1,RIGHT($E277,1)="B",_xlfn.XLOOKUP($G277,ScoringTable!$M$2:$M$161,ScoringTable!$L$2:$L$161,,1),TRUE,_xlfn.XLOOKUP($G277,ScoringTable!$S$2:$S$161,ScoringTable!$R$2:$R$161,,1))</f>
        <v>0</v>
      </c>
    </row>
    <row r="278" spans="1:13" s="7" customFormat="1" ht="16" customHeight="1">
      <c r="A278" s="280" t="s">
        <v>2</v>
      </c>
      <c r="B278" s="122" t="str">
        <f>IF(ISNA(VLOOKUP($F278,Declarations!B$6:C$293,2,FALSE)),"",IF(VLOOKUP($F278,Declarations!B$6:C$293,2,FALSE)="","NOT DECLARED",IF(ISNA(_xlfn.TEXTBEFORE(VLOOKUP($F278,Declarations!B$6:C$293,2,FALSE)," ")),VLOOKUP($F278,Declarations!B$6:C$293,2,FALSE),_xlfn.TEXTBEFORE(VLOOKUP($F278,Declarations!B$6:C$293,2,FALSE)," "))))</f>
        <v/>
      </c>
      <c r="C278" s="122" t="str">
        <f>IF(ISNA(VLOOKUP($F278,Declarations!B$6:C$293,2,FALSE)),"",IF(VLOOKUP($F278,Declarations!B$6:C$293,2,FALSE)="","NOT DECLARED",IF(ISNA(_xlfn.TEXTAFTER(VLOOKUP($F278,Declarations!B$6:C$293,2,FALSE)," ")),VLOOKUP($F278,Declarations!B$6:C$293,2,FALSE),_xlfn.TEXTAFTER(VLOOKUP($F278,Declarations!B$6:C$293,2,FALSE)," "))))</f>
        <v/>
      </c>
      <c r="D278" s="122" t="str">
        <f>IF(ISNA(VLOOKUP($F278,Declarations!$B$6:$F$293,5,FALSE)),"",IF(VLOOKUP($F278,Declarations!$B$6:$F$293,5,FALSE)="","NOT DECLARED",VLOOKUP($F278,Declarations!$B$6:$F$293,5,FALSE)))</f>
        <v/>
      </c>
      <c r="E278" s="120" t="str">
        <f>IF(ISNA(VLOOKUP($F278,Declarations!$B$6:$D$293,3,FALSE)),"",IF(VLOOKUP($F278,Declarations!$B$6:$D$293,3,FALSE)="","NOT DECLARED",VLOOKUP($F278,Declarations!$B$6:$D$293,3,FALSE)&amp;LEFT(VLOOKUP($F278,Declarations!$B$6:$E$293,4,FALSE))))</f>
        <v/>
      </c>
      <c r="F278" s="59"/>
      <c r="G278" s="130"/>
      <c r="H278" s="130"/>
      <c r="I278" s="122" t="str">
        <f>IF(ISNA(VLOOKUP(F278,Declarations!B$6:C$293,2,FALSE)),"",IF(VLOOKUP(F278,Declarations!B$6:C$293,2,FALSE)="","NOT DECLARED",VLOOKUP(F278,Declarations!B$6:C$293,2,FALSE)))</f>
        <v/>
      </c>
      <c r="J278" s="120">
        <f>IF(LOWER(G278)="dnf",1,IF(G278&lt;ScoringTable!B$3,ScoringTable!I$2,VLOOKUP((1000-G278),ScoringTable!G$2:I$95,3)))</f>
        <v>0</v>
      </c>
      <c r="K278" s="120" t="str" cm="1">
        <f t="array" ref="K278">IF(OR(E278="",G278=""),"",_xlfn.IFS(E278="U10B",_xlfn.XLOOKUP(G278,Data!$D$2:$L$2,Data!$D$1:$L$1,"",1,1),E278="U12B",_xlfn.XLOOKUP(G278,Data!$D$8:$L$8,Data!$D$1:$L$1,"",1,1),E278="U10G",_xlfn.XLOOKUP(G278,Data!$D$15:$L$15,Data!$D$1:$L$1,"",1,1),E278="U12G",_xlfn.XLOOKUP(G278,Data!$D$21:$L$21,Data!$D$1:$L$1,"",1,1)))</f>
        <v/>
      </c>
      <c r="L278" s="184" t="str" cm="1">
        <f t="array" ref="L278">IFERROR(_xlfn.IFNA(
                      _xlfn.IFS(
                      G278="", "",
                      AND(E278="U10B",G278&lt;=Data!$M$2), "U10 Boys record",
                      AND(E278="U12B",G278&lt;=Data!$M$8), "U12 Boys record",
                      AND(E278="U10G",G278&lt;=Data!$M$15), "U10 Girls record",
                      AND(E278="U12G",G278&lt;=Data!$M$21), "U12 Girls record"
                       ),""), "")</f>
        <v/>
      </c>
      <c r="M278" s="19" cm="1">
        <f t="array" ref="M278">_xlfn.IFS($G278="",0, AND(NOT(ISNUMBER($G278)),LOWER($G278)&lt;&gt;"dnf"),"Not a valid time",OR(LOWER($G278)="dnf",$G278&gt;ScoringTable!$M$161),1,RIGHT($E278,1)="B",_xlfn.XLOOKUP($G278,ScoringTable!$M$2:$M$161,ScoringTable!$L$2:$L$161,,1),TRUE,_xlfn.XLOOKUP($G278,ScoringTable!$S$2:$S$161,ScoringTable!$R$2:$R$161,,1))</f>
        <v>0</v>
      </c>
    </row>
    <row r="279" spans="1:13" s="7" customFormat="1" ht="16" customHeight="1">
      <c r="A279" s="280" t="s">
        <v>2</v>
      </c>
      <c r="B279" s="122" t="str">
        <f>IF(ISNA(VLOOKUP($F279,Declarations!B$6:C$293,2,FALSE)),"",IF(VLOOKUP($F279,Declarations!B$6:C$293,2,FALSE)="","NOT DECLARED",IF(ISNA(_xlfn.TEXTBEFORE(VLOOKUP($F279,Declarations!B$6:C$293,2,FALSE)," ")),VLOOKUP($F279,Declarations!B$6:C$293,2,FALSE),_xlfn.TEXTBEFORE(VLOOKUP($F279,Declarations!B$6:C$293,2,FALSE)," "))))</f>
        <v/>
      </c>
      <c r="C279" s="122" t="str">
        <f>IF(ISNA(VLOOKUP($F279,Declarations!B$6:C$293,2,FALSE)),"",IF(VLOOKUP($F279,Declarations!B$6:C$293,2,FALSE)="","NOT DECLARED",IF(ISNA(_xlfn.TEXTAFTER(VLOOKUP($F279,Declarations!B$6:C$293,2,FALSE)," ")),VLOOKUP($F279,Declarations!B$6:C$293,2,FALSE),_xlfn.TEXTAFTER(VLOOKUP($F279,Declarations!B$6:C$293,2,FALSE)," "))))</f>
        <v/>
      </c>
      <c r="D279" s="122" t="str">
        <f>IF(ISNA(VLOOKUP($F279,Declarations!$B$6:$F$293,5,FALSE)),"",IF(VLOOKUP($F279,Declarations!$B$6:$F$293,5,FALSE)="","NOT DECLARED",VLOOKUP($F279,Declarations!$B$6:$F$293,5,FALSE)))</f>
        <v/>
      </c>
      <c r="E279" s="120" t="str">
        <f>IF(ISNA(VLOOKUP($F279,Declarations!$B$6:$D$293,3,FALSE)),"",IF(VLOOKUP($F279,Declarations!$B$6:$D$293,3,FALSE)="","NOT DECLARED",VLOOKUP($F279,Declarations!$B$6:$D$293,3,FALSE)&amp;LEFT(VLOOKUP($F279,Declarations!$B$6:$E$293,4,FALSE))))</f>
        <v/>
      </c>
      <c r="F279" s="59"/>
      <c r="G279" s="130"/>
      <c r="H279" s="130"/>
      <c r="I279" s="122" t="str">
        <f>IF(ISNA(VLOOKUP(F279,Declarations!B$6:C$293,2,FALSE)),"",IF(VLOOKUP(F279,Declarations!B$6:C$293,2,FALSE)="","NOT DECLARED",VLOOKUP(F279,Declarations!B$6:C$293,2,FALSE)))</f>
        <v/>
      </c>
      <c r="J279" s="120">
        <f>IF(LOWER(G279)="dnf",1,IF(G279&lt;ScoringTable!B$3,ScoringTable!I$2,VLOOKUP((1000-G279),ScoringTable!G$2:I$95,3)))</f>
        <v>0</v>
      </c>
      <c r="K279" s="120" t="str" cm="1">
        <f t="array" ref="K279">IF(OR(E279="",G279=""),"",_xlfn.IFS(E279="U10B",_xlfn.XLOOKUP(G279,Data!$D$2:$L$2,Data!$D$1:$L$1,"",1,1),E279="U12B",_xlfn.XLOOKUP(G279,Data!$D$8:$L$8,Data!$D$1:$L$1,"",1,1),E279="U10G",_xlfn.XLOOKUP(G279,Data!$D$15:$L$15,Data!$D$1:$L$1,"",1,1),E279="U12G",_xlfn.XLOOKUP(G279,Data!$D$21:$L$21,Data!$D$1:$L$1,"",1,1)))</f>
        <v/>
      </c>
      <c r="L279" s="184" t="str" cm="1">
        <f t="array" ref="L279">IFERROR(_xlfn.IFNA(
                      _xlfn.IFS(
                      G279="", "",
                      AND(E279="U10B",G279&lt;=Data!$M$2), "U10 Boys record",
                      AND(E279="U12B",G279&lt;=Data!$M$8), "U12 Boys record",
                      AND(E279="U10G",G279&lt;=Data!$M$15), "U10 Girls record",
                      AND(E279="U12G",G279&lt;=Data!$M$21), "U12 Girls record"
                       ),""), "")</f>
        <v/>
      </c>
      <c r="M279" s="19" cm="1">
        <f t="array" ref="M279">_xlfn.IFS($G279="",0, AND(NOT(ISNUMBER($G279)),LOWER($G279)&lt;&gt;"dnf"),"Not a valid time",OR(LOWER($G279)="dnf",$G279&gt;ScoringTable!$M$161),1,RIGHT($E279,1)="B",_xlfn.XLOOKUP($G279,ScoringTable!$M$2:$M$161,ScoringTable!$L$2:$L$161,,1),TRUE,_xlfn.XLOOKUP($G279,ScoringTable!$S$2:$S$161,ScoringTable!$R$2:$R$161,,1))</f>
        <v>0</v>
      </c>
    </row>
    <row r="280" spans="1:13" s="7" customFormat="1" ht="16" customHeight="1">
      <c r="A280" s="280" t="s">
        <v>2</v>
      </c>
      <c r="B280" s="122" t="str">
        <f>IF(ISNA(VLOOKUP($F280,Declarations!B$6:C$293,2,FALSE)),"",IF(VLOOKUP($F280,Declarations!B$6:C$293,2,FALSE)="","NOT DECLARED",IF(ISNA(_xlfn.TEXTBEFORE(VLOOKUP($F280,Declarations!B$6:C$293,2,FALSE)," ")),VLOOKUP($F280,Declarations!B$6:C$293,2,FALSE),_xlfn.TEXTBEFORE(VLOOKUP($F280,Declarations!B$6:C$293,2,FALSE)," "))))</f>
        <v/>
      </c>
      <c r="C280" s="122" t="str">
        <f>IF(ISNA(VLOOKUP($F280,Declarations!B$6:C$293,2,FALSE)),"",IF(VLOOKUP($F280,Declarations!B$6:C$293,2,FALSE)="","NOT DECLARED",IF(ISNA(_xlfn.TEXTAFTER(VLOOKUP($F280,Declarations!B$6:C$293,2,FALSE)," ")),VLOOKUP($F280,Declarations!B$6:C$293,2,FALSE),_xlfn.TEXTAFTER(VLOOKUP($F280,Declarations!B$6:C$293,2,FALSE)," "))))</f>
        <v/>
      </c>
      <c r="D280" s="122" t="str">
        <f>IF(ISNA(VLOOKUP($F280,Declarations!$B$6:$F$293,5,FALSE)),"",IF(VLOOKUP($F280,Declarations!$B$6:$F$293,5,FALSE)="","NOT DECLARED",VLOOKUP($F280,Declarations!$B$6:$F$293,5,FALSE)))</f>
        <v/>
      </c>
      <c r="E280" s="120" t="str">
        <f>IF(ISNA(VLOOKUP($F280,Declarations!$B$6:$D$293,3,FALSE)),"",IF(VLOOKUP($F280,Declarations!$B$6:$D$293,3,FALSE)="","NOT DECLARED",VLOOKUP($F280,Declarations!$B$6:$D$293,3,FALSE)&amp;LEFT(VLOOKUP($F280,Declarations!$B$6:$E$293,4,FALSE))))</f>
        <v/>
      </c>
      <c r="F280" s="59"/>
      <c r="G280" s="130"/>
      <c r="H280" s="130"/>
      <c r="I280" s="122" t="str">
        <f>IF(ISNA(VLOOKUP(F280,Declarations!B$6:C$293,2,FALSE)),"",IF(VLOOKUP(F280,Declarations!B$6:C$293,2,FALSE)="","NOT DECLARED",VLOOKUP(F280,Declarations!B$6:C$293,2,FALSE)))</f>
        <v/>
      </c>
      <c r="J280" s="120">
        <f>IF(LOWER(G280)="dnf",1,IF(G280&lt;ScoringTable!B$3,ScoringTable!I$2,VLOOKUP((1000-G280),ScoringTable!G$2:I$95,3)))</f>
        <v>0</v>
      </c>
      <c r="K280" s="120" t="str" cm="1">
        <f t="array" ref="K280">IF(OR(E280="",G280=""),"",_xlfn.IFS(E280="U10B",_xlfn.XLOOKUP(G280,Data!$D$2:$L$2,Data!$D$1:$L$1,"",1,1),E280="U12B",_xlfn.XLOOKUP(G280,Data!$D$8:$L$8,Data!$D$1:$L$1,"",1,1),E280="U10G",_xlfn.XLOOKUP(G280,Data!$D$15:$L$15,Data!$D$1:$L$1,"",1,1),E280="U12G",_xlfn.XLOOKUP(G280,Data!$D$21:$L$21,Data!$D$1:$L$1,"",1,1)))</f>
        <v/>
      </c>
      <c r="L280" s="184" t="str" cm="1">
        <f t="array" ref="L280">IFERROR(_xlfn.IFNA(
                      _xlfn.IFS(
                      G280="", "",
                      AND(E280="U10B",G280&lt;=Data!$M$2), "U10 Boys record",
                      AND(E280="U12B",G280&lt;=Data!$M$8), "U12 Boys record",
                      AND(E280="U10G",G280&lt;=Data!$M$15), "U10 Girls record",
                      AND(E280="U12G",G280&lt;=Data!$M$21), "U12 Girls record"
                       ),""), "")</f>
        <v/>
      </c>
      <c r="M280" s="19" cm="1">
        <f t="array" ref="M280">_xlfn.IFS($G280="",0, AND(NOT(ISNUMBER($G280)),LOWER($G280)&lt;&gt;"dnf"),"Not a valid time",OR(LOWER($G280)="dnf",$G280&gt;ScoringTable!$M$161),1,RIGHT($E280,1)="B",_xlfn.XLOOKUP($G280,ScoringTable!$M$2:$M$161,ScoringTable!$L$2:$L$161,,1),TRUE,_xlfn.XLOOKUP($G280,ScoringTable!$S$2:$S$161,ScoringTable!$R$2:$R$161,,1))</f>
        <v>0</v>
      </c>
    </row>
    <row r="281" spans="1:13" s="7" customFormat="1" ht="16" customHeight="1">
      <c r="A281" s="280" t="s">
        <v>2</v>
      </c>
      <c r="B281" s="122" t="str">
        <f>IF(ISNA(VLOOKUP($F281,Declarations!B$6:C$293,2,FALSE)),"",IF(VLOOKUP($F281,Declarations!B$6:C$293,2,FALSE)="","NOT DECLARED",IF(ISNA(_xlfn.TEXTBEFORE(VLOOKUP($F281,Declarations!B$6:C$293,2,FALSE)," ")),VLOOKUP($F281,Declarations!B$6:C$293,2,FALSE),_xlfn.TEXTBEFORE(VLOOKUP($F281,Declarations!B$6:C$293,2,FALSE)," "))))</f>
        <v/>
      </c>
      <c r="C281" s="122" t="str">
        <f>IF(ISNA(VLOOKUP($F281,Declarations!B$6:C$293,2,FALSE)),"",IF(VLOOKUP($F281,Declarations!B$6:C$293,2,FALSE)="","NOT DECLARED",IF(ISNA(_xlfn.TEXTAFTER(VLOOKUP($F281,Declarations!B$6:C$293,2,FALSE)," ")),VLOOKUP($F281,Declarations!B$6:C$293,2,FALSE),_xlfn.TEXTAFTER(VLOOKUP($F281,Declarations!B$6:C$293,2,FALSE)," "))))</f>
        <v/>
      </c>
      <c r="D281" s="122" t="str">
        <f>IF(ISNA(VLOOKUP($F281,Declarations!$B$6:$F$293,5,FALSE)),"",IF(VLOOKUP($F281,Declarations!$B$6:$F$293,5,FALSE)="","NOT DECLARED",VLOOKUP($F281,Declarations!$B$6:$F$293,5,FALSE)))</f>
        <v/>
      </c>
      <c r="E281" s="120" t="str">
        <f>IF(ISNA(VLOOKUP($F281,Declarations!$B$6:$D$293,3,FALSE)),"",IF(VLOOKUP($F281,Declarations!$B$6:$D$293,3,FALSE)="","NOT DECLARED",VLOOKUP($F281,Declarations!$B$6:$D$293,3,FALSE)&amp;LEFT(VLOOKUP($F281,Declarations!$B$6:$E$293,4,FALSE))))</f>
        <v/>
      </c>
      <c r="F281" s="59"/>
      <c r="G281" s="130"/>
      <c r="H281" s="130"/>
      <c r="I281" s="122" t="str">
        <f>IF(ISNA(VLOOKUP(F281,Declarations!B$6:C$293,2,FALSE)),"",IF(VLOOKUP(F281,Declarations!B$6:C$293,2,FALSE)="","NOT DECLARED",VLOOKUP(F281,Declarations!B$6:C$293,2,FALSE)))</f>
        <v/>
      </c>
      <c r="J281" s="120">
        <f>IF(LOWER(G281)="dnf",1,IF(G281&lt;ScoringTable!B$3,ScoringTable!I$2,VLOOKUP((1000-G281),ScoringTable!G$2:I$95,3)))</f>
        <v>0</v>
      </c>
      <c r="K281" s="120" t="str" cm="1">
        <f t="array" ref="K281">IF(OR(E281="",G281=""),"",_xlfn.IFS(E281="U10B",_xlfn.XLOOKUP(G281,Data!$D$2:$L$2,Data!$D$1:$L$1,"",1,1),E281="U12B",_xlfn.XLOOKUP(G281,Data!$D$8:$L$8,Data!$D$1:$L$1,"",1,1),E281="U10G",_xlfn.XLOOKUP(G281,Data!$D$15:$L$15,Data!$D$1:$L$1,"",1,1),E281="U12G",_xlfn.XLOOKUP(G281,Data!$D$21:$L$21,Data!$D$1:$L$1,"",1,1)))</f>
        <v/>
      </c>
      <c r="L281" s="184" t="str" cm="1">
        <f t="array" ref="L281">IFERROR(_xlfn.IFNA(
                      _xlfn.IFS(
                      G281="", "",
                      AND(E281="U10B",G281&lt;=Data!$M$2), "U10 Boys record",
                      AND(E281="U12B",G281&lt;=Data!$M$8), "U12 Boys record",
                      AND(E281="U10G",G281&lt;=Data!$M$15), "U10 Girls record",
                      AND(E281="U12G",G281&lt;=Data!$M$21), "U12 Girls record"
                       ),""), "")</f>
        <v/>
      </c>
      <c r="M281" s="19" cm="1">
        <f t="array" ref="M281">_xlfn.IFS($G281="",0, AND(NOT(ISNUMBER($G281)),LOWER($G281)&lt;&gt;"dnf"),"Not a valid time",OR(LOWER($G281)="dnf",$G281&gt;ScoringTable!$M$161),1,RIGHT($E281,1)="B",_xlfn.XLOOKUP($G281,ScoringTable!$M$2:$M$161,ScoringTable!$L$2:$L$161,,1),TRUE,_xlfn.XLOOKUP($G281,ScoringTable!$S$2:$S$161,ScoringTable!$R$2:$R$161,,1))</f>
        <v>0</v>
      </c>
    </row>
    <row r="282" spans="1:13" s="7" customFormat="1" ht="16" customHeight="1">
      <c r="A282" s="280" t="s">
        <v>2</v>
      </c>
      <c r="B282" s="122" t="str">
        <f>IF(ISNA(VLOOKUP($F282,Declarations!B$6:C$293,2,FALSE)),"",IF(VLOOKUP($F282,Declarations!B$6:C$293,2,FALSE)="","NOT DECLARED",IF(ISNA(_xlfn.TEXTBEFORE(VLOOKUP($F282,Declarations!B$6:C$293,2,FALSE)," ")),VLOOKUP($F282,Declarations!B$6:C$293,2,FALSE),_xlfn.TEXTBEFORE(VLOOKUP($F282,Declarations!B$6:C$293,2,FALSE)," "))))</f>
        <v/>
      </c>
      <c r="C282" s="122" t="str">
        <f>IF(ISNA(VLOOKUP($F282,Declarations!B$6:C$293,2,FALSE)),"",IF(VLOOKUP($F282,Declarations!B$6:C$293,2,FALSE)="","NOT DECLARED",IF(ISNA(_xlfn.TEXTAFTER(VLOOKUP($F282,Declarations!B$6:C$293,2,FALSE)," ")),VLOOKUP($F282,Declarations!B$6:C$293,2,FALSE),_xlfn.TEXTAFTER(VLOOKUP($F282,Declarations!B$6:C$293,2,FALSE)," "))))</f>
        <v/>
      </c>
      <c r="D282" s="122" t="str">
        <f>IF(ISNA(VLOOKUP($F282,Declarations!$B$6:$F$293,5,FALSE)),"",IF(VLOOKUP($F282,Declarations!$B$6:$F$293,5,FALSE)="","NOT DECLARED",VLOOKUP($F282,Declarations!$B$6:$F$293,5,FALSE)))</f>
        <v/>
      </c>
      <c r="E282" s="120" t="str">
        <f>IF(ISNA(VLOOKUP($F282,Declarations!$B$6:$D$293,3,FALSE)),"",IF(VLOOKUP($F282,Declarations!$B$6:$D$293,3,FALSE)="","NOT DECLARED",VLOOKUP($F282,Declarations!$B$6:$D$293,3,FALSE)&amp;LEFT(VLOOKUP($F282,Declarations!$B$6:$E$293,4,FALSE))))</f>
        <v/>
      </c>
      <c r="F282" s="59"/>
      <c r="G282" s="130"/>
      <c r="H282" s="130"/>
      <c r="I282" s="122" t="str">
        <f>IF(ISNA(VLOOKUP(F282,Declarations!B$6:C$293,2,FALSE)),"",IF(VLOOKUP(F282,Declarations!B$6:C$293,2,FALSE)="","NOT DECLARED",VLOOKUP(F282,Declarations!B$6:C$293,2,FALSE)))</f>
        <v/>
      </c>
      <c r="J282" s="120">
        <f>IF(LOWER(G282)="dnf",1,IF(G282&lt;ScoringTable!B$3,ScoringTable!I$2,VLOOKUP((1000-G282),ScoringTable!G$2:I$95,3)))</f>
        <v>0</v>
      </c>
      <c r="K282" s="120" t="str" cm="1">
        <f t="array" ref="K282">IF(OR(E282="",G282=""),"",_xlfn.IFS(E282="U10B",_xlfn.XLOOKUP(G282,Data!$D$2:$L$2,Data!$D$1:$L$1,"",1,1),E282="U12B",_xlfn.XLOOKUP(G282,Data!$D$8:$L$8,Data!$D$1:$L$1,"",1,1),E282="U10G",_xlfn.XLOOKUP(G282,Data!$D$15:$L$15,Data!$D$1:$L$1,"",1,1),E282="U12G",_xlfn.XLOOKUP(G282,Data!$D$21:$L$21,Data!$D$1:$L$1,"",1,1)))</f>
        <v/>
      </c>
      <c r="L282" s="184" t="str" cm="1">
        <f t="array" ref="L282">IFERROR(_xlfn.IFNA(
                      _xlfn.IFS(
                      G282="", "",
                      AND(E282="U10B",G282&lt;=Data!$M$2), "U10 Boys record",
                      AND(E282="U12B",G282&lt;=Data!$M$8), "U12 Boys record",
                      AND(E282="U10G",G282&lt;=Data!$M$15), "U10 Girls record",
                      AND(E282="U12G",G282&lt;=Data!$M$21), "U12 Girls record"
                       ),""), "")</f>
        <v/>
      </c>
      <c r="M282" s="19" cm="1">
        <f t="array" ref="M282">_xlfn.IFS($G282="",0, AND(NOT(ISNUMBER($G282)),LOWER($G282)&lt;&gt;"dnf"),"Not a valid time",OR(LOWER($G282)="dnf",$G282&gt;ScoringTable!$M$161),1,RIGHT($E282,1)="B",_xlfn.XLOOKUP($G282,ScoringTable!$M$2:$M$161,ScoringTable!$L$2:$L$161,,1),TRUE,_xlfn.XLOOKUP($G282,ScoringTable!$S$2:$S$161,ScoringTable!$R$2:$R$161,,1))</f>
        <v>0</v>
      </c>
    </row>
    <row r="283" spans="1:13" s="7" customFormat="1" ht="16" customHeight="1">
      <c r="A283" s="280" t="s">
        <v>2</v>
      </c>
      <c r="B283" s="122" t="str">
        <f>IF(ISNA(VLOOKUP($F283,Declarations!B$6:C$293,2,FALSE)),"",IF(VLOOKUP($F283,Declarations!B$6:C$293,2,FALSE)="","NOT DECLARED",IF(ISNA(_xlfn.TEXTBEFORE(VLOOKUP($F283,Declarations!B$6:C$293,2,FALSE)," ")),VLOOKUP($F283,Declarations!B$6:C$293,2,FALSE),_xlfn.TEXTBEFORE(VLOOKUP($F283,Declarations!B$6:C$293,2,FALSE)," "))))</f>
        <v/>
      </c>
      <c r="C283" s="122" t="str">
        <f>IF(ISNA(VLOOKUP($F283,Declarations!B$6:C$293,2,FALSE)),"",IF(VLOOKUP($F283,Declarations!B$6:C$293,2,FALSE)="","NOT DECLARED",IF(ISNA(_xlfn.TEXTAFTER(VLOOKUP($F283,Declarations!B$6:C$293,2,FALSE)," ")),VLOOKUP($F283,Declarations!B$6:C$293,2,FALSE),_xlfn.TEXTAFTER(VLOOKUP($F283,Declarations!B$6:C$293,2,FALSE)," "))))</f>
        <v/>
      </c>
      <c r="D283" s="122" t="str">
        <f>IF(ISNA(VLOOKUP($F283,Declarations!$B$6:$F$293,5,FALSE)),"",IF(VLOOKUP($F283,Declarations!$B$6:$F$293,5,FALSE)="","NOT DECLARED",VLOOKUP($F283,Declarations!$B$6:$F$293,5,FALSE)))</f>
        <v/>
      </c>
      <c r="E283" s="120" t="str">
        <f>IF(ISNA(VLOOKUP($F283,Declarations!$B$6:$D$293,3,FALSE)),"",IF(VLOOKUP($F283,Declarations!$B$6:$D$293,3,FALSE)="","NOT DECLARED",VLOOKUP($F283,Declarations!$B$6:$D$293,3,FALSE)&amp;LEFT(VLOOKUP($F283,Declarations!$B$6:$E$293,4,FALSE))))</f>
        <v/>
      </c>
      <c r="F283" s="59"/>
      <c r="G283" s="130"/>
      <c r="H283" s="130"/>
      <c r="I283" s="122" t="str">
        <f>IF(ISNA(VLOOKUP(F283,Declarations!B$6:C$293,2,FALSE)),"",IF(VLOOKUP(F283,Declarations!B$6:C$293,2,FALSE)="","NOT DECLARED",VLOOKUP(F283,Declarations!B$6:C$293,2,FALSE)))</f>
        <v/>
      </c>
      <c r="J283" s="120">
        <f>IF(LOWER(G283)="dnf",1,IF(G283&lt;ScoringTable!B$3,ScoringTable!I$2,VLOOKUP((1000-G283),ScoringTable!G$2:I$95,3)))</f>
        <v>0</v>
      </c>
      <c r="K283" s="120" t="str" cm="1">
        <f t="array" ref="K283">IF(OR(E283="",G283=""),"",_xlfn.IFS(E283="U10B",_xlfn.XLOOKUP(G283,Data!$D$2:$L$2,Data!$D$1:$L$1,"",1,1),E283="U12B",_xlfn.XLOOKUP(G283,Data!$D$8:$L$8,Data!$D$1:$L$1,"",1,1),E283="U10G",_xlfn.XLOOKUP(G283,Data!$D$15:$L$15,Data!$D$1:$L$1,"",1,1),E283="U12G",_xlfn.XLOOKUP(G283,Data!$D$21:$L$21,Data!$D$1:$L$1,"",1,1)))</f>
        <v/>
      </c>
      <c r="L283" s="184" t="str" cm="1">
        <f t="array" ref="L283">IFERROR(_xlfn.IFNA(
                      _xlfn.IFS(
                      G283="", "",
                      AND(E283="U10B",G283&lt;=Data!$M$2), "U10 Boys record",
                      AND(E283="U12B",G283&lt;=Data!$M$8), "U12 Boys record",
                      AND(E283="U10G",G283&lt;=Data!$M$15), "U10 Girls record",
                      AND(E283="U12G",G283&lt;=Data!$M$21), "U12 Girls record"
                       ),""), "")</f>
        <v/>
      </c>
      <c r="M283" s="19" cm="1">
        <f t="array" ref="M283">_xlfn.IFS($G283="",0, AND(NOT(ISNUMBER($G283)),LOWER($G283)&lt;&gt;"dnf"),"Not a valid time",OR(LOWER($G283)="dnf",$G283&gt;ScoringTable!$M$161),1,RIGHT($E283,1)="B",_xlfn.XLOOKUP($G283,ScoringTable!$M$2:$M$161,ScoringTable!$L$2:$L$161,,1),TRUE,_xlfn.XLOOKUP($G283,ScoringTable!$S$2:$S$161,ScoringTable!$R$2:$R$161,,1))</f>
        <v>0</v>
      </c>
    </row>
    <row r="284" spans="1:13" s="7" customFormat="1" ht="16" customHeight="1">
      <c r="A284" s="280" t="s">
        <v>2</v>
      </c>
      <c r="B284" s="122" t="str">
        <f>IF(ISNA(VLOOKUP($F284,Declarations!B$6:C$293,2,FALSE)),"",IF(VLOOKUP($F284,Declarations!B$6:C$293,2,FALSE)="","NOT DECLARED",IF(ISNA(_xlfn.TEXTBEFORE(VLOOKUP($F284,Declarations!B$6:C$293,2,FALSE)," ")),VLOOKUP($F284,Declarations!B$6:C$293,2,FALSE),_xlfn.TEXTBEFORE(VLOOKUP($F284,Declarations!B$6:C$293,2,FALSE)," "))))</f>
        <v/>
      </c>
      <c r="C284" s="122" t="str">
        <f>IF(ISNA(VLOOKUP($F284,Declarations!B$6:C$293,2,FALSE)),"",IF(VLOOKUP($F284,Declarations!B$6:C$293,2,FALSE)="","NOT DECLARED",IF(ISNA(_xlfn.TEXTAFTER(VLOOKUP($F284,Declarations!B$6:C$293,2,FALSE)," ")),VLOOKUP($F284,Declarations!B$6:C$293,2,FALSE),_xlfn.TEXTAFTER(VLOOKUP($F284,Declarations!B$6:C$293,2,FALSE)," "))))</f>
        <v/>
      </c>
      <c r="D284" s="122" t="str">
        <f>IF(ISNA(VLOOKUP($F284,Declarations!$B$6:$F$293,5,FALSE)),"",IF(VLOOKUP($F284,Declarations!$B$6:$F$293,5,FALSE)="","NOT DECLARED",VLOOKUP($F284,Declarations!$B$6:$F$293,5,FALSE)))</f>
        <v/>
      </c>
      <c r="E284" s="120" t="str">
        <f>IF(ISNA(VLOOKUP($F284,Declarations!$B$6:$D$293,3,FALSE)),"",IF(VLOOKUP($F284,Declarations!$B$6:$D$293,3,FALSE)="","NOT DECLARED",VLOOKUP($F284,Declarations!$B$6:$D$293,3,FALSE)&amp;LEFT(VLOOKUP($F284,Declarations!$B$6:$E$293,4,FALSE))))</f>
        <v/>
      </c>
      <c r="F284" s="59"/>
      <c r="G284" s="130"/>
      <c r="H284" s="130"/>
      <c r="I284" s="122" t="str">
        <f>IF(ISNA(VLOOKUP(F284,Declarations!B$6:C$293,2,FALSE)),"",IF(VLOOKUP(F284,Declarations!B$6:C$293,2,FALSE)="","NOT DECLARED",VLOOKUP(F284,Declarations!B$6:C$293,2,FALSE)))</f>
        <v/>
      </c>
      <c r="J284" s="120">
        <f>IF(LOWER(G284)="dnf",1,IF(G284&lt;ScoringTable!B$3,ScoringTable!I$2,VLOOKUP((1000-G284),ScoringTable!G$2:I$95,3)))</f>
        <v>0</v>
      </c>
      <c r="K284" s="120" t="str" cm="1">
        <f t="array" ref="K284">IF(OR(E284="",G284=""),"",_xlfn.IFS(E284="U10B",_xlfn.XLOOKUP(G284,Data!$D$2:$L$2,Data!$D$1:$L$1,"",1,1),E284="U12B",_xlfn.XLOOKUP(G284,Data!$D$8:$L$8,Data!$D$1:$L$1,"",1,1),E284="U10G",_xlfn.XLOOKUP(G284,Data!$D$15:$L$15,Data!$D$1:$L$1,"",1,1),E284="U12G",_xlfn.XLOOKUP(G284,Data!$D$21:$L$21,Data!$D$1:$L$1,"",1,1)))</f>
        <v/>
      </c>
      <c r="L284" s="184" t="str" cm="1">
        <f t="array" ref="L284">IFERROR(_xlfn.IFNA(
                      _xlfn.IFS(
                      G284="", "",
                      AND(E284="U10B",G284&lt;=Data!$M$2), "U10 Boys record",
                      AND(E284="U12B",G284&lt;=Data!$M$8), "U12 Boys record",
                      AND(E284="U10G",G284&lt;=Data!$M$15), "U10 Girls record",
                      AND(E284="U12G",G284&lt;=Data!$M$21), "U12 Girls record"
                       ),""), "")</f>
        <v/>
      </c>
      <c r="M284" s="19" cm="1">
        <f t="array" ref="M284">_xlfn.IFS($G284="",0, AND(NOT(ISNUMBER($G284)),LOWER($G284)&lt;&gt;"dnf"),"Not a valid time",OR(LOWER($G284)="dnf",$G284&gt;ScoringTable!$M$161),1,RIGHT($E284,1)="B",_xlfn.XLOOKUP($G284,ScoringTable!$M$2:$M$161,ScoringTable!$L$2:$L$161,,1),TRUE,_xlfn.XLOOKUP($G284,ScoringTable!$S$2:$S$161,ScoringTable!$R$2:$R$161,,1))</f>
        <v>0</v>
      </c>
    </row>
    <row r="285" spans="1:13" s="7" customFormat="1" ht="16" customHeight="1">
      <c r="A285" s="280" t="s">
        <v>2</v>
      </c>
      <c r="B285" s="122" t="str">
        <f>IF(ISNA(VLOOKUP($F285,Declarations!B$6:C$293,2,FALSE)),"",IF(VLOOKUP($F285,Declarations!B$6:C$293,2,FALSE)="","NOT DECLARED",IF(ISNA(_xlfn.TEXTBEFORE(VLOOKUP($F285,Declarations!B$6:C$293,2,FALSE)," ")),VLOOKUP($F285,Declarations!B$6:C$293,2,FALSE),_xlfn.TEXTBEFORE(VLOOKUP($F285,Declarations!B$6:C$293,2,FALSE)," "))))</f>
        <v/>
      </c>
      <c r="C285" s="122" t="str">
        <f>IF(ISNA(VLOOKUP($F285,Declarations!B$6:C$293,2,FALSE)),"",IF(VLOOKUP($F285,Declarations!B$6:C$293,2,FALSE)="","NOT DECLARED",IF(ISNA(_xlfn.TEXTAFTER(VLOOKUP($F285,Declarations!B$6:C$293,2,FALSE)," ")),VLOOKUP($F285,Declarations!B$6:C$293,2,FALSE),_xlfn.TEXTAFTER(VLOOKUP($F285,Declarations!B$6:C$293,2,FALSE)," "))))</f>
        <v/>
      </c>
      <c r="D285" s="122" t="str">
        <f>IF(ISNA(VLOOKUP($F285,Declarations!$B$6:$F$293,5,FALSE)),"",IF(VLOOKUP($F285,Declarations!$B$6:$F$293,5,FALSE)="","NOT DECLARED",VLOOKUP($F285,Declarations!$B$6:$F$293,5,FALSE)))</f>
        <v/>
      </c>
      <c r="E285" s="120" t="str">
        <f>IF(ISNA(VLOOKUP($F285,Declarations!$B$6:$D$293,3,FALSE)),"",IF(VLOOKUP($F285,Declarations!$B$6:$D$293,3,FALSE)="","NOT DECLARED",VLOOKUP($F285,Declarations!$B$6:$D$293,3,FALSE)&amp;LEFT(VLOOKUP($F285,Declarations!$B$6:$E$293,4,FALSE))))</f>
        <v/>
      </c>
      <c r="F285" s="59"/>
      <c r="G285" s="130"/>
      <c r="H285" s="130"/>
      <c r="I285" s="122" t="str">
        <f>IF(ISNA(VLOOKUP(F285,Declarations!B$6:C$293,2,FALSE)),"",IF(VLOOKUP(F285,Declarations!B$6:C$293,2,FALSE)="","NOT DECLARED",VLOOKUP(F285,Declarations!B$6:C$293,2,FALSE)))</f>
        <v/>
      </c>
      <c r="J285" s="120">
        <f>IF(LOWER(G285)="dnf",1,IF(G285&lt;ScoringTable!B$3,ScoringTable!I$2,VLOOKUP((1000-G285),ScoringTable!G$2:I$95,3)))</f>
        <v>0</v>
      </c>
      <c r="K285" s="120" t="str" cm="1">
        <f t="array" ref="K285">IF(OR(E285="",G285=""),"",_xlfn.IFS(E285="U10B",_xlfn.XLOOKUP(G285,Data!$D$2:$L$2,Data!$D$1:$L$1,"",1,1),E285="U12B",_xlfn.XLOOKUP(G285,Data!$D$8:$L$8,Data!$D$1:$L$1,"",1,1),E285="U10G",_xlfn.XLOOKUP(G285,Data!$D$15:$L$15,Data!$D$1:$L$1,"",1,1),E285="U12G",_xlfn.XLOOKUP(G285,Data!$D$21:$L$21,Data!$D$1:$L$1,"",1,1)))</f>
        <v/>
      </c>
      <c r="L285" s="184" t="str" cm="1">
        <f t="array" ref="L285">IFERROR(_xlfn.IFNA(
                      _xlfn.IFS(
                      G285="", "",
                      AND(E285="U10B",G285&lt;=Data!$M$2), "U10 Boys record",
                      AND(E285="U12B",G285&lt;=Data!$M$8), "U12 Boys record",
                      AND(E285="U10G",G285&lt;=Data!$M$15), "U10 Girls record",
                      AND(E285="U12G",G285&lt;=Data!$M$21), "U12 Girls record"
                       ),""), "")</f>
        <v/>
      </c>
      <c r="M285" s="19" cm="1">
        <f t="array" ref="M285">_xlfn.IFS($G285="",0, AND(NOT(ISNUMBER($G285)),LOWER($G285)&lt;&gt;"dnf"),"Not a valid time",OR(LOWER($G285)="dnf",$G285&gt;ScoringTable!$M$161),1,RIGHT($E285,1)="B",_xlfn.XLOOKUP($G285,ScoringTable!$M$2:$M$161,ScoringTable!$L$2:$L$161,,1),TRUE,_xlfn.XLOOKUP($G285,ScoringTable!$S$2:$S$161,ScoringTable!$R$2:$R$161,,1))</f>
        <v>0</v>
      </c>
    </row>
    <row r="286" spans="1:13" s="7" customFormat="1" ht="16" customHeight="1">
      <c r="A286" s="280" t="s">
        <v>2</v>
      </c>
      <c r="B286" s="122" t="str">
        <f>IF(ISNA(VLOOKUP($F286,Declarations!B$6:C$293,2,FALSE)),"",IF(VLOOKUP($F286,Declarations!B$6:C$293,2,FALSE)="","NOT DECLARED",IF(ISNA(_xlfn.TEXTBEFORE(VLOOKUP($F286,Declarations!B$6:C$293,2,FALSE)," ")),VLOOKUP($F286,Declarations!B$6:C$293,2,FALSE),_xlfn.TEXTBEFORE(VLOOKUP($F286,Declarations!B$6:C$293,2,FALSE)," "))))</f>
        <v/>
      </c>
      <c r="C286" s="122" t="str">
        <f>IF(ISNA(VLOOKUP($F286,Declarations!B$6:C$293,2,FALSE)),"",IF(VLOOKUP($F286,Declarations!B$6:C$293,2,FALSE)="","NOT DECLARED",IF(ISNA(_xlfn.TEXTAFTER(VLOOKUP($F286,Declarations!B$6:C$293,2,FALSE)," ")),VLOOKUP($F286,Declarations!B$6:C$293,2,FALSE),_xlfn.TEXTAFTER(VLOOKUP($F286,Declarations!B$6:C$293,2,FALSE)," "))))</f>
        <v/>
      </c>
      <c r="D286" s="122" t="str">
        <f>IF(ISNA(VLOOKUP($F286,Declarations!$B$6:$F$293,5,FALSE)),"",IF(VLOOKUP($F286,Declarations!$B$6:$F$293,5,FALSE)="","NOT DECLARED",VLOOKUP($F286,Declarations!$B$6:$F$293,5,FALSE)))</f>
        <v/>
      </c>
      <c r="E286" s="120" t="str">
        <f>IF(ISNA(VLOOKUP($F286,Declarations!$B$6:$D$293,3,FALSE)),"",IF(VLOOKUP($F286,Declarations!$B$6:$D$293,3,FALSE)="","NOT DECLARED",VLOOKUP($F286,Declarations!$B$6:$D$293,3,FALSE)&amp;LEFT(VLOOKUP($F286,Declarations!$B$6:$E$293,4,FALSE))))</f>
        <v/>
      </c>
      <c r="F286" s="59"/>
      <c r="G286" s="130"/>
      <c r="H286" s="130"/>
      <c r="I286" s="122" t="str">
        <f>IF(ISNA(VLOOKUP(F286,Declarations!B$6:C$293,2,FALSE)),"",IF(VLOOKUP(F286,Declarations!B$6:C$293,2,FALSE)="","NOT DECLARED",VLOOKUP(F286,Declarations!B$6:C$293,2,FALSE)))</f>
        <v/>
      </c>
      <c r="J286" s="120">
        <f>IF(LOWER(G286)="dnf",1,IF(G286&lt;ScoringTable!B$3,ScoringTable!I$2,VLOOKUP((1000-G286),ScoringTable!G$2:I$95,3)))</f>
        <v>0</v>
      </c>
      <c r="K286" s="120" t="str" cm="1">
        <f t="array" ref="K286">IF(OR(E286="",G286=""),"",_xlfn.IFS(E286="U10B",_xlfn.XLOOKUP(G286,Data!$D$2:$L$2,Data!$D$1:$L$1,"",1,1),E286="U12B",_xlfn.XLOOKUP(G286,Data!$D$8:$L$8,Data!$D$1:$L$1,"",1,1),E286="U10G",_xlfn.XLOOKUP(G286,Data!$D$15:$L$15,Data!$D$1:$L$1,"",1,1),E286="U12G",_xlfn.XLOOKUP(G286,Data!$D$21:$L$21,Data!$D$1:$L$1,"",1,1)))</f>
        <v/>
      </c>
      <c r="L286" s="184" t="str" cm="1">
        <f t="array" ref="L286">IFERROR(_xlfn.IFNA(
                      _xlfn.IFS(
                      G286="", "",
                      AND(E286="U10B",G286&lt;=Data!$M$2), "U10 Boys record",
                      AND(E286="U12B",G286&lt;=Data!$M$8), "U12 Boys record",
                      AND(E286="U10G",G286&lt;=Data!$M$15), "U10 Girls record",
                      AND(E286="U12G",G286&lt;=Data!$M$21), "U12 Girls record"
                       ),""), "")</f>
        <v/>
      </c>
      <c r="M286" s="19" cm="1">
        <f t="array" ref="M286">_xlfn.IFS($G286="",0, AND(NOT(ISNUMBER($G286)),LOWER($G286)&lt;&gt;"dnf"),"Not a valid time",OR(LOWER($G286)="dnf",$G286&gt;ScoringTable!$M$161),1,RIGHT($E286,1)="B",_xlfn.XLOOKUP($G286,ScoringTable!$M$2:$M$161,ScoringTable!$L$2:$L$161,,1),TRUE,_xlfn.XLOOKUP($G286,ScoringTable!$S$2:$S$161,ScoringTable!$R$2:$R$161,,1))</f>
        <v>0</v>
      </c>
    </row>
    <row r="287" spans="1:13" s="7" customFormat="1" ht="16" customHeight="1">
      <c r="A287" s="280" t="s">
        <v>2</v>
      </c>
      <c r="B287" s="122" t="str">
        <f>IF(ISNA(VLOOKUP($F287,Declarations!B$6:C$293,2,FALSE)),"",IF(VLOOKUP($F287,Declarations!B$6:C$293,2,FALSE)="","NOT DECLARED",IF(ISNA(_xlfn.TEXTBEFORE(VLOOKUP($F287,Declarations!B$6:C$293,2,FALSE)," ")),VLOOKUP($F287,Declarations!B$6:C$293,2,FALSE),_xlfn.TEXTBEFORE(VLOOKUP($F287,Declarations!B$6:C$293,2,FALSE)," "))))</f>
        <v/>
      </c>
      <c r="C287" s="122" t="str">
        <f>IF(ISNA(VLOOKUP($F287,Declarations!B$6:C$293,2,FALSE)),"",IF(VLOOKUP($F287,Declarations!B$6:C$293,2,FALSE)="","NOT DECLARED",IF(ISNA(_xlfn.TEXTAFTER(VLOOKUP($F287,Declarations!B$6:C$293,2,FALSE)," ")),VLOOKUP($F287,Declarations!B$6:C$293,2,FALSE),_xlfn.TEXTAFTER(VLOOKUP($F287,Declarations!B$6:C$293,2,FALSE)," "))))</f>
        <v/>
      </c>
      <c r="D287" s="122" t="str">
        <f>IF(ISNA(VLOOKUP($F287,Declarations!$B$6:$F$293,5,FALSE)),"",IF(VLOOKUP($F287,Declarations!$B$6:$F$293,5,FALSE)="","NOT DECLARED",VLOOKUP($F287,Declarations!$B$6:$F$293,5,FALSE)))</f>
        <v/>
      </c>
      <c r="E287" s="120" t="str">
        <f>IF(ISNA(VLOOKUP($F287,Declarations!$B$6:$D$293,3,FALSE)),"",IF(VLOOKUP($F287,Declarations!$B$6:$D$293,3,FALSE)="","NOT DECLARED",VLOOKUP($F287,Declarations!$B$6:$D$293,3,FALSE)&amp;LEFT(VLOOKUP($F287,Declarations!$B$6:$E$293,4,FALSE))))</f>
        <v/>
      </c>
      <c r="F287" s="59"/>
      <c r="G287" s="130"/>
      <c r="H287" s="130"/>
      <c r="I287" s="122" t="str">
        <f>IF(ISNA(VLOOKUP(F287,Declarations!B$6:C$293,2,FALSE)),"",IF(VLOOKUP(F287,Declarations!B$6:C$293,2,FALSE)="","NOT DECLARED",VLOOKUP(F287,Declarations!B$6:C$293,2,FALSE)))</f>
        <v/>
      </c>
      <c r="J287" s="120">
        <f>IF(LOWER(G287)="dnf",1,IF(G287&lt;ScoringTable!B$3,ScoringTable!I$2,VLOOKUP((1000-G287),ScoringTable!G$2:I$95,3)))</f>
        <v>0</v>
      </c>
      <c r="K287" s="120" t="str" cm="1">
        <f t="array" ref="K287">IF(OR(E287="",G287=""),"",_xlfn.IFS(E287="U10B",_xlfn.XLOOKUP(G287,Data!$D$2:$L$2,Data!$D$1:$L$1,"",1,1),E287="U12B",_xlfn.XLOOKUP(G287,Data!$D$8:$L$8,Data!$D$1:$L$1,"",1,1),E287="U10G",_xlfn.XLOOKUP(G287,Data!$D$15:$L$15,Data!$D$1:$L$1,"",1,1),E287="U12G",_xlfn.XLOOKUP(G287,Data!$D$21:$L$21,Data!$D$1:$L$1,"",1,1)))</f>
        <v/>
      </c>
      <c r="L287" s="184" t="str" cm="1">
        <f t="array" ref="L287">IFERROR(_xlfn.IFNA(
                      _xlfn.IFS(
                      G287="", "",
                      AND(E287="U10B",G287&lt;=Data!$M$2), "U10 Boys record",
                      AND(E287="U12B",G287&lt;=Data!$M$8), "U12 Boys record",
                      AND(E287="U10G",G287&lt;=Data!$M$15), "U10 Girls record",
                      AND(E287="U12G",G287&lt;=Data!$M$21), "U12 Girls record"
                       ),""), "")</f>
        <v/>
      </c>
      <c r="M287" s="19" cm="1">
        <f t="array" ref="M287">_xlfn.IFS($G287="",0, AND(NOT(ISNUMBER($G287)),LOWER($G287)&lt;&gt;"dnf"),"Not a valid time",OR(LOWER($G287)="dnf",$G287&gt;ScoringTable!$M$161),1,RIGHT($E287,1)="B",_xlfn.XLOOKUP($G287,ScoringTable!$M$2:$M$161,ScoringTable!$L$2:$L$161,,1),TRUE,_xlfn.XLOOKUP($G287,ScoringTable!$S$2:$S$161,ScoringTable!$R$2:$R$161,,1))</f>
        <v>0</v>
      </c>
    </row>
    <row r="288" spans="1:13" s="7" customFormat="1" ht="16" customHeight="1">
      <c r="A288" s="280" t="s">
        <v>2</v>
      </c>
      <c r="B288" s="122" t="str">
        <f>IF(ISNA(VLOOKUP($F288,Declarations!B$6:C$293,2,FALSE)),"",IF(VLOOKUP($F288,Declarations!B$6:C$293,2,FALSE)="","NOT DECLARED",IF(ISNA(_xlfn.TEXTBEFORE(VLOOKUP($F288,Declarations!B$6:C$293,2,FALSE)," ")),VLOOKUP($F288,Declarations!B$6:C$293,2,FALSE),_xlfn.TEXTBEFORE(VLOOKUP($F288,Declarations!B$6:C$293,2,FALSE)," "))))</f>
        <v/>
      </c>
      <c r="C288" s="122" t="str">
        <f>IF(ISNA(VLOOKUP($F288,Declarations!B$6:C$293,2,FALSE)),"",IF(VLOOKUP($F288,Declarations!B$6:C$293,2,FALSE)="","NOT DECLARED",IF(ISNA(_xlfn.TEXTAFTER(VLOOKUP($F288,Declarations!B$6:C$293,2,FALSE)," ")),VLOOKUP($F288,Declarations!B$6:C$293,2,FALSE),_xlfn.TEXTAFTER(VLOOKUP($F288,Declarations!B$6:C$293,2,FALSE)," "))))</f>
        <v/>
      </c>
      <c r="D288" s="122" t="str">
        <f>IF(ISNA(VLOOKUP($F288,Declarations!$B$6:$F$293,5,FALSE)),"",IF(VLOOKUP($F288,Declarations!$B$6:$F$293,5,FALSE)="","NOT DECLARED",VLOOKUP($F288,Declarations!$B$6:$F$293,5,FALSE)))</f>
        <v/>
      </c>
      <c r="E288" s="120" t="str">
        <f>IF(ISNA(VLOOKUP($F288,Declarations!$B$6:$D$293,3,FALSE)),"",IF(VLOOKUP($F288,Declarations!$B$6:$D$293,3,FALSE)="","NOT DECLARED",VLOOKUP($F288,Declarations!$B$6:$D$293,3,FALSE)&amp;LEFT(VLOOKUP($F288,Declarations!$B$6:$E$293,4,FALSE))))</f>
        <v/>
      </c>
      <c r="F288" s="59"/>
      <c r="G288" s="130"/>
      <c r="H288" s="130"/>
      <c r="I288" s="122" t="str">
        <f>IF(ISNA(VLOOKUP(F288,Declarations!B$6:C$293,2,FALSE)),"",IF(VLOOKUP(F288,Declarations!B$6:C$293,2,FALSE)="","NOT DECLARED",VLOOKUP(F288,Declarations!B$6:C$293,2,FALSE)))</f>
        <v/>
      </c>
      <c r="J288" s="120">
        <f>IF(LOWER(G288)="dnf",1,IF(G288&lt;ScoringTable!B$3,ScoringTable!I$2,VLOOKUP((1000-G288),ScoringTable!G$2:I$95,3)))</f>
        <v>0</v>
      </c>
      <c r="K288" s="120" t="str" cm="1">
        <f t="array" ref="K288">IF(OR(E288="",G288=""),"",_xlfn.IFS(E288="U10B",_xlfn.XLOOKUP(G288,Data!$D$2:$L$2,Data!$D$1:$L$1,"",1,1),E288="U12B",_xlfn.XLOOKUP(G288,Data!$D$8:$L$8,Data!$D$1:$L$1,"",1,1),E288="U10G",_xlfn.XLOOKUP(G288,Data!$D$15:$L$15,Data!$D$1:$L$1,"",1,1),E288="U12G",_xlfn.XLOOKUP(G288,Data!$D$21:$L$21,Data!$D$1:$L$1,"",1,1)))</f>
        <v/>
      </c>
      <c r="L288" s="184" t="str" cm="1">
        <f t="array" ref="L288">IFERROR(_xlfn.IFNA(
                      _xlfn.IFS(
                      G288="", "",
                      AND(E288="U10B",G288&lt;=Data!$M$2), "U10 Boys record",
                      AND(E288="U12B",G288&lt;=Data!$M$8), "U12 Boys record",
                      AND(E288="U10G",G288&lt;=Data!$M$15), "U10 Girls record",
                      AND(E288="U12G",G288&lt;=Data!$M$21), "U12 Girls record"
                       ),""), "")</f>
        <v/>
      </c>
      <c r="M288" s="19" cm="1">
        <f t="array" ref="M288">_xlfn.IFS($G288="",0, AND(NOT(ISNUMBER($G288)),LOWER($G288)&lt;&gt;"dnf"),"Not a valid time",OR(LOWER($G288)="dnf",$G288&gt;ScoringTable!$M$161),1,RIGHT($E288,1)="B",_xlfn.XLOOKUP($G288,ScoringTable!$M$2:$M$161,ScoringTable!$L$2:$L$161,,1),TRUE,_xlfn.XLOOKUP($G288,ScoringTable!$S$2:$S$161,ScoringTable!$R$2:$R$161,,1))</f>
        <v>0</v>
      </c>
    </row>
    <row r="289" spans="1:13" s="7" customFormat="1" ht="16" customHeight="1">
      <c r="A289" s="280" t="s">
        <v>2</v>
      </c>
      <c r="B289" s="122" t="str">
        <f>IF(ISNA(VLOOKUP($F289,Declarations!B$6:C$293,2,FALSE)),"",IF(VLOOKUP($F289,Declarations!B$6:C$293,2,FALSE)="","NOT DECLARED",IF(ISNA(_xlfn.TEXTBEFORE(VLOOKUP($F289,Declarations!B$6:C$293,2,FALSE)," ")),VLOOKUP($F289,Declarations!B$6:C$293,2,FALSE),_xlfn.TEXTBEFORE(VLOOKUP($F289,Declarations!B$6:C$293,2,FALSE)," "))))</f>
        <v/>
      </c>
      <c r="C289" s="122" t="str">
        <f>IF(ISNA(VLOOKUP($F289,Declarations!B$6:C$293,2,FALSE)),"",IF(VLOOKUP($F289,Declarations!B$6:C$293,2,FALSE)="","NOT DECLARED",IF(ISNA(_xlfn.TEXTAFTER(VLOOKUP($F289,Declarations!B$6:C$293,2,FALSE)," ")),VLOOKUP($F289,Declarations!B$6:C$293,2,FALSE),_xlfn.TEXTAFTER(VLOOKUP($F289,Declarations!B$6:C$293,2,FALSE)," "))))</f>
        <v/>
      </c>
      <c r="D289" s="122" t="str">
        <f>IF(ISNA(VLOOKUP($F289,Declarations!$B$6:$F$293,5,FALSE)),"",IF(VLOOKUP($F289,Declarations!$B$6:$F$293,5,FALSE)="","NOT DECLARED",VLOOKUP($F289,Declarations!$B$6:$F$293,5,FALSE)))</f>
        <v/>
      </c>
      <c r="E289" s="120" t="str">
        <f>IF(ISNA(VLOOKUP($F289,Declarations!$B$6:$D$293,3,FALSE)),"",IF(VLOOKUP($F289,Declarations!$B$6:$D$293,3,FALSE)="","NOT DECLARED",VLOOKUP($F289,Declarations!$B$6:$D$293,3,FALSE)&amp;LEFT(VLOOKUP($F289,Declarations!$B$6:$E$293,4,FALSE))))</f>
        <v/>
      </c>
      <c r="F289" s="59"/>
      <c r="G289" s="130"/>
      <c r="H289" s="130"/>
      <c r="I289" s="122" t="str">
        <f>IF(ISNA(VLOOKUP(F289,Declarations!B$6:C$293,2,FALSE)),"",IF(VLOOKUP(F289,Declarations!B$6:C$293,2,FALSE)="","NOT DECLARED",VLOOKUP(F289,Declarations!B$6:C$293,2,FALSE)))</f>
        <v/>
      </c>
      <c r="J289" s="120">
        <f>IF(LOWER(G289)="dnf",1,IF(G289&lt;ScoringTable!B$3,ScoringTable!I$2,VLOOKUP((1000-G289),ScoringTable!G$2:I$95,3)))</f>
        <v>0</v>
      </c>
      <c r="K289" s="120" t="str" cm="1">
        <f t="array" ref="K289">IF(OR(E289="",G289=""),"",_xlfn.IFS(E289="U10B",_xlfn.XLOOKUP(G289,Data!$D$2:$L$2,Data!$D$1:$L$1,"",1,1),E289="U12B",_xlfn.XLOOKUP(G289,Data!$D$8:$L$8,Data!$D$1:$L$1,"",1,1),E289="U10G",_xlfn.XLOOKUP(G289,Data!$D$15:$L$15,Data!$D$1:$L$1,"",1,1),E289="U12G",_xlfn.XLOOKUP(G289,Data!$D$21:$L$21,Data!$D$1:$L$1,"",1,1)))</f>
        <v/>
      </c>
      <c r="L289" s="184" t="str" cm="1">
        <f t="array" ref="L289">IFERROR(_xlfn.IFNA(
                      _xlfn.IFS(
                      G289="", "",
                      AND(E289="U10B",G289&lt;=Data!$M$2), "U10 Boys record",
                      AND(E289="U12B",G289&lt;=Data!$M$8), "U12 Boys record",
                      AND(E289="U10G",G289&lt;=Data!$M$15), "U10 Girls record",
                      AND(E289="U12G",G289&lt;=Data!$M$21), "U12 Girls record"
                       ),""), "")</f>
        <v/>
      </c>
      <c r="M289" s="19" cm="1">
        <f t="array" ref="M289">_xlfn.IFS($G289="",0, AND(NOT(ISNUMBER($G289)),LOWER($G289)&lt;&gt;"dnf"),"Not a valid time",OR(LOWER($G289)="dnf",$G289&gt;ScoringTable!$M$161),1,RIGHT($E289,1)="B",_xlfn.XLOOKUP($G289,ScoringTable!$M$2:$M$161,ScoringTable!$L$2:$L$161,,1),TRUE,_xlfn.XLOOKUP($G289,ScoringTable!$S$2:$S$161,ScoringTable!$R$2:$R$161,,1))</f>
        <v>0</v>
      </c>
    </row>
    <row r="290" spans="1:13" s="7" customFormat="1" ht="16" customHeight="1">
      <c r="A290" s="280" t="s">
        <v>2</v>
      </c>
      <c r="B290" s="122" t="str">
        <f>IF(ISNA(VLOOKUP($F290,Declarations!B$6:C$293,2,FALSE)),"",IF(VLOOKUP($F290,Declarations!B$6:C$293,2,FALSE)="","NOT DECLARED",IF(ISNA(_xlfn.TEXTBEFORE(VLOOKUP($F290,Declarations!B$6:C$293,2,FALSE)," ")),VLOOKUP($F290,Declarations!B$6:C$293,2,FALSE),_xlfn.TEXTBEFORE(VLOOKUP($F290,Declarations!B$6:C$293,2,FALSE)," "))))</f>
        <v/>
      </c>
      <c r="C290" s="122" t="str">
        <f>IF(ISNA(VLOOKUP($F290,Declarations!B$6:C$293,2,FALSE)),"",IF(VLOOKUP($F290,Declarations!B$6:C$293,2,FALSE)="","NOT DECLARED",IF(ISNA(_xlfn.TEXTAFTER(VLOOKUP($F290,Declarations!B$6:C$293,2,FALSE)," ")),VLOOKUP($F290,Declarations!B$6:C$293,2,FALSE),_xlfn.TEXTAFTER(VLOOKUP($F290,Declarations!B$6:C$293,2,FALSE)," "))))</f>
        <v/>
      </c>
      <c r="D290" s="122" t="str">
        <f>IF(ISNA(VLOOKUP($F290,Declarations!$B$6:$F$293,5,FALSE)),"",IF(VLOOKUP($F290,Declarations!$B$6:$F$293,5,FALSE)="","NOT DECLARED",VLOOKUP($F290,Declarations!$B$6:$F$293,5,FALSE)))</f>
        <v/>
      </c>
      <c r="E290" s="120" t="str">
        <f>IF(ISNA(VLOOKUP($F290,Declarations!$B$6:$D$293,3,FALSE)),"",IF(VLOOKUP($F290,Declarations!$B$6:$D$293,3,FALSE)="","NOT DECLARED",VLOOKUP($F290,Declarations!$B$6:$D$293,3,FALSE)&amp;LEFT(VLOOKUP($F290,Declarations!$B$6:$E$293,4,FALSE))))</f>
        <v/>
      </c>
      <c r="F290" s="59"/>
      <c r="G290" s="130"/>
      <c r="H290" s="130"/>
      <c r="I290" s="122" t="str">
        <f>IF(ISNA(VLOOKUP(F290,Declarations!B$6:C$293,2,FALSE)),"",IF(VLOOKUP(F290,Declarations!B$6:C$293,2,FALSE)="","NOT DECLARED",VLOOKUP(F290,Declarations!B$6:C$293,2,FALSE)))</f>
        <v/>
      </c>
      <c r="J290" s="120">
        <f>IF(LOWER(G290)="dnf",1,IF(G290&lt;ScoringTable!B$3,ScoringTable!I$2,VLOOKUP((1000-G290),ScoringTable!G$2:I$95,3)))</f>
        <v>0</v>
      </c>
      <c r="K290" s="120" t="str" cm="1">
        <f t="array" ref="K290">IF(OR(E290="",G290=""),"",_xlfn.IFS(E290="U10B",_xlfn.XLOOKUP(G290,Data!$D$2:$L$2,Data!$D$1:$L$1,"",1,1),E290="U12B",_xlfn.XLOOKUP(G290,Data!$D$8:$L$8,Data!$D$1:$L$1,"",1,1),E290="U10G",_xlfn.XLOOKUP(G290,Data!$D$15:$L$15,Data!$D$1:$L$1,"",1,1),E290="U12G",_xlfn.XLOOKUP(G290,Data!$D$21:$L$21,Data!$D$1:$L$1,"",1,1)))</f>
        <v/>
      </c>
      <c r="L290" s="184" t="str" cm="1">
        <f t="array" ref="L290">IFERROR(_xlfn.IFNA(
                      _xlfn.IFS(
                      G290="", "",
                      AND(E290="U10B",G290&lt;=Data!$M$2), "U10 Boys record",
                      AND(E290="U12B",G290&lt;=Data!$M$8), "U12 Boys record",
                      AND(E290="U10G",G290&lt;=Data!$M$15), "U10 Girls record",
                      AND(E290="U12G",G290&lt;=Data!$M$21), "U12 Girls record"
                       ),""), "")</f>
        <v/>
      </c>
      <c r="M290" s="19" cm="1">
        <f t="array" ref="M290">_xlfn.IFS($G290="",0, AND(NOT(ISNUMBER($G290)),LOWER($G290)&lt;&gt;"dnf"),"Not a valid time",OR(LOWER($G290)="dnf",$G290&gt;ScoringTable!$M$161),1,RIGHT($E290,1)="B",_xlfn.XLOOKUP($G290,ScoringTable!$M$2:$M$161,ScoringTable!$L$2:$L$161,,1),TRUE,_xlfn.XLOOKUP($G290,ScoringTable!$S$2:$S$161,ScoringTable!$R$2:$R$161,,1))</f>
        <v>0</v>
      </c>
    </row>
    <row r="291" spans="1:13" s="7" customFormat="1" ht="16" customHeight="1">
      <c r="A291" s="280" t="s">
        <v>2</v>
      </c>
      <c r="B291" s="122" t="str">
        <f>IF(ISNA(VLOOKUP($F291,Declarations!B$6:C$293,2,FALSE)),"",IF(VLOOKUP($F291,Declarations!B$6:C$293,2,FALSE)="","NOT DECLARED",IF(ISNA(_xlfn.TEXTBEFORE(VLOOKUP($F291,Declarations!B$6:C$293,2,FALSE)," ")),VLOOKUP($F291,Declarations!B$6:C$293,2,FALSE),_xlfn.TEXTBEFORE(VLOOKUP($F291,Declarations!B$6:C$293,2,FALSE)," "))))</f>
        <v/>
      </c>
      <c r="C291" s="122" t="str">
        <f>IF(ISNA(VLOOKUP($F291,Declarations!B$6:C$293,2,FALSE)),"",IF(VLOOKUP($F291,Declarations!B$6:C$293,2,FALSE)="","NOT DECLARED",IF(ISNA(_xlfn.TEXTAFTER(VLOOKUP($F291,Declarations!B$6:C$293,2,FALSE)," ")),VLOOKUP($F291,Declarations!B$6:C$293,2,FALSE),_xlfn.TEXTAFTER(VLOOKUP($F291,Declarations!B$6:C$293,2,FALSE)," "))))</f>
        <v/>
      </c>
      <c r="D291" s="122" t="str">
        <f>IF(ISNA(VLOOKUP($F291,Declarations!$B$6:$F$293,5,FALSE)),"",IF(VLOOKUP($F291,Declarations!$B$6:$F$293,5,FALSE)="","NOT DECLARED",VLOOKUP($F291,Declarations!$B$6:$F$293,5,FALSE)))</f>
        <v/>
      </c>
      <c r="E291" s="120" t="str">
        <f>IF(ISNA(VLOOKUP($F291,Declarations!$B$6:$D$293,3,FALSE)),"",IF(VLOOKUP($F291,Declarations!$B$6:$D$293,3,FALSE)="","NOT DECLARED",VLOOKUP($F291,Declarations!$B$6:$D$293,3,FALSE)&amp;LEFT(VLOOKUP($F291,Declarations!$B$6:$E$293,4,FALSE))))</f>
        <v/>
      </c>
      <c r="F291" s="59"/>
      <c r="G291" s="130"/>
      <c r="H291" s="130"/>
      <c r="I291" s="122" t="str">
        <f>IF(ISNA(VLOOKUP(F291,Declarations!B$6:C$293,2,FALSE)),"",IF(VLOOKUP(F291,Declarations!B$6:C$293,2,FALSE)="","NOT DECLARED",VLOOKUP(F291,Declarations!B$6:C$293,2,FALSE)))</f>
        <v/>
      </c>
      <c r="J291" s="120">
        <f>IF(LOWER(G291)="dnf",1,IF(G291&lt;ScoringTable!B$3,ScoringTable!I$2,VLOOKUP((1000-G291),ScoringTable!G$2:I$95,3)))</f>
        <v>0</v>
      </c>
      <c r="K291" s="120" t="str" cm="1">
        <f t="array" ref="K291">IF(OR(E291="",G291=""),"",_xlfn.IFS(E291="U10B",_xlfn.XLOOKUP(G291,Data!$D$2:$L$2,Data!$D$1:$L$1,"",1,1),E291="U12B",_xlfn.XLOOKUP(G291,Data!$D$8:$L$8,Data!$D$1:$L$1,"",1,1),E291="U10G",_xlfn.XLOOKUP(G291,Data!$D$15:$L$15,Data!$D$1:$L$1,"",1,1),E291="U12G",_xlfn.XLOOKUP(G291,Data!$D$21:$L$21,Data!$D$1:$L$1,"",1,1)))</f>
        <v/>
      </c>
      <c r="L291" s="184" t="str" cm="1">
        <f t="array" ref="L291">IFERROR(_xlfn.IFNA(
                      _xlfn.IFS(
                      G291="", "",
                      AND(E291="U10B",G291&lt;=Data!$M$2), "U10 Boys record",
                      AND(E291="U12B",G291&lt;=Data!$M$8), "U12 Boys record",
                      AND(E291="U10G",G291&lt;=Data!$M$15), "U10 Girls record",
                      AND(E291="U12G",G291&lt;=Data!$M$21), "U12 Girls record"
                       ),""), "")</f>
        <v/>
      </c>
      <c r="M291" s="19" cm="1">
        <f t="array" ref="M291">_xlfn.IFS($G291="",0, AND(NOT(ISNUMBER($G291)),LOWER($G291)&lt;&gt;"dnf"),"Not a valid time",OR(LOWER($G291)="dnf",$G291&gt;ScoringTable!$M$161),1,RIGHT($E291,1)="B",_xlfn.XLOOKUP($G291,ScoringTable!$M$2:$M$161,ScoringTable!$L$2:$L$161,,1),TRUE,_xlfn.XLOOKUP($G291,ScoringTable!$S$2:$S$161,ScoringTable!$R$2:$R$161,,1))</f>
        <v>0</v>
      </c>
    </row>
    <row r="292" spans="1:13" s="7" customFormat="1" ht="16" customHeight="1">
      <c r="A292" s="280" t="s">
        <v>2</v>
      </c>
      <c r="B292" s="122" t="str">
        <f>IF(ISNA(VLOOKUP($F292,Declarations!B$6:C$293,2,FALSE)),"",IF(VLOOKUP($F292,Declarations!B$6:C$293,2,FALSE)="","NOT DECLARED",IF(ISNA(_xlfn.TEXTBEFORE(VLOOKUP($F292,Declarations!B$6:C$293,2,FALSE)," ")),VLOOKUP($F292,Declarations!B$6:C$293,2,FALSE),_xlfn.TEXTBEFORE(VLOOKUP($F292,Declarations!B$6:C$293,2,FALSE)," "))))</f>
        <v/>
      </c>
      <c r="C292" s="122" t="str">
        <f>IF(ISNA(VLOOKUP($F292,Declarations!B$6:C$293,2,FALSE)),"",IF(VLOOKUP($F292,Declarations!B$6:C$293,2,FALSE)="","NOT DECLARED",IF(ISNA(_xlfn.TEXTAFTER(VLOOKUP($F292,Declarations!B$6:C$293,2,FALSE)," ")),VLOOKUP($F292,Declarations!B$6:C$293,2,FALSE),_xlfn.TEXTAFTER(VLOOKUP($F292,Declarations!B$6:C$293,2,FALSE)," "))))</f>
        <v/>
      </c>
      <c r="D292" s="122" t="str">
        <f>IF(ISNA(VLOOKUP($F292,Declarations!$B$6:$F$293,5,FALSE)),"",IF(VLOOKUP($F292,Declarations!$B$6:$F$293,5,FALSE)="","NOT DECLARED",VLOOKUP($F292,Declarations!$B$6:$F$293,5,FALSE)))</f>
        <v/>
      </c>
      <c r="E292" s="120" t="str">
        <f>IF(ISNA(VLOOKUP($F292,Declarations!$B$6:$D$293,3,FALSE)),"",IF(VLOOKUP($F292,Declarations!$B$6:$D$293,3,FALSE)="","NOT DECLARED",VLOOKUP($F292,Declarations!$B$6:$D$293,3,FALSE)&amp;LEFT(VLOOKUP($F292,Declarations!$B$6:$E$293,4,FALSE))))</f>
        <v/>
      </c>
      <c r="F292" s="59"/>
      <c r="G292" s="130"/>
      <c r="H292" s="130"/>
      <c r="I292" s="122" t="str">
        <f>IF(ISNA(VLOOKUP(F292,Declarations!B$6:C$293,2,FALSE)),"",IF(VLOOKUP(F292,Declarations!B$6:C$293,2,FALSE)="","NOT DECLARED",VLOOKUP(F292,Declarations!B$6:C$293,2,FALSE)))</f>
        <v/>
      </c>
      <c r="J292" s="120">
        <f>IF(LOWER(G292)="dnf",1,IF(G292&lt;ScoringTable!B$3,ScoringTable!I$2,VLOOKUP((1000-G292),ScoringTable!G$2:I$95,3)))</f>
        <v>0</v>
      </c>
      <c r="K292" s="120" t="str" cm="1">
        <f t="array" ref="K292">IF(OR(E292="",G292=""),"",_xlfn.IFS(E292="U10B",_xlfn.XLOOKUP(G292,Data!$D$2:$L$2,Data!$D$1:$L$1,"",1,1),E292="U12B",_xlfn.XLOOKUP(G292,Data!$D$8:$L$8,Data!$D$1:$L$1,"",1,1),E292="U10G",_xlfn.XLOOKUP(G292,Data!$D$15:$L$15,Data!$D$1:$L$1,"",1,1),E292="U12G",_xlfn.XLOOKUP(G292,Data!$D$21:$L$21,Data!$D$1:$L$1,"",1,1)))</f>
        <v/>
      </c>
      <c r="L292" s="184" t="str" cm="1">
        <f t="array" ref="L292">IFERROR(_xlfn.IFNA(
                      _xlfn.IFS(
                      G292="", "",
                      AND(E292="U10B",G292&lt;=Data!$M$2), "U10 Boys record",
                      AND(E292="U12B",G292&lt;=Data!$M$8), "U12 Boys record",
                      AND(E292="U10G",G292&lt;=Data!$M$15), "U10 Girls record",
                      AND(E292="U12G",G292&lt;=Data!$M$21), "U12 Girls record"
                       ),""), "")</f>
        <v/>
      </c>
      <c r="M292" s="19" cm="1">
        <f t="array" ref="M292">_xlfn.IFS($G292="",0, AND(NOT(ISNUMBER($G292)),LOWER($G292)&lt;&gt;"dnf"),"Not a valid time",OR(LOWER($G292)="dnf",$G292&gt;ScoringTable!$M$161),1,RIGHT($E292,1)="B",_xlfn.XLOOKUP($G292,ScoringTable!$M$2:$M$161,ScoringTable!$L$2:$L$161,,1),TRUE,_xlfn.XLOOKUP($G292,ScoringTable!$S$2:$S$161,ScoringTable!$R$2:$R$161,,1))</f>
        <v>0</v>
      </c>
    </row>
    <row r="293" spans="1:13" s="7" customFormat="1" ht="16" customHeight="1">
      <c r="A293" s="280" t="s">
        <v>2</v>
      </c>
      <c r="B293" s="122" t="str">
        <f>IF(ISNA(VLOOKUP($F293,Declarations!B$6:C$293,2,FALSE)),"",IF(VLOOKUP($F293,Declarations!B$6:C$293,2,FALSE)="","NOT DECLARED",IF(ISNA(_xlfn.TEXTBEFORE(VLOOKUP($F293,Declarations!B$6:C$293,2,FALSE)," ")),VLOOKUP($F293,Declarations!B$6:C$293,2,FALSE),_xlfn.TEXTBEFORE(VLOOKUP($F293,Declarations!B$6:C$293,2,FALSE)," "))))</f>
        <v/>
      </c>
      <c r="C293" s="122" t="str">
        <f>IF(ISNA(VLOOKUP($F293,Declarations!B$6:C$293,2,FALSE)),"",IF(VLOOKUP($F293,Declarations!B$6:C$293,2,FALSE)="","NOT DECLARED",IF(ISNA(_xlfn.TEXTAFTER(VLOOKUP($F293,Declarations!B$6:C$293,2,FALSE)," ")),VLOOKUP($F293,Declarations!B$6:C$293,2,FALSE),_xlfn.TEXTAFTER(VLOOKUP($F293,Declarations!B$6:C$293,2,FALSE)," "))))</f>
        <v/>
      </c>
      <c r="D293" s="122" t="str">
        <f>IF(ISNA(VLOOKUP($F293,Declarations!$B$6:$F$293,5,FALSE)),"",IF(VLOOKUP($F293,Declarations!$B$6:$F$293,5,FALSE)="","NOT DECLARED",VLOOKUP($F293,Declarations!$B$6:$F$293,5,FALSE)))</f>
        <v/>
      </c>
      <c r="E293" s="120" t="str">
        <f>IF(ISNA(VLOOKUP($F293,Declarations!$B$6:$D$293,3,FALSE)),"",IF(VLOOKUP($F293,Declarations!$B$6:$D$293,3,FALSE)="","NOT DECLARED",VLOOKUP($F293,Declarations!$B$6:$D$293,3,FALSE)&amp;LEFT(VLOOKUP($F293,Declarations!$B$6:$E$293,4,FALSE))))</f>
        <v/>
      </c>
      <c r="F293" s="59"/>
      <c r="G293" s="130"/>
      <c r="H293" s="130"/>
      <c r="I293" s="122" t="str">
        <f>IF(ISNA(VLOOKUP(F293,Declarations!B$6:C$293,2,FALSE)),"",IF(VLOOKUP(F293,Declarations!B$6:C$293,2,FALSE)="","NOT DECLARED",VLOOKUP(F293,Declarations!B$6:C$293,2,FALSE)))</f>
        <v/>
      </c>
      <c r="J293" s="120">
        <f>IF(LOWER(G293)="dnf",1,IF(G293&lt;ScoringTable!B$3,ScoringTable!I$2,VLOOKUP((1000-G293),ScoringTable!G$2:I$95,3)))</f>
        <v>0</v>
      </c>
      <c r="K293" s="120" t="str" cm="1">
        <f t="array" ref="K293">IF(OR(E293="",G293=""),"",_xlfn.IFS(E293="U10B",_xlfn.XLOOKUP(G293,Data!$D$2:$L$2,Data!$D$1:$L$1,"",1,1),E293="U12B",_xlfn.XLOOKUP(G293,Data!$D$8:$L$8,Data!$D$1:$L$1,"",1,1),E293="U10G",_xlfn.XLOOKUP(G293,Data!$D$15:$L$15,Data!$D$1:$L$1,"",1,1),E293="U12G",_xlfn.XLOOKUP(G293,Data!$D$21:$L$21,Data!$D$1:$L$1,"",1,1)))</f>
        <v/>
      </c>
      <c r="L293" s="184" t="str" cm="1">
        <f t="array" ref="L293">IFERROR(_xlfn.IFNA(
                      _xlfn.IFS(
                      G293="", "",
                      AND(E293="U10B",G293&lt;=Data!$M$2), "U10 Boys record",
                      AND(E293="U12B",G293&lt;=Data!$M$8), "U12 Boys record",
                      AND(E293="U10G",G293&lt;=Data!$M$15), "U10 Girls record",
                      AND(E293="U12G",G293&lt;=Data!$M$21), "U12 Girls record"
                       ),""), "")</f>
        <v/>
      </c>
      <c r="M293" s="19" cm="1">
        <f t="array" ref="M293">_xlfn.IFS($G293="",0, AND(NOT(ISNUMBER($G293)),LOWER($G293)&lt;&gt;"dnf"),"Not a valid time",OR(LOWER($G293)="dnf",$G293&gt;ScoringTable!$M$161),1,RIGHT($E293,1)="B",_xlfn.XLOOKUP($G293,ScoringTable!$M$2:$M$161,ScoringTable!$L$2:$L$161,,1),TRUE,_xlfn.XLOOKUP($G293,ScoringTable!$S$2:$S$161,ScoringTable!$R$2:$R$161,,1))</f>
        <v>0</v>
      </c>
    </row>
  </sheetData>
  <sheetProtection sheet="1" objects="1" scenarios="1"/>
  <mergeCells count="6">
    <mergeCell ref="F1:G1"/>
    <mergeCell ref="F2:G2"/>
    <mergeCell ref="A1:D1"/>
    <mergeCell ref="A2:D2"/>
    <mergeCell ref="I1:K1"/>
    <mergeCell ref="I2:K2"/>
  </mergeCells>
  <phoneticPr fontId="5" type="noConversion"/>
  <conditionalFormatting sqref="F1:F1048576">
    <cfRule type="duplicateValues" dxfId="13" priority="1"/>
  </conditionalFormatting>
  <pageMargins left="0.75" right="0.75" top="1" bottom="1" header="0.5" footer="0.5"/>
  <pageSetup paperSize="9" scale="46" fitToHeight="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FF6600"/>
    <pageSetUpPr fitToPage="1"/>
  </sheetPr>
  <dimension ref="A1:X297"/>
  <sheetViews>
    <sheetView zoomScaleNormal="100" workbookViewId="0">
      <pane ySplit="5" topLeftCell="A6" activePane="bottomLeft" state="frozen"/>
      <selection activeCell="F147" sqref="F147"/>
      <selection pane="bottomLeft" activeCell="F7" sqref="F7"/>
    </sheetView>
  </sheetViews>
  <sheetFormatPr baseColWidth="10" defaultColWidth="10.6640625" defaultRowHeight="13"/>
  <cols>
    <col min="1" max="1" width="6.6640625" bestFit="1" customWidth="1"/>
    <col min="2" max="2" width="11.6640625" bestFit="1" customWidth="1"/>
    <col min="3" max="3" width="12.83203125" bestFit="1" customWidth="1"/>
    <col min="4" max="4" width="18.1640625" bestFit="1" customWidth="1"/>
    <col min="5" max="5" width="10.83203125" customWidth="1"/>
    <col min="6" max="6" width="20" customWidth="1"/>
    <col min="7" max="7" width="20" style="4" customWidth="1"/>
    <col min="8" max="8" width="8.1640625" style="4" customWidth="1"/>
    <col min="9" max="9" width="33.33203125" customWidth="1"/>
    <col min="10" max="11" width="16.6640625" customWidth="1"/>
    <col min="12" max="12" width="15.83203125" customWidth="1"/>
    <col min="13" max="13" width="10.6640625" customWidth="1"/>
    <col min="15" max="16" width="12" customWidth="1"/>
    <col min="17" max="17" width="8.6640625" bestFit="1" customWidth="1"/>
    <col min="18" max="18" width="6.6640625" bestFit="1" customWidth="1"/>
    <col min="19" max="19" width="7.1640625" bestFit="1" customWidth="1"/>
    <col min="20" max="20" width="8" bestFit="1" customWidth="1"/>
    <col min="21" max="21" width="7.33203125" bestFit="1" customWidth="1"/>
    <col min="22" max="25" width="12" customWidth="1"/>
  </cols>
  <sheetData>
    <row r="1" spans="1:24" ht="40" customHeight="1">
      <c r="A1" s="519" t="str">
        <f>'Read Me First'!A1:F1</f>
        <v>Oxfordshire Track and Field League 2026</v>
      </c>
      <c r="B1" s="519"/>
      <c r="C1" s="519"/>
      <c r="D1" s="519"/>
      <c r="E1" s="76" t="s">
        <v>11</v>
      </c>
      <c r="F1" s="516" t="s">
        <v>13</v>
      </c>
      <c r="G1" s="516"/>
      <c r="H1" s="18"/>
      <c r="I1" s="516" t="s">
        <v>12</v>
      </c>
      <c r="J1" s="516"/>
      <c r="K1" s="516"/>
      <c r="L1" s="88"/>
    </row>
    <row r="2" spans="1:24" ht="40" customHeight="1">
      <c r="A2" s="519" t="s">
        <v>87</v>
      </c>
      <c r="B2" s="519"/>
      <c r="C2" s="519"/>
      <c r="D2" s="519"/>
      <c r="E2" s="90">
        <f>'Read Me First'!C9</f>
        <v>2</v>
      </c>
      <c r="F2" s="517" t="str">
        <f>(VLOOKUP('Read Me First'!F4,'Read Me First'!A22:D24,4,FALSE))</f>
        <v>Banbury</v>
      </c>
      <c r="G2" s="518"/>
      <c r="H2" s="321"/>
      <c r="I2" s="520">
        <f>'Read Me First'!C10</f>
        <v>46250</v>
      </c>
      <c r="J2" s="520"/>
      <c r="K2" s="520"/>
      <c r="L2" s="89"/>
    </row>
    <row r="3" spans="1:24" ht="16" customHeight="1">
      <c r="A3" s="56"/>
      <c r="B3" s="56"/>
      <c r="C3" s="56"/>
      <c r="D3" s="56"/>
      <c r="E3" s="92"/>
      <c r="F3" s="20"/>
      <c r="G3" s="20"/>
      <c r="H3" s="20"/>
      <c r="I3" s="93"/>
      <c r="J3" s="93"/>
      <c r="K3" s="89"/>
      <c r="L3" s="89"/>
    </row>
    <row r="4" spans="1:24" s="3" customFormat="1" ht="26" customHeight="1">
      <c r="A4" s="36" t="s">
        <v>79</v>
      </c>
      <c r="B4" s="36" t="s">
        <v>77</v>
      </c>
      <c r="C4" s="36" t="s">
        <v>78</v>
      </c>
      <c r="D4" s="36" t="s">
        <v>19</v>
      </c>
      <c r="E4" s="36" t="s">
        <v>80</v>
      </c>
      <c r="F4" s="34" t="s">
        <v>8</v>
      </c>
      <c r="G4" s="35" t="s">
        <v>30</v>
      </c>
      <c r="H4" s="35"/>
      <c r="I4" s="36" t="s">
        <v>7</v>
      </c>
      <c r="J4" s="36" t="s">
        <v>1</v>
      </c>
      <c r="K4" s="36" t="s">
        <v>187</v>
      </c>
      <c r="L4" s="57"/>
      <c r="M4" s="32" t="s">
        <v>164</v>
      </c>
      <c r="Q4" s="521" t="s">
        <v>31</v>
      </c>
      <c r="R4" s="521"/>
      <c r="S4" s="521"/>
      <c r="T4" s="521"/>
      <c r="U4" s="521"/>
    </row>
    <row r="5" spans="1:24" s="3" customFormat="1" ht="26" customHeight="1">
      <c r="A5" s="84"/>
      <c r="B5" s="84"/>
      <c r="C5" s="84"/>
      <c r="D5" s="84"/>
      <c r="E5" s="84"/>
      <c r="F5" s="33">
        <v>0</v>
      </c>
      <c r="G5" s="38" t="s">
        <v>37</v>
      </c>
      <c r="H5" s="38"/>
      <c r="I5" s="28">
        <v>0</v>
      </c>
      <c r="J5" s="28">
        <v>0</v>
      </c>
      <c r="K5" s="119"/>
      <c r="L5" s="58"/>
      <c r="Q5" s="45" t="s">
        <v>32</v>
      </c>
      <c r="R5" s="45" t="s">
        <v>35</v>
      </c>
      <c r="S5" s="46" t="s">
        <v>33</v>
      </c>
      <c r="T5" s="46" t="s">
        <v>34</v>
      </c>
      <c r="U5" s="46" t="s">
        <v>36</v>
      </c>
    </row>
    <row r="6" spans="1:24" s="3" customFormat="1" ht="16" customHeight="1">
      <c r="A6" s="121" t="s">
        <v>3</v>
      </c>
      <c r="B6" s="122" t="str">
        <f>IF(ISNA(VLOOKUP($F6,Declarations!B$6:C$293,2,FALSE)),"",IF(VLOOKUP($F6,Declarations!B$6:C$293,2,FALSE)="","NOT DECLARED",IF(ISNA(_xlfn.TEXTBEFORE(VLOOKUP($F6,Declarations!B$6:C$293,2,FALSE)," ")),VLOOKUP($F6,Declarations!B$6:C$293,2,FALSE),_xlfn.TEXTBEFORE(VLOOKUP($F6,Declarations!B$6:C$293,2,FALSE)," "))))</f>
        <v/>
      </c>
      <c r="C6" s="122" t="str">
        <f>IF(ISNA(VLOOKUP($F6,Declarations!B$6:C$293,2,FALSE)),"",IF(VLOOKUP($F6,Declarations!B$6:C$293,2,FALSE)="","NOT DECLARED",IF(ISNA(_xlfn.TEXTAFTER(VLOOKUP($F6,Declarations!B$6:C$293,2,FALSE)," ")),VLOOKUP($F6,Declarations!B$6:C$293,2,FALSE),_xlfn.TEXTAFTER(VLOOKUP($F6,Declarations!B$6:C$293,2,FALSE)," "))))</f>
        <v/>
      </c>
      <c r="D6" s="122" t="str">
        <f>IF(ISNA(VLOOKUP($F6,Declarations!$B$6:$F$293,5,FALSE)),"",IF(VLOOKUP($F6,Declarations!$B$6:$F$293,5,FALSE)="","NOT DECLARED",VLOOKUP($F6,Declarations!$B$6:$F$293,5,FALSE)))</f>
        <v/>
      </c>
      <c r="E6" s="120" t="str">
        <f>IF(ISNA(VLOOKUP($F6,Declarations!$B$6:$D$293,3,FALSE)),"",IF(VLOOKUP($F6,Declarations!$B$6:$D$293,3,FALSE)="","NOT DECLARED",VLOOKUP($F6,Declarations!$B$6:$D$293,3,FALSE)&amp;LEFT(VLOOKUP($F6,Declarations!$B$6:$E$293,4,FALSE))))</f>
        <v/>
      </c>
      <c r="F6" s="59">
        <v>1</v>
      </c>
      <c r="G6" s="123">
        <v>1.7372685185185184E-3</v>
      </c>
      <c r="H6" s="322"/>
      <c r="I6" s="122" t="str">
        <f>IF(ISNA(VLOOKUP(F6,Declarations!B$6:C$293,2,FALSE)),"",IF(VLOOKUP(F6,Declarations!B$6:C$293,2,FALSE)="","NOTDECLARED",VLOOKUP(F6,Declarations!B$6:C$293,2,FALSE)))</f>
        <v/>
      </c>
      <c r="J6" s="124">
        <f>IF(LOWER(G6)="dnf",1,IF(U6&lt;ScoringTable!C$3,ScoringTable!I$2,VLOOKUP((1000-U6),ScoringTable!H$2:I$95,2)))</f>
        <v>39</v>
      </c>
      <c r="K6" s="120" t="str" cm="1">
        <f t="array" ref="K6">IF(OR(E6="",G6=""),"",_xlfn.IFS(E6="U10B",_xlfn.XLOOKUP(G6,Data!$D$3:$L$3,Data!$D$1:$L$1,"",1,1),E6="U12B",_xlfn.XLOOKUP(G6,Data!$D$9:$L$9,Data!$D$1:$L$1,"",1,1),E6="U10G",_xlfn.XLOOKUP(G6,Data!$D$16:$L$16,Data!$D$1:$L$1,"",1,1),E6="U12G",_xlfn.XLOOKUP(G6,Data!$D$22:$L$22,Data!$D$1:$L$1,"",1,1)))</f>
        <v/>
      </c>
      <c r="L6" s="184" t="str" cm="1">
        <f t="array" ref="L6">IFERROR(_xlfn.IFNA(
                      _xlfn.IFS(
                      G6="", "",
                      G6=0, "",
                      AND(E6="U10B",G6&lt;=Data!$M$3), "U10 Boys record",
                      AND(E6="U12B",G6&lt;=Data!$M$9), "U12 Boys record",
                      AND(E6="U10G",G6&lt;=Data!$M$16), "U10 Girls record",
                      AND(E6="U12G",G6&lt;=Data!$M$22), "U12 Girls record"
                       ),""), "")</f>
        <v/>
      </c>
      <c r="M6" s="19" cm="1">
        <f t="array" ref="M6">_xlfn.IFS(OR($G6="",$G6=0),0, AND(NOT(ISNUMBER($G6)),LOWER($G6)&lt;&gt;"dnf"),"Not a valid time",OR(LOWER($G6)="dnf",$G6&gt;ScoringTable!$N$161),1,RIGHT($E6,1)="B",_xlfn.XLOOKUP($G6,ScoringTable!$N$2:$N$161,ScoringTable!$L$2:$L$161,,1),TRUE,_xlfn.XLOOKUP($G6,ScoringTable!$T$2:$T$161,ScoringTable!$R$2:$R$161,,1))</f>
        <v>24</v>
      </c>
      <c r="N6" s="19"/>
      <c r="Q6" s="125">
        <f>G6*86400</f>
        <v>150.1</v>
      </c>
      <c r="R6" s="126">
        <f>Q6/60</f>
        <v>2.5016666666666665</v>
      </c>
      <c r="S6" s="127">
        <f>(ROUNDDOWN(R6,0))</f>
        <v>2</v>
      </c>
      <c r="T6" s="126">
        <f>Q6-((S6*60))</f>
        <v>30.099999999999994</v>
      </c>
      <c r="U6" s="128">
        <f>+(S6)+(T6/100)</f>
        <v>2.3010000000000002</v>
      </c>
    </row>
    <row r="7" spans="1:24" s="3" customFormat="1" ht="16" customHeight="1">
      <c r="A7" s="121" t="s">
        <v>3</v>
      </c>
      <c r="B7" s="122" t="str">
        <f>IF(ISNA(VLOOKUP($F7,Declarations!B$6:C$293,2,FALSE)),"",IF(VLOOKUP($F7,Declarations!B$6:C$293,2,FALSE)="","NOT DECLARED",IF(ISNA(_xlfn.TEXTBEFORE(VLOOKUP($F7,Declarations!B$6:C$293,2,FALSE)," ")),VLOOKUP($F7,Declarations!B$6:C$293,2,FALSE),_xlfn.TEXTBEFORE(VLOOKUP($F7,Declarations!B$6:C$293,2,FALSE)," "))))</f>
        <v/>
      </c>
      <c r="C7" s="122" t="str">
        <f>IF(ISNA(VLOOKUP($F7,Declarations!B$6:C$293,2,FALSE)),"",IF(VLOOKUP($F7,Declarations!B$6:C$293,2,FALSE)="","NOT DECLARED",IF(ISNA(_xlfn.TEXTAFTER(VLOOKUP($F7,Declarations!B$6:C$293,2,FALSE)," ")),VLOOKUP($F7,Declarations!B$6:C$293,2,FALSE),_xlfn.TEXTAFTER(VLOOKUP($F7,Declarations!B$6:C$293,2,FALSE)," "))))</f>
        <v/>
      </c>
      <c r="D7" s="122" t="str">
        <f>IF(ISNA(VLOOKUP($F7,Declarations!$B$6:$F$293,5,FALSE)),"",IF(VLOOKUP($F7,Declarations!$B$6:$F$293,5,FALSE)="","NOT DECLARED",VLOOKUP($F7,Declarations!$B$6:$F$293,5,FALSE)))</f>
        <v/>
      </c>
      <c r="E7" s="120" t="str">
        <f>IF(ISNA(VLOOKUP($F7,Declarations!$B$6:$D$293,3,FALSE)),"",IF(VLOOKUP($F7,Declarations!$B$6:$D$293,3,FALSE)="","NOT DECLARED",VLOOKUP($F7,Declarations!$B$6:$D$293,3,FALSE)&amp;LEFT(VLOOKUP($F7,Declarations!$B$6:$E$293,4,FALSE))))</f>
        <v/>
      </c>
      <c r="F7" s="59"/>
      <c r="G7" s="123">
        <v>0</v>
      </c>
      <c r="H7" s="322"/>
      <c r="I7" s="122" t="str">
        <f>IF(ISNA(VLOOKUP(F7,Declarations!B$6:C$293,2,FALSE)),"",IF(VLOOKUP(F7,Declarations!B$6:C$293,2,FALSE)="","NOTDECLARED",VLOOKUP(F7,Declarations!B$6:C$293,2,FALSE)))</f>
        <v/>
      </c>
      <c r="J7" s="124">
        <f>IF(LOWER(G7)="dnf",1,IF(U7&lt;ScoringTable!C$3,ScoringTable!I$2,VLOOKUP((1000-U7),ScoringTable!H$2:I$95,2)))</f>
        <v>0</v>
      </c>
      <c r="K7" s="120" t="str" cm="1">
        <f t="array" ref="K7">IF(OR(E7="",G7=""),"",_xlfn.IFS(E7="U10B",_xlfn.XLOOKUP(G7,Data!$D$3:$L$3,Data!$D$1:$L$1,"",1,1),E7="U12B",_xlfn.XLOOKUP(G7,Data!$D$9:$L$9,Data!$D$1:$L$1,"",1,1),E7="U10G",_xlfn.XLOOKUP(G7,Data!$D$16:$L$16,Data!$D$1:$L$1,"",1,1),E7="U12G",_xlfn.XLOOKUP(G7,Data!$D$22:$L$22,Data!$D$1:$L$1,"",1,1)))</f>
        <v/>
      </c>
      <c r="L7" s="184" t="str" cm="1">
        <f t="array" ref="L7">IFERROR(_xlfn.IFNA(
                      _xlfn.IFS(
                      G7="", "",
                      G7=0, "",
                      AND(E7="U10B",G7&lt;=Data!$M$3), "U10 Boys record",
                      AND(E7="U12B",G7&lt;=Data!$M$9), "U12 Boys record",
                      AND(E7="U10G",G7&lt;=Data!$M$16), "U10 Girls record",
                      AND(E7="U12G",G7&lt;=Data!$M$22), "U12 Girls record"
                       ),""), "")</f>
        <v/>
      </c>
      <c r="M7" s="19" cm="1">
        <f t="array" ref="M7">_xlfn.IFS(OR($G7="",$G7=0),0, AND(NOT(ISNUMBER($G7)),LOWER($G7)&lt;&gt;"dnf"),"Not a valid time",OR(LOWER($G7)="dnf",$G7&gt;ScoringTable!$N$161),1,RIGHT($E7,1)="B",_xlfn.XLOOKUP($G7,ScoringTable!$N$2:$N$161,ScoringTable!$L$2:$L$161,,1),TRUE,_xlfn.XLOOKUP($G7,ScoringTable!$T$2:$T$161,ScoringTable!$R$2:$R$161,,1))</f>
        <v>0</v>
      </c>
      <c r="N7" s="19"/>
      <c r="Q7" s="125">
        <f t="shared" ref="Q7:Q70" si="0">G7*86400</f>
        <v>0</v>
      </c>
      <c r="R7" s="126">
        <f t="shared" ref="R7:R70" si="1">Q7/60</f>
        <v>0</v>
      </c>
      <c r="S7" s="127">
        <f t="shared" ref="S7:S70" si="2">(ROUNDDOWN(R7,0))</f>
        <v>0</v>
      </c>
      <c r="T7" s="126">
        <f t="shared" ref="T7:T70" si="3">Q7-((S7*60))</f>
        <v>0</v>
      </c>
      <c r="U7" s="128">
        <f t="shared" ref="U7:U70" si="4">+(S7)+(T7/100)</f>
        <v>0</v>
      </c>
    </row>
    <row r="8" spans="1:24" s="3" customFormat="1" ht="16" customHeight="1">
      <c r="A8" s="121" t="s">
        <v>3</v>
      </c>
      <c r="B8" s="122" t="str">
        <f>IF(ISNA(VLOOKUP($F8,Declarations!B$6:C$293,2,FALSE)),"",IF(VLOOKUP($F8,Declarations!B$6:C$293,2,FALSE)="","NOT DECLARED",IF(ISNA(_xlfn.TEXTBEFORE(VLOOKUP($F8,Declarations!B$6:C$293,2,FALSE)," ")),VLOOKUP($F8,Declarations!B$6:C$293,2,FALSE),_xlfn.TEXTBEFORE(VLOOKUP($F8,Declarations!B$6:C$293,2,FALSE)," "))))</f>
        <v/>
      </c>
      <c r="C8" s="122" t="str">
        <f>IF(ISNA(VLOOKUP($F8,Declarations!B$6:C$293,2,FALSE)),"",IF(VLOOKUP($F8,Declarations!B$6:C$293,2,FALSE)="","NOT DECLARED",IF(ISNA(_xlfn.TEXTAFTER(VLOOKUP($F8,Declarations!B$6:C$293,2,FALSE)," ")),VLOOKUP($F8,Declarations!B$6:C$293,2,FALSE),_xlfn.TEXTAFTER(VLOOKUP($F8,Declarations!B$6:C$293,2,FALSE)," "))))</f>
        <v/>
      </c>
      <c r="D8" s="122" t="str">
        <f>IF(ISNA(VLOOKUP($F8,Declarations!$B$6:$F$293,5,FALSE)),"",IF(VLOOKUP($F8,Declarations!$B$6:$F$293,5,FALSE)="","NOT DECLARED",VLOOKUP($F8,Declarations!$B$6:$F$293,5,FALSE)))</f>
        <v/>
      </c>
      <c r="E8" s="120" t="str">
        <f>IF(ISNA(VLOOKUP($F8,Declarations!$B$6:$D$293,3,FALSE)),"",IF(VLOOKUP($F8,Declarations!$B$6:$D$293,3,FALSE)="","NOT DECLARED",VLOOKUP($F8,Declarations!$B$6:$D$293,3,FALSE)&amp;LEFT(VLOOKUP($F8,Declarations!$B$6:$E$293,4,FALSE))))</f>
        <v/>
      </c>
      <c r="F8" s="59"/>
      <c r="G8" s="123">
        <v>0</v>
      </c>
      <c r="H8" s="322"/>
      <c r="I8" s="122" t="str">
        <f>IF(ISNA(VLOOKUP(F8,Declarations!B$6:C$293,2,FALSE)),"",IF(VLOOKUP(F8,Declarations!B$6:C$293,2,FALSE)="","NOTDECLARED",VLOOKUP(F8,Declarations!B$6:C$293,2,FALSE)))</f>
        <v/>
      </c>
      <c r="J8" s="124">
        <f>IF(LOWER(G8)="dnf",1,IF(U8&lt;ScoringTable!C$3,ScoringTable!I$2,VLOOKUP((1000-U8),ScoringTable!H$2:I$95,2)))</f>
        <v>0</v>
      </c>
      <c r="K8" s="120" t="str" cm="1">
        <f t="array" ref="K8">IF(OR(E8="",G8=""),"",_xlfn.IFS(E8="U10B",_xlfn.XLOOKUP(G8,Data!$D$3:$L$3,Data!$D$1:$L$1,"",1,1),E8="U12B",_xlfn.XLOOKUP(G8,Data!$D$9:$L$9,Data!$D$1:$L$1,"",1,1),E8="U10G",_xlfn.XLOOKUP(G8,Data!$D$16:$L$16,Data!$D$1:$L$1,"",1,1),E8="U12G",_xlfn.XLOOKUP(G8,Data!$D$22:$L$22,Data!$D$1:$L$1,"",1,1)))</f>
        <v/>
      </c>
      <c r="L8" s="184" t="str" cm="1">
        <f t="array" ref="L8">IFERROR(_xlfn.IFNA(
                      _xlfn.IFS(
                      G8="", "",
                      G8=0, "",
                      AND(E8="U10B",G8&lt;=Data!$M$3), "U10 Boys record",
                      AND(E8="U12B",G8&lt;=Data!$M$9), "U12 Boys record",
                      AND(E8="U10G",G8&lt;=Data!$M$16), "U10 Girls record",
                      AND(E8="U12G",G8&lt;=Data!$M$22), "U12 Girls record"
                       ),""), "")</f>
        <v/>
      </c>
      <c r="M8" s="19" cm="1">
        <f t="array" ref="M8">_xlfn.IFS(OR($G8="",$G8=0),0, AND(NOT(ISNUMBER($G8)),LOWER($G8)&lt;&gt;"dnf"),"Not a valid time",OR(LOWER($G8)="dnf",$G8&gt;ScoringTable!$N$161),1,RIGHT($E8,1)="B",_xlfn.XLOOKUP($G8,ScoringTable!$N$2:$N$161,ScoringTable!$L$2:$L$161,,1),TRUE,_xlfn.XLOOKUP($G8,ScoringTable!$T$2:$T$161,ScoringTable!$R$2:$R$161,,1))</f>
        <v>0</v>
      </c>
      <c r="N8" s="19"/>
      <c r="Q8" s="125">
        <f t="shared" si="0"/>
        <v>0</v>
      </c>
      <c r="R8" s="126">
        <f t="shared" si="1"/>
        <v>0</v>
      </c>
      <c r="S8" s="127">
        <f t="shared" si="2"/>
        <v>0</v>
      </c>
      <c r="T8" s="126">
        <f t="shared" si="3"/>
        <v>0</v>
      </c>
      <c r="U8" s="128">
        <f t="shared" si="4"/>
        <v>0</v>
      </c>
    </row>
    <row r="9" spans="1:24" s="7" customFormat="1" ht="16" customHeight="1">
      <c r="A9" s="121" t="s">
        <v>3</v>
      </c>
      <c r="B9" s="122" t="str">
        <f>IF(ISNA(VLOOKUP($F9,Declarations!B$6:C$293,2,FALSE)),"",IF(VLOOKUP($F9,Declarations!B$6:C$293,2,FALSE)="","NOT DECLARED",IF(ISNA(_xlfn.TEXTBEFORE(VLOOKUP($F9,Declarations!B$6:C$293,2,FALSE)," ")),VLOOKUP($F9,Declarations!B$6:C$293,2,FALSE),_xlfn.TEXTBEFORE(VLOOKUP($F9,Declarations!B$6:C$293,2,FALSE)," "))))</f>
        <v/>
      </c>
      <c r="C9" s="122" t="str">
        <f>IF(ISNA(VLOOKUP($F9,Declarations!B$6:C$293,2,FALSE)),"",IF(VLOOKUP($F9,Declarations!B$6:C$293,2,FALSE)="","NOT DECLARED",IF(ISNA(_xlfn.TEXTAFTER(VLOOKUP($F9,Declarations!B$6:C$293,2,FALSE)," ")),VLOOKUP($F9,Declarations!B$6:C$293,2,FALSE),_xlfn.TEXTAFTER(VLOOKUP($F9,Declarations!B$6:C$293,2,FALSE)," "))))</f>
        <v/>
      </c>
      <c r="D9" s="122" t="str">
        <f>IF(ISNA(VLOOKUP($F9,Declarations!$B$6:$F$293,5,FALSE)),"",IF(VLOOKUP($F9,Declarations!$B$6:$F$293,5,FALSE)="","NOT DECLARED",VLOOKUP($F9,Declarations!$B$6:$F$293,5,FALSE)))</f>
        <v/>
      </c>
      <c r="E9" s="120" t="str">
        <f>IF(ISNA(VLOOKUP($F9,Declarations!$B$6:$D$293,3,FALSE)),"",IF(VLOOKUP($F9,Declarations!$B$6:$D$293,3,FALSE)="","NOT DECLARED",VLOOKUP($F9,Declarations!$B$6:$D$293,3,FALSE)&amp;LEFT(VLOOKUP($F9,Declarations!$B$6:$E$293,4,FALSE))))</f>
        <v/>
      </c>
      <c r="F9" s="59"/>
      <c r="G9" s="123">
        <v>0</v>
      </c>
      <c r="H9" s="322"/>
      <c r="I9" s="122" t="str">
        <f>IF(ISNA(VLOOKUP(F9,Declarations!B$6:C$293,2,FALSE)),"",IF(VLOOKUP(F9,Declarations!B$6:C$293,2,FALSE)="","NOTDECLARED",VLOOKUP(F9,Declarations!B$6:C$293,2,FALSE)))</f>
        <v/>
      </c>
      <c r="J9" s="124">
        <f>IF(LOWER(G9)="dnf",1,IF(U9&lt;ScoringTable!C$3,ScoringTable!I$2,VLOOKUP((1000-U9),ScoringTable!H$2:I$95,2)))</f>
        <v>0</v>
      </c>
      <c r="K9" s="120" t="str" cm="1">
        <f t="array" ref="K9">IF(OR(E9="",G9=""),"",_xlfn.IFS(E9="U10B",_xlfn.XLOOKUP(G9,Data!$D$3:$L$3,Data!$D$1:$L$1,"",1,1),E9="U12B",_xlfn.XLOOKUP(G9,Data!$D$9:$L$9,Data!$D$1:$L$1,"",1,1),E9="U10G",_xlfn.XLOOKUP(G9,Data!$D$16:$L$16,Data!$D$1:$L$1,"",1,1),E9="U12G",_xlfn.XLOOKUP(G9,Data!$D$22:$L$22,Data!$D$1:$L$1,"",1,1)))</f>
        <v/>
      </c>
      <c r="L9" s="184" t="str" cm="1">
        <f t="array" ref="L9">IFERROR(_xlfn.IFNA(
                      _xlfn.IFS(
                      G9="", "",
                      G9=0, "",
                      AND(E9="U10B",G9&lt;=Data!$M$3), "U10 Boys record",
                      AND(E9="U12B",G9&lt;=Data!$M$9), "U12 Boys record",
                      AND(E9="U10G",G9&lt;=Data!$M$16), "U10 Girls record",
                      AND(E9="U12G",G9&lt;=Data!$M$22), "U12 Girls record"
                       ),""), "")</f>
        <v/>
      </c>
      <c r="M9" s="19" cm="1">
        <f t="array" ref="M9">_xlfn.IFS(OR($G9="",$G9=0),0, AND(NOT(ISNUMBER($G9)),LOWER($G9)&lt;&gt;"dnf"),"Not a valid time",OR(LOWER($G9)="dnf",$G9&gt;ScoringTable!$N$161),1,RIGHT($E9,1)="B",_xlfn.XLOOKUP($G9,ScoringTable!$N$2:$N$161,ScoringTable!$L$2:$L$161,,1),TRUE,_xlfn.XLOOKUP($G9,ScoringTable!$T$2:$T$161,ScoringTable!$R$2:$R$161,,1))</f>
        <v>0</v>
      </c>
      <c r="N9" s="19"/>
      <c r="P9" s="3"/>
      <c r="Q9" s="125">
        <f t="shared" si="0"/>
        <v>0</v>
      </c>
      <c r="R9" s="126">
        <f t="shared" si="1"/>
        <v>0</v>
      </c>
      <c r="S9" s="127">
        <f t="shared" si="2"/>
        <v>0</v>
      </c>
      <c r="T9" s="126">
        <f t="shared" si="3"/>
        <v>0</v>
      </c>
      <c r="U9" s="128">
        <f t="shared" si="4"/>
        <v>0</v>
      </c>
      <c r="V9" s="3"/>
      <c r="W9" s="3"/>
      <c r="X9" s="3"/>
    </row>
    <row r="10" spans="1:24" s="7" customFormat="1" ht="16" customHeight="1">
      <c r="A10" s="121" t="s">
        <v>3</v>
      </c>
      <c r="B10" s="122" t="str">
        <f>IF(ISNA(VLOOKUP($F10,Declarations!B$6:C$293,2,FALSE)),"",IF(VLOOKUP($F10,Declarations!B$6:C$293,2,FALSE)="","NOT DECLARED",IF(ISNA(_xlfn.TEXTBEFORE(VLOOKUP($F10,Declarations!B$6:C$293,2,FALSE)," ")),VLOOKUP($F10,Declarations!B$6:C$293,2,FALSE),_xlfn.TEXTBEFORE(VLOOKUP($F10,Declarations!B$6:C$293,2,FALSE)," "))))</f>
        <v/>
      </c>
      <c r="C10" s="122" t="str">
        <f>IF(ISNA(VLOOKUP($F10,Declarations!B$6:C$293,2,FALSE)),"",IF(VLOOKUP($F10,Declarations!B$6:C$293,2,FALSE)="","NOT DECLARED",IF(ISNA(_xlfn.TEXTAFTER(VLOOKUP($F10,Declarations!B$6:C$293,2,FALSE)," ")),VLOOKUP($F10,Declarations!B$6:C$293,2,FALSE),_xlfn.TEXTAFTER(VLOOKUP($F10,Declarations!B$6:C$293,2,FALSE)," "))))</f>
        <v/>
      </c>
      <c r="D10" s="122" t="str">
        <f>IF(ISNA(VLOOKUP($F10,Declarations!$B$6:$F$293,5,FALSE)),"",IF(VLOOKUP($F10,Declarations!$B$6:$F$293,5,FALSE)="","NOT DECLARED",VLOOKUP($F10,Declarations!$B$6:$F$293,5,FALSE)))</f>
        <v/>
      </c>
      <c r="E10" s="120" t="str">
        <f>IF(ISNA(VLOOKUP($F10,Declarations!$B$6:$D$293,3,FALSE)),"",IF(VLOOKUP($F10,Declarations!$B$6:$D$293,3,FALSE)="","NOT DECLARED",VLOOKUP($F10,Declarations!$B$6:$D$293,3,FALSE)&amp;LEFT(VLOOKUP($F10,Declarations!$B$6:$E$293,4,FALSE))))</f>
        <v/>
      </c>
      <c r="F10" s="59"/>
      <c r="G10" s="123">
        <v>0</v>
      </c>
      <c r="H10" s="322"/>
      <c r="I10" s="122" t="str">
        <f>IF(ISNA(VLOOKUP(F10,Declarations!B$6:C$293,2,FALSE)),"",IF(VLOOKUP(F10,Declarations!B$6:C$293,2,FALSE)="","NOTDECLARED",VLOOKUP(F10,Declarations!B$6:C$293,2,FALSE)))</f>
        <v/>
      </c>
      <c r="J10" s="124">
        <f>IF(LOWER(G10)="dnf",1,IF(U10&lt;ScoringTable!C$3,ScoringTable!I$2,VLOOKUP((1000-U10),ScoringTable!H$2:I$95,2)))</f>
        <v>0</v>
      </c>
      <c r="K10" s="120" t="str" cm="1">
        <f t="array" ref="K10">IF(OR(E10="",G10=""),"",_xlfn.IFS(E10="U10B",_xlfn.XLOOKUP(G10,Data!$D$3:$L$3,Data!$D$1:$L$1,"",1,1),E10="U12B",_xlfn.XLOOKUP(G10,Data!$D$9:$L$9,Data!$D$1:$L$1,"",1,1),E10="U10G",_xlfn.XLOOKUP(G10,Data!$D$16:$L$16,Data!$D$1:$L$1,"",1,1),E10="U12G",_xlfn.XLOOKUP(G10,Data!$D$22:$L$22,Data!$D$1:$L$1,"",1,1)))</f>
        <v/>
      </c>
      <c r="L10" s="184" t="str" cm="1">
        <f t="array" ref="L10">IFERROR(_xlfn.IFNA(
                      _xlfn.IFS(
                      G10="", "",
                      G10=0, "",
                      AND(E10="U10B",G10&lt;=Data!$M$3), "U10 Boys record",
                      AND(E10="U12B",G10&lt;=Data!$M$9), "U12 Boys record",
                      AND(E10="U10G",G10&lt;=Data!$M$16), "U10 Girls record",
                      AND(E10="U12G",G10&lt;=Data!$M$22), "U12 Girls record"
                       ),""), "")</f>
        <v/>
      </c>
      <c r="M10" s="19" cm="1">
        <f t="array" ref="M10">_xlfn.IFS(OR($G10="",$G10=0),0, AND(NOT(ISNUMBER($G10)),LOWER($G10)&lt;&gt;"dnf"),"Not a valid time",OR(LOWER($G10)="dnf",$G10&gt;ScoringTable!$N$161),1,RIGHT($E10,1)="B",_xlfn.XLOOKUP($G10,ScoringTable!$N$2:$N$161,ScoringTable!$L$2:$L$161,,1),TRUE,_xlfn.XLOOKUP($G10,ScoringTable!$T$2:$T$161,ScoringTable!$R$2:$R$161,,1))</f>
        <v>0</v>
      </c>
      <c r="N10" s="19"/>
      <c r="P10" s="3"/>
      <c r="Q10" s="125">
        <f t="shared" si="0"/>
        <v>0</v>
      </c>
      <c r="R10" s="126">
        <f t="shared" si="1"/>
        <v>0</v>
      </c>
      <c r="S10" s="127">
        <f t="shared" si="2"/>
        <v>0</v>
      </c>
      <c r="T10" s="126">
        <f t="shared" si="3"/>
        <v>0</v>
      </c>
      <c r="U10" s="128">
        <f t="shared" si="4"/>
        <v>0</v>
      </c>
      <c r="V10" s="3"/>
      <c r="W10" s="3"/>
      <c r="X10" s="3"/>
    </row>
    <row r="11" spans="1:24" s="7" customFormat="1" ht="16" customHeight="1">
      <c r="A11" s="121" t="s">
        <v>3</v>
      </c>
      <c r="B11" s="122" t="str">
        <f>IF(ISNA(VLOOKUP($F11,Declarations!B$6:C$293,2,FALSE)),"",IF(VLOOKUP($F11,Declarations!B$6:C$293,2,FALSE)="","NOT DECLARED",IF(ISNA(_xlfn.TEXTBEFORE(VLOOKUP($F11,Declarations!B$6:C$293,2,FALSE)," ")),VLOOKUP($F11,Declarations!B$6:C$293,2,FALSE),_xlfn.TEXTBEFORE(VLOOKUP($F11,Declarations!B$6:C$293,2,FALSE)," "))))</f>
        <v/>
      </c>
      <c r="C11" s="122" t="str">
        <f>IF(ISNA(VLOOKUP($F11,Declarations!B$6:C$293,2,FALSE)),"",IF(VLOOKUP($F11,Declarations!B$6:C$293,2,FALSE)="","NOT DECLARED",IF(ISNA(_xlfn.TEXTAFTER(VLOOKUP($F11,Declarations!B$6:C$293,2,FALSE)," ")),VLOOKUP($F11,Declarations!B$6:C$293,2,FALSE),_xlfn.TEXTAFTER(VLOOKUP($F11,Declarations!B$6:C$293,2,FALSE)," "))))</f>
        <v/>
      </c>
      <c r="D11" s="122" t="str">
        <f>IF(ISNA(VLOOKUP($F11,Declarations!$B$6:$F$293,5,FALSE)),"",IF(VLOOKUP($F11,Declarations!$B$6:$F$293,5,FALSE)="","NOT DECLARED",VLOOKUP($F11,Declarations!$B$6:$F$293,5,FALSE)))</f>
        <v/>
      </c>
      <c r="E11" s="120" t="str">
        <f>IF(ISNA(VLOOKUP($F11,Declarations!$B$6:$D$293,3,FALSE)),"",IF(VLOOKUP($F11,Declarations!$B$6:$D$293,3,FALSE)="","NOT DECLARED",VLOOKUP($F11,Declarations!$B$6:$D$293,3,FALSE)&amp;LEFT(VLOOKUP($F11,Declarations!$B$6:$E$293,4,FALSE))))</f>
        <v/>
      </c>
      <c r="F11" s="59"/>
      <c r="G11" s="123">
        <v>0</v>
      </c>
      <c r="H11" s="322"/>
      <c r="I11" s="122" t="str">
        <f>IF(ISNA(VLOOKUP(F11,Declarations!B$6:C$293,2,FALSE)),"",IF(VLOOKUP(F11,Declarations!B$6:C$293,2,FALSE)="","NOTDECLARED",VLOOKUP(F11,Declarations!B$6:C$293,2,FALSE)))</f>
        <v/>
      </c>
      <c r="J11" s="124">
        <f>IF(LOWER(G11)="dnf",1,IF(U11&lt;ScoringTable!C$3,ScoringTable!I$2,VLOOKUP((1000-U11),ScoringTable!H$2:I$95,2)))</f>
        <v>0</v>
      </c>
      <c r="K11" s="120" t="str" cm="1">
        <f t="array" ref="K11">IF(OR(E11="",G11=""),"",_xlfn.IFS(E11="U10B",_xlfn.XLOOKUP(G11,Data!$D$3:$L$3,Data!$D$1:$L$1,"",1,1),E11="U12B",_xlfn.XLOOKUP(G11,Data!$D$9:$L$9,Data!$D$1:$L$1,"",1,1),E11="U10G",_xlfn.XLOOKUP(G11,Data!$D$16:$L$16,Data!$D$1:$L$1,"",1,1),E11="U12G",_xlfn.XLOOKUP(G11,Data!$D$22:$L$22,Data!$D$1:$L$1,"",1,1)))</f>
        <v/>
      </c>
      <c r="L11" s="184" t="str" cm="1">
        <f t="array" ref="L11">IFERROR(_xlfn.IFNA(
                      _xlfn.IFS(
                      G11="", "",
                      G11=0, "",
                      AND(E11="U10B",G11&lt;=Data!$M$3), "U10 Boys record",
                      AND(E11="U12B",G11&lt;=Data!$M$9), "U12 Boys record",
                      AND(E11="U10G",G11&lt;=Data!$M$16), "U10 Girls record",
                      AND(E11="U12G",G11&lt;=Data!$M$22), "U12 Girls record"
                       ),""), "")</f>
        <v/>
      </c>
      <c r="M11" s="19" cm="1">
        <f t="array" ref="M11">_xlfn.IFS(OR($G11="",$G11=0),0, AND(NOT(ISNUMBER($G11)),LOWER($G11)&lt;&gt;"dnf"),"Not a valid time",OR(LOWER($G11)="dnf",$G11&gt;ScoringTable!$N$161),1,RIGHT($E11,1)="B",_xlfn.XLOOKUP($G11,ScoringTable!$N$2:$N$161,ScoringTable!$L$2:$L$161,,1),TRUE,_xlfn.XLOOKUP($G11,ScoringTable!$T$2:$T$161,ScoringTable!$R$2:$R$161,,1))</f>
        <v>0</v>
      </c>
      <c r="N11" s="19"/>
      <c r="P11" s="3"/>
      <c r="Q11" s="125">
        <f t="shared" si="0"/>
        <v>0</v>
      </c>
      <c r="R11" s="126">
        <f t="shared" si="1"/>
        <v>0</v>
      </c>
      <c r="S11" s="127">
        <f t="shared" si="2"/>
        <v>0</v>
      </c>
      <c r="T11" s="126">
        <f t="shared" si="3"/>
        <v>0</v>
      </c>
      <c r="U11" s="128">
        <f t="shared" si="4"/>
        <v>0</v>
      </c>
      <c r="V11" s="3"/>
      <c r="W11" s="3"/>
      <c r="X11" s="3"/>
    </row>
    <row r="12" spans="1:24" s="7" customFormat="1" ht="16" customHeight="1">
      <c r="A12" s="121" t="s">
        <v>3</v>
      </c>
      <c r="B12" s="122" t="str">
        <f>IF(ISNA(VLOOKUP($F12,Declarations!B$6:C$293,2,FALSE)),"",IF(VLOOKUP($F12,Declarations!B$6:C$293,2,FALSE)="","NOT DECLARED",IF(ISNA(_xlfn.TEXTBEFORE(VLOOKUP($F12,Declarations!B$6:C$293,2,FALSE)," ")),VLOOKUP($F12,Declarations!B$6:C$293,2,FALSE),_xlfn.TEXTBEFORE(VLOOKUP($F12,Declarations!B$6:C$293,2,FALSE)," "))))</f>
        <v/>
      </c>
      <c r="C12" s="122" t="str">
        <f>IF(ISNA(VLOOKUP($F12,Declarations!B$6:C$293,2,FALSE)),"",IF(VLOOKUP($F12,Declarations!B$6:C$293,2,FALSE)="","NOT DECLARED",IF(ISNA(_xlfn.TEXTAFTER(VLOOKUP($F12,Declarations!B$6:C$293,2,FALSE)," ")),VLOOKUP($F12,Declarations!B$6:C$293,2,FALSE),_xlfn.TEXTAFTER(VLOOKUP($F12,Declarations!B$6:C$293,2,FALSE)," "))))</f>
        <v/>
      </c>
      <c r="D12" s="122" t="str">
        <f>IF(ISNA(VLOOKUP($F12,Declarations!$B$6:$F$293,5,FALSE)),"",IF(VLOOKUP($F12,Declarations!$B$6:$F$293,5,FALSE)="","NOT DECLARED",VLOOKUP($F12,Declarations!$B$6:$F$293,5,FALSE)))</f>
        <v/>
      </c>
      <c r="E12" s="120" t="str">
        <f>IF(ISNA(VLOOKUP($F12,Declarations!$B$6:$D$293,3,FALSE)),"",IF(VLOOKUP($F12,Declarations!$B$6:$D$293,3,FALSE)="","NOT DECLARED",VLOOKUP($F12,Declarations!$B$6:$D$293,3,FALSE)&amp;LEFT(VLOOKUP($F12,Declarations!$B$6:$E$293,4,FALSE))))</f>
        <v/>
      </c>
      <c r="F12" s="59"/>
      <c r="G12" s="123">
        <v>0</v>
      </c>
      <c r="H12" s="322"/>
      <c r="I12" s="122" t="str">
        <f>IF(ISNA(VLOOKUP(F12,Declarations!B$6:C$293,2,FALSE)),"",IF(VLOOKUP(F12,Declarations!B$6:C$293,2,FALSE)="","NOTDECLARED",VLOOKUP(F12,Declarations!B$6:C$293,2,FALSE)))</f>
        <v/>
      </c>
      <c r="J12" s="124">
        <f>IF(LOWER(G12)="dnf",1,IF(U12&lt;ScoringTable!C$3,ScoringTable!I$2,VLOOKUP((1000-U12),ScoringTable!H$2:I$95,2)))</f>
        <v>0</v>
      </c>
      <c r="K12" s="120" t="str" cm="1">
        <f t="array" ref="K12">IF(OR(E12="",G12=""),"",_xlfn.IFS(E12="U10B",_xlfn.XLOOKUP(G12,Data!$D$3:$L$3,Data!$D$1:$L$1,"",1,1),E12="U12B",_xlfn.XLOOKUP(G12,Data!$D$9:$L$9,Data!$D$1:$L$1,"",1,1),E12="U10G",_xlfn.XLOOKUP(G12,Data!$D$16:$L$16,Data!$D$1:$L$1,"",1,1),E12="U12G",_xlfn.XLOOKUP(G12,Data!$D$22:$L$22,Data!$D$1:$L$1,"",1,1)))</f>
        <v/>
      </c>
      <c r="L12" s="184" t="str" cm="1">
        <f t="array" ref="L12">IFERROR(_xlfn.IFNA(
                      _xlfn.IFS(
                      G12="", "",
                      G12=0, "",
                      AND(E12="U10B",G12&lt;=Data!$M$3), "U10 Boys record",
                      AND(E12="U12B",G12&lt;=Data!$M$9), "U12 Boys record",
                      AND(E12="U10G",G12&lt;=Data!$M$16), "U10 Girls record",
                      AND(E12="U12G",G12&lt;=Data!$M$22), "U12 Girls record"
                       ),""), "")</f>
        <v/>
      </c>
      <c r="M12" s="19" cm="1">
        <f t="array" ref="M12">_xlfn.IFS(OR($G12="",$G12=0),0, AND(NOT(ISNUMBER($G12)),LOWER($G12)&lt;&gt;"dnf"),"Not a valid time",OR(LOWER($G12)="dnf",$G12&gt;ScoringTable!$N$161),1,RIGHT($E12,1)="B",_xlfn.XLOOKUP($G12,ScoringTable!$N$2:$N$161,ScoringTable!$L$2:$L$161,,1),TRUE,_xlfn.XLOOKUP($G12,ScoringTable!$T$2:$T$161,ScoringTable!$R$2:$R$161,,1))</f>
        <v>0</v>
      </c>
      <c r="N12" s="19"/>
      <c r="P12" s="3"/>
      <c r="Q12" s="125">
        <f t="shared" si="0"/>
        <v>0</v>
      </c>
      <c r="R12" s="126">
        <f t="shared" si="1"/>
        <v>0</v>
      </c>
      <c r="S12" s="127">
        <f t="shared" si="2"/>
        <v>0</v>
      </c>
      <c r="T12" s="126">
        <f t="shared" si="3"/>
        <v>0</v>
      </c>
      <c r="U12" s="128">
        <f t="shared" si="4"/>
        <v>0</v>
      </c>
      <c r="V12" s="3"/>
      <c r="W12" s="3"/>
      <c r="X12" s="3"/>
    </row>
    <row r="13" spans="1:24" s="7" customFormat="1" ht="16" customHeight="1">
      <c r="A13" s="121" t="s">
        <v>3</v>
      </c>
      <c r="B13" s="122" t="str">
        <f>IF(ISNA(VLOOKUP($F13,Declarations!B$6:C$293,2,FALSE)),"",IF(VLOOKUP($F13,Declarations!B$6:C$293,2,FALSE)="","NOT DECLARED",IF(ISNA(_xlfn.TEXTBEFORE(VLOOKUP($F13,Declarations!B$6:C$293,2,FALSE)," ")),VLOOKUP($F13,Declarations!B$6:C$293,2,FALSE),_xlfn.TEXTBEFORE(VLOOKUP($F13,Declarations!B$6:C$293,2,FALSE)," "))))</f>
        <v/>
      </c>
      <c r="C13" s="122" t="str">
        <f>IF(ISNA(VLOOKUP($F13,Declarations!B$6:C$293,2,FALSE)),"",IF(VLOOKUP($F13,Declarations!B$6:C$293,2,FALSE)="","NOT DECLARED",IF(ISNA(_xlfn.TEXTAFTER(VLOOKUP($F13,Declarations!B$6:C$293,2,FALSE)," ")),VLOOKUP($F13,Declarations!B$6:C$293,2,FALSE),_xlfn.TEXTAFTER(VLOOKUP($F13,Declarations!B$6:C$293,2,FALSE)," "))))</f>
        <v/>
      </c>
      <c r="D13" s="122" t="str">
        <f>IF(ISNA(VLOOKUP($F13,Declarations!$B$6:$F$293,5,FALSE)),"",IF(VLOOKUP($F13,Declarations!$B$6:$F$293,5,FALSE)="","NOT DECLARED",VLOOKUP($F13,Declarations!$B$6:$F$293,5,FALSE)))</f>
        <v/>
      </c>
      <c r="E13" s="120" t="str">
        <f>IF(ISNA(VLOOKUP($F13,Declarations!$B$6:$D$293,3,FALSE)),"",IF(VLOOKUP($F13,Declarations!$B$6:$D$293,3,FALSE)="","NOT DECLARED",VLOOKUP($F13,Declarations!$B$6:$D$293,3,FALSE)&amp;LEFT(VLOOKUP($F13,Declarations!$B$6:$E$293,4,FALSE))))</f>
        <v/>
      </c>
      <c r="F13" s="59"/>
      <c r="G13" s="123">
        <v>0</v>
      </c>
      <c r="H13" s="322"/>
      <c r="I13" s="122" t="str">
        <f>IF(ISNA(VLOOKUP(F13,Declarations!B$6:C$293,2,FALSE)),"",IF(VLOOKUP(F13,Declarations!B$6:C$293,2,FALSE)="","NOTDECLARED",VLOOKUP(F13,Declarations!B$6:C$293,2,FALSE)))</f>
        <v/>
      </c>
      <c r="J13" s="124">
        <f>IF(LOWER(G13)="dnf",1,IF(U13&lt;ScoringTable!C$3,ScoringTable!I$2,VLOOKUP((1000-U13),ScoringTable!H$2:I$95,2)))</f>
        <v>0</v>
      </c>
      <c r="K13" s="120" t="str" cm="1">
        <f t="array" ref="K13">IF(OR(E13="",G13=""),"",_xlfn.IFS(E13="U10B",_xlfn.XLOOKUP(G13,Data!$D$3:$L$3,Data!$D$1:$L$1,"",1,1),E13="U12B",_xlfn.XLOOKUP(G13,Data!$D$9:$L$9,Data!$D$1:$L$1,"",1,1),E13="U10G",_xlfn.XLOOKUP(G13,Data!$D$16:$L$16,Data!$D$1:$L$1,"",1,1),E13="U12G",_xlfn.XLOOKUP(G13,Data!$D$22:$L$22,Data!$D$1:$L$1,"",1,1)))</f>
        <v/>
      </c>
      <c r="L13" s="184" t="str" cm="1">
        <f t="array" ref="L13">IFERROR(_xlfn.IFNA(
                      _xlfn.IFS(
                      G13="", "",
                      G13=0, "",
                      AND(E13="U10B",G13&lt;=Data!$M$3), "U10 Boys record",
                      AND(E13="U12B",G13&lt;=Data!$M$9), "U12 Boys record",
                      AND(E13="U10G",G13&lt;=Data!$M$16), "U10 Girls record",
                      AND(E13="U12G",G13&lt;=Data!$M$22), "U12 Girls record"
                       ),""), "")</f>
        <v/>
      </c>
      <c r="M13" s="19" cm="1">
        <f t="array" ref="M13">_xlfn.IFS(OR($G13="",$G13=0),0, AND(NOT(ISNUMBER($G13)),LOWER($G13)&lt;&gt;"dnf"),"Not a valid time",OR(LOWER($G13)="dnf",$G13&gt;ScoringTable!$N$161),1,RIGHT($E13,1)="B",_xlfn.XLOOKUP($G13,ScoringTable!$N$2:$N$161,ScoringTable!$L$2:$L$161,,1),TRUE,_xlfn.XLOOKUP($G13,ScoringTable!$T$2:$T$161,ScoringTable!$R$2:$R$161,,1))</f>
        <v>0</v>
      </c>
      <c r="N13" s="19"/>
      <c r="P13" s="3"/>
      <c r="Q13" s="125">
        <f t="shared" si="0"/>
        <v>0</v>
      </c>
      <c r="R13" s="126">
        <f t="shared" si="1"/>
        <v>0</v>
      </c>
      <c r="S13" s="127">
        <f t="shared" si="2"/>
        <v>0</v>
      </c>
      <c r="T13" s="126">
        <f t="shared" si="3"/>
        <v>0</v>
      </c>
      <c r="U13" s="128">
        <f t="shared" si="4"/>
        <v>0</v>
      </c>
      <c r="V13" s="3"/>
      <c r="W13" s="3"/>
      <c r="X13" s="3"/>
    </row>
    <row r="14" spans="1:24" s="7" customFormat="1" ht="16" customHeight="1">
      <c r="A14" s="121" t="s">
        <v>3</v>
      </c>
      <c r="B14" s="122" t="str">
        <f>IF(ISNA(VLOOKUP($F14,Declarations!B$6:C$293,2,FALSE)),"",IF(VLOOKUP($F14,Declarations!B$6:C$293,2,FALSE)="","NOT DECLARED",IF(ISNA(_xlfn.TEXTBEFORE(VLOOKUP($F14,Declarations!B$6:C$293,2,FALSE)," ")),VLOOKUP($F14,Declarations!B$6:C$293,2,FALSE),_xlfn.TEXTBEFORE(VLOOKUP($F14,Declarations!B$6:C$293,2,FALSE)," "))))</f>
        <v/>
      </c>
      <c r="C14" s="122" t="str">
        <f>IF(ISNA(VLOOKUP($F14,Declarations!B$6:C$293,2,FALSE)),"",IF(VLOOKUP($F14,Declarations!B$6:C$293,2,FALSE)="","NOT DECLARED",IF(ISNA(_xlfn.TEXTAFTER(VLOOKUP($F14,Declarations!B$6:C$293,2,FALSE)," ")),VLOOKUP($F14,Declarations!B$6:C$293,2,FALSE),_xlfn.TEXTAFTER(VLOOKUP($F14,Declarations!B$6:C$293,2,FALSE)," "))))</f>
        <v/>
      </c>
      <c r="D14" s="122" t="str">
        <f>IF(ISNA(VLOOKUP($F14,Declarations!$B$6:$F$293,5,FALSE)),"",IF(VLOOKUP($F14,Declarations!$B$6:$F$293,5,FALSE)="","NOT DECLARED",VLOOKUP($F14,Declarations!$B$6:$F$293,5,FALSE)))</f>
        <v/>
      </c>
      <c r="E14" s="120" t="str">
        <f>IF(ISNA(VLOOKUP($F14,Declarations!$B$6:$D$293,3,FALSE)),"",IF(VLOOKUP($F14,Declarations!$B$6:$D$293,3,FALSE)="","NOT DECLARED",VLOOKUP($F14,Declarations!$B$6:$D$293,3,FALSE)&amp;LEFT(VLOOKUP($F14,Declarations!$B$6:$E$293,4,FALSE))))</f>
        <v/>
      </c>
      <c r="F14" s="59"/>
      <c r="G14" s="123">
        <v>0</v>
      </c>
      <c r="H14" s="322"/>
      <c r="I14" s="122" t="str">
        <f>IF(ISNA(VLOOKUP(F14,Declarations!B$6:C$293,2,FALSE)),"",IF(VLOOKUP(F14,Declarations!B$6:C$293,2,FALSE)="","NOTDECLARED",VLOOKUP(F14,Declarations!B$6:C$293,2,FALSE)))</f>
        <v/>
      </c>
      <c r="J14" s="124">
        <f>IF(LOWER(G14)="dnf",1,IF(U14&lt;ScoringTable!C$3,ScoringTable!I$2,VLOOKUP((1000-U14),ScoringTable!H$2:I$95,2)))</f>
        <v>0</v>
      </c>
      <c r="K14" s="120" t="str" cm="1">
        <f t="array" ref="K14">IF(OR(E14="",G14=""),"",_xlfn.IFS(E14="U10B",_xlfn.XLOOKUP(G14,Data!$D$3:$L$3,Data!$D$1:$L$1,"",1,1),E14="U12B",_xlfn.XLOOKUP(G14,Data!$D$9:$L$9,Data!$D$1:$L$1,"",1,1),E14="U10G",_xlfn.XLOOKUP(G14,Data!$D$16:$L$16,Data!$D$1:$L$1,"",1,1),E14="U12G",_xlfn.XLOOKUP(G14,Data!$D$22:$L$22,Data!$D$1:$L$1,"",1,1)))</f>
        <v/>
      </c>
      <c r="L14" s="184" t="str" cm="1">
        <f t="array" ref="L14">IFERROR(_xlfn.IFNA(
                      _xlfn.IFS(
                      G14="", "",
                      G14=0, "",
                      AND(E14="U10B",G14&lt;=Data!$M$3), "U10 Boys record",
                      AND(E14="U12B",G14&lt;=Data!$M$9), "U12 Boys record",
                      AND(E14="U10G",G14&lt;=Data!$M$16), "U10 Girls record",
                      AND(E14="U12G",G14&lt;=Data!$M$22), "U12 Girls record"
                       ),""), "")</f>
        <v/>
      </c>
      <c r="M14" s="19" cm="1">
        <f t="array" ref="M14">_xlfn.IFS(OR($G14="",$G14=0),0, AND(NOT(ISNUMBER($G14)),LOWER($G14)&lt;&gt;"dnf"),"Not a valid time",OR(LOWER($G14)="dnf",$G14&gt;ScoringTable!$N$161),1,RIGHT($E14,1)="B",_xlfn.XLOOKUP($G14,ScoringTable!$N$2:$N$161,ScoringTable!$L$2:$L$161,,1),TRUE,_xlfn.XLOOKUP($G14,ScoringTable!$T$2:$T$161,ScoringTable!$R$2:$R$161,,1))</f>
        <v>0</v>
      </c>
      <c r="N14" s="19"/>
      <c r="P14" s="3"/>
      <c r="Q14" s="125">
        <f t="shared" si="0"/>
        <v>0</v>
      </c>
      <c r="R14" s="126">
        <f t="shared" si="1"/>
        <v>0</v>
      </c>
      <c r="S14" s="127">
        <f t="shared" si="2"/>
        <v>0</v>
      </c>
      <c r="T14" s="126">
        <f t="shared" si="3"/>
        <v>0</v>
      </c>
      <c r="U14" s="128">
        <f t="shared" si="4"/>
        <v>0</v>
      </c>
      <c r="V14" s="3"/>
      <c r="W14" s="3"/>
      <c r="X14" s="3"/>
    </row>
    <row r="15" spans="1:24" s="7" customFormat="1" ht="16" customHeight="1">
      <c r="A15" s="121" t="s">
        <v>3</v>
      </c>
      <c r="B15" s="122" t="str">
        <f>IF(ISNA(VLOOKUP($F15,Declarations!B$6:C$293,2,FALSE)),"",IF(VLOOKUP($F15,Declarations!B$6:C$293,2,FALSE)="","NOT DECLARED",IF(ISNA(_xlfn.TEXTBEFORE(VLOOKUP($F15,Declarations!B$6:C$293,2,FALSE)," ")),VLOOKUP($F15,Declarations!B$6:C$293,2,FALSE),_xlfn.TEXTBEFORE(VLOOKUP($F15,Declarations!B$6:C$293,2,FALSE)," "))))</f>
        <v/>
      </c>
      <c r="C15" s="122" t="str">
        <f>IF(ISNA(VLOOKUP($F15,Declarations!B$6:C$293,2,FALSE)),"",IF(VLOOKUP($F15,Declarations!B$6:C$293,2,FALSE)="","NOT DECLARED",IF(ISNA(_xlfn.TEXTAFTER(VLOOKUP($F15,Declarations!B$6:C$293,2,FALSE)," ")),VLOOKUP($F15,Declarations!B$6:C$293,2,FALSE),_xlfn.TEXTAFTER(VLOOKUP($F15,Declarations!B$6:C$293,2,FALSE)," "))))</f>
        <v/>
      </c>
      <c r="D15" s="122" t="str">
        <f>IF(ISNA(VLOOKUP($F15,Declarations!$B$6:$F$293,5,FALSE)),"",IF(VLOOKUP($F15,Declarations!$B$6:$F$293,5,FALSE)="","NOT DECLARED",VLOOKUP($F15,Declarations!$B$6:$F$293,5,FALSE)))</f>
        <v/>
      </c>
      <c r="E15" s="120" t="str">
        <f>IF(ISNA(VLOOKUP($F15,Declarations!$B$6:$D$293,3,FALSE)),"",IF(VLOOKUP($F15,Declarations!$B$6:$D$293,3,FALSE)="","NOT DECLARED",VLOOKUP($F15,Declarations!$B$6:$D$293,3,FALSE)&amp;LEFT(VLOOKUP($F15,Declarations!$B$6:$E$293,4,FALSE))))</f>
        <v/>
      </c>
      <c r="F15" s="59"/>
      <c r="G15" s="123">
        <v>0</v>
      </c>
      <c r="H15" s="322"/>
      <c r="I15" s="122" t="str">
        <f>IF(ISNA(VLOOKUP(F15,Declarations!B$6:C$293,2,FALSE)),"",IF(VLOOKUP(F15,Declarations!B$6:C$293,2,FALSE)="","NOTDECLARED",VLOOKUP(F15,Declarations!B$6:C$293,2,FALSE)))</f>
        <v/>
      </c>
      <c r="J15" s="124">
        <f>IF(LOWER(G15)="dnf",1,IF(U15&lt;ScoringTable!C$3,ScoringTable!I$2,VLOOKUP((1000-U15),ScoringTable!H$2:I$95,2)))</f>
        <v>0</v>
      </c>
      <c r="K15" s="120" t="str" cm="1">
        <f t="array" ref="K15">IF(OR(E15="",G15=""),"",_xlfn.IFS(E15="U10B",_xlfn.XLOOKUP(G15,Data!$D$3:$L$3,Data!$D$1:$L$1,"",1,1),E15="U12B",_xlfn.XLOOKUP(G15,Data!$D$9:$L$9,Data!$D$1:$L$1,"",1,1),E15="U10G",_xlfn.XLOOKUP(G15,Data!$D$16:$L$16,Data!$D$1:$L$1,"",1,1),E15="U12G",_xlfn.XLOOKUP(G15,Data!$D$22:$L$22,Data!$D$1:$L$1,"",1,1)))</f>
        <v/>
      </c>
      <c r="L15" s="184" t="str" cm="1">
        <f t="array" ref="L15">IFERROR(_xlfn.IFNA(
                      _xlfn.IFS(
                      G15="", "",
                      G15=0, "",
                      AND(E15="U10B",G15&lt;=Data!$M$3), "U10 Boys record",
                      AND(E15="U12B",G15&lt;=Data!$M$9), "U12 Boys record",
                      AND(E15="U10G",G15&lt;=Data!$M$16), "U10 Girls record",
                      AND(E15="U12G",G15&lt;=Data!$M$22), "U12 Girls record"
                       ),""), "")</f>
        <v/>
      </c>
      <c r="M15" s="19" cm="1">
        <f t="array" ref="M15">_xlfn.IFS(OR($G15="",$G15=0),0, AND(NOT(ISNUMBER($G15)),LOWER($G15)&lt;&gt;"dnf"),"Not a valid time",OR(LOWER($G15)="dnf",$G15&gt;ScoringTable!$N$161),1,RIGHT($E15,1)="B",_xlfn.XLOOKUP($G15,ScoringTable!$N$2:$N$161,ScoringTable!$L$2:$L$161,,1),TRUE,_xlfn.XLOOKUP($G15,ScoringTable!$T$2:$T$161,ScoringTable!$R$2:$R$161,,1))</f>
        <v>0</v>
      </c>
      <c r="N15" s="19"/>
      <c r="P15" s="3"/>
      <c r="Q15" s="125">
        <f t="shared" si="0"/>
        <v>0</v>
      </c>
      <c r="R15" s="126">
        <f t="shared" si="1"/>
        <v>0</v>
      </c>
      <c r="S15" s="127">
        <f t="shared" si="2"/>
        <v>0</v>
      </c>
      <c r="T15" s="126">
        <f t="shared" si="3"/>
        <v>0</v>
      </c>
      <c r="U15" s="128">
        <f t="shared" si="4"/>
        <v>0</v>
      </c>
      <c r="V15" s="3"/>
      <c r="W15" s="3"/>
      <c r="X15" s="3"/>
    </row>
    <row r="16" spans="1:24" s="7" customFormat="1" ht="16" customHeight="1">
      <c r="A16" s="121" t="s">
        <v>3</v>
      </c>
      <c r="B16" s="122" t="str">
        <f>IF(ISNA(VLOOKUP($F16,Declarations!B$6:C$293,2,FALSE)),"",IF(VLOOKUP($F16,Declarations!B$6:C$293,2,FALSE)="","NOT DECLARED",IF(ISNA(_xlfn.TEXTBEFORE(VLOOKUP($F16,Declarations!B$6:C$293,2,FALSE)," ")),VLOOKUP($F16,Declarations!B$6:C$293,2,FALSE),_xlfn.TEXTBEFORE(VLOOKUP($F16,Declarations!B$6:C$293,2,FALSE)," "))))</f>
        <v/>
      </c>
      <c r="C16" s="122" t="str">
        <f>IF(ISNA(VLOOKUP($F16,Declarations!B$6:C$293,2,FALSE)),"",IF(VLOOKUP($F16,Declarations!B$6:C$293,2,FALSE)="","NOT DECLARED",IF(ISNA(_xlfn.TEXTAFTER(VLOOKUP($F16,Declarations!B$6:C$293,2,FALSE)," ")),VLOOKUP($F16,Declarations!B$6:C$293,2,FALSE),_xlfn.TEXTAFTER(VLOOKUP($F16,Declarations!B$6:C$293,2,FALSE)," "))))</f>
        <v/>
      </c>
      <c r="D16" s="122" t="str">
        <f>IF(ISNA(VLOOKUP($F16,Declarations!$B$6:$F$293,5,FALSE)),"",IF(VLOOKUP($F16,Declarations!$B$6:$F$293,5,FALSE)="","NOT DECLARED",VLOOKUP($F16,Declarations!$B$6:$F$293,5,FALSE)))</f>
        <v/>
      </c>
      <c r="E16" s="120" t="str">
        <f>IF(ISNA(VLOOKUP($F16,Declarations!$B$6:$D$293,3,FALSE)),"",IF(VLOOKUP($F16,Declarations!$B$6:$D$293,3,FALSE)="","NOT DECLARED",VLOOKUP($F16,Declarations!$B$6:$D$293,3,FALSE)&amp;LEFT(VLOOKUP($F16,Declarations!$B$6:$E$293,4,FALSE))))</f>
        <v/>
      </c>
      <c r="F16" s="59"/>
      <c r="G16" s="123">
        <v>0</v>
      </c>
      <c r="H16" s="322"/>
      <c r="I16" s="122" t="str">
        <f>IF(ISNA(VLOOKUP(F16,Declarations!B$6:C$293,2,FALSE)),"",IF(VLOOKUP(F16,Declarations!B$6:C$293,2,FALSE)="","NOTDECLARED",VLOOKUP(F16,Declarations!B$6:C$293,2,FALSE)))</f>
        <v/>
      </c>
      <c r="J16" s="124">
        <f>IF(LOWER(G16)="dnf",1,IF(U16&lt;ScoringTable!C$3,ScoringTable!I$2,VLOOKUP((1000-U16),ScoringTable!H$2:I$95,2)))</f>
        <v>0</v>
      </c>
      <c r="K16" s="120" t="str" cm="1">
        <f t="array" ref="K16">IF(OR(E16="",G16=""),"",_xlfn.IFS(E16="U10B",_xlfn.XLOOKUP(G16,Data!$D$3:$L$3,Data!$D$1:$L$1,"",1,1),E16="U12B",_xlfn.XLOOKUP(G16,Data!$D$9:$L$9,Data!$D$1:$L$1,"",1,1),E16="U10G",_xlfn.XLOOKUP(G16,Data!$D$16:$L$16,Data!$D$1:$L$1,"",1,1),E16="U12G",_xlfn.XLOOKUP(G16,Data!$D$22:$L$22,Data!$D$1:$L$1,"",1,1)))</f>
        <v/>
      </c>
      <c r="L16" s="184" t="str" cm="1">
        <f t="array" ref="L16">IFERROR(_xlfn.IFNA(
                      _xlfn.IFS(
                      G16="", "",
                      G16=0, "",
                      AND(E16="U10B",G16&lt;=Data!$M$3), "U10 Boys record",
                      AND(E16="U12B",G16&lt;=Data!$M$9), "U12 Boys record",
                      AND(E16="U10G",G16&lt;=Data!$M$16), "U10 Girls record",
                      AND(E16="U12G",G16&lt;=Data!$M$22), "U12 Girls record"
                       ),""), "")</f>
        <v/>
      </c>
      <c r="M16" s="19" cm="1">
        <f t="array" ref="M16">_xlfn.IFS(OR($G16="",$G16=0),0, AND(NOT(ISNUMBER($G16)),LOWER($G16)&lt;&gt;"dnf"),"Not a valid time",OR(LOWER($G16)="dnf",$G16&gt;ScoringTable!$N$161),1,RIGHT($E16,1)="B",_xlfn.XLOOKUP($G16,ScoringTable!$N$2:$N$161,ScoringTable!$L$2:$L$161,,1),TRUE,_xlfn.XLOOKUP($G16,ScoringTable!$T$2:$T$161,ScoringTable!$R$2:$R$161,,1))</f>
        <v>0</v>
      </c>
      <c r="N16" s="19"/>
      <c r="P16" s="3"/>
      <c r="Q16" s="125">
        <f t="shared" si="0"/>
        <v>0</v>
      </c>
      <c r="R16" s="126">
        <f t="shared" si="1"/>
        <v>0</v>
      </c>
      <c r="S16" s="127">
        <f t="shared" si="2"/>
        <v>0</v>
      </c>
      <c r="T16" s="126">
        <f t="shared" si="3"/>
        <v>0</v>
      </c>
      <c r="U16" s="128">
        <f t="shared" si="4"/>
        <v>0</v>
      </c>
      <c r="V16" s="3"/>
      <c r="W16" s="3"/>
      <c r="X16" s="3"/>
    </row>
    <row r="17" spans="1:24" s="7" customFormat="1" ht="16" customHeight="1">
      <c r="A17" s="121" t="s">
        <v>3</v>
      </c>
      <c r="B17" s="122" t="str">
        <f>IF(ISNA(VLOOKUP($F17,Declarations!B$6:C$293,2,FALSE)),"",IF(VLOOKUP($F17,Declarations!B$6:C$293,2,FALSE)="","NOT DECLARED",IF(ISNA(_xlfn.TEXTBEFORE(VLOOKUP($F17,Declarations!B$6:C$293,2,FALSE)," ")),VLOOKUP($F17,Declarations!B$6:C$293,2,FALSE),_xlfn.TEXTBEFORE(VLOOKUP($F17,Declarations!B$6:C$293,2,FALSE)," "))))</f>
        <v/>
      </c>
      <c r="C17" s="122" t="str">
        <f>IF(ISNA(VLOOKUP($F17,Declarations!B$6:C$293,2,FALSE)),"",IF(VLOOKUP($F17,Declarations!B$6:C$293,2,FALSE)="","NOT DECLARED",IF(ISNA(_xlfn.TEXTAFTER(VLOOKUP($F17,Declarations!B$6:C$293,2,FALSE)," ")),VLOOKUP($F17,Declarations!B$6:C$293,2,FALSE),_xlfn.TEXTAFTER(VLOOKUP($F17,Declarations!B$6:C$293,2,FALSE)," "))))</f>
        <v/>
      </c>
      <c r="D17" s="122" t="str">
        <f>IF(ISNA(VLOOKUP($F17,Declarations!$B$6:$F$293,5,FALSE)),"",IF(VLOOKUP($F17,Declarations!$B$6:$F$293,5,FALSE)="","NOT DECLARED",VLOOKUP($F17,Declarations!$B$6:$F$293,5,FALSE)))</f>
        <v/>
      </c>
      <c r="E17" s="120" t="str">
        <f>IF(ISNA(VLOOKUP($F17,Declarations!$B$6:$D$293,3,FALSE)),"",IF(VLOOKUP($F17,Declarations!$B$6:$D$293,3,FALSE)="","NOT DECLARED",VLOOKUP($F17,Declarations!$B$6:$D$293,3,FALSE)&amp;LEFT(VLOOKUP($F17,Declarations!$B$6:$E$293,4,FALSE))))</f>
        <v/>
      </c>
      <c r="F17" s="59"/>
      <c r="G17" s="123">
        <v>0</v>
      </c>
      <c r="H17" s="322"/>
      <c r="I17" s="122" t="str">
        <f>IF(ISNA(VLOOKUP(F17,Declarations!B$6:C$293,2,FALSE)),"",IF(VLOOKUP(F17,Declarations!B$6:C$293,2,FALSE)="","NOTDECLARED",VLOOKUP(F17,Declarations!B$6:C$293,2,FALSE)))</f>
        <v/>
      </c>
      <c r="J17" s="124">
        <f>IF(LOWER(G17)="dnf",1,IF(U17&lt;ScoringTable!C$3,ScoringTable!I$2,VLOOKUP((1000-U17),ScoringTable!H$2:I$95,2)))</f>
        <v>0</v>
      </c>
      <c r="K17" s="120" t="str" cm="1">
        <f t="array" ref="K17">IF(OR(E17="",G17=""),"",_xlfn.IFS(E17="U10B",_xlfn.XLOOKUP(G17,Data!$D$3:$L$3,Data!$D$1:$L$1,"",1,1),E17="U12B",_xlfn.XLOOKUP(G17,Data!$D$9:$L$9,Data!$D$1:$L$1,"",1,1),E17="U10G",_xlfn.XLOOKUP(G17,Data!$D$16:$L$16,Data!$D$1:$L$1,"",1,1),E17="U12G",_xlfn.XLOOKUP(G17,Data!$D$22:$L$22,Data!$D$1:$L$1,"",1,1)))</f>
        <v/>
      </c>
      <c r="L17" s="184" t="str" cm="1">
        <f t="array" ref="L17">IFERROR(_xlfn.IFNA(
                      _xlfn.IFS(
                      G17="", "",
                      G17=0, "",
                      AND(E17="U10B",G17&lt;=Data!$M$3), "U10 Boys record",
                      AND(E17="U12B",G17&lt;=Data!$M$9), "U12 Boys record",
                      AND(E17="U10G",G17&lt;=Data!$M$16), "U10 Girls record",
                      AND(E17="U12G",G17&lt;=Data!$M$22), "U12 Girls record"
                       ),""), "")</f>
        <v/>
      </c>
      <c r="M17" s="19" cm="1">
        <f t="array" ref="M17">_xlfn.IFS(OR($G17="",$G17=0),0, AND(NOT(ISNUMBER($G17)),LOWER($G17)&lt;&gt;"dnf"),"Not a valid time",OR(LOWER($G17)="dnf",$G17&gt;ScoringTable!$N$161),1,RIGHT($E17,1)="B",_xlfn.XLOOKUP($G17,ScoringTable!$N$2:$N$161,ScoringTable!$L$2:$L$161,,1),TRUE,_xlfn.XLOOKUP($G17,ScoringTable!$T$2:$T$161,ScoringTable!$R$2:$R$161,,1))</f>
        <v>0</v>
      </c>
      <c r="N17" s="19"/>
      <c r="P17" s="3"/>
      <c r="Q17" s="125">
        <f t="shared" si="0"/>
        <v>0</v>
      </c>
      <c r="R17" s="126">
        <f t="shared" si="1"/>
        <v>0</v>
      </c>
      <c r="S17" s="127">
        <f t="shared" si="2"/>
        <v>0</v>
      </c>
      <c r="T17" s="126">
        <f t="shared" si="3"/>
        <v>0</v>
      </c>
      <c r="U17" s="128">
        <f t="shared" si="4"/>
        <v>0</v>
      </c>
      <c r="V17" s="3"/>
      <c r="W17" s="3"/>
      <c r="X17" s="3"/>
    </row>
    <row r="18" spans="1:24" s="7" customFormat="1" ht="16" customHeight="1">
      <c r="A18" s="121" t="s">
        <v>3</v>
      </c>
      <c r="B18" s="122" t="str">
        <f>IF(ISNA(VLOOKUP($F18,Declarations!B$6:C$293,2,FALSE)),"",IF(VLOOKUP($F18,Declarations!B$6:C$293,2,FALSE)="","NOT DECLARED",IF(ISNA(_xlfn.TEXTBEFORE(VLOOKUP($F18,Declarations!B$6:C$293,2,FALSE)," ")),VLOOKUP($F18,Declarations!B$6:C$293,2,FALSE),_xlfn.TEXTBEFORE(VLOOKUP($F18,Declarations!B$6:C$293,2,FALSE)," "))))</f>
        <v/>
      </c>
      <c r="C18" s="122" t="str">
        <f>IF(ISNA(VLOOKUP($F18,Declarations!B$6:C$293,2,FALSE)),"",IF(VLOOKUP($F18,Declarations!B$6:C$293,2,FALSE)="","NOT DECLARED",IF(ISNA(_xlfn.TEXTAFTER(VLOOKUP($F18,Declarations!B$6:C$293,2,FALSE)," ")),VLOOKUP($F18,Declarations!B$6:C$293,2,FALSE),_xlfn.TEXTAFTER(VLOOKUP($F18,Declarations!B$6:C$293,2,FALSE)," "))))</f>
        <v/>
      </c>
      <c r="D18" s="122" t="str">
        <f>IF(ISNA(VLOOKUP($F18,Declarations!$B$6:$F$293,5,FALSE)),"",IF(VLOOKUP($F18,Declarations!$B$6:$F$293,5,FALSE)="","NOT DECLARED",VLOOKUP($F18,Declarations!$B$6:$F$293,5,FALSE)))</f>
        <v/>
      </c>
      <c r="E18" s="120" t="str">
        <f>IF(ISNA(VLOOKUP($F18,Declarations!$B$6:$D$293,3,FALSE)),"",IF(VLOOKUP($F18,Declarations!$B$6:$D$293,3,FALSE)="","NOT DECLARED",VLOOKUP($F18,Declarations!$B$6:$D$293,3,FALSE)&amp;LEFT(VLOOKUP($F18,Declarations!$B$6:$E$293,4,FALSE))))</f>
        <v/>
      </c>
      <c r="F18" s="59"/>
      <c r="G18" s="123">
        <v>0</v>
      </c>
      <c r="H18" s="322"/>
      <c r="I18" s="122" t="str">
        <f>IF(ISNA(VLOOKUP(F18,Declarations!B$6:C$293,2,FALSE)),"",IF(VLOOKUP(F18,Declarations!B$6:C$293,2,FALSE)="","NOTDECLARED",VLOOKUP(F18,Declarations!B$6:C$293,2,FALSE)))</f>
        <v/>
      </c>
      <c r="J18" s="124">
        <f>IF(LOWER(G18)="dnf",1,IF(U18&lt;ScoringTable!C$3,ScoringTable!I$2,VLOOKUP((1000-U18),ScoringTable!H$2:I$95,2)))</f>
        <v>0</v>
      </c>
      <c r="K18" s="120" t="str" cm="1">
        <f t="array" ref="K18">IF(OR(E18="",G18=""),"",_xlfn.IFS(E18="U10B",_xlfn.XLOOKUP(G18,Data!$D$3:$L$3,Data!$D$1:$L$1,"",1,1),E18="U12B",_xlfn.XLOOKUP(G18,Data!$D$9:$L$9,Data!$D$1:$L$1,"",1,1),E18="U10G",_xlfn.XLOOKUP(G18,Data!$D$16:$L$16,Data!$D$1:$L$1,"",1,1),E18="U12G",_xlfn.XLOOKUP(G18,Data!$D$22:$L$22,Data!$D$1:$L$1,"",1,1)))</f>
        <v/>
      </c>
      <c r="L18" s="184" t="str" cm="1">
        <f t="array" ref="L18">IFERROR(_xlfn.IFNA(
                      _xlfn.IFS(
                      G18="", "",
                      G18=0, "",
                      AND(E18="U10B",G18&lt;=Data!$M$3), "U10 Boys record",
                      AND(E18="U12B",G18&lt;=Data!$M$9), "U12 Boys record",
                      AND(E18="U10G",G18&lt;=Data!$M$16), "U10 Girls record",
                      AND(E18="U12G",G18&lt;=Data!$M$22), "U12 Girls record"
                       ),""), "")</f>
        <v/>
      </c>
      <c r="M18" s="19" cm="1">
        <f t="array" ref="M18">_xlfn.IFS(OR($G18="",$G18=0),0, AND(NOT(ISNUMBER($G18)),LOWER($G18)&lt;&gt;"dnf"),"Not a valid time",OR(LOWER($G18)="dnf",$G18&gt;ScoringTable!$N$161),1,RIGHT($E18,1)="B",_xlfn.XLOOKUP($G18,ScoringTable!$N$2:$N$161,ScoringTable!$L$2:$L$161,,1),TRUE,_xlfn.XLOOKUP($G18,ScoringTable!$T$2:$T$161,ScoringTable!$R$2:$R$161,,1))</f>
        <v>0</v>
      </c>
      <c r="N18" s="19"/>
      <c r="P18" s="3"/>
      <c r="Q18" s="125">
        <f t="shared" si="0"/>
        <v>0</v>
      </c>
      <c r="R18" s="126">
        <f t="shared" si="1"/>
        <v>0</v>
      </c>
      <c r="S18" s="127">
        <f t="shared" si="2"/>
        <v>0</v>
      </c>
      <c r="T18" s="126">
        <f t="shared" si="3"/>
        <v>0</v>
      </c>
      <c r="U18" s="128">
        <f t="shared" si="4"/>
        <v>0</v>
      </c>
      <c r="V18" s="3"/>
      <c r="W18" s="3"/>
      <c r="X18" s="3"/>
    </row>
    <row r="19" spans="1:24" s="7" customFormat="1" ht="16" customHeight="1">
      <c r="A19" s="121" t="s">
        <v>3</v>
      </c>
      <c r="B19" s="122" t="str">
        <f>IF(ISNA(VLOOKUP($F19,Declarations!B$6:C$293,2,FALSE)),"",IF(VLOOKUP($F19,Declarations!B$6:C$293,2,FALSE)="","NOT DECLARED",IF(ISNA(_xlfn.TEXTBEFORE(VLOOKUP($F19,Declarations!B$6:C$293,2,FALSE)," ")),VLOOKUP($F19,Declarations!B$6:C$293,2,FALSE),_xlfn.TEXTBEFORE(VLOOKUP($F19,Declarations!B$6:C$293,2,FALSE)," "))))</f>
        <v/>
      </c>
      <c r="C19" s="122" t="str">
        <f>IF(ISNA(VLOOKUP($F19,Declarations!B$6:C$293,2,FALSE)),"",IF(VLOOKUP($F19,Declarations!B$6:C$293,2,FALSE)="","NOT DECLARED",IF(ISNA(_xlfn.TEXTAFTER(VLOOKUP($F19,Declarations!B$6:C$293,2,FALSE)," ")),VLOOKUP($F19,Declarations!B$6:C$293,2,FALSE),_xlfn.TEXTAFTER(VLOOKUP($F19,Declarations!B$6:C$293,2,FALSE)," "))))</f>
        <v/>
      </c>
      <c r="D19" s="122" t="str">
        <f>IF(ISNA(VLOOKUP($F19,Declarations!$B$6:$F$293,5,FALSE)),"",IF(VLOOKUP($F19,Declarations!$B$6:$F$293,5,FALSE)="","NOT DECLARED",VLOOKUP($F19,Declarations!$B$6:$F$293,5,FALSE)))</f>
        <v/>
      </c>
      <c r="E19" s="120" t="str">
        <f>IF(ISNA(VLOOKUP($F19,Declarations!$B$6:$D$293,3,FALSE)),"",IF(VLOOKUP($F19,Declarations!$B$6:$D$293,3,FALSE)="","NOT DECLARED",VLOOKUP($F19,Declarations!$B$6:$D$293,3,FALSE)&amp;LEFT(VLOOKUP($F19,Declarations!$B$6:$E$293,4,FALSE))))</f>
        <v/>
      </c>
      <c r="F19" s="59"/>
      <c r="G19" s="123">
        <v>0</v>
      </c>
      <c r="H19" s="322"/>
      <c r="I19" s="122" t="str">
        <f>IF(ISNA(VLOOKUP(F19,Declarations!B$6:C$293,2,FALSE)),"",IF(VLOOKUP(F19,Declarations!B$6:C$293,2,FALSE)="","NOTDECLARED",VLOOKUP(F19,Declarations!B$6:C$293,2,FALSE)))</f>
        <v/>
      </c>
      <c r="J19" s="124">
        <f>IF(LOWER(G19)="dnf",1,IF(U19&lt;ScoringTable!C$3,ScoringTable!I$2,VLOOKUP((1000-U19),ScoringTable!H$2:I$95,2)))</f>
        <v>0</v>
      </c>
      <c r="K19" s="120" t="str" cm="1">
        <f t="array" ref="K19">IF(OR(E19="",G19=""),"",_xlfn.IFS(E19="U10B",_xlfn.XLOOKUP(G19,Data!$D$3:$L$3,Data!$D$1:$L$1,"",1,1),E19="U12B",_xlfn.XLOOKUP(G19,Data!$D$9:$L$9,Data!$D$1:$L$1,"",1,1),E19="U10G",_xlfn.XLOOKUP(G19,Data!$D$16:$L$16,Data!$D$1:$L$1,"",1,1),E19="U12G",_xlfn.XLOOKUP(G19,Data!$D$22:$L$22,Data!$D$1:$L$1,"",1,1)))</f>
        <v/>
      </c>
      <c r="L19" s="184" t="str" cm="1">
        <f t="array" ref="L19">IFERROR(_xlfn.IFNA(
                      _xlfn.IFS(
                      G19="", "",
                      G19=0, "",
                      AND(E19="U10B",G19&lt;=Data!$M$3), "U10 Boys record",
                      AND(E19="U12B",G19&lt;=Data!$M$9), "U12 Boys record",
                      AND(E19="U10G",G19&lt;=Data!$M$16), "U10 Girls record",
                      AND(E19="U12G",G19&lt;=Data!$M$22), "U12 Girls record"
                       ),""), "")</f>
        <v/>
      </c>
      <c r="M19" s="19" cm="1">
        <f t="array" ref="M19">_xlfn.IFS(OR($G19="",$G19=0),0, AND(NOT(ISNUMBER($G19)),LOWER($G19)&lt;&gt;"dnf"),"Not a valid time",OR(LOWER($G19)="dnf",$G19&gt;ScoringTable!$N$161),1,RIGHT($E19,1)="B",_xlfn.XLOOKUP($G19,ScoringTable!$N$2:$N$161,ScoringTable!$L$2:$L$161,,1),TRUE,_xlfn.XLOOKUP($G19,ScoringTable!$T$2:$T$161,ScoringTable!$R$2:$R$161,,1))</f>
        <v>0</v>
      </c>
      <c r="N19" s="19"/>
      <c r="P19" s="3"/>
      <c r="Q19" s="125">
        <f t="shared" si="0"/>
        <v>0</v>
      </c>
      <c r="R19" s="126">
        <f t="shared" si="1"/>
        <v>0</v>
      </c>
      <c r="S19" s="127">
        <f t="shared" si="2"/>
        <v>0</v>
      </c>
      <c r="T19" s="126">
        <f t="shared" si="3"/>
        <v>0</v>
      </c>
      <c r="U19" s="128">
        <f t="shared" si="4"/>
        <v>0</v>
      </c>
      <c r="V19" s="3"/>
      <c r="W19" s="3"/>
      <c r="X19" s="3"/>
    </row>
    <row r="20" spans="1:24" s="7" customFormat="1" ht="16" customHeight="1">
      <c r="A20" s="121" t="s">
        <v>3</v>
      </c>
      <c r="B20" s="122" t="str">
        <f>IF(ISNA(VLOOKUP($F20,Declarations!B$6:C$293,2,FALSE)),"",IF(VLOOKUP($F20,Declarations!B$6:C$293,2,FALSE)="","NOT DECLARED",IF(ISNA(_xlfn.TEXTBEFORE(VLOOKUP($F20,Declarations!B$6:C$293,2,FALSE)," ")),VLOOKUP($F20,Declarations!B$6:C$293,2,FALSE),_xlfn.TEXTBEFORE(VLOOKUP($F20,Declarations!B$6:C$293,2,FALSE)," "))))</f>
        <v/>
      </c>
      <c r="C20" s="122" t="str">
        <f>IF(ISNA(VLOOKUP($F20,Declarations!B$6:C$293,2,FALSE)),"",IF(VLOOKUP($F20,Declarations!B$6:C$293,2,FALSE)="","NOT DECLARED",IF(ISNA(_xlfn.TEXTAFTER(VLOOKUP($F20,Declarations!B$6:C$293,2,FALSE)," ")),VLOOKUP($F20,Declarations!B$6:C$293,2,FALSE),_xlfn.TEXTAFTER(VLOOKUP($F20,Declarations!B$6:C$293,2,FALSE)," "))))</f>
        <v/>
      </c>
      <c r="D20" s="122" t="str">
        <f>IF(ISNA(VLOOKUP($F20,Declarations!$B$6:$F$293,5,FALSE)),"",IF(VLOOKUP($F20,Declarations!$B$6:$F$293,5,FALSE)="","NOT DECLARED",VLOOKUP($F20,Declarations!$B$6:$F$293,5,FALSE)))</f>
        <v/>
      </c>
      <c r="E20" s="120" t="str">
        <f>IF(ISNA(VLOOKUP($F20,Declarations!$B$6:$D$293,3,FALSE)),"",IF(VLOOKUP($F20,Declarations!$B$6:$D$293,3,FALSE)="","NOT DECLARED",VLOOKUP($F20,Declarations!$B$6:$D$293,3,FALSE)&amp;LEFT(VLOOKUP($F20,Declarations!$B$6:$E$293,4,FALSE))))</f>
        <v/>
      </c>
      <c r="F20" s="59"/>
      <c r="G20" s="123">
        <v>0</v>
      </c>
      <c r="H20" s="322"/>
      <c r="I20" s="122" t="str">
        <f>IF(ISNA(VLOOKUP(F20,Declarations!B$6:C$293,2,FALSE)),"",IF(VLOOKUP(F20,Declarations!B$6:C$293,2,FALSE)="","NOTDECLARED",VLOOKUP(F20,Declarations!B$6:C$293,2,FALSE)))</f>
        <v/>
      </c>
      <c r="J20" s="124">
        <f>IF(LOWER(G20)="dnf",1,IF(U20&lt;ScoringTable!C$3,ScoringTable!I$2,VLOOKUP((1000-U20),ScoringTable!H$2:I$95,2)))</f>
        <v>0</v>
      </c>
      <c r="K20" s="120" t="str" cm="1">
        <f t="array" ref="K20">IF(OR(E20="",G20=""),"",_xlfn.IFS(E20="U10B",_xlfn.XLOOKUP(G20,Data!$D$3:$L$3,Data!$D$1:$L$1,"",1,1),E20="U12B",_xlfn.XLOOKUP(G20,Data!$D$9:$L$9,Data!$D$1:$L$1,"",1,1),E20="U10G",_xlfn.XLOOKUP(G20,Data!$D$16:$L$16,Data!$D$1:$L$1,"",1,1),E20="U12G",_xlfn.XLOOKUP(G20,Data!$D$22:$L$22,Data!$D$1:$L$1,"",1,1)))</f>
        <v/>
      </c>
      <c r="L20" s="184" t="str" cm="1">
        <f t="array" ref="L20">IFERROR(_xlfn.IFNA(
                      _xlfn.IFS(
                      G20="", "",
                      G20=0, "",
                      AND(E20="U10B",G20&lt;=Data!$M$3), "U10 Boys record",
                      AND(E20="U12B",G20&lt;=Data!$M$9), "U12 Boys record",
                      AND(E20="U10G",G20&lt;=Data!$M$16), "U10 Girls record",
                      AND(E20="U12G",G20&lt;=Data!$M$22), "U12 Girls record"
                       ),""), "")</f>
        <v/>
      </c>
      <c r="M20" s="19" cm="1">
        <f t="array" ref="M20">_xlfn.IFS(OR($G20="",$G20=0),0, AND(NOT(ISNUMBER($G20)),LOWER($G20)&lt;&gt;"dnf"),"Not a valid time",OR(LOWER($G20)="dnf",$G20&gt;ScoringTable!$N$161),1,RIGHT($E20,1)="B",_xlfn.XLOOKUP($G20,ScoringTable!$N$2:$N$161,ScoringTable!$L$2:$L$161,,1),TRUE,_xlfn.XLOOKUP($G20,ScoringTable!$T$2:$T$161,ScoringTable!$R$2:$R$161,,1))</f>
        <v>0</v>
      </c>
      <c r="N20" s="19"/>
      <c r="Q20" s="125">
        <f t="shared" si="0"/>
        <v>0</v>
      </c>
      <c r="R20" s="126">
        <f t="shared" si="1"/>
        <v>0</v>
      </c>
      <c r="S20" s="127">
        <f t="shared" si="2"/>
        <v>0</v>
      </c>
      <c r="T20" s="126">
        <f t="shared" si="3"/>
        <v>0</v>
      </c>
      <c r="U20" s="128">
        <f t="shared" si="4"/>
        <v>0</v>
      </c>
      <c r="V20" s="3"/>
      <c r="W20" s="3"/>
      <c r="X20" s="3"/>
    </row>
    <row r="21" spans="1:24" s="7" customFormat="1" ht="16" customHeight="1">
      <c r="A21" s="121" t="s">
        <v>3</v>
      </c>
      <c r="B21" s="122" t="str">
        <f>IF(ISNA(VLOOKUP($F21,Declarations!B$6:C$293,2,FALSE)),"",IF(VLOOKUP($F21,Declarations!B$6:C$293,2,FALSE)="","NOT DECLARED",IF(ISNA(_xlfn.TEXTBEFORE(VLOOKUP($F21,Declarations!B$6:C$293,2,FALSE)," ")),VLOOKUP($F21,Declarations!B$6:C$293,2,FALSE),_xlfn.TEXTBEFORE(VLOOKUP($F21,Declarations!B$6:C$293,2,FALSE)," "))))</f>
        <v/>
      </c>
      <c r="C21" s="122" t="str">
        <f>IF(ISNA(VLOOKUP($F21,Declarations!B$6:C$293,2,FALSE)),"",IF(VLOOKUP($F21,Declarations!B$6:C$293,2,FALSE)="","NOT DECLARED",IF(ISNA(_xlfn.TEXTAFTER(VLOOKUP($F21,Declarations!B$6:C$293,2,FALSE)," ")),VLOOKUP($F21,Declarations!B$6:C$293,2,FALSE),_xlfn.TEXTAFTER(VLOOKUP($F21,Declarations!B$6:C$293,2,FALSE)," "))))</f>
        <v/>
      </c>
      <c r="D21" s="122" t="str">
        <f>IF(ISNA(VLOOKUP($F21,Declarations!$B$6:$F$293,5,FALSE)),"",IF(VLOOKUP($F21,Declarations!$B$6:$F$293,5,FALSE)="","NOT DECLARED",VLOOKUP($F21,Declarations!$B$6:$F$293,5,FALSE)))</f>
        <v/>
      </c>
      <c r="E21" s="120" t="str">
        <f>IF(ISNA(VLOOKUP($F21,Declarations!$B$6:$D$293,3,FALSE)),"",IF(VLOOKUP($F21,Declarations!$B$6:$D$293,3,FALSE)="","NOT DECLARED",VLOOKUP($F21,Declarations!$B$6:$D$293,3,FALSE)&amp;LEFT(VLOOKUP($F21,Declarations!$B$6:$E$293,4,FALSE))))</f>
        <v/>
      </c>
      <c r="F21" s="59"/>
      <c r="G21" s="123">
        <v>0</v>
      </c>
      <c r="H21" s="322"/>
      <c r="I21" s="122" t="str">
        <f>IF(ISNA(VLOOKUP(F21,Declarations!B$6:C$293,2,FALSE)),"",IF(VLOOKUP(F21,Declarations!B$6:C$293,2,FALSE)="","NOTDECLARED",VLOOKUP(F21,Declarations!B$6:C$293,2,FALSE)))</f>
        <v/>
      </c>
      <c r="J21" s="124">
        <f>IF(LOWER(G21)="dnf",1,IF(U21&lt;ScoringTable!C$3,ScoringTable!I$2,VLOOKUP((1000-U21),ScoringTable!H$2:I$95,2)))</f>
        <v>0</v>
      </c>
      <c r="K21" s="120" t="str" cm="1">
        <f t="array" ref="K21">IF(OR(E21="",G21=""),"",_xlfn.IFS(E21="U10B",_xlfn.XLOOKUP(G21,Data!$D$3:$L$3,Data!$D$1:$L$1,"",1,1),E21="U12B",_xlfn.XLOOKUP(G21,Data!$D$9:$L$9,Data!$D$1:$L$1,"",1,1),E21="U10G",_xlfn.XLOOKUP(G21,Data!$D$16:$L$16,Data!$D$1:$L$1,"",1,1),E21="U12G",_xlfn.XLOOKUP(G21,Data!$D$22:$L$22,Data!$D$1:$L$1,"",1,1)))</f>
        <v/>
      </c>
      <c r="L21" s="184" t="str" cm="1">
        <f t="array" ref="L21">IFERROR(_xlfn.IFNA(
                      _xlfn.IFS(
                      G21="", "",
                      G21=0, "",
                      AND(E21="U10B",G21&lt;=Data!$M$3), "U10 Boys record",
                      AND(E21="U12B",G21&lt;=Data!$M$9), "U12 Boys record",
                      AND(E21="U10G",G21&lt;=Data!$M$16), "U10 Girls record",
                      AND(E21="U12G",G21&lt;=Data!$M$22), "U12 Girls record"
                       ),""), "")</f>
        <v/>
      </c>
      <c r="M21" s="19" cm="1">
        <f t="array" ref="M21">_xlfn.IFS(OR($G21="",$G21=0),0, AND(NOT(ISNUMBER($G21)),LOWER($G21)&lt;&gt;"dnf"),"Not a valid time",OR(LOWER($G21)="dnf",$G21&gt;ScoringTable!$N$161),1,RIGHT($E21,1)="B",_xlfn.XLOOKUP($G21,ScoringTable!$N$2:$N$161,ScoringTable!$L$2:$L$161,,1),TRUE,_xlfn.XLOOKUP($G21,ScoringTable!$T$2:$T$161,ScoringTable!$R$2:$R$161,,1))</f>
        <v>0</v>
      </c>
      <c r="N21" s="19"/>
      <c r="Q21" s="125">
        <f t="shared" si="0"/>
        <v>0</v>
      </c>
      <c r="R21" s="126">
        <f t="shared" si="1"/>
        <v>0</v>
      </c>
      <c r="S21" s="127">
        <f t="shared" si="2"/>
        <v>0</v>
      </c>
      <c r="T21" s="126">
        <f t="shared" si="3"/>
        <v>0</v>
      </c>
      <c r="U21" s="128">
        <f t="shared" si="4"/>
        <v>0</v>
      </c>
      <c r="V21" s="3"/>
      <c r="W21" s="3"/>
      <c r="X21" s="3"/>
    </row>
    <row r="22" spans="1:24" s="3" customFormat="1" ht="16" customHeight="1">
      <c r="A22" s="121" t="s">
        <v>3</v>
      </c>
      <c r="B22" s="122" t="str">
        <f>IF(ISNA(VLOOKUP($F22,Declarations!B$6:C$293,2,FALSE)),"",IF(VLOOKUP($F22,Declarations!B$6:C$293,2,FALSE)="","NOT DECLARED",IF(ISNA(_xlfn.TEXTBEFORE(VLOOKUP($F22,Declarations!B$6:C$293,2,FALSE)," ")),VLOOKUP($F22,Declarations!B$6:C$293,2,FALSE),_xlfn.TEXTBEFORE(VLOOKUP($F22,Declarations!B$6:C$293,2,FALSE)," "))))</f>
        <v/>
      </c>
      <c r="C22" s="122" t="str">
        <f>IF(ISNA(VLOOKUP($F22,Declarations!B$6:C$293,2,FALSE)),"",IF(VLOOKUP($F22,Declarations!B$6:C$293,2,FALSE)="","NOT DECLARED",IF(ISNA(_xlfn.TEXTAFTER(VLOOKUP($F22,Declarations!B$6:C$293,2,FALSE)," ")),VLOOKUP($F22,Declarations!B$6:C$293,2,FALSE),_xlfn.TEXTAFTER(VLOOKUP($F22,Declarations!B$6:C$293,2,FALSE)," "))))</f>
        <v/>
      </c>
      <c r="D22" s="122" t="str">
        <f>IF(ISNA(VLOOKUP($F22,Declarations!$B$6:$F$293,5,FALSE)),"",IF(VLOOKUP($F22,Declarations!$B$6:$F$293,5,FALSE)="","NOT DECLARED",VLOOKUP($F22,Declarations!$B$6:$F$293,5,FALSE)))</f>
        <v/>
      </c>
      <c r="E22" s="120" t="str">
        <f>IF(ISNA(VLOOKUP($F22,Declarations!$B$6:$D$293,3,FALSE)),"",IF(VLOOKUP($F22,Declarations!$B$6:$D$293,3,FALSE)="","NOT DECLARED",VLOOKUP($F22,Declarations!$B$6:$D$293,3,FALSE)&amp;LEFT(VLOOKUP($F22,Declarations!$B$6:$E$293,4,FALSE))))</f>
        <v/>
      </c>
      <c r="F22" s="59"/>
      <c r="G22" s="123">
        <v>0</v>
      </c>
      <c r="H22" s="322"/>
      <c r="I22" s="122" t="str">
        <f>IF(ISNA(VLOOKUP(F22,Declarations!B$6:C$293,2,FALSE)),"",IF(VLOOKUP(F22,Declarations!B$6:C$293,2,FALSE)="","NOTDECLARED",VLOOKUP(F22,Declarations!B$6:C$293,2,FALSE)))</f>
        <v/>
      </c>
      <c r="J22" s="124">
        <f>IF(LOWER(G22)="dnf",1,IF(U22&lt;ScoringTable!C$3,ScoringTable!I$2,VLOOKUP((1000-U22),ScoringTable!H$2:I$95,2)))</f>
        <v>0</v>
      </c>
      <c r="K22" s="120" t="str" cm="1">
        <f t="array" ref="K22">IF(OR(E22="",G22=""),"",_xlfn.IFS(E22="U10B",_xlfn.XLOOKUP(G22,Data!$D$3:$L$3,Data!$D$1:$L$1,"",1,1),E22="U12B",_xlfn.XLOOKUP(G22,Data!$D$9:$L$9,Data!$D$1:$L$1,"",1,1),E22="U10G",_xlfn.XLOOKUP(G22,Data!$D$16:$L$16,Data!$D$1:$L$1,"",1,1),E22="U12G",_xlfn.XLOOKUP(G22,Data!$D$22:$L$22,Data!$D$1:$L$1,"",1,1)))</f>
        <v/>
      </c>
      <c r="L22" s="184" t="str" cm="1">
        <f t="array" ref="L22">IFERROR(_xlfn.IFNA(
                      _xlfn.IFS(
                      G22="", "",
                      G22=0, "",
                      AND(E22="U10B",G22&lt;=Data!$M$3), "U10 Boys record",
                      AND(E22="U12B",G22&lt;=Data!$M$9), "U12 Boys record",
                      AND(E22="U10G",G22&lt;=Data!$M$16), "U10 Girls record",
                      AND(E22="U12G",G22&lt;=Data!$M$22), "U12 Girls record"
                       ),""), "")</f>
        <v/>
      </c>
      <c r="M22" s="19" cm="1">
        <f t="array" ref="M22">_xlfn.IFS(OR($G22="",$G22=0),0, AND(NOT(ISNUMBER($G22)),LOWER($G22)&lt;&gt;"dnf"),"Not a valid time",OR(LOWER($G22)="dnf",$G22&gt;ScoringTable!$N$161),1,RIGHT($E22,1)="B",_xlfn.XLOOKUP($G22,ScoringTable!$N$2:$N$161,ScoringTable!$L$2:$L$161,,1),TRUE,_xlfn.XLOOKUP($G22,ScoringTable!$T$2:$T$161,ScoringTable!$R$2:$R$161,,1))</f>
        <v>0</v>
      </c>
      <c r="N22" s="19"/>
      <c r="Q22" s="125">
        <f t="shared" si="0"/>
        <v>0</v>
      </c>
      <c r="R22" s="126">
        <f t="shared" si="1"/>
        <v>0</v>
      </c>
      <c r="S22" s="127">
        <f t="shared" si="2"/>
        <v>0</v>
      </c>
      <c r="T22" s="126">
        <f t="shared" si="3"/>
        <v>0</v>
      </c>
      <c r="U22" s="128">
        <f t="shared" si="4"/>
        <v>0</v>
      </c>
    </row>
    <row r="23" spans="1:24" s="3" customFormat="1" ht="16" customHeight="1">
      <c r="A23" s="121" t="s">
        <v>3</v>
      </c>
      <c r="B23" s="122" t="str">
        <f>IF(ISNA(VLOOKUP($F23,Declarations!B$6:C$293,2,FALSE)),"",IF(VLOOKUP($F23,Declarations!B$6:C$293,2,FALSE)="","NOT DECLARED",IF(ISNA(_xlfn.TEXTBEFORE(VLOOKUP($F23,Declarations!B$6:C$293,2,FALSE)," ")),VLOOKUP($F23,Declarations!B$6:C$293,2,FALSE),_xlfn.TEXTBEFORE(VLOOKUP($F23,Declarations!B$6:C$293,2,FALSE)," "))))</f>
        <v/>
      </c>
      <c r="C23" s="122" t="str">
        <f>IF(ISNA(VLOOKUP($F23,Declarations!B$6:C$293,2,FALSE)),"",IF(VLOOKUP($F23,Declarations!B$6:C$293,2,FALSE)="","NOT DECLARED",IF(ISNA(_xlfn.TEXTAFTER(VLOOKUP($F23,Declarations!B$6:C$293,2,FALSE)," ")),VLOOKUP($F23,Declarations!B$6:C$293,2,FALSE),_xlfn.TEXTAFTER(VLOOKUP($F23,Declarations!B$6:C$293,2,FALSE)," "))))</f>
        <v/>
      </c>
      <c r="D23" s="122" t="str">
        <f>IF(ISNA(VLOOKUP($F23,Declarations!$B$6:$F$293,5,FALSE)),"",IF(VLOOKUP($F23,Declarations!$B$6:$F$293,5,FALSE)="","NOT DECLARED",VLOOKUP($F23,Declarations!$B$6:$F$293,5,FALSE)))</f>
        <v/>
      </c>
      <c r="E23" s="120" t="str">
        <f>IF(ISNA(VLOOKUP($F23,Declarations!$B$6:$D$293,3,FALSE)),"",IF(VLOOKUP($F23,Declarations!$B$6:$D$293,3,FALSE)="","NOT DECLARED",VLOOKUP($F23,Declarations!$B$6:$D$293,3,FALSE)&amp;LEFT(VLOOKUP($F23,Declarations!$B$6:$E$293,4,FALSE))))</f>
        <v/>
      </c>
      <c r="F23" s="59"/>
      <c r="G23" s="123">
        <v>0</v>
      </c>
      <c r="H23" s="322"/>
      <c r="I23" s="122" t="str">
        <f>IF(ISNA(VLOOKUP(F23,Declarations!B$6:C$293,2,FALSE)),"",IF(VLOOKUP(F23,Declarations!B$6:C$293,2,FALSE)="","NOTDECLARED",VLOOKUP(F23,Declarations!B$6:C$293,2,FALSE)))</f>
        <v/>
      </c>
      <c r="J23" s="124">
        <f>IF(LOWER(G23)="dnf",1,IF(U23&lt;ScoringTable!C$3,ScoringTable!I$2,VLOOKUP((1000-U23),ScoringTable!H$2:I$95,2)))</f>
        <v>0</v>
      </c>
      <c r="K23" s="120" t="str" cm="1">
        <f t="array" ref="K23">IF(OR(E23="",G23=""),"",_xlfn.IFS(E23="U10B",_xlfn.XLOOKUP(G23,Data!$D$3:$L$3,Data!$D$1:$L$1,"",1,1),E23="U12B",_xlfn.XLOOKUP(G23,Data!$D$9:$L$9,Data!$D$1:$L$1,"",1,1),E23="U10G",_xlfn.XLOOKUP(G23,Data!$D$16:$L$16,Data!$D$1:$L$1,"",1,1),E23="U12G",_xlfn.XLOOKUP(G23,Data!$D$22:$L$22,Data!$D$1:$L$1,"",1,1)))</f>
        <v/>
      </c>
      <c r="L23" s="184" t="str" cm="1">
        <f t="array" ref="L23">IFERROR(_xlfn.IFNA(
                      _xlfn.IFS(
                      G23="", "",
                      G23=0, "",
                      AND(E23="U10B",G23&lt;=Data!$M$3), "U10 Boys record",
                      AND(E23="U12B",G23&lt;=Data!$M$9), "U12 Boys record",
                      AND(E23="U10G",G23&lt;=Data!$M$16), "U10 Girls record",
                      AND(E23="U12G",G23&lt;=Data!$M$22), "U12 Girls record"
                       ),""), "")</f>
        <v/>
      </c>
      <c r="M23" s="19" cm="1">
        <f t="array" ref="M23">_xlfn.IFS(OR($G23="",$G23=0),0, AND(NOT(ISNUMBER($G23)),LOWER($G23)&lt;&gt;"dnf"),"Not a valid time",OR(LOWER($G23)="dnf",$G23&gt;ScoringTable!$N$161),1,RIGHT($E23,1)="B",_xlfn.XLOOKUP($G23,ScoringTable!$N$2:$N$161,ScoringTable!$L$2:$L$161,,1),TRUE,_xlfn.XLOOKUP($G23,ScoringTable!$T$2:$T$161,ScoringTable!$R$2:$R$161,,1))</f>
        <v>0</v>
      </c>
      <c r="N23" s="19"/>
      <c r="Q23" s="125">
        <f t="shared" si="0"/>
        <v>0</v>
      </c>
      <c r="R23" s="126">
        <f t="shared" si="1"/>
        <v>0</v>
      </c>
      <c r="S23" s="127">
        <f t="shared" si="2"/>
        <v>0</v>
      </c>
      <c r="T23" s="126">
        <f t="shared" si="3"/>
        <v>0</v>
      </c>
      <c r="U23" s="128">
        <f t="shared" si="4"/>
        <v>0</v>
      </c>
    </row>
    <row r="24" spans="1:24" s="3" customFormat="1" ht="16" customHeight="1">
      <c r="A24" s="121" t="s">
        <v>3</v>
      </c>
      <c r="B24" s="122" t="str">
        <f>IF(ISNA(VLOOKUP($F24,Declarations!B$6:C$293,2,FALSE)),"",IF(VLOOKUP($F24,Declarations!B$6:C$293,2,FALSE)="","NOT DECLARED",IF(ISNA(_xlfn.TEXTBEFORE(VLOOKUP($F24,Declarations!B$6:C$293,2,FALSE)," ")),VLOOKUP($F24,Declarations!B$6:C$293,2,FALSE),_xlfn.TEXTBEFORE(VLOOKUP($F24,Declarations!B$6:C$293,2,FALSE)," "))))</f>
        <v/>
      </c>
      <c r="C24" s="122" t="str">
        <f>IF(ISNA(VLOOKUP($F24,Declarations!B$6:C$293,2,FALSE)),"",IF(VLOOKUP($F24,Declarations!B$6:C$293,2,FALSE)="","NOT DECLARED",IF(ISNA(_xlfn.TEXTAFTER(VLOOKUP($F24,Declarations!B$6:C$293,2,FALSE)," ")),VLOOKUP($F24,Declarations!B$6:C$293,2,FALSE),_xlfn.TEXTAFTER(VLOOKUP($F24,Declarations!B$6:C$293,2,FALSE)," "))))</f>
        <v/>
      </c>
      <c r="D24" s="122" t="str">
        <f>IF(ISNA(VLOOKUP($F24,Declarations!$B$6:$F$293,5,FALSE)),"",IF(VLOOKUP($F24,Declarations!$B$6:$F$293,5,FALSE)="","NOT DECLARED",VLOOKUP($F24,Declarations!$B$6:$F$293,5,FALSE)))</f>
        <v/>
      </c>
      <c r="E24" s="120" t="str">
        <f>IF(ISNA(VLOOKUP($F24,Declarations!$B$6:$D$293,3,FALSE)),"",IF(VLOOKUP($F24,Declarations!$B$6:$D$293,3,FALSE)="","NOT DECLARED",VLOOKUP($F24,Declarations!$B$6:$D$293,3,FALSE)&amp;LEFT(VLOOKUP($F24,Declarations!$B$6:$E$293,4,FALSE))))</f>
        <v/>
      </c>
      <c r="F24" s="59"/>
      <c r="G24" s="123">
        <v>0</v>
      </c>
      <c r="H24" s="322"/>
      <c r="I24" s="122" t="str">
        <f>IF(ISNA(VLOOKUP(F24,Declarations!B$6:C$293,2,FALSE)),"",IF(VLOOKUP(F24,Declarations!B$6:C$293,2,FALSE)="","NOTDECLARED",VLOOKUP(F24,Declarations!B$6:C$293,2,FALSE)))</f>
        <v/>
      </c>
      <c r="J24" s="124">
        <f>IF(LOWER(G24)="dnf",1,IF(U24&lt;ScoringTable!C$3,ScoringTable!I$2,VLOOKUP((1000-U24),ScoringTable!H$2:I$95,2)))</f>
        <v>0</v>
      </c>
      <c r="K24" s="120" t="str" cm="1">
        <f t="array" ref="K24">IF(OR(E24="",G24=""),"",_xlfn.IFS(E24="U10B",_xlfn.XLOOKUP(G24,Data!$D$3:$L$3,Data!$D$1:$L$1,"",1,1),E24="U12B",_xlfn.XLOOKUP(G24,Data!$D$9:$L$9,Data!$D$1:$L$1,"",1,1),E24="U10G",_xlfn.XLOOKUP(G24,Data!$D$16:$L$16,Data!$D$1:$L$1,"",1,1),E24="U12G",_xlfn.XLOOKUP(G24,Data!$D$22:$L$22,Data!$D$1:$L$1,"",1,1)))</f>
        <v/>
      </c>
      <c r="L24" s="184" t="str" cm="1">
        <f t="array" ref="L24">IFERROR(_xlfn.IFNA(
                      _xlfn.IFS(
                      G24="", "",
                      G24=0, "",
                      AND(E24="U10B",G24&lt;=Data!$M$3), "U10 Boys record",
                      AND(E24="U12B",G24&lt;=Data!$M$9), "U12 Boys record",
                      AND(E24="U10G",G24&lt;=Data!$M$16), "U10 Girls record",
                      AND(E24="U12G",G24&lt;=Data!$M$22), "U12 Girls record"
                       ),""), "")</f>
        <v/>
      </c>
      <c r="M24" s="19" cm="1">
        <f t="array" ref="M24">_xlfn.IFS(OR($G24="",$G24=0),0, AND(NOT(ISNUMBER($G24)),LOWER($G24)&lt;&gt;"dnf"),"Not a valid time",OR(LOWER($G24)="dnf",$G24&gt;ScoringTable!$N$161),1,RIGHT($E24,1)="B",_xlfn.XLOOKUP($G24,ScoringTable!$N$2:$N$161,ScoringTable!$L$2:$L$161,,1),TRUE,_xlfn.XLOOKUP($G24,ScoringTable!$T$2:$T$161,ScoringTable!$R$2:$R$161,,1))</f>
        <v>0</v>
      </c>
      <c r="N24" s="19"/>
      <c r="Q24" s="125">
        <f t="shared" si="0"/>
        <v>0</v>
      </c>
      <c r="R24" s="126">
        <f t="shared" si="1"/>
        <v>0</v>
      </c>
      <c r="S24" s="127">
        <f t="shared" si="2"/>
        <v>0</v>
      </c>
      <c r="T24" s="126">
        <f t="shared" si="3"/>
        <v>0</v>
      </c>
      <c r="U24" s="128">
        <f t="shared" si="4"/>
        <v>0</v>
      </c>
    </row>
    <row r="25" spans="1:24" s="7" customFormat="1" ht="16" customHeight="1">
      <c r="A25" s="121" t="s">
        <v>3</v>
      </c>
      <c r="B25" s="122" t="str">
        <f>IF(ISNA(VLOOKUP($F25,Declarations!B$6:C$293,2,FALSE)),"",IF(VLOOKUP($F25,Declarations!B$6:C$293,2,FALSE)="","NOT DECLARED",IF(ISNA(_xlfn.TEXTBEFORE(VLOOKUP($F25,Declarations!B$6:C$293,2,FALSE)," ")),VLOOKUP($F25,Declarations!B$6:C$293,2,FALSE),_xlfn.TEXTBEFORE(VLOOKUP($F25,Declarations!B$6:C$293,2,FALSE)," "))))</f>
        <v/>
      </c>
      <c r="C25" s="122" t="str">
        <f>IF(ISNA(VLOOKUP($F25,Declarations!B$6:C$293,2,FALSE)),"",IF(VLOOKUP($F25,Declarations!B$6:C$293,2,FALSE)="","NOT DECLARED",IF(ISNA(_xlfn.TEXTAFTER(VLOOKUP($F25,Declarations!B$6:C$293,2,FALSE)," ")),VLOOKUP($F25,Declarations!B$6:C$293,2,FALSE),_xlfn.TEXTAFTER(VLOOKUP($F25,Declarations!B$6:C$293,2,FALSE)," "))))</f>
        <v/>
      </c>
      <c r="D25" s="122" t="str">
        <f>IF(ISNA(VLOOKUP($F25,Declarations!$B$6:$F$293,5,FALSE)),"",IF(VLOOKUP($F25,Declarations!$B$6:$F$293,5,FALSE)="","NOT DECLARED",VLOOKUP($F25,Declarations!$B$6:$F$293,5,FALSE)))</f>
        <v/>
      </c>
      <c r="E25" s="120" t="str">
        <f>IF(ISNA(VLOOKUP($F25,Declarations!$B$6:$D$293,3,FALSE)),"",IF(VLOOKUP($F25,Declarations!$B$6:$D$293,3,FALSE)="","NOT DECLARED",VLOOKUP($F25,Declarations!$B$6:$D$293,3,FALSE)&amp;LEFT(VLOOKUP($F25,Declarations!$B$6:$E$293,4,FALSE))))</f>
        <v/>
      </c>
      <c r="F25" s="59"/>
      <c r="G25" s="123">
        <v>0</v>
      </c>
      <c r="H25" s="322"/>
      <c r="I25" s="122" t="str">
        <f>IF(ISNA(VLOOKUP(F25,Declarations!B$6:C$293,2,FALSE)),"",IF(VLOOKUP(F25,Declarations!B$6:C$293,2,FALSE)="","NOTDECLARED",VLOOKUP(F25,Declarations!B$6:C$293,2,FALSE)))</f>
        <v/>
      </c>
      <c r="J25" s="124">
        <f>IF(LOWER(G25)="dnf",1,IF(U25&lt;ScoringTable!C$3,ScoringTable!I$2,VLOOKUP((1000-U25),ScoringTable!H$2:I$95,2)))</f>
        <v>0</v>
      </c>
      <c r="K25" s="120" t="str" cm="1">
        <f t="array" ref="K25">IF(OR(E25="",G25=""),"",_xlfn.IFS(E25="U10B",_xlfn.XLOOKUP(G25,Data!$D$3:$L$3,Data!$D$1:$L$1,"",1,1),E25="U12B",_xlfn.XLOOKUP(G25,Data!$D$9:$L$9,Data!$D$1:$L$1,"",1,1),E25="U10G",_xlfn.XLOOKUP(G25,Data!$D$16:$L$16,Data!$D$1:$L$1,"",1,1),E25="U12G",_xlfn.XLOOKUP(G25,Data!$D$22:$L$22,Data!$D$1:$L$1,"",1,1)))</f>
        <v/>
      </c>
      <c r="L25" s="184" t="str" cm="1">
        <f t="array" ref="L25">IFERROR(_xlfn.IFNA(
                      _xlfn.IFS(
                      G25="", "",
                      G25=0, "",
                      AND(E25="U10B",G25&lt;=Data!$M$3), "U10 Boys record",
                      AND(E25="U12B",G25&lt;=Data!$M$9), "U12 Boys record",
                      AND(E25="U10G",G25&lt;=Data!$M$16), "U10 Girls record",
                      AND(E25="U12G",G25&lt;=Data!$M$22), "U12 Girls record"
                       ),""), "")</f>
        <v/>
      </c>
      <c r="M25" s="19" cm="1">
        <f t="array" ref="M25">_xlfn.IFS(OR($G25="",$G25=0),0, AND(NOT(ISNUMBER($G25)),LOWER($G25)&lt;&gt;"dnf"),"Not a valid time",OR(LOWER($G25)="dnf",$G25&gt;ScoringTable!$N$161),1,RIGHT($E25,1)="B",_xlfn.XLOOKUP($G25,ScoringTable!$N$2:$N$161,ScoringTable!$L$2:$L$161,,1),TRUE,_xlfn.XLOOKUP($G25,ScoringTable!$T$2:$T$161,ScoringTable!$R$2:$R$161,,1))</f>
        <v>0</v>
      </c>
      <c r="N25" s="19"/>
      <c r="Q25" s="125">
        <f t="shared" si="0"/>
        <v>0</v>
      </c>
      <c r="R25" s="126">
        <f t="shared" si="1"/>
        <v>0</v>
      </c>
      <c r="S25" s="127">
        <f t="shared" si="2"/>
        <v>0</v>
      </c>
      <c r="T25" s="126">
        <f t="shared" si="3"/>
        <v>0</v>
      </c>
      <c r="U25" s="128">
        <f t="shared" si="4"/>
        <v>0</v>
      </c>
    </row>
    <row r="26" spans="1:24" s="7" customFormat="1" ht="16" customHeight="1">
      <c r="A26" s="121" t="s">
        <v>3</v>
      </c>
      <c r="B26" s="122" t="str">
        <f>IF(ISNA(VLOOKUP($F26,Declarations!B$6:C$293,2,FALSE)),"",IF(VLOOKUP($F26,Declarations!B$6:C$293,2,FALSE)="","NOT DECLARED",IF(ISNA(_xlfn.TEXTBEFORE(VLOOKUP($F26,Declarations!B$6:C$293,2,FALSE)," ")),VLOOKUP($F26,Declarations!B$6:C$293,2,FALSE),_xlfn.TEXTBEFORE(VLOOKUP($F26,Declarations!B$6:C$293,2,FALSE)," "))))</f>
        <v/>
      </c>
      <c r="C26" s="122" t="str">
        <f>IF(ISNA(VLOOKUP($F26,Declarations!B$6:C$293,2,FALSE)),"",IF(VLOOKUP($F26,Declarations!B$6:C$293,2,FALSE)="","NOT DECLARED",IF(ISNA(_xlfn.TEXTAFTER(VLOOKUP($F26,Declarations!B$6:C$293,2,FALSE)," ")),VLOOKUP($F26,Declarations!B$6:C$293,2,FALSE),_xlfn.TEXTAFTER(VLOOKUP($F26,Declarations!B$6:C$293,2,FALSE)," "))))</f>
        <v/>
      </c>
      <c r="D26" s="122" t="str">
        <f>IF(ISNA(VLOOKUP($F26,Declarations!$B$6:$F$293,5,FALSE)),"",IF(VLOOKUP($F26,Declarations!$B$6:$F$293,5,FALSE)="","NOT DECLARED",VLOOKUP($F26,Declarations!$B$6:$F$293,5,FALSE)))</f>
        <v/>
      </c>
      <c r="E26" s="120" t="str">
        <f>IF(ISNA(VLOOKUP($F26,Declarations!$B$6:$D$293,3,FALSE)),"",IF(VLOOKUP($F26,Declarations!$B$6:$D$293,3,FALSE)="","NOT DECLARED",VLOOKUP($F26,Declarations!$B$6:$D$293,3,FALSE)&amp;LEFT(VLOOKUP($F26,Declarations!$B$6:$E$293,4,FALSE))))</f>
        <v/>
      </c>
      <c r="F26" s="59"/>
      <c r="G26" s="123">
        <v>0</v>
      </c>
      <c r="H26" s="322"/>
      <c r="I26" s="122" t="str">
        <f>IF(ISNA(VLOOKUP(F26,Declarations!B$6:C$293,2,FALSE)),"",IF(VLOOKUP(F26,Declarations!B$6:C$293,2,FALSE)="","NOTDECLARED",VLOOKUP(F26,Declarations!B$6:C$293,2,FALSE)))</f>
        <v/>
      </c>
      <c r="J26" s="124">
        <f>IF(LOWER(G26)="dnf",1,IF(U26&lt;ScoringTable!C$3,ScoringTable!I$2,VLOOKUP((1000-U26),ScoringTable!H$2:I$95,2)))</f>
        <v>0</v>
      </c>
      <c r="K26" s="120" t="str" cm="1">
        <f t="array" ref="K26">IF(OR(E26="",G26=""),"",_xlfn.IFS(E26="U10B",_xlfn.XLOOKUP(G26,Data!$D$3:$L$3,Data!$D$1:$L$1,"",1,1),E26="U12B",_xlfn.XLOOKUP(G26,Data!$D$9:$L$9,Data!$D$1:$L$1,"",1,1),E26="U10G",_xlfn.XLOOKUP(G26,Data!$D$16:$L$16,Data!$D$1:$L$1,"",1,1),E26="U12G",_xlfn.XLOOKUP(G26,Data!$D$22:$L$22,Data!$D$1:$L$1,"",1,1)))</f>
        <v/>
      </c>
      <c r="L26" s="184" t="str" cm="1">
        <f t="array" ref="L26">IFERROR(_xlfn.IFNA(
                      _xlfn.IFS(
                      G26="", "",
                      G26=0, "",
                      AND(E26="U10B",G26&lt;=Data!$M$3), "U10 Boys record",
                      AND(E26="U12B",G26&lt;=Data!$M$9), "U12 Boys record",
                      AND(E26="U10G",G26&lt;=Data!$M$16), "U10 Girls record",
                      AND(E26="U12G",G26&lt;=Data!$M$22), "U12 Girls record"
                       ),""), "")</f>
        <v/>
      </c>
      <c r="M26" s="19" cm="1">
        <f t="array" ref="M26">_xlfn.IFS(OR($G26="",$G26=0),0, AND(NOT(ISNUMBER($G26)),LOWER($G26)&lt;&gt;"dnf"),"Not a valid time",OR(LOWER($G26)="dnf",$G26&gt;ScoringTable!$N$161),1,RIGHT($E26,1)="B",_xlfn.XLOOKUP($G26,ScoringTable!$N$2:$N$161,ScoringTable!$L$2:$L$161,,1),TRUE,_xlfn.XLOOKUP($G26,ScoringTable!$T$2:$T$161,ScoringTable!$R$2:$R$161,,1))</f>
        <v>0</v>
      </c>
      <c r="N26" s="19"/>
      <c r="Q26" s="125">
        <f t="shared" si="0"/>
        <v>0</v>
      </c>
      <c r="R26" s="126">
        <f t="shared" si="1"/>
        <v>0</v>
      </c>
      <c r="S26" s="127">
        <f t="shared" si="2"/>
        <v>0</v>
      </c>
      <c r="T26" s="126">
        <f t="shared" si="3"/>
        <v>0</v>
      </c>
      <c r="U26" s="128">
        <f t="shared" si="4"/>
        <v>0</v>
      </c>
    </row>
    <row r="27" spans="1:24" s="7" customFormat="1" ht="16" customHeight="1">
      <c r="A27" s="121" t="s">
        <v>3</v>
      </c>
      <c r="B27" s="122" t="str">
        <f>IF(ISNA(VLOOKUP($F27,Declarations!B$6:C$293,2,FALSE)),"",IF(VLOOKUP($F27,Declarations!B$6:C$293,2,FALSE)="","NOT DECLARED",IF(ISNA(_xlfn.TEXTBEFORE(VLOOKUP($F27,Declarations!B$6:C$293,2,FALSE)," ")),VLOOKUP($F27,Declarations!B$6:C$293,2,FALSE),_xlfn.TEXTBEFORE(VLOOKUP($F27,Declarations!B$6:C$293,2,FALSE)," "))))</f>
        <v/>
      </c>
      <c r="C27" s="122" t="str">
        <f>IF(ISNA(VLOOKUP($F27,Declarations!B$6:C$293,2,FALSE)),"",IF(VLOOKUP($F27,Declarations!B$6:C$293,2,FALSE)="","NOT DECLARED",IF(ISNA(_xlfn.TEXTAFTER(VLOOKUP($F27,Declarations!B$6:C$293,2,FALSE)," ")),VLOOKUP($F27,Declarations!B$6:C$293,2,FALSE),_xlfn.TEXTAFTER(VLOOKUP($F27,Declarations!B$6:C$293,2,FALSE)," "))))</f>
        <v/>
      </c>
      <c r="D27" s="122" t="str">
        <f>IF(ISNA(VLOOKUP($F27,Declarations!$B$6:$F$293,5,FALSE)),"",IF(VLOOKUP($F27,Declarations!$B$6:$F$293,5,FALSE)="","NOT DECLARED",VLOOKUP($F27,Declarations!$B$6:$F$293,5,FALSE)))</f>
        <v/>
      </c>
      <c r="E27" s="120" t="str">
        <f>IF(ISNA(VLOOKUP($F27,Declarations!$B$6:$D$293,3,FALSE)),"",IF(VLOOKUP($F27,Declarations!$B$6:$D$293,3,FALSE)="","NOT DECLARED",VLOOKUP($F27,Declarations!$B$6:$D$293,3,FALSE)&amp;LEFT(VLOOKUP($F27,Declarations!$B$6:$E$293,4,FALSE))))</f>
        <v/>
      </c>
      <c r="F27" s="59"/>
      <c r="G27" s="123">
        <v>0</v>
      </c>
      <c r="H27" s="322"/>
      <c r="I27" s="122" t="str">
        <f>IF(ISNA(VLOOKUP(F27,Declarations!B$6:C$293,2,FALSE)),"",IF(VLOOKUP(F27,Declarations!B$6:C$293,2,FALSE)="","NOTDECLARED",VLOOKUP(F27,Declarations!B$6:C$293,2,FALSE)))</f>
        <v/>
      </c>
      <c r="J27" s="124">
        <f>IF(LOWER(G27)="dnf",1,IF(U27&lt;ScoringTable!C$3,ScoringTable!I$2,VLOOKUP((1000-U27),ScoringTable!H$2:I$95,2)))</f>
        <v>0</v>
      </c>
      <c r="K27" s="120" t="str" cm="1">
        <f t="array" ref="K27">IF(OR(E27="",G27=""),"",_xlfn.IFS(E27="U10B",_xlfn.XLOOKUP(G27,Data!$D$3:$L$3,Data!$D$1:$L$1,"",1,1),E27="U12B",_xlfn.XLOOKUP(G27,Data!$D$9:$L$9,Data!$D$1:$L$1,"",1,1),E27="U10G",_xlfn.XLOOKUP(G27,Data!$D$16:$L$16,Data!$D$1:$L$1,"",1,1),E27="U12G",_xlfn.XLOOKUP(G27,Data!$D$22:$L$22,Data!$D$1:$L$1,"",1,1)))</f>
        <v/>
      </c>
      <c r="L27" s="184" t="str" cm="1">
        <f t="array" ref="L27">IFERROR(_xlfn.IFNA(
                      _xlfn.IFS(
                      G27="", "",
                      G27=0, "",
                      AND(E27="U10B",G27&lt;=Data!$M$3), "U10 Boys record",
                      AND(E27="U12B",G27&lt;=Data!$M$9), "U12 Boys record",
                      AND(E27="U10G",G27&lt;=Data!$M$16), "U10 Girls record",
                      AND(E27="U12G",G27&lt;=Data!$M$22), "U12 Girls record"
                       ),""), "")</f>
        <v/>
      </c>
      <c r="M27" s="19" cm="1">
        <f t="array" ref="M27">_xlfn.IFS(OR($G27="",$G27=0),0, AND(NOT(ISNUMBER($G27)),LOWER($G27)&lt;&gt;"dnf"),"Not a valid time",OR(LOWER($G27)="dnf",$G27&gt;ScoringTable!$N$161),1,RIGHT($E27,1)="B",_xlfn.XLOOKUP($G27,ScoringTable!$N$2:$N$161,ScoringTable!$L$2:$L$161,,1),TRUE,_xlfn.XLOOKUP($G27,ScoringTable!$T$2:$T$161,ScoringTable!$R$2:$R$161,,1))</f>
        <v>0</v>
      </c>
      <c r="N27" s="19"/>
      <c r="Q27" s="125">
        <f t="shared" si="0"/>
        <v>0</v>
      </c>
      <c r="R27" s="126">
        <f t="shared" si="1"/>
        <v>0</v>
      </c>
      <c r="S27" s="127">
        <f t="shared" si="2"/>
        <v>0</v>
      </c>
      <c r="T27" s="126">
        <f t="shared" si="3"/>
        <v>0</v>
      </c>
      <c r="U27" s="128">
        <f t="shared" si="4"/>
        <v>0</v>
      </c>
    </row>
    <row r="28" spans="1:24" s="7" customFormat="1" ht="16" customHeight="1">
      <c r="A28" s="121" t="s">
        <v>3</v>
      </c>
      <c r="B28" s="122" t="str">
        <f>IF(ISNA(VLOOKUP($F28,Declarations!B$6:C$293,2,FALSE)),"",IF(VLOOKUP($F28,Declarations!B$6:C$293,2,FALSE)="","NOT DECLARED",IF(ISNA(_xlfn.TEXTBEFORE(VLOOKUP($F28,Declarations!B$6:C$293,2,FALSE)," ")),VLOOKUP($F28,Declarations!B$6:C$293,2,FALSE),_xlfn.TEXTBEFORE(VLOOKUP($F28,Declarations!B$6:C$293,2,FALSE)," "))))</f>
        <v/>
      </c>
      <c r="C28" s="122" t="str">
        <f>IF(ISNA(VLOOKUP($F28,Declarations!B$6:C$293,2,FALSE)),"",IF(VLOOKUP($F28,Declarations!B$6:C$293,2,FALSE)="","NOT DECLARED",IF(ISNA(_xlfn.TEXTAFTER(VLOOKUP($F28,Declarations!B$6:C$293,2,FALSE)," ")),VLOOKUP($F28,Declarations!B$6:C$293,2,FALSE),_xlfn.TEXTAFTER(VLOOKUP($F28,Declarations!B$6:C$293,2,FALSE)," "))))</f>
        <v/>
      </c>
      <c r="D28" s="122" t="str">
        <f>IF(ISNA(VLOOKUP($F28,Declarations!$B$6:$F$293,5,FALSE)),"",IF(VLOOKUP($F28,Declarations!$B$6:$F$293,5,FALSE)="","NOT DECLARED",VLOOKUP($F28,Declarations!$B$6:$F$293,5,FALSE)))</f>
        <v/>
      </c>
      <c r="E28" s="120" t="str">
        <f>IF(ISNA(VLOOKUP($F28,Declarations!$B$6:$D$293,3,FALSE)),"",IF(VLOOKUP($F28,Declarations!$B$6:$D$293,3,FALSE)="","NOT DECLARED",VLOOKUP($F28,Declarations!$B$6:$D$293,3,FALSE)&amp;LEFT(VLOOKUP($F28,Declarations!$B$6:$E$293,4,FALSE))))</f>
        <v/>
      </c>
      <c r="F28" s="59"/>
      <c r="G28" s="123">
        <v>0</v>
      </c>
      <c r="H28" s="322"/>
      <c r="I28" s="122" t="str">
        <f>IF(ISNA(VLOOKUP(F28,Declarations!B$6:C$293,2,FALSE)),"",IF(VLOOKUP(F28,Declarations!B$6:C$293,2,FALSE)="","NOTDECLARED",VLOOKUP(F28,Declarations!B$6:C$293,2,FALSE)))</f>
        <v/>
      </c>
      <c r="J28" s="124">
        <f>IF(LOWER(G28)="dnf",1,IF(U28&lt;ScoringTable!C$3,ScoringTable!I$2,VLOOKUP((1000-U28),ScoringTable!H$2:I$95,2)))</f>
        <v>0</v>
      </c>
      <c r="K28" s="120" t="str" cm="1">
        <f t="array" ref="K28">IF(OR(E28="",G28=""),"",_xlfn.IFS(E28="U10B",_xlfn.XLOOKUP(G28,Data!$D$3:$L$3,Data!$D$1:$L$1,"",1,1),E28="U12B",_xlfn.XLOOKUP(G28,Data!$D$9:$L$9,Data!$D$1:$L$1,"",1,1),E28="U10G",_xlfn.XLOOKUP(G28,Data!$D$16:$L$16,Data!$D$1:$L$1,"",1,1),E28="U12G",_xlfn.XLOOKUP(G28,Data!$D$22:$L$22,Data!$D$1:$L$1,"",1,1)))</f>
        <v/>
      </c>
      <c r="L28" s="184" t="str" cm="1">
        <f t="array" ref="L28">IFERROR(_xlfn.IFNA(
                      _xlfn.IFS(
                      G28="", "",
                      G28=0, "",
                      AND(E28="U10B",G28&lt;=Data!$M$3), "U10 Boys record",
                      AND(E28="U12B",G28&lt;=Data!$M$9), "U12 Boys record",
                      AND(E28="U10G",G28&lt;=Data!$M$16), "U10 Girls record",
                      AND(E28="U12G",G28&lt;=Data!$M$22), "U12 Girls record"
                       ),""), "")</f>
        <v/>
      </c>
      <c r="M28" s="19" cm="1">
        <f t="array" ref="M28">_xlfn.IFS(OR($G28="",$G28=0),0, AND(NOT(ISNUMBER($G28)),LOWER($G28)&lt;&gt;"dnf"),"Not a valid time",OR(LOWER($G28)="dnf",$G28&gt;ScoringTable!$N$161),1,RIGHT($E28,1)="B",_xlfn.XLOOKUP($G28,ScoringTable!$N$2:$N$161,ScoringTable!$L$2:$L$161,,1),TRUE,_xlfn.XLOOKUP($G28,ScoringTable!$T$2:$T$161,ScoringTable!$R$2:$R$161,,1))</f>
        <v>0</v>
      </c>
      <c r="N28" s="19"/>
      <c r="Q28" s="125">
        <f t="shared" si="0"/>
        <v>0</v>
      </c>
      <c r="R28" s="126">
        <f t="shared" si="1"/>
        <v>0</v>
      </c>
      <c r="S28" s="127">
        <f t="shared" si="2"/>
        <v>0</v>
      </c>
      <c r="T28" s="126">
        <f t="shared" si="3"/>
        <v>0</v>
      </c>
      <c r="U28" s="128">
        <f t="shared" si="4"/>
        <v>0</v>
      </c>
    </row>
    <row r="29" spans="1:24" s="7" customFormat="1" ht="16" customHeight="1">
      <c r="A29" s="121" t="s">
        <v>3</v>
      </c>
      <c r="B29" s="122" t="str">
        <f>IF(ISNA(VLOOKUP($F29,Declarations!B$6:C$293,2,FALSE)),"",IF(VLOOKUP($F29,Declarations!B$6:C$293,2,FALSE)="","NOT DECLARED",IF(ISNA(_xlfn.TEXTBEFORE(VLOOKUP($F29,Declarations!B$6:C$293,2,FALSE)," ")),VLOOKUP($F29,Declarations!B$6:C$293,2,FALSE),_xlfn.TEXTBEFORE(VLOOKUP($F29,Declarations!B$6:C$293,2,FALSE)," "))))</f>
        <v/>
      </c>
      <c r="C29" s="122" t="str">
        <f>IF(ISNA(VLOOKUP($F29,Declarations!B$6:C$293,2,FALSE)),"",IF(VLOOKUP($F29,Declarations!B$6:C$293,2,FALSE)="","NOT DECLARED",IF(ISNA(_xlfn.TEXTAFTER(VLOOKUP($F29,Declarations!B$6:C$293,2,FALSE)," ")),VLOOKUP($F29,Declarations!B$6:C$293,2,FALSE),_xlfn.TEXTAFTER(VLOOKUP($F29,Declarations!B$6:C$293,2,FALSE)," "))))</f>
        <v/>
      </c>
      <c r="D29" s="122" t="str">
        <f>IF(ISNA(VLOOKUP($F29,Declarations!$B$6:$F$293,5,FALSE)),"",IF(VLOOKUP($F29,Declarations!$B$6:$F$293,5,FALSE)="","NOT DECLARED",VLOOKUP($F29,Declarations!$B$6:$F$293,5,FALSE)))</f>
        <v/>
      </c>
      <c r="E29" s="120" t="str">
        <f>IF(ISNA(VLOOKUP($F29,Declarations!$B$6:$D$293,3,FALSE)),"",IF(VLOOKUP($F29,Declarations!$B$6:$D$293,3,FALSE)="","NOT DECLARED",VLOOKUP($F29,Declarations!$B$6:$D$293,3,FALSE)&amp;LEFT(VLOOKUP($F29,Declarations!$B$6:$E$293,4,FALSE))))</f>
        <v/>
      </c>
      <c r="F29" s="59"/>
      <c r="G29" s="123">
        <v>0</v>
      </c>
      <c r="H29" s="322"/>
      <c r="I29" s="122" t="str">
        <f>IF(ISNA(VLOOKUP(F29,Declarations!B$6:C$293,2,FALSE)),"",IF(VLOOKUP(F29,Declarations!B$6:C$293,2,FALSE)="","NOTDECLARED",VLOOKUP(F29,Declarations!B$6:C$293,2,FALSE)))</f>
        <v/>
      </c>
      <c r="J29" s="124">
        <f>IF(LOWER(G29)="dnf",1,IF(U29&lt;ScoringTable!C$3,ScoringTable!I$2,VLOOKUP((1000-U29),ScoringTable!H$2:I$95,2)))</f>
        <v>0</v>
      </c>
      <c r="K29" s="120" t="str" cm="1">
        <f t="array" ref="K29">IF(OR(E29="",G29=""),"",_xlfn.IFS(E29="U10B",_xlfn.XLOOKUP(G29,Data!$D$3:$L$3,Data!$D$1:$L$1,"",1,1),E29="U12B",_xlfn.XLOOKUP(G29,Data!$D$9:$L$9,Data!$D$1:$L$1,"",1,1),E29="U10G",_xlfn.XLOOKUP(G29,Data!$D$16:$L$16,Data!$D$1:$L$1,"",1,1),E29="U12G",_xlfn.XLOOKUP(G29,Data!$D$22:$L$22,Data!$D$1:$L$1,"",1,1)))</f>
        <v/>
      </c>
      <c r="L29" s="184" t="str" cm="1">
        <f t="array" ref="L29">IFERROR(_xlfn.IFNA(
                      _xlfn.IFS(
                      G29="", "",
                      G29=0, "",
                      AND(E29="U10B",G29&lt;=Data!$M$3), "U10 Boys record",
                      AND(E29="U12B",G29&lt;=Data!$M$9), "U12 Boys record",
                      AND(E29="U10G",G29&lt;=Data!$M$16), "U10 Girls record",
                      AND(E29="U12G",G29&lt;=Data!$M$22), "U12 Girls record"
                       ),""), "")</f>
        <v/>
      </c>
      <c r="M29" s="19" cm="1">
        <f t="array" ref="M29">_xlfn.IFS(OR($G29="",$G29=0),0, AND(NOT(ISNUMBER($G29)),LOWER($G29)&lt;&gt;"dnf"),"Not a valid time",OR(LOWER($G29)="dnf",$G29&gt;ScoringTable!$N$161),1,RIGHT($E29,1)="B",_xlfn.XLOOKUP($G29,ScoringTable!$N$2:$N$161,ScoringTable!$L$2:$L$161,,1),TRUE,_xlfn.XLOOKUP($G29,ScoringTable!$T$2:$T$161,ScoringTable!$R$2:$R$161,,1))</f>
        <v>0</v>
      </c>
      <c r="N29" s="19"/>
      <c r="Q29" s="125">
        <f t="shared" si="0"/>
        <v>0</v>
      </c>
      <c r="R29" s="126">
        <f t="shared" si="1"/>
        <v>0</v>
      </c>
      <c r="S29" s="127">
        <f t="shared" si="2"/>
        <v>0</v>
      </c>
      <c r="T29" s="126">
        <f t="shared" si="3"/>
        <v>0</v>
      </c>
      <c r="U29" s="128">
        <f t="shared" si="4"/>
        <v>0</v>
      </c>
    </row>
    <row r="30" spans="1:24" s="7" customFormat="1" ht="16" customHeight="1">
      <c r="A30" s="121" t="s">
        <v>3</v>
      </c>
      <c r="B30" s="122" t="str">
        <f>IF(ISNA(VLOOKUP($F30,Declarations!B$6:C$293,2,FALSE)),"",IF(VLOOKUP($F30,Declarations!B$6:C$293,2,FALSE)="","NOT DECLARED",IF(ISNA(_xlfn.TEXTBEFORE(VLOOKUP($F30,Declarations!B$6:C$293,2,FALSE)," ")),VLOOKUP($F30,Declarations!B$6:C$293,2,FALSE),_xlfn.TEXTBEFORE(VLOOKUP($F30,Declarations!B$6:C$293,2,FALSE)," "))))</f>
        <v/>
      </c>
      <c r="C30" s="122" t="str">
        <f>IF(ISNA(VLOOKUP($F30,Declarations!B$6:C$293,2,FALSE)),"",IF(VLOOKUP($F30,Declarations!B$6:C$293,2,FALSE)="","NOT DECLARED",IF(ISNA(_xlfn.TEXTAFTER(VLOOKUP($F30,Declarations!B$6:C$293,2,FALSE)," ")),VLOOKUP($F30,Declarations!B$6:C$293,2,FALSE),_xlfn.TEXTAFTER(VLOOKUP($F30,Declarations!B$6:C$293,2,FALSE)," "))))</f>
        <v/>
      </c>
      <c r="D30" s="122" t="str">
        <f>IF(ISNA(VLOOKUP($F30,Declarations!$B$6:$F$293,5,FALSE)),"",IF(VLOOKUP($F30,Declarations!$B$6:$F$293,5,FALSE)="","NOT DECLARED",VLOOKUP($F30,Declarations!$B$6:$F$293,5,FALSE)))</f>
        <v/>
      </c>
      <c r="E30" s="120" t="str">
        <f>IF(ISNA(VLOOKUP($F30,Declarations!$B$6:$D$293,3,FALSE)),"",IF(VLOOKUP($F30,Declarations!$B$6:$D$293,3,FALSE)="","NOT DECLARED",VLOOKUP($F30,Declarations!$B$6:$D$293,3,FALSE)&amp;LEFT(VLOOKUP($F30,Declarations!$B$6:$E$293,4,FALSE))))</f>
        <v/>
      </c>
      <c r="F30" s="59"/>
      <c r="G30" s="123">
        <v>0</v>
      </c>
      <c r="H30" s="322"/>
      <c r="I30" s="122" t="str">
        <f>IF(ISNA(VLOOKUP(F30,Declarations!B$6:C$293,2,FALSE)),"",IF(VLOOKUP(F30,Declarations!B$6:C$293,2,FALSE)="","NOTDECLARED",VLOOKUP(F30,Declarations!B$6:C$293,2,FALSE)))</f>
        <v/>
      </c>
      <c r="J30" s="124">
        <f>IF(LOWER(G30)="dnf",1,IF(U30&lt;ScoringTable!C$3,ScoringTable!I$2,VLOOKUP((1000-U30),ScoringTable!H$2:I$95,2)))</f>
        <v>0</v>
      </c>
      <c r="K30" s="120" t="str" cm="1">
        <f t="array" ref="K30">IF(OR(E30="",G30=""),"",_xlfn.IFS(E30="U10B",_xlfn.XLOOKUP(G30,Data!$D$3:$L$3,Data!$D$1:$L$1,"",1,1),E30="U12B",_xlfn.XLOOKUP(G30,Data!$D$9:$L$9,Data!$D$1:$L$1,"",1,1),E30="U10G",_xlfn.XLOOKUP(G30,Data!$D$16:$L$16,Data!$D$1:$L$1,"",1,1),E30="U12G",_xlfn.XLOOKUP(G30,Data!$D$22:$L$22,Data!$D$1:$L$1,"",1,1)))</f>
        <v/>
      </c>
      <c r="L30" s="184" t="str" cm="1">
        <f t="array" ref="L30">IFERROR(_xlfn.IFNA(
                      _xlfn.IFS(
                      G30="", "",
                      G30=0, "",
                      AND(E30="U10B",G30&lt;=Data!$M$3), "U10 Boys record",
                      AND(E30="U12B",G30&lt;=Data!$M$9), "U12 Boys record",
                      AND(E30="U10G",G30&lt;=Data!$M$16), "U10 Girls record",
                      AND(E30="U12G",G30&lt;=Data!$M$22), "U12 Girls record"
                       ),""), "")</f>
        <v/>
      </c>
      <c r="M30" s="19" cm="1">
        <f t="array" ref="M30">_xlfn.IFS(OR($G30="",$G30=0),0, AND(NOT(ISNUMBER($G30)),LOWER($G30)&lt;&gt;"dnf"),"Not a valid time",OR(LOWER($G30)="dnf",$G30&gt;ScoringTable!$N$161),1,RIGHT($E30,1)="B",_xlfn.XLOOKUP($G30,ScoringTable!$N$2:$N$161,ScoringTable!$L$2:$L$161,,1),TRUE,_xlfn.XLOOKUP($G30,ScoringTable!$T$2:$T$161,ScoringTable!$R$2:$R$161,,1))</f>
        <v>0</v>
      </c>
      <c r="N30" s="19"/>
      <c r="Q30" s="125">
        <f t="shared" si="0"/>
        <v>0</v>
      </c>
      <c r="R30" s="126">
        <f t="shared" si="1"/>
        <v>0</v>
      </c>
      <c r="S30" s="127">
        <f t="shared" si="2"/>
        <v>0</v>
      </c>
      <c r="T30" s="126">
        <f t="shared" si="3"/>
        <v>0</v>
      </c>
      <c r="U30" s="128">
        <f t="shared" si="4"/>
        <v>0</v>
      </c>
    </row>
    <row r="31" spans="1:24" s="7" customFormat="1" ht="16" customHeight="1">
      <c r="A31" s="121" t="s">
        <v>3</v>
      </c>
      <c r="B31" s="122" t="str">
        <f>IF(ISNA(VLOOKUP($F31,Declarations!B$6:C$293,2,FALSE)),"",IF(VLOOKUP($F31,Declarations!B$6:C$293,2,FALSE)="","NOT DECLARED",IF(ISNA(_xlfn.TEXTBEFORE(VLOOKUP($F31,Declarations!B$6:C$293,2,FALSE)," ")),VLOOKUP($F31,Declarations!B$6:C$293,2,FALSE),_xlfn.TEXTBEFORE(VLOOKUP($F31,Declarations!B$6:C$293,2,FALSE)," "))))</f>
        <v/>
      </c>
      <c r="C31" s="122" t="str">
        <f>IF(ISNA(VLOOKUP($F31,Declarations!B$6:C$293,2,FALSE)),"",IF(VLOOKUP($F31,Declarations!B$6:C$293,2,FALSE)="","NOT DECLARED",IF(ISNA(_xlfn.TEXTAFTER(VLOOKUP($F31,Declarations!B$6:C$293,2,FALSE)," ")),VLOOKUP($F31,Declarations!B$6:C$293,2,FALSE),_xlfn.TEXTAFTER(VLOOKUP($F31,Declarations!B$6:C$293,2,FALSE)," "))))</f>
        <v/>
      </c>
      <c r="D31" s="122" t="str">
        <f>IF(ISNA(VLOOKUP($F31,Declarations!$B$6:$F$293,5,FALSE)),"",IF(VLOOKUP($F31,Declarations!$B$6:$F$293,5,FALSE)="","NOT DECLARED",VLOOKUP($F31,Declarations!$B$6:$F$293,5,FALSE)))</f>
        <v/>
      </c>
      <c r="E31" s="120" t="str">
        <f>IF(ISNA(VLOOKUP($F31,Declarations!$B$6:$D$293,3,FALSE)),"",IF(VLOOKUP($F31,Declarations!$B$6:$D$293,3,FALSE)="","NOT DECLARED",VLOOKUP($F31,Declarations!$B$6:$D$293,3,FALSE)&amp;LEFT(VLOOKUP($F31,Declarations!$B$6:$E$293,4,FALSE))))</f>
        <v/>
      </c>
      <c r="F31" s="59"/>
      <c r="G31" s="123">
        <v>0</v>
      </c>
      <c r="H31" s="322"/>
      <c r="I31" s="122" t="str">
        <f>IF(ISNA(VLOOKUP(F31,Declarations!B$6:C$293,2,FALSE)),"",IF(VLOOKUP(F31,Declarations!B$6:C$293,2,FALSE)="","NOTDECLARED",VLOOKUP(F31,Declarations!B$6:C$293,2,FALSE)))</f>
        <v/>
      </c>
      <c r="J31" s="124">
        <f>IF(LOWER(G31)="dnf",1,IF(U31&lt;ScoringTable!C$3,ScoringTable!I$2,VLOOKUP((1000-U31),ScoringTable!H$2:I$95,2)))</f>
        <v>0</v>
      </c>
      <c r="K31" s="120" t="str" cm="1">
        <f t="array" ref="K31">IF(OR(E31="",G31=""),"",_xlfn.IFS(E31="U10B",_xlfn.XLOOKUP(G31,Data!$D$3:$L$3,Data!$D$1:$L$1,"",1,1),E31="U12B",_xlfn.XLOOKUP(G31,Data!$D$9:$L$9,Data!$D$1:$L$1,"",1,1),E31="U10G",_xlfn.XLOOKUP(G31,Data!$D$16:$L$16,Data!$D$1:$L$1,"",1,1),E31="U12G",_xlfn.XLOOKUP(G31,Data!$D$22:$L$22,Data!$D$1:$L$1,"",1,1)))</f>
        <v/>
      </c>
      <c r="L31" s="184" t="str" cm="1">
        <f t="array" ref="L31">IFERROR(_xlfn.IFNA(
                      _xlfn.IFS(
                      G31="", "",
                      G31=0, "",
                      AND(E31="U10B",G31&lt;=Data!$M$3), "U10 Boys record",
                      AND(E31="U12B",G31&lt;=Data!$M$9), "U12 Boys record",
                      AND(E31="U10G",G31&lt;=Data!$M$16), "U10 Girls record",
                      AND(E31="U12G",G31&lt;=Data!$M$22), "U12 Girls record"
                       ),""), "")</f>
        <v/>
      </c>
      <c r="M31" s="19" cm="1">
        <f t="array" ref="M31">_xlfn.IFS(OR($G31="",$G31=0),0, AND(NOT(ISNUMBER($G31)),LOWER($G31)&lt;&gt;"dnf"),"Not a valid time",OR(LOWER($G31)="dnf",$G31&gt;ScoringTable!$N$161),1,RIGHT($E31,1)="B",_xlfn.XLOOKUP($G31,ScoringTable!$N$2:$N$161,ScoringTable!$L$2:$L$161,,1),TRUE,_xlfn.XLOOKUP($G31,ScoringTable!$T$2:$T$161,ScoringTable!$R$2:$R$161,,1))</f>
        <v>0</v>
      </c>
      <c r="N31" s="19"/>
      <c r="Q31" s="125">
        <f t="shared" si="0"/>
        <v>0</v>
      </c>
      <c r="R31" s="126">
        <f t="shared" si="1"/>
        <v>0</v>
      </c>
      <c r="S31" s="127">
        <f t="shared" si="2"/>
        <v>0</v>
      </c>
      <c r="T31" s="126">
        <f t="shared" si="3"/>
        <v>0</v>
      </c>
      <c r="U31" s="128">
        <f t="shared" si="4"/>
        <v>0</v>
      </c>
    </row>
    <row r="32" spans="1:24" s="7" customFormat="1" ht="16" customHeight="1">
      <c r="A32" s="121" t="s">
        <v>3</v>
      </c>
      <c r="B32" s="122" t="str">
        <f>IF(ISNA(VLOOKUP($F32,Declarations!B$6:C$293,2,FALSE)),"",IF(VLOOKUP($F32,Declarations!B$6:C$293,2,FALSE)="","NOT DECLARED",IF(ISNA(_xlfn.TEXTBEFORE(VLOOKUP($F32,Declarations!B$6:C$293,2,FALSE)," ")),VLOOKUP($F32,Declarations!B$6:C$293,2,FALSE),_xlfn.TEXTBEFORE(VLOOKUP($F32,Declarations!B$6:C$293,2,FALSE)," "))))</f>
        <v/>
      </c>
      <c r="C32" s="122" t="str">
        <f>IF(ISNA(VLOOKUP($F32,Declarations!B$6:C$293,2,FALSE)),"",IF(VLOOKUP($F32,Declarations!B$6:C$293,2,FALSE)="","NOT DECLARED",IF(ISNA(_xlfn.TEXTAFTER(VLOOKUP($F32,Declarations!B$6:C$293,2,FALSE)," ")),VLOOKUP($F32,Declarations!B$6:C$293,2,FALSE),_xlfn.TEXTAFTER(VLOOKUP($F32,Declarations!B$6:C$293,2,FALSE)," "))))</f>
        <v/>
      </c>
      <c r="D32" s="122" t="str">
        <f>IF(ISNA(VLOOKUP($F32,Declarations!$B$6:$F$293,5,FALSE)),"",IF(VLOOKUP($F32,Declarations!$B$6:$F$293,5,FALSE)="","NOT DECLARED",VLOOKUP($F32,Declarations!$B$6:$F$293,5,FALSE)))</f>
        <v/>
      </c>
      <c r="E32" s="120" t="str">
        <f>IF(ISNA(VLOOKUP($F32,Declarations!$B$6:$D$293,3,FALSE)),"",IF(VLOOKUP($F32,Declarations!$B$6:$D$293,3,FALSE)="","NOT DECLARED",VLOOKUP($F32,Declarations!$B$6:$D$293,3,FALSE)&amp;LEFT(VLOOKUP($F32,Declarations!$B$6:$E$293,4,FALSE))))</f>
        <v/>
      </c>
      <c r="F32" s="59"/>
      <c r="G32" s="123">
        <v>0</v>
      </c>
      <c r="H32" s="322"/>
      <c r="I32" s="122" t="str">
        <f>IF(ISNA(VLOOKUP(F32,Declarations!B$6:C$293,2,FALSE)),"",IF(VLOOKUP(F32,Declarations!B$6:C$293,2,FALSE)="","NOTDECLARED",VLOOKUP(F32,Declarations!B$6:C$293,2,FALSE)))</f>
        <v/>
      </c>
      <c r="J32" s="124">
        <f>IF(LOWER(G32)="dnf",1,IF(U32&lt;ScoringTable!C$3,ScoringTable!I$2,VLOOKUP((1000-U32),ScoringTable!H$2:I$95,2)))</f>
        <v>0</v>
      </c>
      <c r="K32" s="120" t="str" cm="1">
        <f t="array" ref="K32">IF(OR(E32="",G32=""),"",_xlfn.IFS(E32="U10B",_xlfn.XLOOKUP(G32,Data!$D$3:$L$3,Data!$D$1:$L$1,"",1,1),E32="U12B",_xlfn.XLOOKUP(G32,Data!$D$9:$L$9,Data!$D$1:$L$1,"",1,1),E32="U10G",_xlfn.XLOOKUP(G32,Data!$D$16:$L$16,Data!$D$1:$L$1,"",1,1),E32="U12G",_xlfn.XLOOKUP(G32,Data!$D$22:$L$22,Data!$D$1:$L$1,"",1,1)))</f>
        <v/>
      </c>
      <c r="L32" s="184" t="str" cm="1">
        <f t="array" ref="L32">IFERROR(_xlfn.IFNA(
                      _xlfn.IFS(
                      G32="", "",
                      G32=0, "",
                      AND(E32="U10B",G32&lt;=Data!$M$3), "U10 Boys record",
                      AND(E32="U12B",G32&lt;=Data!$M$9), "U12 Boys record",
                      AND(E32="U10G",G32&lt;=Data!$M$16), "U10 Girls record",
                      AND(E32="U12G",G32&lt;=Data!$M$22), "U12 Girls record"
                       ),""), "")</f>
        <v/>
      </c>
      <c r="M32" s="19" cm="1">
        <f t="array" ref="M32">_xlfn.IFS(OR($G32="",$G32=0),0, AND(NOT(ISNUMBER($G32)),LOWER($G32)&lt;&gt;"dnf"),"Not a valid time",OR(LOWER($G32)="dnf",$G32&gt;ScoringTable!$N$161),1,RIGHT($E32,1)="B",_xlfn.XLOOKUP($G32,ScoringTable!$N$2:$N$161,ScoringTable!$L$2:$L$161,,1),TRUE,_xlfn.XLOOKUP($G32,ScoringTable!$T$2:$T$161,ScoringTable!$R$2:$R$161,,1))</f>
        <v>0</v>
      </c>
      <c r="N32" s="19"/>
      <c r="Q32" s="125">
        <f t="shared" si="0"/>
        <v>0</v>
      </c>
      <c r="R32" s="126">
        <f t="shared" si="1"/>
        <v>0</v>
      </c>
      <c r="S32" s="127">
        <f t="shared" si="2"/>
        <v>0</v>
      </c>
      <c r="T32" s="126">
        <f t="shared" si="3"/>
        <v>0</v>
      </c>
      <c r="U32" s="128">
        <f t="shared" si="4"/>
        <v>0</v>
      </c>
    </row>
    <row r="33" spans="1:21" s="7" customFormat="1" ht="16" customHeight="1">
      <c r="A33" s="121" t="s">
        <v>3</v>
      </c>
      <c r="B33" s="122" t="str">
        <f>IF(ISNA(VLOOKUP($F33,Declarations!B$6:C$293,2,FALSE)),"",IF(VLOOKUP($F33,Declarations!B$6:C$293,2,FALSE)="","NOT DECLARED",IF(ISNA(_xlfn.TEXTBEFORE(VLOOKUP($F33,Declarations!B$6:C$293,2,FALSE)," ")),VLOOKUP($F33,Declarations!B$6:C$293,2,FALSE),_xlfn.TEXTBEFORE(VLOOKUP($F33,Declarations!B$6:C$293,2,FALSE)," "))))</f>
        <v/>
      </c>
      <c r="C33" s="122" t="str">
        <f>IF(ISNA(VLOOKUP($F33,Declarations!B$6:C$293,2,FALSE)),"",IF(VLOOKUP($F33,Declarations!B$6:C$293,2,FALSE)="","NOT DECLARED",IF(ISNA(_xlfn.TEXTAFTER(VLOOKUP($F33,Declarations!B$6:C$293,2,FALSE)," ")),VLOOKUP($F33,Declarations!B$6:C$293,2,FALSE),_xlfn.TEXTAFTER(VLOOKUP($F33,Declarations!B$6:C$293,2,FALSE)," "))))</f>
        <v/>
      </c>
      <c r="D33" s="122" t="str">
        <f>IF(ISNA(VLOOKUP($F33,Declarations!$B$6:$F$293,5,FALSE)),"",IF(VLOOKUP($F33,Declarations!$B$6:$F$293,5,FALSE)="","NOT DECLARED",VLOOKUP($F33,Declarations!$B$6:$F$293,5,FALSE)))</f>
        <v/>
      </c>
      <c r="E33" s="120" t="str">
        <f>IF(ISNA(VLOOKUP($F33,Declarations!$B$6:$D$293,3,FALSE)),"",IF(VLOOKUP($F33,Declarations!$B$6:$D$293,3,FALSE)="","NOT DECLARED",VLOOKUP($F33,Declarations!$B$6:$D$293,3,FALSE)&amp;LEFT(VLOOKUP($F33,Declarations!$B$6:$E$293,4,FALSE))))</f>
        <v/>
      </c>
      <c r="F33" s="59"/>
      <c r="G33" s="123">
        <v>0</v>
      </c>
      <c r="H33" s="322"/>
      <c r="I33" s="122" t="str">
        <f>IF(ISNA(VLOOKUP(F33,Declarations!B$6:C$293,2,FALSE)),"",IF(VLOOKUP(F33,Declarations!B$6:C$293,2,FALSE)="","NOTDECLARED",VLOOKUP(F33,Declarations!B$6:C$293,2,FALSE)))</f>
        <v/>
      </c>
      <c r="J33" s="124">
        <f>IF(LOWER(G33)="dnf",1,IF(U33&lt;ScoringTable!C$3,ScoringTable!I$2,VLOOKUP((1000-U33),ScoringTable!H$2:I$95,2)))</f>
        <v>0</v>
      </c>
      <c r="K33" s="120" t="str" cm="1">
        <f t="array" ref="K33">IF(OR(E33="",G33=""),"",_xlfn.IFS(E33="U10B",_xlfn.XLOOKUP(G33,Data!$D$3:$L$3,Data!$D$1:$L$1,"",1,1),E33="U12B",_xlfn.XLOOKUP(G33,Data!$D$9:$L$9,Data!$D$1:$L$1,"",1,1),E33="U10G",_xlfn.XLOOKUP(G33,Data!$D$16:$L$16,Data!$D$1:$L$1,"",1,1),E33="U12G",_xlfn.XLOOKUP(G33,Data!$D$22:$L$22,Data!$D$1:$L$1,"",1,1)))</f>
        <v/>
      </c>
      <c r="L33" s="184" t="str" cm="1">
        <f t="array" ref="L33">IFERROR(_xlfn.IFNA(
                      _xlfn.IFS(
                      G33="", "",
                      G33=0, "",
                      AND(E33="U10B",G33&lt;=Data!$M$3), "U10 Boys record",
                      AND(E33="U12B",G33&lt;=Data!$M$9), "U12 Boys record",
                      AND(E33="U10G",G33&lt;=Data!$M$16), "U10 Girls record",
                      AND(E33="U12G",G33&lt;=Data!$M$22), "U12 Girls record"
                       ),""), "")</f>
        <v/>
      </c>
      <c r="M33" s="19" cm="1">
        <f t="array" ref="M33">_xlfn.IFS(OR($G33="",$G33=0),0, AND(NOT(ISNUMBER($G33)),LOWER($G33)&lt;&gt;"dnf"),"Not a valid time",OR(LOWER($G33)="dnf",$G33&gt;ScoringTable!$N$161),1,RIGHT($E33,1)="B",_xlfn.XLOOKUP($G33,ScoringTable!$N$2:$N$161,ScoringTable!$L$2:$L$161,,1),TRUE,_xlfn.XLOOKUP($G33,ScoringTable!$T$2:$T$161,ScoringTable!$R$2:$R$161,,1))</f>
        <v>0</v>
      </c>
      <c r="N33" s="19"/>
      <c r="Q33" s="125">
        <f t="shared" si="0"/>
        <v>0</v>
      </c>
      <c r="R33" s="126">
        <f t="shared" si="1"/>
        <v>0</v>
      </c>
      <c r="S33" s="127">
        <f t="shared" si="2"/>
        <v>0</v>
      </c>
      <c r="T33" s="126">
        <f t="shared" si="3"/>
        <v>0</v>
      </c>
      <c r="U33" s="128">
        <f t="shared" si="4"/>
        <v>0</v>
      </c>
    </row>
    <row r="34" spans="1:21" s="7" customFormat="1" ht="16" customHeight="1">
      <c r="A34" s="121" t="s">
        <v>3</v>
      </c>
      <c r="B34" s="122" t="str">
        <f>IF(ISNA(VLOOKUP($F34,Declarations!B$6:C$293,2,FALSE)),"",IF(VLOOKUP($F34,Declarations!B$6:C$293,2,FALSE)="","NOT DECLARED",IF(ISNA(_xlfn.TEXTBEFORE(VLOOKUP($F34,Declarations!B$6:C$293,2,FALSE)," ")),VLOOKUP($F34,Declarations!B$6:C$293,2,FALSE),_xlfn.TEXTBEFORE(VLOOKUP($F34,Declarations!B$6:C$293,2,FALSE)," "))))</f>
        <v/>
      </c>
      <c r="C34" s="122" t="str">
        <f>IF(ISNA(VLOOKUP($F34,Declarations!B$6:C$293,2,FALSE)),"",IF(VLOOKUP($F34,Declarations!B$6:C$293,2,FALSE)="","NOT DECLARED",IF(ISNA(_xlfn.TEXTAFTER(VLOOKUP($F34,Declarations!B$6:C$293,2,FALSE)," ")),VLOOKUP($F34,Declarations!B$6:C$293,2,FALSE),_xlfn.TEXTAFTER(VLOOKUP($F34,Declarations!B$6:C$293,2,FALSE)," "))))</f>
        <v/>
      </c>
      <c r="D34" s="122" t="str">
        <f>IF(ISNA(VLOOKUP($F34,Declarations!$B$6:$F$293,5,FALSE)),"",IF(VLOOKUP($F34,Declarations!$B$6:$F$293,5,FALSE)="","NOT DECLARED",VLOOKUP($F34,Declarations!$B$6:$F$293,5,FALSE)))</f>
        <v/>
      </c>
      <c r="E34" s="120" t="str">
        <f>IF(ISNA(VLOOKUP($F34,Declarations!$B$6:$D$293,3,FALSE)),"",IF(VLOOKUP($F34,Declarations!$B$6:$D$293,3,FALSE)="","NOT DECLARED",VLOOKUP($F34,Declarations!$B$6:$D$293,3,FALSE)&amp;LEFT(VLOOKUP($F34,Declarations!$B$6:$E$293,4,FALSE))))</f>
        <v/>
      </c>
      <c r="F34" s="59"/>
      <c r="G34" s="123">
        <v>0</v>
      </c>
      <c r="H34" s="322"/>
      <c r="I34" s="122" t="str">
        <f>IF(ISNA(VLOOKUP(F34,Declarations!B$6:C$293,2,FALSE)),"",IF(VLOOKUP(F34,Declarations!B$6:C$293,2,FALSE)="","NOTDECLARED",VLOOKUP(F34,Declarations!B$6:C$293,2,FALSE)))</f>
        <v/>
      </c>
      <c r="J34" s="124">
        <f>IF(LOWER(G34)="dnf",1,IF(U34&lt;ScoringTable!C$3,ScoringTable!I$2,VLOOKUP((1000-U34),ScoringTable!H$2:I$95,2)))</f>
        <v>0</v>
      </c>
      <c r="K34" s="120" t="str" cm="1">
        <f t="array" ref="K34">IF(OR(E34="",G34=""),"",_xlfn.IFS(E34="U10B",_xlfn.XLOOKUP(G34,Data!$D$3:$L$3,Data!$D$1:$L$1,"",1,1),E34="U12B",_xlfn.XLOOKUP(G34,Data!$D$9:$L$9,Data!$D$1:$L$1,"",1,1),E34="U10G",_xlfn.XLOOKUP(G34,Data!$D$16:$L$16,Data!$D$1:$L$1,"",1,1),E34="U12G",_xlfn.XLOOKUP(G34,Data!$D$22:$L$22,Data!$D$1:$L$1,"",1,1)))</f>
        <v/>
      </c>
      <c r="L34" s="184" t="str" cm="1">
        <f t="array" ref="L34">IFERROR(_xlfn.IFNA(
                      _xlfn.IFS(
                      G34="", "",
                      G34=0, "",
                      AND(E34="U10B",G34&lt;=Data!$M$3), "U10 Boys record",
                      AND(E34="U12B",G34&lt;=Data!$M$9), "U12 Boys record",
                      AND(E34="U10G",G34&lt;=Data!$M$16), "U10 Girls record",
                      AND(E34="U12G",G34&lt;=Data!$M$22), "U12 Girls record"
                       ),""), "")</f>
        <v/>
      </c>
      <c r="M34" s="19" cm="1">
        <f t="array" ref="M34">_xlfn.IFS(OR($G34="",$G34=0),0, AND(NOT(ISNUMBER($G34)),LOWER($G34)&lt;&gt;"dnf"),"Not a valid time",OR(LOWER($G34)="dnf",$G34&gt;ScoringTable!$N$161),1,RIGHT($E34,1)="B",_xlfn.XLOOKUP($G34,ScoringTable!$N$2:$N$161,ScoringTable!$L$2:$L$161,,1),TRUE,_xlfn.XLOOKUP($G34,ScoringTable!$T$2:$T$161,ScoringTable!$R$2:$R$161,,1))</f>
        <v>0</v>
      </c>
      <c r="N34" s="19"/>
      <c r="Q34" s="125">
        <f t="shared" si="0"/>
        <v>0</v>
      </c>
      <c r="R34" s="126">
        <f t="shared" si="1"/>
        <v>0</v>
      </c>
      <c r="S34" s="127">
        <f t="shared" si="2"/>
        <v>0</v>
      </c>
      <c r="T34" s="126">
        <f t="shared" si="3"/>
        <v>0</v>
      </c>
      <c r="U34" s="128">
        <f t="shared" si="4"/>
        <v>0</v>
      </c>
    </row>
    <row r="35" spans="1:21" s="7" customFormat="1" ht="16" customHeight="1">
      <c r="A35" s="121" t="s">
        <v>3</v>
      </c>
      <c r="B35" s="122" t="str">
        <f>IF(ISNA(VLOOKUP($F35,Declarations!B$6:C$293,2,FALSE)),"",IF(VLOOKUP($F35,Declarations!B$6:C$293,2,FALSE)="","NOT DECLARED",IF(ISNA(_xlfn.TEXTBEFORE(VLOOKUP($F35,Declarations!B$6:C$293,2,FALSE)," ")),VLOOKUP($F35,Declarations!B$6:C$293,2,FALSE),_xlfn.TEXTBEFORE(VLOOKUP($F35,Declarations!B$6:C$293,2,FALSE)," "))))</f>
        <v/>
      </c>
      <c r="C35" s="122" t="str">
        <f>IF(ISNA(VLOOKUP($F35,Declarations!B$6:C$293,2,FALSE)),"",IF(VLOOKUP($F35,Declarations!B$6:C$293,2,FALSE)="","NOT DECLARED",IF(ISNA(_xlfn.TEXTAFTER(VLOOKUP($F35,Declarations!B$6:C$293,2,FALSE)," ")),VLOOKUP($F35,Declarations!B$6:C$293,2,FALSE),_xlfn.TEXTAFTER(VLOOKUP($F35,Declarations!B$6:C$293,2,FALSE)," "))))</f>
        <v/>
      </c>
      <c r="D35" s="122" t="str">
        <f>IF(ISNA(VLOOKUP($F35,Declarations!$B$6:$F$293,5,FALSE)),"",IF(VLOOKUP($F35,Declarations!$B$6:$F$293,5,FALSE)="","NOT DECLARED",VLOOKUP($F35,Declarations!$B$6:$F$293,5,FALSE)))</f>
        <v/>
      </c>
      <c r="E35" s="120" t="str">
        <f>IF(ISNA(VLOOKUP($F35,Declarations!$B$6:$D$293,3,FALSE)),"",IF(VLOOKUP($F35,Declarations!$B$6:$D$293,3,FALSE)="","NOT DECLARED",VLOOKUP($F35,Declarations!$B$6:$D$293,3,FALSE)&amp;LEFT(VLOOKUP($F35,Declarations!$B$6:$E$293,4,FALSE))))</f>
        <v/>
      </c>
      <c r="F35" s="59"/>
      <c r="G35" s="123">
        <v>0</v>
      </c>
      <c r="H35" s="322"/>
      <c r="I35" s="122" t="str">
        <f>IF(ISNA(VLOOKUP(F35,Declarations!B$6:C$293,2,FALSE)),"",IF(VLOOKUP(F35,Declarations!B$6:C$293,2,FALSE)="","NOTDECLARED",VLOOKUP(F35,Declarations!B$6:C$293,2,FALSE)))</f>
        <v/>
      </c>
      <c r="J35" s="124">
        <f>IF(LOWER(G35)="dnf",1,IF(U35&lt;ScoringTable!C$3,ScoringTable!I$2,VLOOKUP((1000-U35),ScoringTable!H$2:I$95,2)))</f>
        <v>0</v>
      </c>
      <c r="K35" s="120" t="str" cm="1">
        <f t="array" ref="K35">IF(OR(E35="",G35=""),"",_xlfn.IFS(E35="U10B",_xlfn.XLOOKUP(G35,Data!$D$3:$L$3,Data!$D$1:$L$1,"",1,1),E35="U12B",_xlfn.XLOOKUP(G35,Data!$D$9:$L$9,Data!$D$1:$L$1,"",1,1),E35="U10G",_xlfn.XLOOKUP(G35,Data!$D$16:$L$16,Data!$D$1:$L$1,"",1,1),E35="U12G",_xlfn.XLOOKUP(G35,Data!$D$22:$L$22,Data!$D$1:$L$1,"",1,1)))</f>
        <v/>
      </c>
      <c r="L35" s="184" t="str" cm="1">
        <f t="array" ref="L35">IFERROR(_xlfn.IFNA(
                      _xlfn.IFS(
                      G35="", "",
                      G35=0, "",
                      AND(E35="U10B",G35&lt;=Data!$M$3), "U10 Boys record",
                      AND(E35="U12B",G35&lt;=Data!$M$9), "U12 Boys record",
                      AND(E35="U10G",G35&lt;=Data!$M$16), "U10 Girls record",
                      AND(E35="U12G",G35&lt;=Data!$M$22), "U12 Girls record"
                       ),""), "")</f>
        <v/>
      </c>
      <c r="M35" s="19" cm="1">
        <f t="array" ref="M35">_xlfn.IFS(OR($G35="",$G35=0),0, AND(NOT(ISNUMBER($G35)),LOWER($G35)&lt;&gt;"dnf"),"Not a valid time",OR(LOWER($G35)="dnf",$G35&gt;ScoringTable!$N$161),1,RIGHT($E35,1)="B",_xlfn.XLOOKUP($G35,ScoringTable!$N$2:$N$161,ScoringTable!$L$2:$L$161,,1),TRUE,_xlfn.XLOOKUP($G35,ScoringTable!$T$2:$T$161,ScoringTable!$R$2:$R$161,,1))</f>
        <v>0</v>
      </c>
      <c r="N35" s="19"/>
      <c r="Q35" s="125">
        <f t="shared" si="0"/>
        <v>0</v>
      </c>
      <c r="R35" s="126">
        <f t="shared" si="1"/>
        <v>0</v>
      </c>
      <c r="S35" s="127">
        <f t="shared" si="2"/>
        <v>0</v>
      </c>
      <c r="T35" s="126">
        <f t="shared" si="3"/>
        <v>0</v>
      </c>
      <c r="U35" s="128">
        <f t="shared" si="4"/>
        <v>0</v>
      </c>
    </row>
    <row r="36" spans="1:21" s="7" customFormat="1" ht="16" customHeight="1">
      <c r="A36" s="121" t="s">
        <v>3</v>
      </c>
      <c r="B36" s="122" t="str">
        <f>IF(ISNA(VLOOKUP($F36,Declarations!B$6:C$293,2,FALSE)),"",IF(VLOOKUP($F36,Declarations!B$6:C$293,2,FALSE)="","NOT DECLARED",IF(ISNA(_xlfn.TEXTBEFORE(VLOOKUP($F36,Declarations!B$6:C$293,2,FALSE)," ")),VLOOKUP($F36,Declarations!B$6:C$293,2,FALSE),_xlfn.TEXTBEFORE(VLOOKUP($F36,Declarations!B$6:C$293,2,FALSE)," "))))</f>
        <v/>
      </c>
      <c r="C36" s="122" t="str">
        <f>IF(ISNA(VLOOKUP($F36,Declarations!B$6:C$293,2,FALSE)),"",IF(VLOOKUP($F36,Declarations!B$6:C$293,2,FALSE)="","NOT DECLARED",IF(ISNA(_xlfn.TEXTAFTER(VLOOKUP($F36,Declarations!B$6:C$293,2,FALSE)," ")),VLOOKUP($F36,Declarations!B$6:C$293,2,FALSE),_xlfn.TEXTAFTER(VLOOKUP($F36,Declarations!B$6:C$293,2,FALSE)," "))))</f>
        <v/>
      </c>
      <c r="D36" s="122" t="str">
        <f>IF(ISNA(VLOOKUP($F36,Declarations!$B$6:$F$293,5,FALSE)),"",IF(VLOOKUP($F36,Declarations!$B$6:$F$293,5,FALSE)="","NOT DECLARED",VLOOKUP($F36,Declarations!$B$6:$F$293,5,FALSE)))</f>
        <v/>
      </c>
      <c r="E36" s="120" t="str">
        <f>IF(ISNA(VLOOKUP($F36,Declarations!$B$6:$D$293,3,FALSE)),"",IF(VLOOKUP($F36,Declarations!$B$6:$D$293,3,FALSE)="","NOT DECLARED",VLOOKUP($F36,Declarations!$B$6:$D$293,3,FALSE)&amp;LEFT(VLOOKUP($F36,Declarations!$B$6:$E$293,4,FALSE))))</f>
        <v/>
      </c>
      <c r="F36" s="59"/>
      <c r="G36" s="123">
        <v>0</v>
      </c>
      <c r="H36" s="322"/>
      <c r="I36" s="122" t="str">
        <f>IF(ISNA(VLOOKUP(F36,Declarations!B$6:C$293,2,FALSE)),"",IF(VLOOKUP(F36,Declarations!B$6:C$293,2,FALSE)="","NOTDECLARED",VLOOKUP(F36,Declarations!B$6:C$293,2,FALSE)))</f>
        <v/>
      </c>
      <c r="J36" s="124">
        <f>IF(LOWER(G36)="dnf",1,IF(U36&lt;ScoringTable!C$3,ScoringTable!I$2,VLOOKUP((1000-U36),ScoringTable!H$2:I$95,2)))</f>
        <v>0</v>
      </c>
      <c r="K36" s="120" t="str" cm="1">
        <f t="array" ref="K36">IF(OR(E36="",G36=""),"",_xlfn.IFS(E36="U10B",_xlfn.XLOOKUP(G36,Data!$D$3:$L$3,Data!$D$1:$L$1,"",1,1),E36="U12B",_xlfn.XLOOKUP(G36,Data!$D$9:$L$9,Data!$D$1:$L$1,"",1,1),E36="U10G",_xlfn.XLOOKUP(G36,Data!$D$16:$L$16,Data!$D$1:$L$1,"",1,1),E36="U12G",_xlfn.XLOOKUP(G36,Data!$D$22:$L$22,Data!$D$1:$L$1,"",1,1)))</f>
        <v/>
      </c>
      <c r="L36" s="184" t="str" cm="1">
        <f t="array" ref="L36">IFERROR(_xlfn.IFNA(
                      _xlfn.IFS(
                      G36="", "",
                      G36=0, "",
                      AND(E36="U10B",G36&lt;=Data!$M$3), "U10 Boys record",
                      AND(E36="U12B",G36&lt;=Data!$M$9), "U12 Boys record",
                      AND(E36="U10G",G36&lt;=Data!$M$16), "U10 Girls record",
                      AND(E36="U12G",G36&lt;=Data!$M$22), "U12 Girls record"
                       ),""), "")</f>
        <v/>
      </c>
      <c r="M36" s="19" cm="1">
        <f t="array" ref="M36">_xlfn.IFS(OR($G36="",$G36=0),0, AND(NOT(ISNUMBER($G36)),LOWER($G36)&lt;&gt;"dnf"),"Not a valid time",OR(LOWER($G36)="dnf",$G36&gt;ScoringTable!$N$161),1,RIGHT($E36,1)="B",_xlfn.XLOOKUP($G36,ScoringTable!$N$2:$N$161,ScoringTable!$L$2:$L$161,,1),TRUE,_xlfn.XLOOKUP($G36,ScoringTable!$T$2:$T$161,ScoringTable!$R$2:$R$161,,1))</f>
        <v>0</v>
      </c>
      <c r="N36" s="19"/>
      <c r="Q36" s="125">
        <f t="shared" si="0"/>
        <v>0</v>
      </c>
      <c r="R36" s="126">
        <f t="shared" si="1"/>
        <v>0</v>
      </c>
      <c r="S36" s="127">
        <f t="shared" si="2"/>
        <v>0</v>
      </c>
      <c r="T36" s="126">
        <f t="shared" si="3"/>
        <v>0</v>
      </c>
      <c r="U36" s="128">
        <f t="shared" si="4"/>
        <v>0</v>
      </c>
    </row>
    <row r="37" spans="1:21" s="7" customFormat="1" ht="16" customHeight="1">
      <c r="A37" s="121" t="s">
        <v>3</v>
      </c>
      <c r="B37" s="122" t="str">
        <f>IF(ISNA(VLOOKUP($F37,Declarations!B$6:C$293,2,FALSE)),"",IF(VLOOKUP($F37,Declarations!B$6:C$293,2,FALSE)="","NOT DECLARED",IF(ISNA(_xlfn.TEXTBEFORE(VLOOKUP($F37,Declarations!B$6:C$293,2,FALSE)," ")),VLOOKUP($F37,Declarations!B$6:C$293,2,FALSE),_xlfn.TEXTBEFORE(VLOOKUP($F37,Declarations!B$6:C$293,2,FALSE)," "))))</f>
        <v/>
      </c>
      <c r="C37" s="122" t="str">
        <f>IF(ISNA(VLOOKUP($F37,Declarations!B$6:C$293,2,FALSE)),"",IF(VLOOKUP($F37,Declarations!B$6:C$293,2,FALSE)="","NOT DECLARED",IF(ISNA(_xlfn.TEXTAFTER(VLOOKUP($F37,Declarations!B$6:C$293,2,FALSE)," ")),VLOOKUP($F37,Declarations!B$6:C$293,2,FALSE),_xlfn.TEXTAFTER(VLOOKUP($F37,Declarations!B$6:C$293,2,FALSE)," "))))</f>
        <v/>
      </c>
      <c r="D37" s="122" t="str">
        <f>IF(ISNA(VLOOKUP($F37,Declarations!$B$6:$F$293,5,FALSE)),"",IF(VLOOKUP($F37,Declarations!$B$6:$F$293,5,FALSE)="","NOT DECLARED",VLOOKUP($F37,Declarations!$B$6:$F$293,5,FALSE)))</f>
        <v/>
      </c>
      <c r="E37" s="120" t="str">
        <f>IF(ISNA(VLOOKUP($F37,Declarations!$B$6:$D$293,3,FALSE)),"",IF(VLOOKUP($F37,Declarations!$B$6:$D$293,3,FALSE)="","NOT DECLARED",VLOOKUP($F37,Declarations!$B$6:$D$293,3,FALSE)&amp;LEFT(VLOOKUP($F37,Declarations!$B$6:$E$293,4,FALSE))))</f>
        <v/>
      </c>
      <c r="F37" s="59"/>
      <c r="G37" s="123">
        <v>0</v>
      </c>
      <c r="H37" s="322"/>
      <c r="I37" s="122" t="str">
        <f>IF(ISNA(VLOOKUP(F37,Declarations!B$6:C$293,2,FALSE)),"",IF(VLOOKUP(F37,Declarations!B$6:C$293,2,FALSE)="","NOTDECLARED",VLOOKUP(F37,Declarations!B$6:C$293,2,FALSE)))</f>
        <v/>
      </c>
      <c r="J37" s="124">
        <f>IF(LOWER(G37)="dnf",1,IF(U37&lt;ScoringTable!C$3,ScoringTable!I$2,VLOOKUP((1000-U37),ScoringTable!H$2:I$95,2)))</f>
        <v>0</v>
      </c>
      <c r="K37" s="120" t="str" cm="1">
        <f t="array" ref="K37">IF(OR(E37="",G37=""),"",_xlfn.IFS(E37="U10B",_xlfn.XLOOKUP(G37,Data!$D$3:$L$3,Data!$D$1:$L$1,"",1,1),E37="U12B",_xlfn.XLOOKUP(G37,Data!$D$9:$L$9,Data!$D$1:$L$1,"",1,1),E37="U10G",_xlfn.XLOOKUP(G37,Data!$D$16:$L$16,Data!$D$1:$L$1,"",1,1),E37="U12G",_xlfn.XLOOKUP(G37,Data!$D$22:$L$22,Data!$D$1:$L$1,"",1,1)))</f>
        <v/>
      </c>
      <c r="L37" s="184" t="str" cm="1">
        <f t="array" ref="L37">IFERROR(_xlfn.IFNA(
                      _xlfn.IFS(
                      G37="", "",
                      G37=0, "",
                      AND(E37="U10B",G37&lt;=Data!$M$3), "U10 Boys record",
                      AND(E37="U12B",G37&lt;=Data!$M$9), "U12 Boys record",
                      AND(E37="U10G",G37&lt;=Data!$M$16), "U10 Girls record",
                      AND(E37="U12G",G37&lt;=Data!$M$22), "U12 Girls record"
                       ),""), "")</f>
        <v/>
      </c>
      <c r="M37" s="19" cm="1">
        <f t="array" ref="M37">_xlfn.IFS(OR($G37="",$G37=0),0, AND(NOT(ISNUMBER($G37)),LOWER($G37)&lt;&gt;"dnf"),"Not a valid time",OR(LOWER($G37)="dnf",$G37&gt;ScoringTable!$N$161),1,RIGHT($E37,1)="B",_xlfn.XLOOKUP($G37,ScoringTable!$N$2:$N$161,ScoringTable!$L$2:$L$161,,1),TRUE,_xlfn.XLOOKUP($G37,ScoringTable!$T$2:$T$161,ScoringTable!$R$2:$R$161,,1))</f>
        <v>0</v>
      </c>
      <c r="N37" s="19"/>
      <c r="Q37" s="125">
        <f t="shared" si="0"/>
        <v>0</v>
      </c>
      <c r="R37" s="126">
        <f t="shared" si="1"/>
        <v>0</v>
      </c>
      <c r="S37" s="127">
        <f t="shared" si="2"/>
        <v>0</v>
      </c>
      <c r="T37" s="126">
        <f t="shared" si="3"/>
        <v>0</v>
      </c>
      <c r="U37" s="128">
        <f t="shared" si="4"/>
        <v>0</v>
      </c>
    </row>
    <row r="38" spans="1:21" s="7" customFormat="1" ht="16" customHeight="1">
      <c r="A38" s="121" t="s">
        <v>3</v>
      </c>
      <c r="B38" s="122" t="str">
        <f>IF(ISNA(VLOOKUP($F38,Declarations!B$6:C$293,2,FALSE)),"",IF(VLOOKUP($F38,Declarations!B$6:C$293,2,FALSE)="","NOT DECLARED",IF(ISNA(_xlfn.TEXTBEFORE(VLOOKUP($F38,Declarations!B$6:C$293,2,FALSE)," ")),VLOOKUP($F38,Declarations!B$6:C$293,2,FALSE),_xlfn.TEXTBEFORE(VLOOKUP($F38,Declarations!B$6:C$293,2,FALSE)," "))))</f>
        <v/>
      </c>
      <c r="C38" s="122" t="str">
        <f>IF(ISNA(VLOOKUP($F38,Declarations!B$6:C$293,2,FALSE)),"",IF(VLOOKUP($F38,Declarations!B$6:C$293,2,FALSE)="","NOT DECLARED",IF(ISNA(_xlfn.TEXTAFTER(VLOOKUP($F38,Declarations!B$6:C$293,2,FALSE)," ")),VLOOKUP($F38,Declarations!B$6:C$293,2,FALSE),_xlfn.TEXTAFTER(VLOOKUP($F38,Declarations!B$6:C$293,2,FALSE)," "))))</f>
        <v/>
      </c>
      <c r="D38" s="122" t="str">
        <f>IF(ISNA(VLOOKUP($F38,Declarations!$B$6:$F$293,5,FALSE)),"",IF(VLOOKUP($F38,Declarations!$B$6:$F$293,5,FALSE)="","NOT DECLARED",VLOOKUP($F38,Declarations!$B$6:$F$293,5,FALSE)))</f>
        <v/>
      </c>
      <c r="E38" s="120" t="str">
        <f>IF(ISNA(VLOOKUP($F38,Declarations!$B$6:$D$293,3,FALSE)),"",IF(VLOOKUP($F38,Declarations!$B$6:$D$293,3,FALSE)="","NOT DECLARED",VLOOKUP($F38,Declarations!$B$6:$D$293,3,FALSE)&amp;LEFT(VLOOKUP($F38,Declarations!$B$6:$E$293,4,FALSE))))</f>
        <v/>
      </c>
      <c r="F38" s="59"/>
      <c r="G38" s="123">
        <v>0</v>
      </c>
      <c r="H38" s="322"/>
      <c r="I38" s="122" t="str">
        <f>IF(ISNA(VLOOKUP(F38,Declarations!B$6:C$293,2,FALSE)),"",IF(VLOOKUP(F38,Declarations!B$6:C$293,2,FALSE)="","NOTDECLARED",VLOOKUP(F38,Declarations!B$6:C$293,2,FALSE)))</f>
        <v/>
      </c>
      <c r="J38" s="124">
        <f>IF(LOWER(G38)="dnf",1,IF(U38&lt;ScoringTable!C$3,ScoringTable!I$2,VLOOKUP((1000-U38),ScoringTable!H$2:I$95,2)))</f>
        <v>0</v>
      </c>
      <c r="K38" s="120" t="str" cm="1">
        <f t="array" ref="K38">IF(OR(E38="",G38=""),"",_xlfn.IFS(E38="U10B",_xlfn.XLOOKUP(G38,Data!$D$3:$L$3,Data!$D$1:$L$1,"",1,1),E38="U12B",_xlfn.XLOOKUP(G38,Data!$D$9:$L$9,Data!$D$1:$L$1,"",1,1),E38="U10G",_xlfn.XLOOKUP(G38,Data!$D$16:$L$16,Data!$D$1:$L$1,"",1,1),E38="U12G",_xlfn.XLOOKUP(G38,Data!$D$22:$L$22,Data!$D$1:$L$1,"",1,1)))</f>
        <v/>
      </c>
      <c r="L38" s="184" t="str" cm="1">
        <f t="array" ref="L38">IFERROR(_xlfn.IFNA(
                      _xlfn.IFS(
                      G38="", "",
                      G38=0, "",
                      AND(E38="U10B",G38&lt;=Data!$M$3), "U10 Boys record",
                      AND(E38="U12B",G38&lt;=Data!$M$9), "U12 Boys record",
                      AND(E38="U10G",G38&lt;=Data!$M$16), "U10 Girls record",
                      AND(E38="U12G",G38&lt;=Data!$M$22), "U12 Girls record"
                       ),""), "")</f>
        <v/>
      </c>
      <c r="M38" s="19" cm="1">
        <f t="array" ref="M38">_xlfn.IFS(OR($G38="",$G38=0),0, AND(NOT(ISNUMBER($G38)),LOWER($G38)&lt;&gt;"dnf"),"Not a valid time",OR(LOWER($G38)="dnf",$G38&gt;ScoringTable!$N$161),1,RIGHT($E38,1)="B",_xlfn.XLOOKUP($G38,ScoringTable!$N$2:$N$161,ScoringTable!$L$2:$L$161,,1),TRUE,_xlfn.XLOOKUP($G38,ScoringTable!$T$2:$T$161,ScoringTable!$R$2:$R$161,,1))</f>
        <v>0</v>
      </c>
      <c r="N38" s="19"/>
      <c r="Q38" s="125">
        <f t="shared" si="0"/>
        <v>0</v>
      </c>
      <c r="R38" s="126">
        <f t="shared" si="1"/>
        <v>0</v>
      </c>
      <c r="S38" s="127">
        <f t="shared" si="2"/>
        <v>0</v>
      </c>
      <c r="T38" s="126">
        <f t="shared" si="3"/>
        <v>0</v>
      </c>
      <c r="U38" s="128">
        <f t="shared" si="4"/>
        <v>0</v>
      </c>
    </row>
    <row r="39" spans="1:21" s="7" customFormat="1" ht="16" customHeight="1">
      <c r="A39" s="121" t="s">
        <v>3</v>
      </c>
      <c r="B39" s="122" t="str">
        <f>IF(ISNA(VLOOKUP($F39,Declarations!B$6:C$293,2,FALSE)),"",IF(VLOOKUP($F39,Declarations!B$6:C$293,2,FALSE)="","NOT DECLARED",IF(ISNA(_xlfn.TEXTBEFORE(VLOOKUP($F39,Declarations!B$6:C$293,2,FALSE)," ")),VLOOKUP($F39,Declarations!B$6:C$293,2,FALSE),_xlfn.TEXTBEFORE(VLOOKUP($F39,Declarations!B$6:C$293,2,FALSE)," "))))</f>
        <v/>
      </c>
      <c r="C39" s="122" t="str">
        <f>IF(ISNA(VLOOKUP($F39,Declarations!B$6:C$293,2,FALSE)),"",IF(VLOOKUP($F39,Declarations!B$6:C$293,2,FALSE)="","NOT DECLARED",IF(ISNA(_xlfn.TEXTAFTER(VLOOKUP($F39,Declarations!B$6:C$293,2,FALSE)," ")),VLOOKUP($F39,Declarations!B$6:C$293,2,FALSE),_xlfn.TEXTAFTER(VLOOKUP($F39,Declarations!B$6:C$293,2,FALSE)," "))))</f>
        <v/>
      </c>
      <c r="D39" s="122" t="str">
        <f>IF(ISNA(VLOOKUP($F39,Declarations!$B$6:$F$293,5,FALSE)),"",IF(VLOOKUP($F39,Declarations!$B$6:$F$293,5,FALSE)="","NOT DECLARED",VLOOKUP($F39,Declarations!$B$6:$F$293,5,FALSE)))</f>
        <v/>
      </c>
      <c r="E39" s="120" t="str">
        <f>IF(ISNA(VLOOKUP($F39,Declarations!$B$6:$D$293,3,FALSE)),"",IF(VLOOKUP($F39,Declarations!$B$6:$D$293,3,FALSE)="","NOT DECLARED",VLOOKUP($F39,Declarations!$B$6:$D$293,3,FALSE)&amp;LEFT(VLOOKUP($F39,Declarations!$B$6:$E$293,4,FALSE))))</f>
        <v/>
      </c>
      <c r="F39" s="59"/>
      <c r="G39" s="123">
        <v>0</v>
      </c>
      <c r="H39" s="322"/>
      <c r="I39" s="122" t="str">
        <f>IF(ISNA(VLOOKUP(F39,Declarations!B$6:C$293,2,FALSE)),"",IF(VLOOKUP(F39,Declarations!B$6:C$293,2,FALSE)="","NOTDECLARED",VLOOKUP(F39,Declarations!B$6:C$293,2,FALSE)))</f>
        <v/>
      </c>
      <c r="J39" s="124">
        <f>IF(LOWER(G39)="dnf",1,IF(U39&lt;ScoringTable!C$3,ScoringTable!I$2,VLOOKUP((1000-U39),ScoringTable!H$2:I$95,2)))</f>
        <v>0</v>
      </c>
      <c r="K39" s="120" t="str" cm="1">
        <f t="array" ref="K39">IF(OR(E39="",G39=""),"",_xlfn.IFS(E39="U10B",_xlfn.XLOOKUP(G39,Data!$D$3:$L$3,Data!$D$1:$L$1,"",1,1),E39="U12B",_xlfn.XLOOKUP(G39,Data!$D$9:$L$9,Data!$D$1:$L$1,"",1,1),E39="U10G",_xlfn.XLOOKUP(G39,Data!$D$16:$L$16,Data!$D$1:$L$1,"",1,1),E39="U12G",_xlfn.XLOOKUP(G39,Data!$D$22:$L$22,Data!$D$1:$L$1,"",1,1)))</f>
        <v/>
      </c>
      <c r="L39" s="184" t="str" cm="1">
        <f t="array" ref="L39">IFERROR(_xlfn.IFNA(
                      _xlfn.IFS(
                      G39="", "",
                      G39=0, "",
                      AND(E39="U10B",G39&lt;=Data!$M$3), "U10 Boys record",
                      AND(E39="U12B",G39&lt;=Data!$M$9), "U12 Boys record",
                      AND(E39="U10G",G39&lt;=Data!$M$16), "U10 Girls record",
                      AND(E39="U12G",G39&lt;=Data!$M$22), "U12 Girls record"
                       ),""), "")</f>
        <v/>
      </c>
      <c r="M39" s="19" cm="1">
        <f t="array" ref="M39">_xlfn.IFS(OR($G39="",$G39=0),0, AND(NOT(ISNUMBER($G39)),LOWER($G39)&lt;&gt;"dnf"),"Not a valid time",OR(LOWER($G39)="dnf",$G39&gt;ScoringTable!$N$161),1,RIGHT($E39,1)="B",_xlfn.XLOOKUP($G39,ScoringTable!$N$2:$N$161,ScoringTable!$L$2:$L$161,,1),TRUE,_xlfn.XLOOKUP($G39,ScoringTable!$T$2:$T$161,ScoringTable!$R$2:$R$161,,1))</f>
        <v>0</v>
      </c>
      <c r="N39" s="19"/>
      <c r="Q39" s="125">
        <f t="shared" si="0"/>
        <v>0</v>
      </c>
      <c r="R39" s="126">
        <f t="shared" si="1"/>
        <v>0</v>
      </c>
      <c r="S39" s="127">
        <f t="shared" si="2"/>
        <v>0</v>
      </c>
      <c r="T39" s="126">
        <f t="shared" si="3"/>
        <v>0</v>
      </c>
      <c r="U39" s="128">
        <f t="shared" si="4"/>
        <v>0</v>
      </c>
    </row>
    <row r="40" spans="1:21" s="7" customFormat="1" ht="16" customHeight="1">
      <c r="A40" s="121" t="s">
        <v>3</v>
      </c>
      <c r="B40" s="122" t="str">
        <f>IF(ISNA(VLOOKUP($F40,Declarations!B$6:C$293,2,FALSE)),"",IF(VLOOKUP($F40,Declarations!B$6:C$293,2,FALSE)="","NOT DECLARED",IF(ISNA(_xlfn.TEXTBEFORE(VLOOKUP($F40,Declarations!B$6:C$293,2,FALSE)," ")),VLOOKUP($F40,Declarations!B$6:C$293,2,FALSE),_xlfn.TEXTBEFORE(VLOOKUP($F40,Declarations!B$6:C$293,2,FALSE)," "))))</f>
        <v/>
      </c>
      <c r="C40" s="122" t="str">
        <f>IF(ISNA(VLOOKUP($F40,Declarations!B$6:C$293,2,FALSE)),"",IF(VLOOKUP($F40,Declarations!B$6:C$293,2,FALSE)="","NOT DECLARED",IF(ISNA(_xlfn.TEXTAFTER(VLOOKUP($F40,Declarations!B$6:C$293,2,FALSE)," ")),VLOOKUP($F40,Declarations!B$6:C$293,2,FALSE),_xlfn.TEXTAFTER(VLOOKUP($F40,Declarations!B$6:C$293,2,FALSE)," "))))</f>
        <v/>
      </c>
      <c r="D40" s="122" t="str">
        <f>IF(ISNA(VLOOKUP($F40,Declarations!$B$6:$F$293,5,FALSE)),"",IF(VLOOKUP($F40,Declarations!$B$6:$F$293,5,FALSE)="","NOT DECLARED",VLOOKUP($F40,Declarations!$B$6:$F$293,5,FALSE)))</f>
        <v/>
      </c>
      <c r="E40" s="120" t="str">
        <f>IF(ISNA(VLOOKUP($F40,Declarations!$B$6:$D$293,3,FALSE)),"",IF(VLOOKUP($F40,Declarations!$B$6:$D$293,3,FALSE)="","NOT DECLARED",VLOOKUP($F40,Declarations!$B$6:$D$293,3,FALSE)&amp;LEFT(VLOOKUP($F40,Declarations!$B$6:$E$293,4,FALSE))))</f>
        <v/>
      </c>
      <c r="F40" s="59"/>
      <c r="G40" s="123">
        <v>0</v>
      </c>
      <c r="H40" s="322"/>
      <c r="I40" s="122" t="str">
        <f>IF(ISNA(VLOOKUP(F40,Declarations!B$6:C$293,2,FALSE)),"",IF(VLOOKUP(F40,Declarations!B$6:C$293,2,FALSE)="","NOTDECLARED",VLOOKUP(F40,Declarations!B$6:C$293,2,FALSE)))</f>
        <v/>
      </c>
      <c r="J40" s="124">
        <f>IF(LOWER(G40)="dnf",1,IF(U40&lt;ScoringTable!C$3,ScoringTable!I$2,VLOOKUP((1000-U40),ScoringTable!H$2:I$95,2)))</f>
        <v>0</v>
      </c>
      <c r="K40" s="120" t="str" cm="1">
        <f t="array" ref="K40">IF(OR(E40="",G40=""),"",_xlfn.IFS(E40="U10B",_xlfn.XLOOKUP(G40,Data!$D$3:$L$3,Data!$D$1:$L$1,"",1,1),E40="U12B",_xlfn.XLOOKUP(G40,Data!$D$9:$L$9,Data!$D$1:$L$1,"",1,1),E40="U10G",_xlfn.XLOOKUP(G40,Data!$D$16:$L$16,Data!$D$1:$L$1,"",1,1),E40="U12G",_xlfn.XLOOKUP(G40,Data!$D$22:$L$22,Data!$D$1:$L$1,"",1,1)))</f>
        <v/>
      </c>
      <c r="L40" s="184" t="str" cm="1">
        <f t="array" ref="L40">IFERROR(_xlfn.IFNA(
                      _xlfn.IFS(
                      G40="", "",
                      G40=0, "",
                      AND(E40="U10B",G40&lt;=Data!$M$3), "U10 Boys record",
                      AND(E40="U12B",G40&lt;=Data!$M$9), "U12 Boys record",
                      AND(E40="U10G",G40&lt;=Data!$M$16), "U10 Girls record",
                      AND(E40="U12G",G40&lt;=Data!$M$22), "U12 Girls record"
                       ),""), "")</f>
        <v/>
      </c>
      <c r="M40" s="19" cm="1">
        <f t="array" ref="M40">_xlfn.IFS(OR($G40="",$G40=0),0, AND(NOT(ISNUMBER($G40)),LOWER($G40)&lt;&gt;"dnf"),"Not a valid time",OR(LOWER($G40)="dnf",$G40&gt;ScoringTable!$N$161),1,RIGHT($E40,1)="B",_xlfn.XLOOKUP($G40,ScoringTable!$N$2:$N$161,ScoringTable!$L$2:$L$161,,1),TRUE,_xlfn.XLOOKUP($G40,ScoringTable!$T$2:$T$161,ScoringTable!$R$2:$R$161,,1))</f>
        <v>0</v>
      </c>
      <c r="N40" s="19"/>
      <c r="Q40" s="125">
        <f t="shared" si="0"/>
        <v>0</v>
      </c>
      <c r="R40" s="126">
        <f t="shared" si="1"/>
        <v>0</v>
      </c>
      <c r="S40" s="127">
        <f t="shared" si="2"/>
        <v>0</v>
      </c>
      <c r="T40" s="126">
        <f t="shared" si="3"/>
        <v>0</v>
      </c>
      <c r="U40" s="128">
        <f t="shared" si="4"/>
        <v>0</v>
      </c>
    </row>
    <row r="41" spans="1:21" s="7" customFormat="1" ht="16" customHeight="1">
      <c r="A41" s="121" t="s">
        <v>3</v>
      </c>
      <c r="B41" s="122" t="str">
        <f>IF(ISNA(VLOOKUP($F41,Declarations!B$6:C$293,2,FALSE)),"",IF(VLOOKUP($F41,Declarations!B$6:C$293,2,FALSE)="","NOT DECLARED",IF(ISNA(_xlfn.TEXTBEFORE(VLOOKUP($F41,Declarations!B$6:C$293,2,FALSE)," ")),VLOOKUP($F41,Declarations!B$6:C$293,2,FALSE),_xlfn.TEXTBEFORE(VLOOKUP($F41,Declarations!B$6:C$293,2,FALSE)," "))))</f>
        <v/>
      </c>
      <c r="C41" s="122" t="str">
        <f>IF(ISNA(VLOOKUP($F41,Declarations!B$6:C$293,2,FALSE)),"",IF(VLOOKUP($F41,Declarations!B$6:C$293,2,FALSE)="","NOT DECLARED",IF(ISNA(_xlfn.TEXTAFTER(VLOOKUP($F41,Declarations!B$6:C$293,2,FALSE)," ")),VLOOKUP($F41,Declarations!B$6:C$293,2,FALSE),_xlfn.TEXTAFTER(VLOOKUP($F41,Declarations!B$6:C$293,2,FALSE)," "))))</f>
        <v/>
      </c>
      <c r="D41" s="122" t="str">
        <f>IF(ISNA(VLOOKUP($F41,Declarations!$B$6:$F$293,5,FALSE)),"",IF(VLOOKUP($F41,Declarations!$B$6:$F$293,5,FALSE)="","NOT DECLARED",VLOOKUP($F41,Declarations!$B$6:$F$293,5,FALSE)))</f>
        <v/>
      </c>
      <c r="E41" s="120" t="str">
        <f>IF(ISNA(VLOOKUP($F41,Declarations!$B$6:$D$293,3,FALSE)),"",IF(VLOOKUP($F41,Declarations!$B$6:$D$293,3,FALSE)="","NOT DECLARED",VLOOKUP($F41,Declarations!$B$6:$D$293,3,FALSE)&amp;LEFT(VLOOKUP($F41,Declarations!$B$6:$E$293,4,FALSE))))</f>
        <v/>
      </c>
      <c r="F41" s="59"/>
      <c r="G41" s="123">
        <v>0</v>
      </c>
      <c r="H41" s="322"/>
      <c r="I41" s="122" t="str">
        <f>IF(ISNA(VLOOKUP(F41,Declarations!B$6:C$293,2,FALSE)),"",IF(VLOOKUP(F41,Declarations!B$6:C$293,2,FALSE)="","NOTDECLARED",VLOOKUP(F41,Declarations!B$6:C$293,2,FALSE)))</f>
        <v/>
      </c>
      <c r="J41" s="124">
        <f>IF(LOWER(G41)="dnf",1,IF(U41&lt;ScoringTable!C$3,ScoringTable!I$2,VLOOKUP((1000-U41),ScoringTable!H$2:I$95,2)))</f>
        <v>0</v>
      </c>
      <c r="K41" s="120" t="str" cm="1">
        <f t="array" ref="K41">IF(OR(E41="",G41=""),"",_xlfn.IFS(E41="U10B",_xlfn.XLOOKUP(G41,Data!$D$3:$L$3,Data!$D$1:$L$1,"",1,1),E41="U12B",_xlfn.XLOOKUP(G41,Data!$D$9:$L$9,Data!$D$1:$L$1,"",1,1),E41="U10G",_xlfn.XLOOKUP(G41,Data!$D$16:$L$16,Data!$D$1:$L$1,"",1,1),E41="U12G",_xlfn.XLOOKUP(G41,Data!$D$22:$L$22,Data!$D$1:$L$1,"",1,1)))</f>
        <v/>
      </c>
      <c r="L41" s="184" t="str" cm="1">
        <f t="array" ref="L41">IFERROR(_xlfn.IFNA(
                      _xlfn.IFS(
                      G41="", "",
                      G41=0, "",
                      AND(E41="U10B",G41&lt;=Data!$M$3), "U10 Boys record",
                      AND(E41="U12B",G41&lt;=Data!$M$9), "U12 Boys record",
                      AND(E41="U10G",G41&lt;=Data!$M$16), "U10 Girls record",
                      AND(E41="U12G",G41&lt;=Data!$M$22), "U12 Girls record"
                       ),""), "")</f>
        <v/>
      </c>
      <c r="M41" s="19" cm="1">
        <f t="array" ref="M41">_xlfn.IFS(OR($G41="",$G41=0),0, AND(NOT(ISNUMBER($G41)),LOWER($G41)&lt;&gt;"dnf"),"Not a valid time",OR(LOWER($G41)="dnf",$G41&gt;ScoringTable!$N$161),1,RIGHT($E41,1)="B",_xlfn.XLOOKUP($G41,ScoringTable!$N$2:$N$161,ScoringTable!$L$2:$L$161,,1),TRUE,_xlfn.XLOOKUP($G41,ScoringTable!$T$2:$T$161,ScoringTable!$R$2:$R$161,,1))</f>
        <v>0</v>
      </c>
      <c r="N41" s="19"/>
      <c r="Q41" s="125">
        <f t="shared" si="0"/>
        <v>0</v>
      </c>
      <c r="R41" s="126">
        <f t="shared" si="1"/>
        <v>0</v>
      </c>
      <c r="S41" s="127">
        <f t="shared" si="2"/>
        <v>0</v>
      </c>
      <c r="T41" s="126">
        <f t="shared" si="3"/>
        <v>0</v>
      </c>
      <c r="U41" s="128">
        <f t="shared" si="4"/>
        <v>0</v>
      </c>
    </row>
    <row r="42" spans="1:21" s="7" customFormat="1" ht="16" customHeight="1">
      <c r="A42" s="121" t="s">
        <v>3</v>
      </c>
      <c r="B42" s="122" t="str">
        <f>IF(ISNA(VLOOKUP($F42,Declarations!B$6:C$293,2,FALSE)),"",IF(VLOOKUP($F42,Declarations!B$6:C$293,2,FALSE)="","NOT DECLARED",IF(ISNA(_xlfn.TEXTBEFORE(VLOOKUP($F42,Declarations!B$6:C$293,2,FALSE)," ")),VLOOKUP($F42,Declarations!B$6:C$293,2,FALSE),_xlfn.TEXTBEFORE(VLOOKUP($F42,Declarations!B$6:C$293,2,FALSE)," "))))</f>
        <v/>
      </c>
      <c r="C42" s="122" t="str">
        <f>IF(ISNA(VLOOKUP($F42,Declarations!B$6:C$293,2,FALSE)),"",IF(VLOOKUP($F42,Declarations!B$6:C$293,2,FALSE)="","NOT DECLARED",IF(ISNA(_xlfn.TEXTAFTER(VLOOKUP($F42,Declarations!B$6:C$293,2,FALSE)," ")),VLOOKUP($F42,Declarations!B$6:C$293,2,FALSE),_xlfn.TEXTAFTER(VLOOKUP($F42,Declarations!B$6:C$293,2,FALSE)," "))))</f>
        <v/>
      </c>
      <c r="D42" s="122" t="str">
        <f>IF(ISNA(VLOOKUP($F42,Declarations!$B$6:$F$293,5,FALSE)),"",IF(VLOOKUP($F42,Declarations!$B$6:$F$293,5,FALSE)="","NOT DECLARED",VLOOKUP($F42,Declarations!$B$6:$F$293,5,FALSE)))</f>
        <v/>
      </c>
      <c r="E42" s="120" t="str">
        <f>IF(ISNA(VLOOKUP($F42,Declarations!$B$6:$D$293,3,FALSE)),"",IF(VLOOKUP($F42,Declarations!$B$6:$D$293,3,FALSE)="","NOT DECLARED",VLOOKUP($F42,Declarations!$B$6:$D$293,3,FALSE)&amp;LEFT(VLOOKUP($F42,Declarations!$B$6:$E$293,4,FALSE))))</f>
        <v/>
      </c>
      <c r="F42" s="59"/>
      <c r="G42" s="123">
        <v>0</v>
      </c>
      <c r="H42" s="322"/>
      <c r="I42" s="122" t="str">
        <f>IF(ISNA(VLOOKUP(F42,Declarations!B$6:C$293,2,FALSE)),"",IF(VLOOKUP(F42,Declarations!B$6:C$293,2,FALSE)="","NOTDECLARED",VLOOKUP(F42,Declarations!B$6:C$293,2,FALSE)))</f>
        <v/>
      </c>
      <c r="J42" s="124">
        <f>IF(LOWER(G42)="dnf",1,IF(U42&lt;ScoringTable!C$3,ScoringTable!I$2,VLOOKUP((1000-U42),ScoringTable!H$2:I$95,2)))</f>
        <v>0</v>
      </c>
      <c r="K42" s="120" t="str" cm="1">
        <f t="array" ref="K42">IF(OR(E42="",G42=""),"",_xlfn.IFS(E42="U10B",_xlfn.XLOOKUP(G42,Data!$D$3:$L$3,Data!$D$1:$L$1,"",1,1),E42="U12B",_xlfn.XLOOKUP(G42,Data!$D$9:$L$9,Data!$D$1:$L$1,"",1,1),E42="U10G",_xlfn.XLOOKUP(G42,Data!$D$16:$L$16,Data!$D$1:$L$1,"",1,1),E42="U12G",_xlfn.XLOOKUP(G42,Data!$D$22:$L$22,Data!$D$1:$L$1,"",1,1)))</f>
        <v/>
      </c>
      <c r="L42" s="184" t="str" cm="1">
        <f t="array" ref="L42">IFERROR(_xlfn.IFNA(
                      _xlfn.IFS(
                      G42="", "",
                      G42=0, "",
                      AND(E42="U10B",G42&lt;=Data!$M$3), "U10 Boys record",
                      AND(E42="U12B",G42&lt;=Data!$M$9), "U12 Boys record",
                      AND(E42="U10G",G42&lt;=Data!$M$16), "U10 Girls record",
                      AND(E42="U12G",G42&lt;=Data!$M$22), "U12 Girls record"
                       ),""), "")</f>
        <v/>
      </c>
      <c r="M42" s="19" cm="1">
        <f t="array" ref="M42">_xlfn.IFS(OR($G42="",$G42=0),0, AND(NOT(ISNUMBER($G42)),LOWER($G42)&lt;&gt;"dnf"),"Not a valid time",OR(LOWER($G42)="dnf",$G42&gt;ScoringTable!$N$161),1,RIGHT($E42,1)="B",_xlfn.XLOOKUP($G42,ScoringTable!$N$2:$N$161,ScoringTable!$L$2:$L$161,,1),TRUE,_xlfn.XLOOKUP($G42,ScoringTable!$T$2:$T$161,ScoringTable!$R$2:$R$161,,1))</f>
        <v>0</v>
      </c>
      <c r="N42" s="19"/>
      <c r="Q42" s="125">
        <f t="shared" si="0"/>
        <v>0</v>
      </c>
      <c r="R42" s="126">
        <f t="shared" si="1"/>
        <v>0</v>
      </c>
      <c r="S42" s="127">
        <f t="shared" si="2"/>
        <v>0</v>
      </c>
      <c r="T42" s="126">
        <f t="shared" si="3"/>
        <v>0</v>
      </c>
      <c r="U42" s="128">
        <f t="shared" si="4"/>
        <v>0</v>
      </c>
    </row>
    <row r="43" spans="1:21" s="7" customFormat="1" ht="16" customHeight="1">
      <c r="A43" s="121" t="s">
        <v>3</v>
      </c>
      <c r="B43" s="122" t="str">
        <f>IF(ISNA(VLOOKUP($F43,Declarations!B$6:C$293,2,FALSE)),"",IF(VLOOKUP($F43,Declarations!B$6:C$293,2,FALSE)="","NOT DECLARED",IF(ISNA(_xlfn.TEXTBEFORE(VLOOKUP($F43,Declarations!B$6:C$293,2,FALSE)," ")),VLOOKUP($F43,Declarations!B$6:C$293,2,FALSE),_xlfn.TEXTBEFORE(VLOOKUP($F43,Declarations!B$6:C$293,2,FALSE)," "))))</f>
        <v/>
      </c>
      <c r="C43" s="122" t="str">
        <f>IF(ISNA(VLOOKUP($F43,Declarations!B$6:C$293,2,FALSE)),"",IF(VLOOKUP($F43,Declarations!B$6:C$293,2,FALSE)="","NOT DECLARED",IF(ISNA(_xlfn.TEXTAFTER(VLOOKUP($F43,Declarations!B$6:C$293,2,FALSE)," ")),VLOOKUP($F43,Declarations!B$6:C$293,2,FALSE),_xlfn.TEXTAFTER(VLOOKUP($F43,Declarations!B$6:C$293,2,FALSE)," "))))</f>
        <v/>
      </c>
      <c r="D43" s="122" t="str">
        <f>IF(ISNA(VLOOKUP($F43,Declarations!$B$6:$F$293,5,FALSE)),"",IF(VLOOKUP($F43,Declarations!$B$6:$F$293,5,FALSE)="","NOT DECLARED",VLOOKUP($F43,Declarations!$B$6:$F$293,5,FALSE)))</f>
        <v/>
      </c>
      <c r="E43" s="120" t="str">
        <f>IF(ISNA(VLOOKUP($F43,Declarations!$B$6:$D$293,3,FALSE)),"",IF(VLOOKUP($F43,Declarations!$B$6:$D$293,3,FALSE)="","NOT DECLARED",VLOOKUP($F43,Declarations!$B$6:$D$293,3,FALSE)&amp;LEFT(VLOOKUP($F43,Declarations!$B$6:$E$293,4,FALSE))))</f>
        <v/>
      </c>
      <c r="F43" s="59"/>
      <c r="G43" s="123">
        <v>0</v>
      </c>
      <c r="H43" s="322"/>
      <c r="I43" s="122" t="str">
        <f>IF(ISNA(VLOOKUP(F43,Declarations!B$6:C$293,2,FALSE)),"",IF(VLOOKUP(F43,Declarations!B$6:C$293,2,FALSE)="","NOTDECLARED",VLOOKUP(F43,Declarations!B$6:C$293,2,FALSE)))</f>
        <v/>
      </c>
      <c r="J43" s="124">
        <f>IF(LOWER(G43)="dnf",1,IF(U43&lt;ScoringTable!C$3,ScoringTable!I$2,VLOOKUP((1000-U43),ScoringTable!H$2:I$95,2)))</f>
        <v>0</v>
      </c>
      <c r="K43" s="120" t="str" cm="1">
        <f t="array" ref="K43">IF(OR(E43="",G43=""),"",_xlfn.IFS(E43="U10B",_xlfn.XLOOKUP(G43,Data!$D$3:$L$3,Data!$D$1:$L$1,"",1,1),E43="U12B",_xlfn.XLOOKUP(G43,Data!$D$9:$L$9,Data!$D$1:$L$1,"",1,1),E43="U10G",_xlfn.XLOOKUP(G43,Data!$D$16:$L$16,Data!$D$1:$L$1,"",1,1),E43="U12G",_xlfn.XLOOKUP(G43,Data!$D$22:$L$22,Data!$D$1:$L$1,"",1,1)))</f>
        <v/>
      </c>
      <c r="L43" s="184" t="str" cm="1">
        <f t="array" ref="L43">IFERROR(_xlfn.IFNA(
                      _xlfn.IFS(
                      G43="", "",
                      G43=0, "",
                      AND(E43="U10B",G43&lt;=Data!$M$3), "U10 Boys record",
                      AND(E43="U12B",G43&lt;=Data!$M$9), "U12 Boys record",
                      AND(E43="U10G",G43&lt;=Data!$M$16), "U10 Girls record",
                      AND(E43="U12G",G43&lt;=Data!$M$22), "U12 Girls record"
                       ),""), "")</f>
        <v/>
      </c>
      <c r="M43" s="19" cm="1">
        <f t="array" ref="M43">_xlfn.IFS(OR($G43="",$G43=0),0, AND(NOT(ISNUMBER($G43)),LOWER($G43)&lt;&gt;"dnf"),"Not a valid time",OR(LOWER($G43)="dnf",$G43&gt;ScoringTable!$N$161),1,RIGHT($E43,1)="B",_xlfn.XLOOKUP($G43,ScoringTable!$N$2:$N$161,ScoringTable!$L$2:$L$161,,1),TRUE,_xlfn.XLOOKUP($G43,ScoringTable!$T$2:$T$161,ScoringTable!$R$2:$R$161,,1))</f>
        <v>0</v>
      </c>
      <c r="N43" s="19"/>
      <c r="Q43" s="125">
        <f t="shared" si="0"/>
        <v>0</v>
      </c>
      <c r="R43" s="126">
        <f t="shared" si="1"/>
        <v>0</v>
      </c>
      <c r="S43" s="127">
        <f t="shared" si="2"/>
        <v>0</v>
      </c>
      <c r="T43" s="126">
        <f t="shared" si="3"/>
        <v>0</v>
      </c>
      <c r="U43" s="128">
        <f t="shared" si="4"/>
        <v>0</v>
      </c>
    </row>
    <row r="44" spans="1:21" s="7" customFormat="1" ht="16" customHeight="1">
      <c r="A44" s="121" t="s">
        <v>3</v>
      </c>
      <c r="B44" s="122" t="str">
        <f>IF(ISNA(VLOOKUP($F44,Declarations!B$6:C$293,2,FALSE)),"",IF(VLOOKUP($F44,Declarations!B$6:C$293,2,FALSE)="","NOT DECLARED",IF(ISNA(_xlfn.TEXTBEFORE(VLOOKUP($F44,Declarations!B$6:C$293,2,FALSE)," ")),VLOOKUP($F44,Declarations!B$6:C$293,2,FALSE),_xlfn.TEXTBEFORE(VLOOKUP($F44,Declarations!B$6:C$293,2,FALSE)," "))))</f>
        <v/>
      </c>
      <c r="C44" s="122" t="str">
        <f>IF(ISNA(VLOOKUP($F44,Declarations!B$6:C$293,2,FALSE)),"",IF(VLOOKUP($F44,Declarations!B$6:C$293,2,FALSE)="","NOT DECLARED",IF(ISNA(_xlfn.TEXTAFTER(VLOOKUP($F44,Declarations!B$6:C$293,2,FALSE)," ")),VLOOKUP($F44,Declarations!B$6:C$293,2,FALSE),_xlfn.TEXTAFTER(VLOOKUP($F44,Declarations!B$6:C$293,2,FALSE)," "))))</f>
        <v/>
      </c>
      <c r="D44" s="122" t="str">
        <f>IF(ISNA(VLOOKUP($F44,Declarations!$B$6:$F$293,5,FALSE)),"",IF(VLOOKUP($F44,Declarations!$B$6:$F$293,5,FALSE)="","NOT DECLARED",VLOOKUP($F44,Declarations!$B$6:$F$293,5,FALSE)))</f>
        <v/>
      </c>
      <c r="E44" s="120" t="str">
        <f>IF(ISNA(VLOOKUP($F44,Declarations!$B$6:$D$293,3,FALSE)),"",IF(VLOOKUP($F44,Declarations!$B$6:$D$293,3,FALSE)="","NOT DECLARED",VLOOKUP($F44,Declarations!$B$6:$D$293,3,FALSE)&amp;LEFT(VLOOKUP($F44,Declarations!$B$6:$E$293,4,FALSE))))</f>
        <v/>
      </c>
      <c r="F44" s="59"/>
      <c r="G44" s="123">
        <v>0</v>
      </c>
      <c r="H44" s="322"/>
      <c r="I44" s="122" t="str">
        <f>IF(ISNA(VLOOKUP(F44,Declarations!B$6:C$293,2,FALSE)),"",IF(VLOOKUP(F44,Declarations!B$6:C$293,2,FALSE)="","NOTDECLARED",VLOOKUP(F44,Declarations!B$6:C$293,2,FALSE)))</f>
        <v/>
      </c>
      <c r="J44" s="124">
        <f>IF(LOWER(G44)="dnf",1,IF(U44&lt;ScoringTable!C$3,ScoringTable!I$2,VLOOKUP((1000-U44),ScoringTable!H$2:I$95,2)))</f>
        <v>0</v>
      </c>
      <c r="K44" s="120" t="str" cm="1">
        <f t="array" ref="K44">IF(OR(E44="",G44=""),"",_xlfn.IFS(E44="U10B",_xlfn.XLOOKUP(G44,Data!$D$3:$L$3,Data!$D$1:$L$1,"",1,1),E44="U12B",_xlfn.XLOOKUP(G44,Data!$D$9:$L$9,Data!$D$1:$L$1,"",1,1),E44="U10G",_xlfn.XLOOKUP(G44,Data!$D$16:$L$16,Data!$D$1:$L$1,"",1,1),E44="U12G",_xlfn.XLOOKUP(G44,Data!$D$22:$L$22,Data!$D$1:$L$1,"",1,1)))</f>
        <v/>
      </c>
      <c r="L44" s="184" t="str" cm="1">
        <f t="array" ref="L44">IFERROR(_xlfn.IFNA(
                      _xlfn.IFS(
                      G44="", "",
                      G44=0, "",
                      AND(E44="U10B",G44&lt;=Data!$M$3), "U10 Boys record",
                      AND(E44="U12B",G44&lt;=Data!$M$9), "U12 Boys record",
                      AND(E44="U10G",G44&lt;=Data!$M$16), "U10 Girls record",
                      AND(E44="U12G",G44&lt;=Data!$M$22), "U12 Girls record"
                       ),""), "")</f>
        <v/>
      </c>
      <c r="M44" s="19" cm="1">
        <f t="array" ref="M44">_xlfn.IFS(OR($G44="",$G44=0),0, AND(NOT(ISNUMBER($G44)),LOWER($G44)&lt;&gt;"dnf"),"Not a valid time",OR(LOWER($G44)="dnf",$G44&gt;ScoringTable!$N$161),1,RIGHT($E44,1)="B",_xlfn.XLOOKUP($G44,ScoringTable!$N$2:$N$161,ScoringTable!$L$2:$L$161,,1),TRUE,_xlfn.XLOOKUP($G44,ScoringTable!$T$2:$T$161,ScoringTable!$R$2:$R$161,,1))</f>
        <v>0</v>
      </c>
      <c r="N44" s="19"/>
      <c r="Q44" s="125">
        <f t="shared" si="0"/>
        <v>0</v>
      </c>
      <c r="R44" s="126">
        <f t="shared" si="1"/>
        <v>0</v>
      </c>
      <c r="S44" s="127">
        <f t="shared" si="2"/>
        <v>0</v>
      </c>
      <c r="T44" s="126">
        <f t="shared" si="3"/>
        <v>0</v>
      </c>
      <c r="U44" s="128">
        <f t="shared" si="4"/>
        <v>0</v>
      </c>
    </row>
    <row r="45" spans="1:21" s="7" customFormat="1" ht="16" customHeight="1">
      <c r="A45" s="121" t="s">
        <v>3</v>
      </c>
      <c r="B45" s="122" t="str">
        <f>IF(ISNA(VLOOKUP($F45,Declarations!B$6:C$293,2,FALSE)),"",IF(VLOOKUP($F45,Declarations!B$6:C$293,2,FALSE)="","NOT DECLARED",IF(ISNA(_xlfn.TEXTBEFORE(VLOOKUP($F45,Declarations!B$6:C$293,2,FALSE)," ")),VLOOKUP($F45,Declarations!B$6:C$293,2,FALSE),_xlfn.TEXTBEFORE(VLOOKUP($F45,Declarations!B$6:C$293,2,FALSE)," "))))</f>
        <v/>
      </c>
      <c r="C45" s="122" t="str">
        <f>IF(ISNA(VLOOKUP($F45,Declarations!B$6:C$293,2,FALSE)),"",IF(VLOOKUP($F45,Declarations!B$6:C$293,2,FALSE)="","NOT DECLARED",IF(ISNA(_xlfn.TEXTAFTER(VLOOKUP($F45,Declarations!B$6:C$293,2,FALSE)," ")),VLOOKUP($F45,Declarations!B$6:C$293,2,FALSE),_xlfn.TEXTAFTER(VLOOKUP($F45,Declarations!B$6:C$293,2,FALSE)," "))))</f>
        <v/>
      </c>
      <c r="D45" s="122" t="str">
        <f>IF(ISNA(VLOOKUP($F45,Declarations!$B$6:$F$293,5,FALSE)),"",IF(VLOOKUP($F45,Declarations!$B$6:$F$293,5,FALSE)="","NOT DECLARED",VLOOKUP($F45,Declarations!$B$6:$F$293,5,FALSE)))</f>
        <v/>
      </c>
      <c r="E45" s="120" t="str">
        <f>IF(ISNA(VLOOKUP($F45,Declarations!$B$6:$D$293,3,FALSE)),"",IF(VLOOKUP($F45,Declarations!$B$6:$D$293,3,FALSE)="","NOT DECLARED",VLOOKUP($F45,Declarations!$B$6:$D$293,3,FALSE)&amp;LEFT(VLOOKUP($F45,Declarations!$B$6:$E$293,4,FALSE))))</f>
        <v/>
      </c>
      <c r="F45" s="59"/>
      <c r="G45" s="123">
        <v>0</v>
      </c>
      <c r="H45" s="322"/>
      <c r="I45" s="122" t="str">
        <f>IF(ISNA(VLOOKUP(F45,Declarations!B$6:C$293,2,FALSE)),"",IF(VLOOKUP(F45,Declarations!B$6:C$293,2,FALSE)="","NOTDECLARED",VLOOKUP(F45,Declarations!B$6:C$293,2,FALSE)))</f>
        <v/>
      </c>
      <c r="J45" s="124">
        <f>IF(LOWER(G45)="dnf",1,IF(U45&lt;ScoringTable!C$3,ScoringTable!I$2,VLOOKUP((1000-U45),ScoringTable!H$2:I$95,2)))</f>
        <v>0</v>
      </c>
      <c r="K45" s="120" t="str" cm="1">
        <f t="array" ref="K45">IF(OR(E45="",G45=""),"",_xlfn.IFS(E45="U10B",_xlfn.XLOOKUP(G45,Data!$D$3:$L$3,Data!$D$1:$L$1,"",1,1),E45="U12B",_xlfn.XLOOKUP(G45,Data!$D$9:$L$9,Data!$D$1:$L$1,"",1,1),E45="U10G",_xlfn.XLOOKUP(G45,Data!$D$16:$L$16,Data!$D$1:$L$1,"",1,1),E45="U12G",_xlfn.XLOOKUP(G45,Data!$D$22:$L$22,Data!$D$1:$L$1,"",1,1)))</f>
        <v/>
      </c>
      <c r="L45" s="184" t="str" cm="1">
        <f t="array" ref="L45">IFERROR(_xlfn.IFNA(
                      _xlfn.IFS(
                      G45="", "",
                      G45=0, "",
                      AND(E45="U10B",G45&lt;=Data!$M$3), "U10 Boys record",
                      AND(E45="U12B",G45&lt;=Data!$M$9), "U12 Boys record",
                      AND(E45="U10G",G45&lt;=Data!$M$16), "U10 Girls record",
                      AND(E45="U12G",G45&lt;=Data!$M$22), "U12 Girls record"
                       ),""), "")</f>
        <v/>
      </c>
      <c r="M45" s="19" cm="1">
        <f t="array" ref="M45">_xlfn.IFS(OR($G45="",$G45=0),0, AND(NOT(ISNUMBER($G45)),LOWER($G45)&lt;&gt;"dnf"),"Not a valid time",OR(LOWER($G45)="dnf",$G45&gt;ScoringTable!$N$161),1,RIGHT($E45,1)="B",_xlfn.XLOOKUP($G45,ScoringTable!$N$2:$N$161,ScoringTable!$L$2:$L$161,,1),TRUE,_xlfn.XLOOKUP($G45,ScoringTable!$T$2:$T$161,ScoringTable!$R$2:$R$161,,1))</f>
        <v>0</v>
      </c>
      <c r="N45" s="19"/>
      <c r="Q45" s="125">
        <f t="shared" si="0"/>
        <v>0</v>
      </c>
      <c r="R45" s="126">
        <f t="shared" si="1"/>
        <v>0</v>
      </c>
      <c r="S45" s="127">
        <f t="shared" si="2"/>
        <v>0</v>
      </c>
      <c r="T45" s="126">
        <f t="shared" si="3"/>
        <v>0</v>
      </c>
      <c r="U45" s="128">
        <f t="shared" si="4"/>
        <v>0</v>
      </c>
    </row>
    <row r="46" spans="1:21" s="7" customFormat="1" ht="16" customHeight="1">
      <c r="A46" s="121" t="s">
        <v>3</v>
      </c>
      <c r="B46" s="122" t="str">
        <f>IF(ISNA(VLOOKUP($F46,Declarations!B$6:C$293,2,FALSE)),"",IF(VLOOKUP($F46,Declarations!B$6:C$293,2,FALSE)="","NOT DECLARED",IF(ISNA(_xlfn.TEXTBEFORE(VLOOKUP($F46,Declarations!B$6:C$293,2,FALSE)," ")),VLOOKUP($F46,Declarations!B$6:C$293,2,FALSE),_xlfn.TEXTBEFORE(VLOOKUP($F46,Declarations!B$6:C$293,2,FALSE)," "))))</f>
        <v/>
      </c>
      <c r="C46" s="122" t="str">
        <f>IF(ISNA(VLOOKUP($F46,Declarations!B$6:C$293,2,FALSE)),"",IF(VLOOKUP($F46,Declarations!B$6:C$293,2,FALSE)="","NOT DECLARED",IF(ISNA(_xlfn.TEXTAFTER(VLOOKUP($F46,Declarations!B$6:C$293,2,FALSE)," ")),VLOOKUP($F46,Declarations!B$6:C$293,2,FALSE),_xlfn.TEXTAFTER(VLOOKUP($F46,Declarations!B$6:C$293,2,FALSE)," "))))</f>
        <v/>
      </c>
      <c r="D46" s="122" t="str">
        <f>IF(ISNA(VLOOKUP($F46,Declarations!$B$6:$F$293,5,FALSE)),"",IF(VLOOKUP($F46,Declarations!$B$6:$F$293,5,FALSE)="","NOT DECLARED",VLOOKUP($F46,Declarations!$B$6:$F$293,5,FALSE)))</f>
        <v/>
      </c>
      <c r="E46" s="120" t="str">
        <f>IF(ISNA(VLOOKUP($F46,Declarations!$B$6:$D$293,3,FALSE)),"",IF(VLOOKUP($F46,Declarations!$B$6:$D$293,3,FALSE)="","NOT DECLARED",VLOOKUP($F46,Declarations!$B$6:$D$293,3,FALSE)&amp;LEFT(VLOOKUP($F46,Declarations!$B$6:$E$293,4,FALSE))))</f>
        <v/>
      </c>
      <c r="F46" s="59"/>
      <c r="G46" s="123">
        <v>0</v>
      </c>
      <c r="H46" s="322"/>
      <c r="I46" s="122" t="str">
        <f>IF(ISNA(VLOOKUP(F46,Declarations!B$6:C$293,2,FALSE)),"",IF(VLOOKUP(F46,Declarations!B$6:C$293,2,FALSE)="","NOTDECLARED",VLOOKUP(F46,Declarations!B$6:C$293,2,FALSE)))</f>
        <v/>
      </c>
      <c r="J46" s="124">
        <f>IF(LOWER(G46)="dnf",1,IF(U46&lt;ScoringTable!C$3,ScoringTable!I$2,VLOOKUP((1000-U46),ScoringTable!H$2:I$95,2)))</f>
        <v>0</v>
      </c>
      <c r="K46" s="120" t="str" cm="1">
        <f t="array" ref="K46">IF(OR(E46="",G46=""),"",_xlfn.IFS(E46="U10B",_xlfn.XLOOKUP(G46,Data!$D$3:$L$3,Data!$D$1:$L$1,"",1,1),E46="U12B",_xlfn.XLOOKUP(G46,Data!$D$9:$L$9,Data!$D$1:$L$1,"",1,1),E46="U10G",_xlfn.XLOOKUP(G46,Data!$D$16:$L$16,Data!$D$1:$L$1,"",1,1),E46="U12G",_xlfn.XLOOKUP(G46,Data!$D$22:$L$22,Data!$D$1:$L$1,"",1,1)))</f>
        <v/>
      </c>
      <c r="L46" s="184" t="str" cm="1">
        <f t="array" ref="L46">IFERROR(_xlfn.IFNA(
                      _xlfn.IFS(
                      G46="", "",
                      G46=0, "",
                      AND(E46="U10B",G46&lt;=Data!$M$3), "U10 Boys record",
                      AND(E46="U12B",G46&lt;=Data!$M$9), "U12 Boys record",
                      AND(E46="U10G",G46&lt;=Data!$M$16), "U10 Girls record",
                      AND(E46="U12G",G46&lt;=Data!$M$22), "U12 Girls record"
                       ),""), "")</f>
        <v/>
      </c>
      <c r="M46" s="19" cm="1">
        <f t="array" ref="M46">_xlfn.IFS(OR($G46="",$G46=0),0, AND(NOT(ISNUMBER($G46)),LOWER($G46)&lt;&gt;"dnf"),"Not a valid time",OR(LOWER($G46)="dnf",$G46&gt;ScoringTable!$N$161),1,RIGHT($E46,1)="B",_xlfn.XLOOKUP($G46,ScoringTable!$N$2:$N$161,ScoringTable!$L$2:$L$161,,1),TRUE,_xlfn.XLOOKUP($G46,ScoringTable!$T$2:$T$161,ScoringTable!$R$2:$R$161,,1))</f>
        <v>0</v>
      </c>
      <c r="N46" s="19"/>
      <c r="Q46" s="125">
        <f t="shared" si="0"/>
        <v>0</v>
      </c>
      <c r="R46" s="126">
        <f t="shared" si="1"/>
        <v>0</v>
      </c>
      <c r="S46" s="127">
        <f t="shared" si="2"/>
        <v>0</v>
      </c>
      <c r="T46" s="126">
        <f t="shared" si="3"/>
        <v>0</v>
      </c>
      <c r="U46" s="128">
        <f t="shared" si="4"/>
        <v>0</v>
      </c>
    </row>
    <row r="47" spans="1:21" s="7" customFormat="1" ht="16" customHeight="1">
      <c r="A47" s="121" t="s">
        <v>3</v>
      </c>
      <c r="B47" s="122" t="str">
        <f>IF(ISNA(VLOOKUP($F47,Declarations!B$6:C$293,2,FALSE)),"",IF(VLOOKUP($F47,Declarations!B$6:C$293,2,FALSE)="","NOT DECLARED",IF(ISNA(_xlfn.TEXTBEFORE(VLOOKUP($F47,Declarations!B$6:C$293,2,FALSE)," ")),VLOOKUP($F47,Declarations!B$6:C$293,2,FALSE),_xlfn.TEXTBEFORE(VLOOKUP($F47,Declarations!B$6:C$293,2,FALSE)," "))))</f>
        <v/>
      </c>
      <c r="C47" s="122" t="str">
        <f>IF(ISNA(VLOOKUP($F47,Declarations!B$6:C$293,2,FALSE)),"",IF(VLOOKUP($F47,Declarations!B$6:C$293,2,FALSE)="","NOT DECLARED",IF(ISNA(_xlfn.TEXTAFTER(VLOOKUP($F47,Declarations!B$6:C$293,2,FALSE)," ")),VLOOKUP($F47,Declarations!B$6:C$293,2,FALSE),_xlfn.TEXTAFTER(VLOOKUP($F47,Declarations!B$6:C$293,2,FALSE)," "))))</f>
        <v/>
      </c>
      <c r="D47" s="122" t="str">
        <f>IF(ISNA(VLOOKUP($F47,Declarations!$B$6:$F$293,5,FALSE)),"",IF(VLOOKUP($F47,Declarations!$B$6:$F$293,5,FALSE)="","NOT DECLARED",VLOOKUP($F47,Declarations!$B$6:$F$293,5,FALSE)))</f>
        <v/>
      </c>
      <c r="E47" s="120" t="str">
        <f>IF(ISNA(VLOOKUP($F47,Declarations!$B$6:$D$293,3,FALSE)),"",IF(VLOOKUP($F47,Declarations!$B$6:$D$293,3,FALSE)="","NOT DECLARED",VLOOKUP($F47,Declarations!$B$6:$D$293,3,FALSE)&amp;LEFT(VLOOKUP($F47,Declarations!$B$6:$E$293,4,FALSE))))</f>
        <v/>
      </c>
      <c r="F47" s="59"/>
      <c r="G47" s="123">
        <v>0</v>
      </c>
      <c r="H47" s="322"/>
      <c r="I47" s="122" t="str">
        <f>IF(ISNA(VLOOKUP(F47,Declarations!B$6:C$293,2,FALSE)),"",IF(VLOOKUP(F47,Declarations!B$6:C$293,2,FALSE)="","NOTDECLARED",VLOOKUP(F47,Declarations!B$6:C$293,2,FALSE)))</f>
        <v/>
      </c>
      <c r="J47" s="124">
        <f>IF(LOWER(G47)="dnf",1,IF(U47&lt;ScoringTable!C$3,ScoringTable!I$2,VLOOKUP((1000-U47),ScoringTable!H$2:I$95,2)))</f>
        <v>0</v>
      </c>
      <c r="K47" s="120" t="str" cm="1">
        <f t="array" ref="K47">IF(OR(E47="",G47=""),"",_xlfn.IFS(E47="U10B",_xlfn.XLOOKUP(G47,Data!$D$3:$L$3,Data!$D$1:$L$1,"",1,1),E47="U12B",_xlfn.XLOOKUP(G47,Data!$D$9:$L$9,Data!$D$1:$L$1,"",1,1),E47="U10G",_xlfn.XLOOKUP(G47,Data!$D$16:$L$16,Data!$D$1:$L$1,"",1,1),E47="U12G",_xlfn.XLOOKUP(G47,Data!$D$22:$L$22,Data!$D$1:$L$1,"",1,1)))</f>
        <v/>
      </c>
      <c r="L47" s="184" t="str" cm="1">
        <f t="array" ref="L47">IFERROR(_xlfn.IFNA(
                      _xlfn.IFS(
                      G47="", "",
                      G47=0, "",
                      AND(E47="U10B",G47&lt;=Data!$M$3), "U10 Boys record",
                      AND(E47="U12B",G47&lt;=Data!$M$9), "U12 Boys record",
                      AND(E47="U10G",G47&lt;=Data!$M$16), "U10 Girls record",
                      AND(E47="U12G",G47&lt;=Data!$M$22), "U12 Girls record"
                       ),""), "")</f>
        <v/>
      </c>
      <c r="M47" s="19" cm="1">
        <f t="array" ref="M47">_xlfn.IFS(OR($G47="",$G47=0),0, AND(NOT(ISNUMBER($G47)),LOWER($G47)&lt;&gt;"dnf"),"Not a valid time",OR(LOWER($G47)="dnf",$G47&gt;ScoringTable!$N$161),1,RIGHT($E47,1)="B",_xlfn.XLOOKUP($G47,ScoringTable!$N$2:$N$161,ScoringTable!$L$2:$L$161,,1),TRUE,_xlfn.XLOOKUP($G47,ScoringTable!$T$2:$T$161,ScoringTable!$R$2:$R$161,,1))</f>
        <v>0</v>
      </c>
      <c r="N47" s="19"/>
      <c r="Q47" s="125">
        <f t="shared" si="0"/>
        <v>0</v>
      </c>
      <c r="R47" s="126">
        <f t="shared" si="1"/>
        <v>0</v>
      </c>
      <c r="S47" s="127">
        <f t="shared" si="2"/>
        <v>0</v>
      </c>
      <c r="T47" s="126">
        <f t="shared" si="3"/>
        <v>0</v>
      </c>
      <c r="U47" s="128">
        <f t="shared" si="4"/>
        <v>0</v>
      </c>
    </row>
    <row r="48" spans="1:21" s="7" customFormat="1" ht="16" customHeight="1">
      <c r="A48" s="121" t="s">
        <v>3</v>
      </c>
      <c r="B48" s="122" t="str">
        <f>IF(ISNA(VLOOKUP($F48,Declarations!B$6:C$293,2,FALSE)),"",IF(VLOOKUP($F48,Declarations!B$6:C$293,2,FALSE)="","NOT DECLARED",IF(ISNA(_xlfn.TEXTBEFORE(VLOOKUP($F48,Declarations!B$6:C$293,2,FALSE)," ")),VLOOKUP($F48,Declarations!B$6:C$293,2,FALSE),_xlfn.TEXTBEFORE(VLOOKUP($F48,Declarations!B$6:C$293,2,FALSE)," "))))</f>
        <v/>
      </c>
      <c r="C48" s="122" t="str">
        <f>IF(ISNA(VLOOKUP($F48,Declarations!B$6:C$293,2,FALSE)),"",IF(VLOOKUP($F48,Declarations!B$6:C$293,2,FALSE)="","NOT DECLARED",IF(ISNA(_xlfn.TEXTAFTER(VLOOKUP($F48,Declarations!B$6:C$293,2,FALSE)," ")),VLOOKUP($F48,Declarations!B$6:C$293,2,FALSE),_xlfn.TEXTAFTER(VLOOKUP($F48,Declarations!B$6:C$293,2,FALSE)," "))))</f>
        <v/>
      </c>
      <c r="D48" s="122" t="str">
        <f>IF(ISNA(VLOOKUP($F48,Declarations!$B$6:$F$293,5,FALSE)),"",IF(VLOOKUP($F48,Declarations!$B$6:$F$293,5,FALSE)="","NOT DECLARED",VLOOKUP($F48,Declarations!$B$6:$F$293,5,FALSE)))</f>
        <v/>
      </c>
      <c r="E48" s="120" t="str">
        <f>IF(ISNA(VLOOKUP($F48,Declarations!$B$6:$D$293,3,FALSE)),"",IF(VLOOKUP($F48,Declarations!$B$6:$D$293,3,FALSE)="","NOT DECLARED",VLOOKUP($F48,Declarations!$B$6:$D$293,3,FALSE)&amp;LEFT(VLOOKUP($F48,Declarations!$B$6:$E$293,4,FALSE))))</f>
        <v/>
      </c>
      <c r="F48" s="59"/>
      <c r="G48" s="123">
        <v>0</v>
      </c>
      <c r="H48" s="322"/>
      <c r="I48" s="122" t="str">
        <f>IF(ISNA(VLOOKUP(F48,Declarations!B$6:C$293,2,FALSE)),"",IF(VLOOKUP(F48,Declarations!B$6:C$293,2,FALSE)="","NOTDECLARED",VLOOKUP(F48,Declarations!B$6:C$293,2,FALSE)))</f>
        <v/>
      </c>
      <c r="J48" s="124">
        <f>IF(LOWER(G48)="dnf",1,IF(U48&lt;ScoringTable!C$3,ScoringTable!I$2,VLOOKUP((1000-U48),ScoringTable!H$2:I$95,2)))</f>
        <v>0</v>
      </c>
      <c r="K48" s="120" t="str" cm="1">
        <f t="array" ref="K48">IF(OR(E48="",G48=""),"",_xlfn.IFS(E48="U10B",_xlfn.XLOOKUP(G48,Data!$D$3:$L$3,Data!$D$1:$L$1,"",1,1),E48="U12B",_xlfn.XLOOKUP(G48,Data!$D$9:$L$9,Data!$D$1:$L$1,"",1,1),E48="U10G",_xlfn.XLOOKUP(G48,Data!$D$16:$L$16,Data!$D$1:$L$1,"",1,1),E48="U12G",_xlfn.XLOOKUP(G48,Data!$D$22:$L$22,Data!$D$1:$L$1,"",1,1)))</f>
        <v/>
      </c>
      <c r="L48" s="184" t="str" cm="1">
        <f t="array" ref="L48">IFERROR(_xlfn.IFNA(
                      _xlfn.IFS(
                      G48="", "",
                      G48=0, "",
                      AND(E48="U10B",G48&lt;=Data!$M$3), "U10 Boys record",
                      AND(E48="U12B",G48&lt;=Data!$M$9), "U12 Boys record",
                      AND(E48="U10G",G48&lt;=Data!$M$16), "U10 Girls record",
                      AND(E48="U12G",G48&lt;=Data!$M$22), "U12 Girls record"
                       ),""), "")</f>
        <v/>
      </c>
      <c r="M48" s="19" cm="1">
        <f t="array" ref="M48">_xlfn.IFS(OR($G48="",$G48=0),0, AND(NOT(ISNUMBER($G48)),LOWER($G48)&lt;&gt;"dnf"),"Not a valid time",OR(LOWER($G48)="dnf",$G48&gt;ScoringTable!$N$161),1,RIGHT($E48,1)="B",_xlfn.XLOOKUP($G48,ScoringTable!$N$2:$N$161,ScoringTable!$L$2:$L$161,,1),TRUE,_xlfn.XLOOKUP($G48,ScoringTable!$T$2:$T$161,ScoringTable!$R$2:$R$161,,1))</f>
        <v>0</v>
      </c>
      <c r="N48" s="19"/>
      <c r="Q48" s="125">
        <f t="shared" si="0"/>
        <v>0</v>
      </c>
      <c r="R48" s="126">
        <f t="shared" si="1"/>
        <v>0</v>
      </c>
      <c r="S48" s="127">
        <f t="shared" si="2"/>
        <v>0</v>
      </c>
      <c r="T48" s="126">
        <f t="shared" si="3"/>
        <v>0</v>
      </c>
      <c r="U48" s="128">
        <f t="shared" si="4"/>
        <v>0</v>
      </c>
    </row>
    <row r="49" spans="1:21" s="7" customFormat="1" ht="16" customHeight="1">
      <c r="A49" s="121" t="s">
        <v>3</v>
      </c>
      <c r="B49" s="122" t="str">
        <f>IF(ISNA(VLOOKUP($F49,Declarations!B$6:C$293,2,FALSE)),"",IF(VLOOKUP($F49,Declarations!B$6:C$293,2,FALSE)="","NOT DECLARED",IF(ISNA(_xlfn.TEXTBEFORE(VLOOKUP($F49,Declarations!B$6:C$293,2,FALSE)," ")),VLOOKUP($F49,Declarations!B$6:C$293,2,FALSE),_xlfn.TEXTBEFORE(VLOOKUP($F49,Declarations!B$6:C$293,2,FALSE)," "))))</f>
        <v/>
      </c>
      <c r="C49" s="122" t="str">
        <f>IF(ISNA(VLOOKUP($F49,Declarations!B$6:C$293,2,FALSE)),"",IF(VLOOKUP($F49,Declarations!B$6:C$293,2,FALSE)="","NOT DECLARED",IF(ISNA(_xlfn.TEXTAFTER(VLOOKUP($F49,Declarations!B$6:C$293,2,FALSE)," ")),VLOOKUP($F49,Declarations!B$6:C$293,2,FALSE),_xlfn.TEXTAFTER(VLOOKUP($F49,Declarations!B$6:C$293,2,FALSE)," "))))</f>
        <v/>
      </c>
      <c r="D49" s="122" t="str">
        <f>IF(ISNA(VLOOKUP($F49,Declarations!$B$6:$F$293,5,FALSE)),"",IF(VLOOKUP($F49,Declarations!$B$6:$F$293,5,FALSE)="","NOT DECLARED",VLOOKUP($F49,Declarations!$B$6:$F$293,5,FALSE)))</f>
        <v/>
      </c>
      <c r="E49" s="120" t="str">
        <f>IF(ISNA(VLOOKUP($F49,Declarations!$B$6:$D$293,3,FALSE)),"",IF(VLOOKUP($F49,Declarations!$B$6:$D$293,3,FALSE)="","NOT DECLARED",VLOOKUP($F49,Declarations!$B$6:$D$293,3,FALSE)&amp;LEFT(VLOOKUP($F49,Declarations!$B$6:$E$293,4,FALSE))))</f>
        <v/>
      </c>
      <c r="F49" s="59"/>
      <c r="G49" s="123">
        <v>0</v>
      </c>
      <c r="H49" s="322"/>
      <c r="I49" s="122" t="str">
        <f>IF(ISNA(VLOOKUP(F49,Declarations!B$6:C$293,2,FALSE)),"",IF(VLOOKUP(F49,Declarations!B$6:C$293,2,FALSE)="","NOTDECLARED",VLOOKUP(F49,Declarations!B$6:C$293,2,FALSE)))</f>
        <v/>
      </c>
      <c r="J49" s="124">
        <f>IF(LOWER(G49)="dnf",1,IF(U49&lt;ScoringTable!C$3,ScoringTable!I$2,VLOOKUP((1000-U49),ScoringTable!H$2:I$95,2)))</f>
        <v>0</v>
      </c>
      <c r="K49" s="120" t="str" cm="1">
        <f t="array" ref="K49">IF(OR(E49="",G49=""),"",_xlfn.IFS(E49="U10B",_xlfn.XLOOKUP(G49,Data!$D$3:$L$3,Data!$D$1:$L$1,"",1,1),E49="U12B",_xlfn.XLOOKUP(G49,Data!$D$9:$L$9,Data!$D$1:$L$1,"",1,1),E49="U10G",_xlfn.XLOOKUP(G49,Data!$D$16:$L$16,Data!$D$1:$L$1,"",1,1),E49="U12G",_xlfn.XLOOKUP(G49,Data!$D$22:$L$22,Data!$D$1:$L$1,"",1,1)))</f>
        <v/>
      </c>
      <c r="L49" s="184" t="str" cm="1">
        <f t="array" ref="L49">IFERROR(_xlfn.IFNA(
                      _xlfn.IFS(
                      G49="", "",
                      G49=0, "",
                      AND(E49="U10B",G49&lt;=Data!$M$3), "U10 Boys record",
                      AND(E49="U12B",G49&lt;=Data!$M$9), "U12 Boys record",
                      AND(E49="U10G",G49&lt;=Data!$M$16), "U10 Girls record",
                      AND(E49="U12G",G49&lt;=Data!$M$22), "U12 Girls record"
                       ),""), "")</f>
        <v/>
      </c>
      <c r="M49" s="19" cm="1">
        <f t="array" ref="M49">_xlfn.IFS(OR($G49="",$G49=0),0, AND(NOT(ISNUMBER($G49)),LOWER($G49)&lt;&gt;"dnf"),"Not a valid time",OR(LOWER($G49)="dnf",$G49&gt;ScoringTable!$N$161),1,RIGHT($E49,1)="B",_xlfn.XLOOKUP($G49,ScoringTable!$N$2:$N$161,ScoringTable!$L$2:$L$161,,1),TRUE,_xlfn.XLOOKUP($G49,ScoringTable!$T$2:$T$161,ScoringTable!$R$2:$R$161,,1))</f>
        <v>0</v>
      </c>
      <c r="N49" s="19"/>
      <c r="Q49" s="125">
        <f t="shared" si="0"/>
        <v>0</v>
      </c>
      <c r="R49" s="126">
        <f t="shared" si="1"/>
        <v>0</v>
      </c>
      <c r="S49" s="127">
        <f t="shared" si="2"/>
        <v>0</v>
      </c>
      <c r="T49" s="126">
        <f t="shared" si="3"/>
        <v>0</v>
      </c>
      <c r="U49" s="128">
        <f t="shared" si="4"/>
        <v>0</v>
      </c>
    </row>
    <row r="50" spans="1:21" s="7" customFormat="1" ht="16" customHeight="1">
      <c r="A50" s="121" t="s">
        <v>3</v>
      </c>
      <c r="B50" s="122" t="str">
        <f>IF(ISNA(VLOOKUP($F50,Declarations!B$6:C$293,2,FALSE)),"",IF(VLOOKUP($F50,Declarations!B$6:C$293,2,FALSE)="","NOT DECLARED",IF(ISNA(_xlfn.TEXTBEFORE(VLOOKUP($F50,Declarations!B$6:C$293,2,FALSE)," ")),VLOOKUP($F50,Declarations!B$6:C$293,2,FALSE),_xlfn.TEXTBEFORE(VLOOKUP($F50,Declarations!B$6:C$293,2,FALSE)," "))))</f>
        <v/>
      </c>
      <c r="C50" s="122" t="str">
        <f>IF(ISNA(VLOOKUP($F50,Declarations!B$6:C$293,2,FALSE)),"",IF(VLOOKUP($F50,Declarations!B$6:C$293,2,FALSE)="","NOT DECLARED",IF(ISNA(_xlfn.TEXTAFTER(VLOOKUP($F50,Declarations!B$6:C$293,2,FALSE)," ")),VLOOKUP($F50,Declarations!B$6:C$293,2,FALSE),_xlfn.TEXTAFTER(VLOOKUP($F50,Declarations!B$6:C$293,2,FALSE)," "))))</f>
        <v/>
      </c>
      <c r="D50" s="122" t="str">
        <f>IF(ISNA(VLOOKUP($F50,Declarations!$B$6:$F$293,5,FALSE)),"",IF(VLOOKUP($F50,Declarations!$B$6:$F$293,5,FALSE)="","NOT DECLARED",VLOOKUP($F50,Declarations!$B$6:$F$293,5,FALSE)))</f>
        <v/>
      </c>
      <c r="E50" s="120" t="str">
        <f>IF(ISNA(VLOOKUP($F50,Declarations!$B$6:$D$293,3,FALSE)),"",IF(VLOOKUP($F50,Declarations!$B$6:$D$293,3,FALSE)="","NOT DECLARED",VLOOKUP($F50,Declarations!$B$6:$D$293,3,FALSE)&amp;LEFT(VLOOKUP($F50,Declarations!$B$6:$E$293,4,FALSE))))</f>
        <v/>
      </c>
      <c r="F50" s="59"/>
      <c r="G50" s="123">
        <v>0</v>
      </c>
      <c r="H50" s="322"/>
      <c r="I50" s="122" t="str">
        <f>IF(ISNA(VLOOKUP(F50,Declarations!B$6:C$293,2,FALSE)),"",IF(VLOOKUP(F50,Declarations!B$6:C$293,2,FALSE)="","NOTDECLARED",VLOOKUP(F50,Declarations!B$6:C$293,2,FALSE)))</f>
        <v/>
      </c>
      <c r="J50" s="124">
        <f>IF(LOWER(G50)="dnf",1,IF(U50&lt;ScoringTable!C$3,ScoringTable!I$2,VLOOKUP((1000-U50),ScoringTable!H$2:I$95,2)))</f>
        <v>0</v>
      </c>
      <c r="K50" s="120" t="str" cm="1">
        <f t="array" ref="K50">IF(OR(E50="",G50=""),"",_xlfn.IFS(E50="U10B",_xlfn.XLOOKUP(G50,Data!$D$3:$L$3,Data!$D$1:$L$1,"",1,1),E50="U12B",_xlfn.XLOOKUP(G50,Data!$D$9:$L$9,Data!$D$1:$L$1,"",1,1),E50="U10G",_xlfn.XLOOKUP(G50,Data!$D$16:$L$16,Data!$D$1:$L$1,"",1,1),E50="U12G",_xlfn.XLOOKUP(G50,Data!$D$22:$L$22,Data!$D$1:$L$1,"",1,1)))</f>
        <v/>
      </c>
      <c r="L50" s="184" t="str" cm="1">
        <f t="array" ref="L50">IFERROR(_xlfn.IFNA(
                      _xlfn.IFS(
                      G50="", "",
                      G50=0, "",
                      AND(E50="U10B",G50&lt;=Data!$M$3), "U10 Boys record",
                      AND(E50="U12B",G50&lt;=Data!$M$9), "U12 Boys record",
                      AND(E50="U10G",G50&lt;=Data!$M$16), "U10 Girls record",
                      AND(E50="U12G",G50&lt;=Data!$M$22), "U12 Girls record"
                       ),""), "")</f>
        <v/>
      </c>
      <c r="M50" s="19" cm="1">
        <f t="array" ref="M50">_xlfn.IFS(OR($G50="",$G50=0),0, AND(NOT(ISNUMBER($G50)),LOWER($G50)&lt;&gt;"dnf"),"Not a valid time",OR(LOWER($G50)="dnf",$G50&gt;ScoringTable!$N$161),1,RIGHT($E50,1)="B",_xlfn.XLOOKUP($G50,ScoringTable!$N$2:$N$161,ScoringTable!$L$2:$L$161,,1),TRUE,_xlfn.XLOOKUP($G50,ScoringTable!$T$2:$T$161,ScoringTable!$R$2:$R$161,,1))</f>
        <v>0</v>
      </c>
      <c r="N50" s="19"/>
      <c r="Q50" s="125">
        <f t="shared" si="0"/>
        <v>0</v>
      </c>
      <c r="R50" s="126">
        <f t="shared" si="1"/>
        <v>0</v>
      </c>
      <c r="S50" s="127">
        <f t="shared" si="2"/>
        <v>0</v>
      </c>
      <c r="T50" s="126">
        <f t="shared" si="3"/>
        <v>0</v>
      </c>
      <c r="U50" s="128">
        <f t="shared" si="4"/>
        <v>0</v>
      </c>
    </row>
    <row r="51" spans="1:21" s="7" customFormat="1" ht="16" customHeight="1">
      <c r="A51" s="121" t="s">
        <v>3</v>
      </c>
      <c r="B51" s="122" t="str">
        <f>IF(ISNA(VLOOKUP($F51,Declarations!B$6:C$293,2,FALSE)),"",IF(VLOOKUP($F51,Declarations!B$6:C$293,2,FALSE)="","NOT DECLARED",IF(ISNA(_xlfn.TEXTBEFORE(VLOOKUP($F51,Declarations!B$6:C$293,2,FALSE)," ")),VLOOKUP($F51,Declarations!B$6:C$293,2,FALSE),_xlfn.TEXTBEFORE(VLOOKUP($F51,Declarations!B$6:C$293,2,FALSE)," "))))</f>
        <v/>
      </c>
      <c r="C51" s="122" t="str">
        <f>IF(ISNA(VLOOKUP($F51,Declarations!B$6:C$293,2,FALSE)),"",IF(VLOOKUP($F51,Declarations!B$6:C$293,2,FALSE)="","NOT DECLARED",IF(ISNA(_xlfn.TEXTAFTER(VLOOKUP($F51,Declarations!B$6:C$293,2,FALSE)," ")),VLOOKUP($F51,Declarations!B$6:C$293,2,FALSE),_xlfn.TEXTAFTER(VLOOKUP($F51,Declarations!B$6:C$293,2,FALSE)," "))))</f>
        <v/>
      </c>
      <c r="D51" s="122" t="str">
        <f>IF(ISNA(VLOOKUP($F51,Declarations!$B$6:$F$293,5,FALSE)),"",IF(VLOOKUP($F51,Declarations!$B$6:$F$293,5,FALSE)="","NOT DECLARED",VLOOKUP($F51,Declarations!$B$6:$F$293,5,FALSE)))</f>
        <v/>
      </c>
      <c r="E51" s="120" t="str">
        <f>IF(ISNA(VLOOKUP($F51,Declarations!$B$6:$D$293,3,FALSE)),"",IF(VLOOKUP($F51,Declarations!$B$6:$D$293,3,FALSE)="","NOT DECLARED",VLOOKUP($F51,Declarations!$B$6:$D$293,3,FALSE)&amp;LEFT(VLOOKUP($F51,Declarations!$B$6:$E$293,4,FALSE))))</f>
        <v/>
      </c>
      <c r="F51" s="59"/>
      <c r="G51" s="123">
        <v>0</v>
      </c>
      <c r="H51" s="322"/>
      <c r="I51" s="122" t="str">
        <f>IF(ISNA(VLOOKUP(F51,Declarations!B$6:C$293,2,FALSE)),"",IF(VLOOKUP(F51,Declarations!B$6:C$293,2,FALSE)="","NOTDECLARED",VLOOKUP(F51,Declarations!B$6:C$293,2,FALSE)))</f>
        <v/>
      </c>
      <c r="J51" s="124">
        <f>IF(LOWER(G51)="dnf",1,IF(U51&lt;ScoringTable!C$3,ScoringTable!I$2,VLOOKUP((1000-U51),ScoringTable!H$2:I$95,2)))</f>
        <v>0</v>
      </c>
      <c r="K51" s="120" t="str" cm="1">
        <f t="array" ref="K51">IF(OR(E51="",G51=""),"",_xlfn.IFS(E51="U10B",_xlfn.XLOOKUP(G51,Data!$D$3:$L$3,Data!$D$1:$L$1,"",1,1),E51="U12B",_xlfn.XLOOKUP(G51,Data!$D$9:$L$9,Data!$D$1:$L$1,"",1,1),E51="U10G",_xlfn.XLOOKUP(G51,Data!$D$16:$L$16,Data!$D$1:$L$1,"",1,1),E51="U12G",_xlfn.XLOOKUP(G51,Data!$D$22:$L$22,Data!$D$1:$L$1,"",1,1)))</f>
        <v/>
      </c>
      <c r="L51" s="184" t="str" cm="1">
        <f t="array" ref="L51">IFERROR(_xlfn.IFNA(
                      _xlfn.IFS(
                      G51="", "",
                      G51=0, "",
                      AND(E51="U10B",G51&lt;=Data!$M$3), "U10 Boys record",
                      AND(E51="U12B",G51&lt;=Data!$M$9), "U12 Boys record",
                      AND(E51="U10G",G51&lt;=Data!$M$16), "U10 Girls record",
                      AND(E51="U12G",G51&lt;=Data!$M$22), "U12 Girls record"
                       ),""), "")</f>
        <v/>
      </c>
      <c r="M51" s="19" cm="1">
        <f t="array" ref="M51">_xlfn.IFS(OR($G51="",$G51=0),0, AND(NOT(ISNUMBER($G51)),LOWER($G51)&lt;&gt;"dnf"),"Not a valid time",OR(LOWER($G51)="dnf",$G51&gt;ScoringTable!$N$161),1,RIGHT($E51,1)="B",_xlfn.XLOOKUP($G51,ScoringTable!$N$2:$N$161,ScoringTable!$L$2:$L$161,,1),TRUE,_xlfn.XLOOKUP($G51,ScoringTable!$T$2:$T$161,ScoringTable!$R$2:$R$161,,1))</f>
        <v>0</v>
      </c>
      <c r="N51" s="19"/>
      <c r="Q51" s="125">
        <f t="shared" si="0"/>
        <v>0</v>
      </c>
      <c r="R51" s="126">
        <f t="shared" si="1"/>
        <v>0</v>
      </c>
      <c r="S51" s="127">
        <f t="shared" si="2"/>
        <v>0</v>
      </c>
      <c r="T51" s="126">
        <f t="shared" si="3"/>
        <v>0</v>
      </c>
      <c r="U51" s="128">
        <f t="shared" si="4"/>
        <v>0</v>
      </c>
    </row>
    <row r="52" spans="1:21" s="7" customFormat="1" ht="16" customHeight="1">
      <c r="A52" s="121" t="s">
        <v>3</v>
      </c>
      <c r="B52" s="122" t="str">
        <f>IF(ISNA(VLOOKUP($F52,Declarations!B$6:C$293,2,FALSE)),"",IF(VLOOKUP($F52,Declarations!B$6:C$293,2,FALSE)="","NOT DECLARED",IF(ISNA(_xlfn.TEXTBEFORE(VLOOKUP($F52,Declarations!B$6:C$293,2,FALSE)," ")),VLOOKUP($F52,Declarations!B$6:C$293,2,FALSE),_xlfn.TEXTBEFORE(VLOOKUP($F52,Declarations!B$6:C$293,2,FALSE)," "))))</f>
        <v/>
      </c>
      <c r="C52" s="122" t="str">
        <f>IF(ISNA(VLOOKUP($F52,Declarations!B$6:C$293,2,FALSE)),"",IF(VLOOKUP($F52,Declarations!B$6:C$293,2,FALSE)="","NOT DECLARED",IF(ISNA(_xlfn.TEXTAFTER(VLOOKUP($F52,Declarations!B$6:C$293,2,FALSE)," ")),VLOOKUP($F52,Declarations!B$6:C$293,2,FALSE),_xlfn.TEXTAFTER(VLOOKUP($F52,Declarations!B$6:C$293,2,FALSE)," "))))</f>
        <v/>
      </c>
      <c r="D52" s="122" t="str">
        <f>IF(ISNA(VLOOKUP($F52,Declarations!$B$6:$F$293,5,FALSE)),"",IF(VLOOKUP($F52,Declarations!$B$6:$F$293,5,FALSE)="","NOT DECLARED",VLOOKUP($F52,Declarations!$B$6:$F$293,5,FALSE)))</f>
        <v/>
      </c>
      <c r="E52" s="120" t="str">
        <f>IF(ISNA(VLOOKUP($F52,Declarations!$B$6:$D$293,3,FALSE)),"",IF(VLOOKUP($F52,Declarations!$B$6:$D$293,3,FALSE)="","NOT DECLARED",VLOOKUP($F52,Declarations!$B$6:$D$293,3,FALSE)&amp;LEFT(VLOOKUP($F52,Declarations!$B$6:$E$293,4,FALSE))))</f>
        <v/>
      </c>
      <c r="F52" s="59"/>
      <c r="G52" s="123">
        <v>0</v>
      </c>
      <c r="H52" s="322"/>
      <c r="I52" s="122" t="str">
        <f>IF(ISNA(VLOOKUP(F52,Declarations!B$6:C$293,2,FALSE)),"",IF(VLOOKUP(F52,Declarations!B$6:C$293,2,FALSE)="","NOTDECLARED",VLOOKUP(F52,Declarations!B$6:C$293,2,FALSE)))</f>
        <v/>
      </c>
      <c r="J52" s="124">
        <f>IF(LOWER(G52)="dnf",1,IF(U52&lt;ScoringTable!C$3,ScoringTable!I$2,VLOOKUP((1000-U52),ScoringTable!H$2:I$95,2)))</f>
        <v>0</v>
      </c>
      <c r="K52" s="120" t="str" cm="1">
        <f t="array" ref="K52">IF(OR(E52="",G52=""),"",_xlfn.IFS(E52="U10B",_xlfn.XLOOKUP(G52,Data!$D$3:$L$3,Data!$D$1:$L$1,"",1,1),E52="U12B",_xlfn.XLOOKUP(G52,Data!$D$9:$L$9,Data!$D$1:$L$1,"",1,1),E52="U10G",_xlfn.XLOOKUP(G52,Data!$D$16:$L$16,Data!$D$1:$L$1,"",1,1),E52="U12G",_xlfn.XLOOKUP(G52,Data!$D$22:$L$22,Data!$D$1:$L$1,"",1,1)))</f>
        <v/>
      </c>
      <c r="L52" s="184" t="str" cm="1">
        <f t="array" ref="L52">IFERROR(_xlfn.IFNA(
                      _xlfn.IFS(
                      G52="", "",
                      G52=0, "",
                      AND(E52="U10B",G52&lt;=Data!$M$3), "U10 Boys record",
                      AND(E52="U12B",G52&lt;=Data!$M$9), "U12 Boys record",
                      AND(E52="U10G",G52&lt;=Data!$M$16), "U10 Girls record",
                      AND(E52="U12G",G52&lt;=Data!$M$22), "U12 Girls record"
                       ),""), "")</f>
        <v/>
      </c>
      <c r="M52" s="19" cm="1">
        <f t="array" ref="M52">_xlfn.IFS(OR($G52="",$G52=0),0, AND(NOT(ISNUMBER($G52)),LOWER($G52)&lt;&gt;"dnf"),"Not a valid time",OR(LOWER($G52)="dnf",$G52&gt;ScoringTable!$N$161),1,RIGHT($E52,1)="B",_xlfn.XLOOKUP($G52,ScoringTable!$N$2:$N$161,ScoringTable!$L$2:$L$161,,1),TRUE,_xlfn.XLOOKUP($G52,ScoringTable!$T$2:$T$161,ScoringTable!$R$2:$R$161,,1))</f>
        <v>0</v>
      </c>
      <c r="N52" s="19"/>
      <c r="Q52" s="125">
        <f t="shared" si="0"/>
        <v>0</v>
      </c>
      <c r="R52" s="126">
        <f t="shared" si="1"/>
        <v>0</v>
      </c>
      <c r="S52" s="127">
        <f t="shared" si="2"/>
        <v>0</v>
      </c>
      <c r="T52" s="126">
        <f t="shared" si="3"/>
        <v>0</v>
      </c>
      <c r="U52" s="128">
        <f t="shared" si="4"/>
        <v>0</v>
      </c>
    </row>
    <row r="53" spans="1:21" s="7" customFormat="1" ht="16" customHeight="1">
      <c r="A53" s="121" t="s">
        <v>3</v>
      </c>
      <c r="B53" s="122" t="str">
        <f>IF(ISNA(VLOOKUP($F53,Declarations!B$6:C$293,2,FALSE)),"",IF(VLOOKUP($F53,Declarations!B$6:C$293,2,FALSE)="","NOT DECLARED",IF(ISNA(_xlfn.TEXTBEFORE(VLOOKUP($F53,Declarations!B$6:C$293,2,FALSE)," ")),VLOOKUP($F53,Declarations!B$6:C$293,2,FALSE),_xlfn.TEXTBEFORE(VLOOKUP($F53,Declarations!B$6:C$293,2,FALSE)," "))))</f>
        <v/>
      </c>
      <c r="C53" s="122" t="str">
        <f>IF(ISNA(VLOOKUP($F53,Declarations!B$6:C$293,2,FALSE)),"",IF(VLOOKUP($F53,Declarations!B$6:C$293,2,FALSE)="","NOT DECLARED",IF(ISNA(_xlfn.TEXTAFTER(VLOOKUP($F53,Declarations!B$6:C$293,2,FALSE)," ")),VLOOKUP($F53,Declarations!B$6:C$293,2,FALSE),_xlfn.TEXTAFTER(VLOOKUP($F53,Declarations!B$6:C$293,2,FALSE)," "))))</f>
        <v/>
      </c>
      <c r="D53" s="122" t="str">
        <f>IF(ISNA(VLOOKUP($F53,Declarations!$B$6:$F$293,5,FALSE)),"",IF(VLOOKUP($F53,Declarations!$B$6:$F$293,5,FALSE)="","NOT DECLARED",VLOOKUP($F53,Declarations!$B$6:$F$293,5,FALSE)))</f>
        <v/>
      </c>
      <c r="E53" s="120" t="str">
        <f>IF(ISNA(VLOOKUP($F53,Declarations!$B$6:$D$293,3,FALSE)),"",IF(VLOOKUP($F53,Declarations!$B$6:$D$293,3,FALSE)="","NOT DECLARED",VLOOKUP($F53,Declarations!$B$6:$D$293,3,FALSE)&amp;LEFT(VLOOKUP($F53,Declarations!$B$6:$E$293,4,FALSE))))</f>
        <v/>
      </c>
      <c r="F53" s="59"/>
      <c r="G53" s="123">
        <v>0</v>
      </c>
      <c r="H53" s="322"/>
      <c r="I53" s="122" t="str">
        <f>IF(ISNA(VLOOKUP(F53,Declarations!B$6:C$293,2,FALSE)),"",IF(VLOOKUP(F53,Declarations!B$6:C$293,2,FALSE)="","NOTDECLARED",VLOOKUP(F53,Declarations!B$6:C$293,2,FALSE)))</f>
        <v/>
      </c>
      <c r="J53" s="124">
        <f>IF(LOWER(G53)="dnf",1,IF(U53&lt;ScoringTable!C$3,ScoringTable!I$2,VLOOKUP((1000-U53),ScoringTable!H$2:I$95,2)))</f>
        <v>0</v>
      </c>
      <c r="K53" s="120" t="str" cm="1">
        <f t="array" ref="K53">IF(OR(E53="",G53=""),"",_xlfn.IFS(E53="U10B",_xlfn.XLOOKUP(G53,Data!$D$3:$L$3,Data!$D$1:$L$1,"",1,1),E53="U12B",_xlfn.XLOOKUP(G53,Data!$D$9:$L$9,Data!$D$1:$L$1,"",1,1),E53="U10G",_xlfn.XLOOKUP(G53,Data!$D$16:$L$16,Data!$D$1:$L$1,"",1,1),E53="U12G",_xlfn.XLOOKUP(G53,Data!$D$22:$L$22,Data!$D$1:$L$1,"",1,1)))</f>
        <v/>
      </c>
      <c r="L53" s="184" t="str" cm="1">
        <f t="array" ref="L53">IFERROR(_xlfn.IFNA(
                      _xlfn.IFS(
                      G53="", "",
                      G53=0, "",
                      AND(E53="U10B",G53&lt;=Data!$M$3), "U10 Boys record",
                      AND(E53="U12B",G53&lt;=Data!$M$9), "U12 Boys record",
                      AND(E53="U10G",G53&lt;=Data!$M$16), "U10 Girls record",
                      AND(E53="U12G",G53&lt;=Data!$M$22), "U12 Girls record"
                       ),""), "")</f>
        <v/>
      </c>
      <c r="M53" s="19" cm="1">
        <f t="array" ref="M53">_xlfn.IFS(OR($G53="",$G53=0),0, AND(NOT(ISNUMBER($G53)),LOWER($G53)&lt;&gt;"dnf"),"Not a valid time",OR(LOWER($G53)="dnf",$G53&gt;ScoringTable!$N$161),1,RIGHT($E53,1)="B",_xlfn.XLOOKUP($G53,ScoringTable!$N$2:$N$161,ScoringTable!$L$2:$L$161,,1),TRUE,_xlfn.XLOOKUP($G53,ScoringTable!$T$2:$T$161,ScoringTable!$R$2:$R$161,,1))</f>
        <v>0</v>
      </c>
      <c r="N53" s="19"/>
      <c r="Q53" s="125">
        <f t="shared" si="0"/>
        <v>0</v>
      </c>
      <c r="R53" s="126">
        <f t="shared" si="1"/>
        <v>0</v>
      </c>
      <c r="S53" s="127">
        <f t="shared" si="2"/>
        <v>0</v>
      </c>
      <c r="T53" s="126">
        <f t="shared" si="3"/>
        <v>0</v>
      </c>
      <c r="U53" s="128">
        <f t="shared" si="4"/>
        <v>0</v>
      </c>
    </row>
    <row r="54" spans="1:21" s="7" customFormat="1" ht="16" customHeight="1">
      <c r="A54" s="121" t="s">
        <v>3</v>
      </c>
      <c r="B54" s="122" t="str">
        <f>IF(ISNA(VLOOKUP($F54,Declarations!B$6:C$293,2,FALSE)),"",IF(VLOOKUP($F54,Declarations!B$6:C$293,2,FALSE)="","NOT DECLARED",IF(ISNA(_xlfn.TEXTBEFORE(VLOOKUP($F54,Declarations!B$6:C$293,2,FALSE)," ")),VLOOKUP($F54,Declarations!B$6:C$293,2,FALSE),_xlfn.TEXTBEFORE(VLOOKUP($F54,Declarations!B$6:C$293,2,FALSE)," "))))</f>
        <v/>
      </c>
      <c r="C54" s="122" t="str">
        <f>IF(ISNA(VLOOKUP($F54,Declarations!B$6:C$293,2,FALSE)),"",IF(VLOOKUP($F54,Declarations!B$6:C$293,2,FALSE)="","NOT DECLARED",IF(ISNA(_xlfn.TEXTAFTER(VLOOKUP($F54,Declarations!B$6:C$293,2,FALSE)," ")),VLOOKUP($F54,Declarations!B$6:C$293,2,FALSE),_xlfn.TEXTAFTER(VLOOKUP($F54,Declarations!B$6:C$293,2,FALSE)," "))))</f>
        <v/>
      </c>
      <c r="D54" s="122" t="str">
        <f>IF(ISNA(VLOOKUP($F54,Declarations!$B$6:$F$293,5,FALSE)),"",IF(VLOOKUP($F54,Declarations!$B$6:$F$293,5,FALSE)="","NOT DECLARED",VLOOKUP($F54,Declarations!$B$6:$F$293,5,FALSE)))</f>
        <v/>
      </c>
      <c r="E54" s="120" t="str">
        <f>IF(ISNA(VLOOKUP($F54,Declarations!$B$6:$D$293,3,FALSE)),"",IF(VLOOKUP($F54,Declarations!$B$6:$D$293,3,FALSE)="","NOT DECLARED",VLOOKUP($F54,Declarations!$B$6:$D$293,3,FALSE)&amp;LEFT(VLOOKUP($F54,Declarations!$B$6:$E$293,4,FALSE))))</f>
        <v/>
      </c>
      <c r="F54" s="59"/>
      <c r="G54" s="123">
        <v>0</v>
      </c>
      <c r="H54" s="322"/>
      <c r="I54" s="122" t="str">
        <f>IF(ISNA(VLOOKUP(F54,Declarations!B$6:C$293,2,FALSE)),"",IF(VLOOKUP(F54,Declarations!B$6:C$293,2,FALSE)="","NOTDECLARED",VLOOKUP(F54,Declarations!B$6:C$293,2,FALSE)))</f>
        <v/>
      </c>
      <c r="J54" s="124">
        <f>IF(LOWER(G54)="dnf",1,IF(U54&lt;ScoringTable!C$3,ScoringTable!I$2,VLOOKUP((1000-U54),ScoringTable!H$2:I$95,2)))</f>
        <v>0</v>
      </c>
      <c r="K54" s="120" t="str" cm="1">
        <f t="array" ref="K54">IF(OR(E54="",G54=""),"",_xlfn.IFS(E54="U10B",_xlfn.XLOOKUP(G54,Data!$D$3:$L$3,Data!$D$1:$L$1,"",1,1),E54="U12B",_xlfn.XLOOKUP(G54,Data!$D$9:$L$9,Data!$D$1:$L$1,"",1,1),E54="U10G",_xlfn.XLOOKUP(G54,Data!$D$16:$L$16,Data!$D$1:$L$1,"",1,1),E54="U12G",_xlfn.XLOOKUP(G54,Data!$D$22:$L$22,Data!$D$1:$L$1,"",1,1)))</f>
        <v/>
      </c>
      <c r="L54" s="184" t="str" cm="1">
        <f t="array" ref="L54">IFERROR(_xlfn.IFNA(
                      _xlfn.IFS(
                      G54="", "",
                      G54=0, "",
                      AND(E54="U10B",G54&lt;=Data!$M$3), "U10 Boys record",
                      AND(E54="U12B",G54&lt;=Data!$M$9), "U12 Boys record",
                      AND(E54="U10G",G54&lt;=Data!$M$16), "U10 Girls record",
                      AND(E54="U12G",G54&lt;=Data!$M$22), "U12 Girls record"
                       ),""), "")</f>
        <v/>
      </c>
      <c r="M54" s="19" cm="1">
        <f t="array" ref="M54">_xlfn.IFS(OR($G54="",$G54=0),0, AND(NOT(ISNUMBER($G54)),LOWER($G54)&lt;&gt;"dnf"),"Not a valid time",OR(LOWER($G54)="dnf",$G54&gt;ScoringTable!$N$161),1,RIGHT($E54,1)="B",_xlfn.XLOOKUP($G54,ScoringTable!$N$2:$N$161,ScoringTable!$L$2:$L$161,,1),TRUE,_xlfn.XLOOKUP($G54,ScoringTable!$T$2:$T$161,ScoringTable!$R$2:$R$161,,1))</f>
        <v>0</v>
      </c>
      <c r="N54" s="19"/>
      <c r="Q54" s="125">
        <f t="shared" si="0"/>
        <v>0</v>
      </c>
      <c r="R54" s="126">
        <f t="shared" si="1"/>
        <v>0</v>
      </c>
      <c r="S54" s="127">
        <f t="shared" si="2"/>
        <v>0</v>
      </c>
      <c r="T54" s="126">
        <f t="shared" si="3"/>
        <v>0</v>
      </c>
      <c r="U54" s="128">
        <f t="shared" si="4"/>
        <v>0</v>
      </c>
    </row>
    <row r="55" spans="1:21" s="7" customFormat="1" ht="16" customHeight="1">
      <c r="A55" s="121" t="s">
        <v>3</v>
      </c>
      <c r="B55" s="122" t="str">
        <f>IF(ISNA(VLOOKUP($F55,Declarations!B$6:C$293,2,FALSE)),"",IF(VLOOKUP($F55,Declarations!B$6:C$293,2,FALSE)="","NOT DECLARED",IF(ISNA(_xlfn.TEXTBEFORE(VLOOKUP($F55,Declarations!B$6:C$293,2,FALSE)," ")),VLOOKUP($F55,Declarations!B$6:C$293,2,FALSE),_xlfn.TEXTBEFORE(VLOOKUP($F55,Declarations!B$6:C$293,2,FALSE)," "))))</f>
        <v/>
      </c>
      <c r="C55" s="122" t="str">
        <f>IF(ISNA(VLOOKUP($F55,Declarations!B$6:C$293,2,FALSE)),"",IF(VLOOKUP($F55,Declarations!B$6:C$293,2,FALSE)="","NOT DECLARED",IF(ISNA(_xlfn.TEXTAFTER(VLOOKUP($F55,Declarations!B$6:C$293,2,FALSE)," ")),VLOOKUP($F55,Declarations!B$6:C$293,2,FALSE),_xlfn.TEXTAFTER(VLOOKUP($F55,Declarations!B$6:C$293,2,FALSE)," "))))</f>
        <v/>
      </c>
      <c r="D55" s="122" t="str">
        <f>IF(ISNA(VLOOKUP($F55,Declarations!$B$6:$F$293,5,FALSE)),"",IF(VLOOKUP($F55,Declarations!$B$6:$F$293,5,FALSE)="","NOT DECLARED",VLOOKUP($F55,Declarations!$B$6:$F$293,5,FALSE)))</f>
        <v/>
      </c>
      <c r="E55" s="120" t="str">
        <f>IF(ISNA(VLOOKUP($F55,Declarations!$B$6:$D$293,3,FALSE)),"",IF(VLOOKUP($F55,Declarations!$B$6:$D$293,3,FALSE)="","NOT DECLARED",VLOOKUP($F55,Declarations!$B$6:$D$293,3,FALSE)&amp;LEFT(VLOOKUP($F55,Declarations!$B$6:$E$293,4,FALSE))))</f>
        <v/>
      </c>
      <c r="F55" s="59"/>
      <c r="G55" s="123">
        <v>0</v>
      </c>
      <c r="H55" s="322"/>
      <c r="I55" s="122" t="str">
        <f>IF(ISNA(VLOOKUP(F55,Declarations!B$6:C$293,2,FALSE)),"",IF(VLOOKUP(F55,Declarations!B$6:C$293,2,FALSE)="","NOTDECLARED",VLOOKUP(F55,Declarations!B$6:C$293,2,FALSE)))</f>
        <v/>
      </c>
      <c r="J55" s="124">
        <f>IF(LOWER(G55)="dnf",1,IF(U55&lt;ScoringTable!C$3,ScoringTable!I$2,VLOOKUP((1000-U55),ScoringTable!H$2:I$95,2)))</f>
        <v>0</v>
      </c>
      <c r="K55" s="120" t="str" cm="1">
        <f t="array" ref="K55">IF(OR(E55="",G55=""),"",_xlfn.IFS(E55="U10B",_xlfn.XLOOKUP(G55,Data!$D$3:$L$3,Data!$D$1:$L$1,"",1,1),E55="U12B",_xlfn.XLOOKUP(G55,Data!$D$9:$L$9,Data!$D$1:$L$1,"",1,1),E55="U10G",_xlfn.XLOOKUP(G55,Data!$D$16:$L$16,Data!$D$1:$L$1,"",1,1),E55="U12G",_xlfn.XLOOKUP(G55,Data!$D$22:$L$22,Data!$D$1:$L$1,"",1,1)))</f>
        <v/>
      </c>
      <c r="L55" s="184" t="str" cm="1">
        <f t="array" ref="L55">IFERROR(_xlfn.IFNA(
                      _xlfn.IFS(
                      G55="", "",
                      G55=0, "",
                      AND(E55="U10B",G55&lt;=Data!$M$3), "U10 Boys record",
                      AND(E55="U12B",G55&lt;=Data!$M$9), "U12 Boys record",
                      AND(E55="U10G",G55&lt;=Data!$M$16), "U10 Girls record",
                      AND(E55="U12G",G55&lt;=Data!$M$22), "U12 Girls record"
                       ),""), "")</f>
        <v/>
      </c>
      <c r="M55" s="19" cm="1">
        <f t="array" ref="M55">_xlfn.IFS(OR($G55="",$G55=0),0, AND(NOT(ISNUMBER($G55)),LOWER($G55)&lt;&gt;"dnf"),"Not a valid time",OR(LOWER($G55)="dnf",$G55&gt;ScoringTable!$N$161),1,RIGHT($E55,1)="B",_xlfn.XLOOKUP($G55,ScoringTable!$N$2:$N$161,ScoringTable!$L$2:$L$161,,1),TRUE,_xlfn.XLOOKUP($G55,ScoringTable!$T$2:$T$161,ScoringTable!$R$2:$R$161,,1))</f>
        <v>0</v>
      </c>
      <c r="N55" s="19"/>
      <c r="Q55" s="125">
        <f t="shared" si="0"/>
        <v>0</v>
      </c>
      <c r="R55" s="126">
        <f t="shared" si="1"/>
        <v>0</v>
      </c>
      <c r="S55" s="127">
        <f t="shared" si="2"/>
        <v>0</v>
      </c>
      <c r="T55" s="126">
        <f t="shared" si="3"/>
        <v>0</v>
      </c>
      <c r="U55" s="128">
        <f t="shared" si="4"/>
        <v>0</v>
      </c>
    </row>
    <row r="56" spans="1:21" s="7" customFormat="1" ht="16" customHeight="1">
      <c r="A56" s="121" t="s">
        <v>3</v>
      </c>
      <c r="B56" s="122" t="str">
        <f>IF(ISNA(VLOOKUP($F56,Declarations!B$6:C$293,2,FALSE)),"",IF(VLOOKUP($F56,Declarations!B$6:C$293,2,FALSE)="","NOT DECLARED",IF(ISNA(_xlfn.TEXTBEFORE(VLOOKUP($F56,Declarations!B$6:C$293,2,FALSE)," ")),VLOOKUP($F56,Declarations!B$6:C$293,2,FALSE),_xlfn.TEXTBEFORE(VLOOKUP($F56,Declarations!B$6:C$293,2,FALSE)," "))))</f>
        <v/>
      </c>
      <c r="C56" s="122" t="str">
        <f>IF(ISNA(VLOOKUP($F56,Declarations!B$6:C$293,2,FALSE)),"",IF(VLOOKUP($F56,Declarations!B$6:C$293,2,FALSE)="","NOT DECLARED",IF(ISNA(_xlfn.TEXTAFTER(VLOOKUP($F56,Declarations!B$6:C$293,2,FALSE)," ")),VLOOKUP($F56,Declarations!B$6:C$293,2,FALSE),_xlfn.TEXTAFTER(VLOOKUP($F56,Declarations!B$6:C$293,2,FALSE)," "))))</f>
        <v/>
      </c>
      <c r="D56" s="122" t="str">
        <f>IF(ISNA(VLOOKUP($F56,Declarations!$B$6:$F$293,5,FALSE)),"",IF(VLOOKUP($F56,Declarations!$B$6:$F$293,5,FALSE)="","NOT DECLARED",VLOOKUP($F56,Declarations!$B$6:$F$293,5,FALSE)))</f>
        <v/>
      </c>
      <c r="E56" s="120" t="str">
        <f>IF(ISNA(VLOOKUP($F56,Declarations!$B$6:$D$293,3,FALSE)),"",IF(VLOOKUP($F56,Declarations!$B$6:$D$293,3,FALSE)="","NOT DECLARED",VLOOKUP($F56,Declarations!$B$6:$D$293,3,FALSE)&amp;LEFT(VLOOKUP($F56,Declarations!$B$6:$E$293,4,FALSE))))</f>
        <v/>
      </c>
      <c r="F56" s="59"/>
      <c r="G56" s="123">
        <v>0</v>
      </c>
      <c r="H56" s="322"/>
      <c r="I56" s="122" t="str">
        <f>IF(ISNA(VLOOKUP(F56,Declarations!B$6:C$293,2,FALSE)),"",IF(VLOOKUP(F56,Declarations!B$6:C$293,2,FALSE)="","NOTDECLARED",VLOOKUP(F56,Declarations!B$6:C$293,2,FALSE)))</f>
        <v/>
      </c>
      <c r="J56" s="124">
        <f>IF(LOWER(G56)="dnf",1,IF(U56&lt;ScoringTable!C$3,ScoringTable!I$2,VLOOKUP((1000-U56),ScoringTable!H$2:I$95,2)))</f>
        <v>0</v>
      </c>
      <c r="K56" s="120" t="str" cm="1">
        <f t="array" ref="K56">IF(OR(E56="",G56=""),"",_xlfn.IFS(E56="U10B",_xlfn.XLOOKUP(G56,Data!$D$3:$L$3,Data!$D$1:$L$1,"",1,1),E56="U12B",_xlfn.XLOOKUP(G56,Data!$D$9:$L$9,Data!$D$1:$L$1,"",1,1),E56="U10G",_xlfn.XLOOKUP(G56,Data!$D$16:$L$16,Data!$D$1:$L$1,"",1,1),E56="U12G",_xlfn.XLOOKUP(G56,Data!$D$22:$L$22,Data!$D$1:$L$1,"",1,1)))</f>
        <v/>
      </c>
      <c r="L56" s="184" t="str" cm="1">
        <f t="array" ref="L56">IFERROR(_xlfn.IFNA(
                      _xlfn.IFS(
                      G56="", "",
                      G56=0, "",
                      AND(E56="U10B",G56&lt;=Data!$M$3), "U10 Boys record",
                      AND(E56="U12B",G56&lt;=Data!$M$9), "U12 Boys record",
                      AND(E56="U10G",G56&lt;=Data!$M$16), "U10 Girls record",
                      AND(E56="U12G",G56&lt;=Data!$M$22), "U12 Girls record"
                       ),""), "")</f>
        <v/>
      </c>
      <c r="M56" s="19" cm="1">
        <f t="array" ref="M56">_xlfn.IFS(OR($G56="",$G56=0),0, AND(NOT(ISNUMBER($G56)),LOWER($G56)&lt;&gt;"dnf"),"Not a valid time",OR(LOWER($G56)="dnf",$G56&gt;ScoringTable!$N$161),1,RIGHT($E56,1)="B",_xlfn.XLOOKUP($G56,ScoringTable!$N$2:$N$161,ScoringTable!$L$2:$L$161,,1),TRUE,_xlfn.XLOOKUP($G56,ScoringTable!$T$2:$T$161,ScoringTable!$R$2:$R$161,,1))</f>
        <v>0</v>
      </c>
      <c r="N56" s="19"/>
      <c r="Q56" s="125">
        <f t="shared" si="0"/>
        <v>0</v>
      </c>
      <c r="R56" s="126">
        <f t="shared" si="1"/>
        <v>0</v>
      </c>
      <c r="S56" s="127">
        <f t="shared" si="2"/>
        <v>0</v>
      </c>
      <c r="T56" s="126">
        <f t="shared" si="3"/>
        <v>0</v>
      </c>
      <c r="U56" s="128">
        <f t="shared" si="4"/>
        <v>0</v>
      </c>
    </row>
    <row r="57" spans="1:21" s="7" customFormat="1" ht="16" customHeight="1">
      <c r="A57" s="121" t="s">
        <v>3</v>
      </c>
      <c r="B57" s="122" t="str">
        <f>IF(ISNA(VLOOKUP($F57,Declarations!B$6:C$293,2,FALSE)),"",IF(VLOOKUP($F57,Declarations!B$6:C$293,2,FALSE)="","NOT DECLARED",IF(ISNA(_xlfn.TEXTBEFORE(VLOOKUP($F57,Declarations!B$6:C$293,2,FALSE)," ")),VLOOKUP($F57,Declarations!B$6:C$293,2,FALSE),_xlfn.TEXTBEFORE(VLOOKUP($F57,Declarations!B$6:C$293,2,FALSE)," "))))</f>
        <v/>
      </c>
      <c r="C57" s="122" t="str">
        <f>IF(ISNA(VLOOKUP($F57,Declarations!B$6:C$293,2,FALSE)),"",IF(VLOOKUP($F57,Declarations!B$6:C$293,2,FALSE)="","NOT DECLARED",IF(ISNA(_xlfn.TEXTAFTER(VLOOKUP($F57,Declarations!B$6:C$293,2,FALSE)," ")),VLOOKUP($F57,Declarations!B$6:C$293,2,FALSE),_xlfn.TEXTAFTER(VLOOKUP($F57,Declarations!B$6:C$293,2,FALSE)," "))))</f>
        <v/>
      </c>
      <c r="D57" s="122" t="str">
        <f>IF(ISNA(VLOOKUP($F57,Declarations!$B$6:$F$293,5,FALSE)),"",IF(VLOOKUP($F57,Declarations!$B$6:$F$293,5,FALSE)="","NOT DECLARED",VLOOKUP($F57,Declarations!$B$6:$F$293,5,FALSE)))</f>
        <v/>
      </c>
      <c r="E57" s="120" t="str">
        <f>IF(ISNA(VLOOKUP($F57,Declarations!$B$6:$D$293,3,FALSE)),"",IF(VLOOKUP($F57,Declarations!$B$6:$D$293,3,FALSE)="","NOT DECLARED",VLOOKUP($F57,Declarations!$B$6:$D$293,3,FALSE)&amp;LEFT(VLOOKUP($F57,Declarations!$B$6:$E$293,4,FALSE))))</f>
        <v/>
      </c>
      <c r="F57" s="59"/>
      <c r="G57" s="123">
        <v>0</v>
      </c>
      <c r="H57" s="322"/>
      <c r="I57" s="122" t="str">
        <f>IF(ISNA(VLOOKUP(F57,Declarations!B$6:C$293,2,FALSE)),"",IF(VLOOKUP(F57,Declarations!B$6:C$293,2,FALSE)="","NOTDECLARED",VLOOKUP(F57,Declarations!B$6:C$293,2,FALSE)))</f>
        <v/>
      </c>
      <c r="J57" s="124">
        <f>IF(LOWER(G57)="dnf",1,IF(U57&lt;ScoringTable!C$3,ScoringTable!I$2,VLOOKUP((1000-U57),ScoringTable!H$2:I$95,2)))</f>
        <v>0</v>
      </c>
      <c r="K57" s="120" t="str" cm="1">
        <f t="array" ref="K57">IF(OR(E57="",G57=""),"",_xlfn.IFS(E57="U10B",_xlfn.XLOOKUP(G57,Data!$D$3:$L$3,Data!$D$1:$L$1,"",1,1),E57="U12B",_xlfn.XLOOKUP(G57,Data!$D$9:$L$9,Data!$D$1:$L$1,"",1,1),E57="U10G",_xlfn.XLOOKUP(G57,Data!$D$16:$L$16,Data!$D$1:$L$1,"",1,1),E57="U12G",_xlfn.XLOOKUP(G57,Data!$D$22:$L$22,Data!$D$1:$L$1,"",1,1)))</f>
        <v/>
      </c>
      <c r="L57" s="184" t="str" cm="1">
        <f t="array" ref="L57">IFERROR(_xlfn.IFNA(
                      _xlfn.IFS(
                      G57="", "",
                      G57=0, "",
                      AND(E57="U10B",G57&lt;=Data!$M$3), "U10 Boys record",
                      AND(E57="U12B",G57&lt;=Data!$M$9), "U12 Boys record",
                      AND(E57="U10G",G57&lt;=Data!$M$16), "U10 Girls record",
                      AND(E57="U12G",G57&lt;=Data!$M$22), "U12 Girls record"
                       ),""), "")</f>
        <v/>
      </c>
      <c r="M57" s="19" cm="1">
        <f t="array" ref="M57">_xlfn.IFS(OR($G57="",$G57=0),0, AND(NOT(ISNUMBER($G57)),LOWER($G57)&lt;&gt;"dnf"),"Not a valid time",OR(LOWER($G57)="dnf",$G57&gt;ScoringTable!$N$161),1,RIGHT($E57,1)="B",_xlfn.XLOOKUP($G57,ScoringTable!$N$2:$N$161,ScoringTable!$L$2:$L$161,,1),TRUE,_xlfn.XLOOKUP($G57,ScoringTable!$T$2:$T$161,ScoringTable!$R$2:$R$161,,1))</f>
        <v>0</v>
      </c>
      <c r="N57" s="19"/>
      <c r="Q57" s="125">
        <f t="shared" si="0"/>
        <v>0</v>
      </c>
      <c r="R57" s="126">
        <f t="shared" si="1"/>
        <v>0</v>
      </c>
      <c r="S57" s="127">
        <f t="shared" si="2"/>
        <v>0</v>
      </c>
      <c r="T57" s="126">
        <f t="shared" si="3"/>
        <v>0</v>
      </c>
      <c r="U57" s="128">
        <f t="shared" si="4"/>
        <v>0</v>
      </c>
    </row>
    <row r="58" spans="1:21" s="7" customFormat="1" ht="16" customHeight="1">
      <c r="A58" s="121" t="s">
        <v>3</v>
      </c>
      <c r="B58" s="122" t="str">
        <f>IF(ISNA(VLOOKUP($F58,Declarations!B$6:C$293,2,FALSE)),"",IF(VLOOKUP($F58,Declarations!B$6:C$293,2,FALSE)="","NOT DECLARED",IF(ISNA(_xlfn.TEXTBEFORE(VLOOKUP($F58,Declarations!B$6:C$293,2,FALSE)," ")),VLOOKUP($F58,Declarations!B$6:C$293,2,FALSE),_xlfn.TEXTBEFORE(VLOOKUP($F58,Declarations!B$6:C$293,2,FALSE)," "))))</f>
        <v/>
      </c>
      <c r="C58" s="122" t="str">
        <f>IF(ISNA(VLOOKUP($F58,Declarations!B$6:C$293,2,FALSE)),"",IF(VLOOKUP($F58,Declarations!B$6:C$293,2,FALSE)="","NOT DECLARED",IF(ISNA(_xlfn.TEXTAFTER(VLOOKUP($F58,Declarations!B$6:C$293,2,FALSE)," ")),VLOOKUP($F58,Declarations!B$6:C$293,2,FALSE),_xlfn.TEXTAFTER(VLOOKUP($F58,Declarations!B$6:C$293,2,FALSE)," "))))</f>
        <v/>
      </c>
      <c r="D58" s="122" t="str">
        <f>IF(ISNA(VLOOKUP($F58,Declarations!$B$6:$F$293,5,FALSE)),"",IF(VLOOKUP($F58,Declarations!$B$6:$F$293,5,FALSE)="","NOT DECLARED",VLOOKUP($F58,Declarations!$B$6:$F$293,5,FALSE)))</f>
        <v/>
      </c>
      <c r="E58" s="120" t="str">
        <f>IF(ISNA(VLOOKUP($F58,Declarations!$B$6:$D$293,3,FALSE)),"",IF(VLOOKUP($F58,Declarations!$B$6:$D$293,3,FALSE)="","NOT DECLARED",VLOOKUP($F58,Declarations!$B$6:$D$293,3,FALSE)&amp;LEFT(VLOOKUP($F58,Declarations!$B$6:$E$293,4,FALSE))))</f>
        <v/>
      </c>
      <c r="F58" s="59"/>
      <c r="G58" s="123">
        <v>0</v>
      </c>
      <c r="H58" s="322"/>
      <c r="I58" s="122" t="str">
        <f>IF(ISNA(VLOOKUP(F58,Declarations!B$6:C$293,2,FALSE)),"",IF(VLOOKUP(F58,Declarations!B$6:C$293,2,FALSE)="","NOTDECLARED",VLOOKUP(F58,Declarations!B$6:C$293,2,FALSE)))</f>
        <v/>
      </c>
      <c r="J58" s="124">
        <f>IF(LOWER(G58)="dnf",1,IF(U58&lt;ScoringTable!C$3,ScoringTable!I$2,VLOOKUP((1000-U58),ScoringTable!H$2:I$95,2)))</f>
        <v>0</v>
      </c>
      <c r="K58" s="120" t="str" cm="1">
        <f t="array" ref="K58">IF(OR(E58="",G58=""),"",_xlfn.IFS(E58="U10B",_xlfn.XLOOKUP(G58,Data!$D$3:$L$3,Data!$D$1:$L$1,"",1,1),E58="U12B",_xlfn.XLOOKUP(G58,Data!$D$9:$L$9,Data!$D$1:$L$1,"",1,1),E58="U10G",_xlfn.XLOOKUP(G58,Data!$D$16:$L$16,Data!$D$1:$L$1,"",1,1),E58="U12G",_xlfn.XLOOKUP(G58,Data!$D$22:$L$22,Data!$D$1:$L$1,"",1,1)))</f>
        <v/>
      </c>
      <c r="L58" s="184" t="str" cm="1">
        <f t="array" ref="L58">IFERROR(_xlfn.IFNA(
                      _xlfn.IFS(
                      G58="", "",
                      G58=0, "",
                      AND(E58="U10B",G58&lt;=Data!$M$3), "U10 Boys record",
                      AND(E58="U12B",G58&lt;=Data!$M$9), "U12 Boys record",
                      AND(E58="U10G",G58&lt;=Data!$M$16), "U10 Girls record",
                      AND(E58="U12G",G58&lt;=Data!$M$22), "U12 Girls record"
                       ),""), "")</f>
        <v/>
      </c>
      <c r="M58" s="19" cm="1">
        <f t="array" ref="M58">_xlfn.IFS(OR($G58="",$G58=0),0, AND(NOT(ISNUMBER($G58)),LOWER($G58)&lt;&gt;"dnf"),"Not a valid time",OR(LOWER($G58)="dnf",$G58&gt;ScoringTable!$N$161),1,RIGHT($E58,1)="B",_xlfn.XLOOKUP($G58,ScoringTable!$N$2:$N$161,ScoringTable!$L$2:$L$161,,1),TRUE,_xlfn.XLOOKUP($G58,ScoringTable!$T$2:$T$161,ScoringTable!$R$2:$R$161,,1))</f>
        <v>0</v>
      </c>
      <c r="N58" s="19"/>
      <c r="Q58" s="125">
        <f t="shared" si="0"/>
        <v>0</v>
      </c>
      <c r="R58" s="126">
        <f t="shared" si="1"/>
        <v>0</v>
      </c>
      <c r="S58" s="127">
        <f t="shared" si="2"/>
        <v>0</v>
      </c>
      <c r="T58" s="126">
        <f t="shared" si="3"/>
        <v>0</v>
      </c>
      <c r="U58" s="128">
        <f t="shared" si="4"/>
        <v>0</v>
      </c>
    </row>
    <row r="59" spans="1:21" s="7" customFormat="1" ht="16" customHeight="1">
      <c r="A59" s="121" t="s">
        <v>3</v>
      </c>
      <c r="B59" s="122" t="str">
        <f>IF(ISNA(VLOOKUP($F59,Declarations!B$6:C$293,2,FALSE)),"",IF(VLOOKUP($F59,Declarations!B$6:C$293,2,FALSE)="","NOT DECLARED",IF(ISNA(_xlfn.TEXTBEFORE(VLOOKUP($F59,Declarations!B$6:C$293,2,FALSE)," ")),VLOOKUP($F59,Declarations!B$6:C$293,2,FALSE),_xlfn.TEXTBEFORE(VLOOKUP($F59,Declarations!B$6:C$293,2,FALSE)," "))))</f>
        <v/>
      </c>
      <c r="C59" s="122" t="str">
        <f>IF(ISNA(VLOOKUP($F59,Declarations!B$6:C$293,2,FALSE)),"",IF(VLOOKUP($F59,Declarations!B$6:C$293,2,FALSE)="","NOT DECLARED",IF(ISNA(_xlfn.TEXTAFTER(VLOOKUP($F59,Declarations!B$6:C$293,2,FALSE)," ")),VLOOKUP($F59,Declarations!B$6:C$293,2,FALSE),_xlfn.TEXTAFTER(VLOOKUP($F59,Declarations!B$6:C$293,2,FALSE)," "))))</f>
        <v/>
      </c>
      <c r="D59" s="122" t="str">
        <f>IF(ISNA(VLOOKUP($F59,Declarations!$B$6:$F$293,5,FALSE)),"",IF(VLOOKUP($F59,Declarations!$B$6:$F$293,5,FALSE)="","NOT DECLARED",VLOOKUP($F59,Declarations!$B$6:$F$293,5,FALSE)))</f>
        <v/>
      </c>
      <c r="E59" s="120" t="str">
        <f>IF(ISNA(VLOOKUP($F59,Declarations!$B$6:$D$293,3,FALSE)),"",IF(VLOOKUP($F59,Declarations!$B$6:$D$293,3,FALSE)="","NOT DECLARED",VLOOKUP($F59,Declarations!$B$6:$D$293,3,FALSE)&amp;LEFT(VLOOKUP($F59,Declarations!$B$6:$E$293,4,FALSE))))</f>
        <v/>
      </c>
      <c r="F59" s="59"/>
      <c r="G59" s="123">
        <v>0</v>
      </c>
      <c r="H59" s="322"/>
      <c r="I59" s="122" t="str">
        <f>IF(ISNA(VLOOKUP(F59,Declarations!B$6:C$293,2,FALSE)),"",IF(VLOOKUP(F59,Declarations!B$6:C$293,2,FALSE)="","NOTDECLARED",VLOOKUP(F59,Declarations!B$6:C$293,2,FALSE)))</f>
        <v/>
      </c>
      <c r="J59" s="124">
        <f>IF(LOWER(G59)="dnf",1,IF(U59&lt;ScoringTable!C$3,ScoringTable!I$2,VLOOKUP((1000-U59),ScoringTable!H$2:I$95,2)))</f>
        <v>0</v>
      </c>
      <c r="K59" s="120" t="str" cm="1">
        <f t="array" ref="K59">IF(OR(E59="",G59=""),"",_xlfn.IFS(E59="U10B",_xlfn.XLOOKUP(G59,Data!$D$3:$L$3,Data!$D$1:$L$1,"",1,1),E59="U12B",_xlfn.XLOOKUP(G59,Data!$D$9:$L$9,Data!$D$1:$L$1,"",1,1),E59="U10G",_xlfn.XLOOKUP(G59,Data!$D$16:$L$16,Data!$D$1:$L$1,"",1,1),E59="U12G",_xlfn.XLOOKUP(G59,Data!$D$22:$L$22,Data!$D$1:$L$1,"",1,1)))</f>
        <v/>
      </c>
      <c r="L59" s="184" t="str" cm="1">
        <f t="array" ref="L59">IFERROR(_xlfn.IFNA(
                      _xlfn.IFS(
                      G59="", "",
                      G59=0, "",
                      AND(E59="U10B",G59&lt;=Data!$M$3), "U10 Boys record",
                      AND(E59="U12B",G59&lt;=Data!$M$9), "U12 Boys record",
                      AND(E59="U10G",G59&lt;=Data!$M$16), "U10 Girls record",
                      AND(E59="U12G",G59&lt;=Data!$M$22), "U12 Girls record"
                       ),""), "")</f>
        <v/>
      </c>
      <c r="M59" s="19" cm="1">
        <f t="array" ref="M59">_xlfn.IFS(OR($G59="",$G59=0),0, AND(NOT(ISNUMBER($G59)),LOWER($G59)&lt;&gt;"dnf"),"Not a valid time",OR(LOWER($G59)="dnf",$G59&gt;ScoringTable!$N$161),1,RIGHT($E59,1)="B",_xlfn.XLOOKUP($G59,ScoringTable!$N$2:$N$161,ScoringTable!$L$2:$L$161,,1),TRUE,_xlfn.XLOOKUP($G59,ScoringTable!$T$2:$T$161,ScoringTable!$R$2:$R$161,,1))</f>
        <v>0</v>
      </c>
      <c r="N59" s="19"/>
      <c r="Q59" s="125">
        <f t="shared" si="0"/>
        <v>0</v>
      </c>
      <c r="R59" s="126">
        <f t="shared" si="1"/>
        <v>0</v>
      </c>
      <c r="S59" s="127">
        <f t="shared" si="2"/>
        <v>0</v>
      </c>
      <c r="T59" s="126">
        <f t="shared" si="3"/>
        <v>0</v>
      </c>
      <c r="U59" s="128">
        <f t="shared" si="4"/>
        <v>0</v>
      </c>
    </row>
    <row r="60" spans="1:21" s="7" customFormat="1" ht="16" customHeight="1">
      <c r="A60" s="121" t="s">
        <v>3</v>
      </c>
      <c r="B60" s="122" t="str">
        <f>IF(ISNA(VLOOKUP($F60,Declarations!B$6:C$293,2,FALSE)),"",IF(VLOOKUP($F60,Declarations!B$6:C$293,2,FALSE)="","NOT DECLARED",IF(ISNA(_xlfn.TEXTBEFORE(VLOOKUP($F60,Declarations!B$6:C$293,2,FALSE)," ")),VLOOKUP($F60,Declarations!B$6:C$293,2,FALSE),_xlfn.TEXTBEFORE(VLOOKUP($F60,Declarations!B$6:C$293,2,FALSE)," "))))</f>
        <v/>
      </c>
      <c r="C60" s="122" t="str">
        <f>IF(ISNA(VLOOKUP($F60,Declarations!B$6:C$293,2,FALSE)),"",IF(VLOOKUP($F60,Declarations!B$6:C$293,2,FALSE)="","NOT DECLARED",IF(ISNA(_xlfn.TEXTAFTER(VLOOKUP($F60,Declarations!B$6:C$293,2,FALSE)," ")),VLOOKUP($F60,Declarations!B$6:C$293,2,FALSE),_xlfn.TEXTAFTER(VLOOKUP($F60,Declarations!B$6:C$293,2,FALSE)," "))))</f>
        <v/>
      </c>
      <c r="D60" s="122" t="str">
        <f>IF(ISNA(VLOOKUP($F60,Declarations!$B$6:$F$293,5,FALSE)),"",IF(VLOOKUP($F60,Declarations!$B$6:$F$293,5,FALSE)="","NOT DECLARED",VLOOKUP($F60,Declarations!$B$6:$F$293,5,FALSE)))</f>
        <v/>
      </c>
      <c r="E60" s="120" t="str">
        <f>IF(ISNA(VLOOKUP($F60,Declarations!$B$6:$D$293,3,FALSE)),"",IF(VLOOKUP($F60,Declarations!$B$6:$D$293,3,FALSE)="","NOT DECLARED",VLOOKUP($F60,Declarations!$B$6:$D$293,3,FALSE)&amp;LEFT(VLOOKUP($F60,Declarations!$B$6:$E$293,4,FALSE))))</f>
        <v/>
      </c>
      <c r="F60" s="59"/>
      <c r="G60" s="123">
        <v>0</v>
      </c>
      <c r="H60" s="322"/>
      <c r="I60" s="122" t="str">
        <f>IF(ISNA(VLOOKUP(F60,Declarations!B$6:C$293,2,FALSE)),"",IF(VLOOKUP(F60,Declarations!B$6:C$293,2,FALSE)="","NOTDECLARED",VLOOKUP(F60,Declarations!B$6:C$293,2,FALSE)))</f>
        <v/>
      </c>
      <c r="J60" s="124">
        <f>IF(LOWER(G60)="dnf",1,IF(U60&lt;ScoringTable!C$3,ScoringTable!I$2,VLOOKUP((1000-U60),ScoringTable!H$2:I$95,2)))</f>
        <v>0</v>
      </c>
      <c r="K60" s="120" t="str" cm="1">
        <f t="array" ref="K60">IF(OR(E60="",G60=""),"",_xlfn.IFS(E60="U10B",_xlfn.XLOOKUP(G60,Data!$D$3:$L$3,Data!$D$1:$L$1,"",1,1),E60="U12B",_xlfn.XLOOKUP(G60,Data!$D$9:$L$9,Data!$D$1:$L$1,"",1,1),E60="U10G",_xlfn.XLOOKUP(G60,Data!$D$16:$L$16,Data!$D$1:$L$1,"",1,1),E60="U12G",_xlfn.XLOOKUP(G60,Data!$D$22:$L$22,Data!$D$1:$L$1,"",1,1)))</f>
        <v/>
      </c>
      <c r="L60" s="184" t="str" cm="1">
        <f t="array" ref="L60">IFERROR(_xlfn.IFNA(
                      _xlfn.IFS(
                      G60="", "",
                      G60=0, "",
                      AND(E60="U10B",G60&lt;=Data!$M$3), "U10 Boys record",
                      AND(E60="U12B",G60&lt;=Data!$M$9), "U12 Boys record",
                      AND(E60="U10G",G60&lt;=Data!$M$16), "U10 Girls record",
                      AND(E60="U12G",G60&lt;=Data!$M$22), "U12 Girls record"
                       ),""), "")</f>
        <v/>
      </c>
      <c r="M60" s="19" cm="1">
        <f t="array" ref="M60">_xlfn.IFS(OR($G60="",$G60=0),0, AND(NOT(ISNUMBER($G60)),LOWER($G60)&lt;&gt;"dnf"),"Not a valid time",OR(LOWER($G60)="dnf",$G60&gt;ScoringTable!$N$161),1,RIGHT($E60,1)="B",_xlfn.XLOOKUP($G60,ScoringTable!$N$2:$N$161,ScoringTable!$L$2:$L$161,,1),TRUE,_xlfn.XLOOKUP($G60,ScoringTable!$T$2:$T$161,ScoringTable!$R$2:$R$161,,1))</f>
        <v>0</v>
      </c>
      <c r="N60" s="19"/>
      <c r="Q60" s="125">
        <f t="shared" si="0"/>
        <v>0</v>
      </c>
      <c r="R60" s="126">
        <f t="shared" si="1"/>
        <v>0</v>
      </c>
      <c r="S60" s="127">
        <f t="shared" si="2"/>
        <v>0</v>
      </c>
      <c r="T60" s="126">
        <f t="shared" si="3"/>
        <v>0</v>
      </c>
      <c r="U60" s="128">
        <f t="shared" si="4"/>
        <v>0</v>
      </c>
    </row>
    <row r="61" spans="1:21" s="7" customFormat="1" ht="16" customHeight="1">
      <c r="A61" s="121" t="s">
        <v>3</v>
      </c>
      <c r="B61" s="122" t="str">
        <f>IF(ISNA(VLOOKUP($F61,Declarations!B$6:C$293,2,FALSE)),"",IF(VLOOKUP($F61,Declarations!B$6:C$293,2,FALSE)="","NOT DECLARED",IF(ISNA(_xlfn.TEXTBEFORE(VLOOKUP($F61,Declarations!B$6:C$293,2,FALSE)," ")),VLOOKUP($F61,Declarations!B$6:C$293,2,FALSE),_xlfn.TEXTBEFORE(VLOOKUP($F61,Declarations!B$6:C$293,2,FALSE)," "))))</f>
        <v/>
      </c>
      <c r="C61" s="122" t="str">
        <f>IF(ISNA(VLOOKUP($F61,Declarations!B$6:C$293,2,FALSE)),"",IF(VLOOKUP($F61,Declarations!B$6:C$293,2,FALSE)="","NOT DECLARED",IF(ISNA(_xlfn.TEXTAFTER(VLOOKUP($F61,Declarations!B$6:C$293,2,FALSE)," ")),VLOOKUP($F61,Declarations!B$6:C$293,2,FALSE),_xlfn.TEXTAFTER(VLOOKUP($F61,Declarations!B$6:C$293,2,FALSE)," "))))</f>
        <v/>
      </c>
      <c r="D61" s="122" t="str">
        <f>IF(ISNA(VLOOKUP($F61,Declarations!$B$6:$F$293,5,FALSE)),"",IF(VLOOKUP($F61,Declarations!$B$6:$F$293,5,FALSE)="","NOT DECLARED",VLOOKUP($F61,Declarations!$B$6:$F$293,5,FALSE)))</f>
        <v/>
      </c>
      <c r="E61" s="120" t="str">
        <f>IF(ISNA(VLOOKUP($F61,Declarations!$B$6:$D$293,3,FALSE)),"",IF(VLOOKUP($F61,Declarations!$B$6:$D$293,3,FALSE)="","NOT DECLARED",VLOOKUP($F61,Declarations!$B$6:$D$293,3,FALSE)&amp;LEFT(VLOOKUP($F61,Declarations!$B$6:$E$293,4,FALSE))))</f>
        <v/>
      </c>
      <c r="F61" s="59"/>
      <c r="G61" s="123">
        <v>0</v>
      </c>
      <c r="H61" s="322"/>
      <c r="I61" s="122" t="str">
        <f>IF(ISNA(VLOOKUP(F61,Declarations!B$6:C$293,2,FALSE)),"",IF(VLOOKUP(F61,Declarations!B$6:C$293,2,FALSE)="","NOTDECLARED",VLOOKUP(F61,Declarations!B$6:C$293,2,FALSE)))</f>
        <v/>
      </c>
      <c r="J61" s="124">
        <f>IF(LOWER(G61)="dnf",1,IF(U61&lt;ScoringTable!C$3,ScoringTable!I$2,VLOOKUP((1000-U61),ScoringTable!H$2:I$95,2)))</f>
        <v>0</v>
      </c>
      <c r="K61" s="120" t="str" cm="1">
        <f t="array" ref="K61">IF(OR(E61="",G61=""),"",_xlfn.IFS(E61="U10B",_xlfn.XLOOKUP(G61,Data!$D$3:$L$3,Data!$D$1:$L$1,"",1,1),E61="U12B",_xlfn.XLOOKUP(G61,Data!$D$9:$L$9,Data!$D$1:$L$1,"",1,1),E61="U10G",_xlfn.XLOOKUP(G61,Data!$D$16:$L$16,Data!$D$1:$L$1,"",1,1),E61="U12G",_xlfn.XLOOKUP(G61,Data!$D$22:$L$22,Data!$D$1:$L$1,"",1,1)))</f>
        <v/>
      </c>
      <c r="L61" s="184" t="str" cm="1">
        <f t="array" ref="L61">IFERROR(_xlfn.IFNA(
                      _xlfn.IFS(
                      G61="", "",
                      G61=0, "",
                      AND(E61="U10B",G61&lt;=Data!$M$3), "U10 Boys record",
                      AND(E61="U12B",G61&lt;=Data!$M$9), "U12 Boys record",
                      AND(E61="U10G",G61&lt;=Data!$M$16), "U10 Girls record",
                      AND(E61="U12G",G61&lt;=Data!$M$22), "U12 Girls record"
                       ),""), "")</f>
        <v/>
      </c>
      <c r="M61" s="19" cm="1">
        <f t="array" ref="M61">_xlfn.IFS(OR($G61="",$G61=0),0, AND(NOT(ISNUMBER($G61)),LOWER($G61)&lt;&gt;"dnf"),"Not a valid time",OR(LOWER($G61)="dnf",$G61&gt;ScoringTable!$N$161),1,RIGHT($E61,1)="B",_xlfn.XLOOKUP($G61,ScoringTable!$N$2:$N$161,ScoringTable!$L$2:$L$161,,1),TRUE,_xlfn.XLOOKUP($G61,ScoringTable!$T$2:$T$161,ScoringTable!$R$2:$R$161,,1))</f>
        <v>0</v>
      </c>
      <c r="Q61" s="125">
        <f t="shared" si="0"/>
        <v>0</v>
      </c>
      <c r="R61" s="126">
        <f t="shared" si="1"/>
        <v>0</v>
      </c>
      <c r="S61" s="127">
        <f t="shared" si="2"/>
        <v>0</v>
      </c>
      <c r="T61" s="126">
        <f t="shared" si="3"/>
        <v>0</v>
      </c>
      <c r="U61" s="128">
        <f t="shared" si="4"/>
        <v>0</v>
      </c>
    </row>
    <row r="62" spans="1:21" s="7" customFormat="1" ht="16" customHeight="1">
      <c r="A62" s="121" t="s">
        <v>3</v>
      </c>
      <c r="B62" s="122" t="str">
        <f>IF(ISNA(VLOOKUP($F62,Declarations!B$6:C$293,2,FALSE)),"",IF(VLOOKUP($F62,Declarations!B$6:C$293,2,FALSE)="","NOT DECLARED",IF(ISNA(_xlfn.TEXTBEFORE(VLOOKUP($F62,Declarations!B$6:C$293,2,FALSE)," ")),VLOOKUP($F62,Declarations!B$6:C$293,2,FALSE),_xlfn.TEXTBEFORE(VLOOKUP($F62,Declarations!B$6:C$293,2,FALSE)," "))))</f>
        <v/>
      </c>
      <c r="C62" s="122" t="str">
        <f>IF(ISNA(VLOOKUP($F62,Declarations!B$6:C$293,2,FALSE)),"",IF(VLOOKUP($F62,Declarations!B$6:C$293,2,FALSE)="","NOT DECLARED",IF(ISNA(_xlfn.TEXTAFTER(VLOOKUP($F62,Declarations!B$6:C$293,2,FALSE)," ")),VLOOKUP($F62,Declarations!B$6:C$293,2,FALSE),_xlfn.TEXTAFTER(VLOOKUP($F62,Declarations!B$6:C$293,2,FALSE)," "))))</f>
        <v/>
      </c>
      <c r="D62" s="122" t="str">
        <f>IF(ISNA(VLOOKUP($F62,Declarations!$B$6:$F$293,5,FALSE)),"",IF(VLOOKUP($F62,Declarations!$B$6:$F$293,5,FALSE)="","NOT DECLARED",VLOOKUP($F62,Declarations!$B$6:$F$293,5,FALSE)))</f>
        <v/>
      </c>
      <c r="E62" s="120" t="str">
        <f>IF(ISNA(VLOOKUP($F62,Declarations!$B$6:$D$293,3,FALSE)),"",IF(VLOOKUP($F62,Declarations!$B$6:$D$293,3,FALSE)="","NOT DECLARED",VLOOKUP($F62,Declarations!$B$6:$D$293,3,FALSE)&amp;LEFT(VLOOKUP($F62,Declarations!$B$6:$E$293,4,FALSE))))</f>
        <v/>
      </c>
      <c r="F62" s="59"/>
      <c r="G62" s="123">
        <v>0</v>
      </c>
      <c r="H62" s="322"/>
      <c r="I62" s="122" t="str">
        <f>IF(ISNA(VLOOKUP(F62,Declarations!B$6:C$293,2,FALSE)),"",IF(VLOOKUP(F62,Declarations!B$6:C$293,2,FALSE)="","NOTDECLARED",VLOOKUP(F62,Declarations!B$6:C$293,2,FALSE)))</f>
        <v/>
      </c>
      <c r="J62" s="124">
        <f>IF(LOWER(G62)="dnf",1,IF(U62&lt;ScoringTable!C$3,ScoringTable!I$2,VLOOKUP((1000-U62),ScoringTable!H$2:I$95,2)))</f>
        <v>0</v>
      </c>
      <c r="K62" s="120" t="str" cm="1">
        <f t="array" ref="K62">IF(OR(E62="",G62=""),"",_xlfn.IFS(E62="U10B",_xlfn.XLOOKUP(G62,Data!$D$3:$L$3,Data!$D$1:$L$1,"",1,1),E62="U12B",_xlfn.XLOOKUP(G62,Data!$D$9:$L$9,Data!$D$1:$L$1,"",1,1),E62="U10G",_xlfn.XLOOKUP(G62,Data!$D$16:$L$16,Data!$D$1:$L$1,"",1,1),E62="U12G",_xlfn.XLOOKUP(G62,Data!$D$22:$L$22,Data!$D$1:$L$1,"",1,1)))</f>
        <v/>
      </c>
      <c r="L62" s="184" t="str" cm="1">
        <f t="array" ref="L62">IFERROR(_xlfn.IFNA(
                      _xlfn.IFS(
                      G62="", "",
                      G62=0, "",
                      AND(E62="U10B",G62&lt;=Data!$M$3), "U10 Boys record",
                      AND(E62="U12B",G62&lt;=Data!$M$9), "U12 Boys record",
                      AND(E62="U10G",G62&lt;=Data!$M$16), "U10 Girls record",
                      AND(E62="U12G",G62&lt;=Data!$M$22), "U12 Girls record"
                       ),""), "")</f>
        <v/>
      </c>
      <c r="M62" s="19" cm="1">
        <f t="array" ref="M62">_xlfn.IFS(OR($G62="",$G62=0),0, AND(NOT(ISNUMBER($G62)),LOWER($G62)&lt;&gt;"dnf"),"Not a valid time",OR(LOWER($G62)="dnf",$G62&gt;ScoringTable!$N$161),1,RIGHT($E62,1)="B",_xlfn.XLOOKUP($G62,ScoringTable!$N$2:$N$161,ScoringTable!$L$2:$L$161,,1),TRUE,_xlfn.XLOOKUP($G62,ScoringTable!$T$2:$T$161,ScoringTable!$R$2:$R$161,,1))</f>
        <v>0</v>
      </c>
      <c r="Q62" s="125">
        <f t="shared" si="0"/>
        <v>0</v>
      </c>
      <c r="R62" s="126">
        <f t="shared" si="1"/>
        <v>0</v>
      </c>
      <c r="S62" s="127">
        <f t="shared" si="2"/>
        <v>0</v>
      </c>
      <c r="T62" s="126">
        <f t="shared" si="3"/>
        <v>0</v>
      </c>
      <c r="U62" s="128">
        <f t="shared" si="4"/>
        <v>0</v>
      </c>
    </row>
    <row r="63" spans="1:21" s="7" customFormat="1" ht="16" customHeight="1">
      <c r="A63" s="121" t="s">
        <v>3</v>
      </c>
      <c r="B63" s="122" t="str">
        <f>IF(ISNA(VLOOKUP($F63,Declarations!B$6:C$293,2,FALSE)),"",IF(VLOOKUP($F63,Declarations!B$6:C$293,2,FALSE)="","NOT DECLARED",IF(ISNA(_xlfn.TEXTBEFORE(VLOOKUP($F63,Declarations!B$6:C$293,2,FALSE)," ")),VLOOKUP($F63,Declarations!B$6:C$293,2,FALSE),_xlfn.TEXTBEFORE(VLOOKUP($F63,Declarations!B$6:C$293,2,FALSE)," "))))</f>
        <v/>
      </c>
      <c r="C63" s="122" t="str">
        <f>IF(ISNA(VLOOKUP($F63,Declarations!B$6:C$293,2,FALSE)),"",IF(VLOOKUP($F63,Declarations!B$6:C$293,2,FALSE)="","NOT DECLARED",IF(ISNA(_xlfn.TEXTAFTER(VLOOKUP($F63,Declarations!B$6:C$293,2,FALSE)," ")),VLOOKUP($F63,Declarations!B$6:C$293,2,FALSE),_xlfn.TEXTAFTER(VLOOKUP($F63,Declarations!B$6:C$293,2,FALSE)," "))))</f>
        <v/>
      </c>
      <c r="D63" s="122" t="str">
        <f>IF(ISNA(VLOOKUP($F63,Declarations!$B$6:$F$293,5,FALSE)),"",IF(VLOOKUP($F63,Declarations!$B$6:$F$293,5,FALSE)="","NOT DECLARED",VLOOKUP($F63,Declarations!$B$6:$F$293,5,FALSE)))</f>
        <v/>
      </c>
      <c r="E63" s="120" t="str">
        <f>IF(ISNA(VLOOKUP($F63,Declarations!$B$6:$D$293,3,FALSE)),"",IF(VLOOKUP($F63,Declarations!$B$6:$D$293,3,FALSE)="","NOT DECLARED",VLOOKUP($F63,Declarations!$B$6:$D$293,3,FALSE)&amp;LEFT(VLOOKUP($F63,Declarations!$B$6:$E$293,4,FALSE))))</f>
        <v/>
      </c>
      <c r="F63" s="59"/>
      <c r="G63" s="123">
        <v>0</v>
      </c>
      <c r="H63" s="322"/>
      <c r="I63" s="122" t="str">
        <f>IF(ISNA(VLOOKUP(F63,Declarations!B$6:C$293,2,FALSE)),"",IF(VLOOKUP(F63,Declarations!B$6:C$293,2,FALSE)="","NOTDECLARED",VLOOKUP(F63,Declarations!B$6:C$293,2,FALSE)))</f>
        <v/>
      </c>
      <c r="J63" s="124">
        <f>IF(LOWER(G63)="dnf",1,IF(U63&lt;ScoringTable!C$3,ScoringTable!I$2,VLOOKUP((1000-U63),ScoringTable!H$2:I$95,2)))</f>
        <v>0</v>
      </c>
      <c r="K63" s="120" t="str" cm="1">
        <f t="array" ref="K63">IF(OR(E63="",G63=""),"",_xlfn.IFS(E63="U10B",_xlfn.XLOOKUP(G63,Data!$D$3:$L$3,Data!$D$1:$L$1,"",1,1),E63="U12B",_xlfn.XLOOKUP(G63,Data!$D$9:$L$9,Data!$D$1:$L$1,"",1,1),E63="U10G",_xlfn.XLOOKUP(G63,Data!$D$16:$L$16,Data!$D$1:$L$1,"",1,1),E63="U12G",_xlfn.XLOOKUP(G63,Data!$D$22:$L$22,Data!$D$1:$L$1,"",1,1)))</f>
        <v/>
      </c>
      <c r="L63" s="184" t="str" cm="1">
        <f t="array" ref="L63">IFERROR(_xlfn.IFNA(
                      _xlfn.IFS(
                      G63="", "",
                      G63=0, "",
                      AND(E63="U10B",G63&lt;=Data!$M$3), "U10 Boys record",
                      AND(E63="U12B",G63&lt;=Data!$M$9), "U12 Boys record",
                      AND(E63="U10G",G63&lt;=Data!$M$16), "U10 Girls record",
                      AND(E63="U12G",G63&lt;=Data!$M$22), "U12 Girls record"
                       ),""), "")</f>
        <v/>
      </c>
      <c r="M63" s="19" cm="1">
        <f t="array" ref="M63">_xlfn.IFS(OR($G63="",$G63=0),0, AND(NOT(ISNUMBER($G63)),LOWER($G63)&lt;&gt;"dnf"),"Not a valid time",OR(LOWER($G63)="dnf",$G63&gt;ScoringTable!$N$161),1,RIGHT($E63,1)="B",_xlfn.XLOOKUP($G63,ScoringTable!$N$2:$N$161,ScoringTable!$L$2:$L$161,,1),TRUE,_xlfn.XLOOKUP($G63,ScoringTable!$T$2:$T$161,ScoringTable!$R$2:$R$161,,1))</f>
        <v>0</v>
      </c>
      <c r="Q63" s="125">
        <f t="shared" si="0"/>
        <v>0</v>
      </c>
      <c r="R63" s="126">
        <f t="shared" si="1"/>
        <v>0</v>
      </c>
      <c r="S63" s="127">
        <f t="shared" si="2"/>
        <v>0</v>
      </c>
      <c r="T63" s="126">
        <f t="shared" si="3"/>
        <v>0</v>
      </c>
      <c r="U63" s="128">
        <f t="shared" si="4"/>
        <v>0</v>
      </c>
    </row>
    <row r="64" spans="1:21" s="7" customFormat="1" ht="16" customHeight="1">
      <c r="A64" s="121" t="s">
        <v>3</v>
      </c>
      <c r="B64" s="122" t="str">
        <f>IF(ISNA(VLOOKUP($F64,Declarations!B$6:C$293,2,FALSE)),"",IF(VLOOKUP($F64,Declarations!B$6:C$293,2,FALSE)="","NOT DECLARED",IF(ISNA(_xlfn.TEXTBEFORE(VLOOKUP($F64,Declarations!B$6:C$293,2,FALSE)," ")),VLOOKUP($F64,Declarations!B$6:C$293,2,FALSE),_xlfn.TEXTBEFORE(VLOOKUP($F64,Declarations!B$6:C$293,2,FALSE)," "))))</f>
        <v/>
      </c>
      <c r="C64" s="122" t="str">
        <f>IF(ISNA(VLOOKUP($F64,Declarations!B$6:C$293,2,FALSE)),"",IF(VLOOKUP($F64,Declarations!B$6:C$293,2,FALSE)="","NOT DECLARED",IF(ISNA(_xlfn.TEXTAFTER(VLOOKUP($F64,Declarations!B$6:C$293,2,FALSE)," ")),VLOOKUP($F64,Declarations!B$6:C$293,2,FALSE),_xlfn.TEXTAFTER(VLOOKUP($F64,Declarations!B$6:C$293,2,FALSE)," "))))</f>
        <v/>
      </c>
      <c r="D64" s="122" t="str">
        <f>IF(ISNA(VLOOKUP($F64,Declarations!$B$6:$F$293,5,FALSE)),"",IF(VLOOKUP($F64,Declarations!$B$6:$F$293,5,FALSE)="","NOT DECLARED",VLOOKUP($F64,Declarations!$B$6:$F$293,5,FALSE)))</f>
        <v/>
      </c>
      <c r="E64" s="120" t="str">
        <f>IF(ISNA(VLOOKUP($F64,Declarations!$B$6:$D$293,3,FALSE)),"",IF(VLOOKUP($F64,Declarations!$B$6:$D$293,3,FALSE)="","NOT DECLARED",VLOOKUP($F64,Declarations!$B$6:$D$293,3,FALSE)&amp;LEFT(VLOOKUP($F64,Declarations!$B$6:$E$293,4,FALSE))))</f>
        <v/>
      </c>
      <c r="F64" s="59"/>
      <c r="G64" s="123">
        <v>0</v>
      </c>
      <c r="H64" s="322"/>
      <c r="I64" s="122" t="str">
        <f>IF(ISNA(VLOOKUP(F64,Declarations!B$6:C$293,2,FALSE)),"",IF(VLOOKUP(F64,Declarations!B$6:C$293,2,FALSE)="","NOTDECLARED",VLOOKUP(F64,Declarations!B$6:C$293,2,FALSE)))</f>
        <v/>
      </c>
      <c r="J64" s="124">
        <f>IF(LOWER(G64)="dnf",1,IF(U64&lt;ScoringTable!C$3,ScoringTable!I$2,VLOOKUP((1000-U64),ScoringTable!H$2:I$95,2)))</f>
        <v>0</v>
      </c>
      <c r="K64" s="120" t="str" cm="1">
        <f t="array" ref="K64">IF(OR(E64="",G64=""),"",_xlfn.IFS(E64="U10B",_xlfn.XLOOKUP(G64,Data!$D$3:$L$3,Data!$D$1:$L$1,"",1,1),E64="U12B",_xlfn.XLOOKUP(G64,Data!$D$9:$L$9,Data!$D$1:$L$1,"",1,1),E64="U10G",_xlfn.XLOOKUP(G64,Data!$D$16:$L$16,Data!$D$1:$L$1,"",1,1),E64="U12G",_xlfn.XLOOKUP(G64,Data!$D$22:$L$22,Data!$D$1:$L$1,"",1,1)))</f>
        <v/>
      </c>
      <c r="L64" s="184" t="str" cm="1">
        <f t="array" ref="L64">IFERROR(_xlfn.IFNA(
                      _xlfn.IFS(
                      G64="", "",
                      G64=0, "",
                      AND(E64="U10B",G64&lt;=Data!$M$3), "U10 Boys record",
                      AND(E64="U12B",G64&lt;=Data!$M$9), "U12 Boys record",
                      AND(E64="U10G",G64&lt;=Data!$M$16), "U10 Girls record",
                      AND(E64="U12G",G64&lt;=Data!$M$22), "U12 Girls record"
                       ),""), "")</f>
        <v/>
      </c>
      <c r="M64" s="19" cm="1">
        <f t="array" ref="M64">_xlfn.IFS(OR($G64="",$G64=0),0, AND(NOT(ISNUMBER($G64)),LOWER($G64)&lt;&gt;"dnf"),"Not a valid time",OR(LOWER($G64)="dnf",$G64&gt;ScoringTable!$N$161),1,RIGHT($E64,1)="B",_xlfn.XLOOKUP($G64,ScoringTable!$N$2:$N$161,ScoringTable!$L$2:$L$161,,1),TRUE,_xlfn.XLOOKUP($G64,ScoringTable!$T$2:$T$161,ScoringTable!$R$2:$R$161,,1))</f>
        <v>0</v>
      </c>
      <c r="Q64" s="125">
        <f t="shared" si="0"/>
        <v>0</v>
      </c>
      <c r="R64" s="126">
        <f t="shared" si="1"/>
        <v>0</v>
      </c>
      <c r="S64" s="127">
        <f t="shared" si="2"/>
        <v>0</v>
      </c>
      <c r="T64" s="126">
        <f t="shared" si="3"/>
        <v>0</v>
      </c>
      <c r="U64" s="128">
        <f t="shared" si="4"/>
        <v>0</v>
      </c>
    </row>
    <row r="65" spans="1:21" s="7" customFormat="1" ht="16" customHeight="1">
      <c r="A65" s="121" t="s">
        <v>3</v>
      </c>
      <c r="B65" s="122" t="str">
        <f>IF(ISNA(VLOOKUP($F65,Declarations!B$6:C$293,2,FALSE)),"",IF(VLOOKUP($F65,Declarations!B$6:C$293,2,FALSE)="","NOT DECLARED",IF(ISNA(_xlfn.TEXTBEFORE(VLOOKUP($F65,Declarations!B$6:C$293,2,FALSE)," ")),VLOOKUP($F65,Declarations!B$6:C$293,2,FALSE),_xlfn.TEXTBEFORE(VLOOKUP($F65,Declarations!B$6:C$293,2,FALSE)," "))))</f>
        <v/>
      </c>
      <c r="C65" s="122" t="str">
        <f>IF(ISNA(VLOOKUP($F65,Declarations!B$6:C$293,2,FALSE)),"",IF(VLOOKUP($F65,Declarations!B$6:C$293,2,FALSE)="","NOT DECLARED",IF(ISNA(_xlfn.TEXTAFTER(VLOOKUP($F65,Declarations!B$6:C$293,2,FALSE)," ")),VLOOKUP($F65,Declarations!B$6:C$293,2,FALSE),_xlfn.TEXTAFTER(VLOOKUP($F65,Declarations!B$6:C$293,2,FALSE)," "))))</f>
        <v/>
      </c>
      <c r="D65" s="122" t="str">
        <f>IF(ISNA(VLOOKUP($F65,Declarations!$B$6:$F$293,5,FALSE)),"",IF(VLOOKUP($F65,Declarations!$B$6:$F$293,5,FALSE)="","NOT DECLARED",VLOOKUP($F65,Declarations!$B$6:$F$293,5,FALSE)))</f>
        <v/>
      </c>
      <c r="E65" s="120" t="str">
        <f>IF(ISNA(VLOOKUP($F65,Declarations!$B$6:$D$293,3,FALSE)),"",IF(VLOOKUP($F65,Declarations!$B$6:$D$293,3,FALSE)="","NOT DECLARED",VLOOKUP($F65,Declarations!$B$6:$D$293,3,FALSE)&amp;LEFT(VLOOKUP($F65,Declarations!$B$6:$E$293,4,FALSE))))</f>
        <v/>
      </c>
      <c r="F65" s="59"/>
      <c r="G65" s="123">
        <v>0</v>
      </c>
      <c r="H65" s="322"/>
      <c r="I65" s="122" t="str">
        <f>IF(ISNA(VLOOKUP(F65,Declarations!B$6:C$293,2,FALSE)),"",IF(VLOOKUP(F65,Declarations!B$6:C$293,2,FALSE)="","NOTDECLARED",VLOOKUP(F65,Declarations!B$6:C$293,2,FALSE)))</f>
        <v/>
      </c>
      <c r="J65" s="124">
        <f>IF(LOWER(G65)="dnf",1,IF(U65&lt;ScoringTable!C$3,ScoringTable!I$2,VLOOKUP((1000-U65),ScoringTable!H$2:I$95,2)))</f>
        <v>0</v>
      </c>
      <c r="K65" s="120" t="str" cm="1">
        <f t="array" ref="K65">IF(OR(E65="",G65=""),"",_xlfn.IFS(E65="U10B",_xlfn.XLOOKUP(G65,Data!$D$3:$L$3,Data!$D$1:$L$1,"",1,1),E65="U12B",_xlfn.XLOOKUP(G65,Data!$D$9:$L$9,Data!$D$1:$L$1,"",1,1),E65="U10G",_xlfn.XLOOKUP(G65,Data!$D$16:$L$16,Data!$D$1:$L$1,"",1,1),E65="U12G",_xlfn.XLOOKUP(G65,Data!$D$22:$L$22,Data!$D$1:$L$1,"",1,1)))</f>
        <v/>
      </c>
      <c r="L65" s="184" t="str" cm="1">
        <f t="array" ref="L65">IFERROR(_xlfn.IFNA(
                      _xlfn.IFS(
                      G65="", "",
                      G65=0, "",
                      AND(E65="U10B",G65&lt;=Data!$M$3), "U10 Boys record",
                      AND(E65="U12B",G65&lt;=Data!$M$9), "U12 Boys record",
                      AND(E65="U10G",G65&lt;=Data!$M$16), "U10 Girls record",
                      AND(E65="U12G",G65&lt;=Data!$M$22), "U12 Girls record"
                       ),""), "")</f>
        <v/>
      </c>
      <c r="M65" s="19" cm="1">
        <f t="array" ref="M65">_xlfn.IFS(OR($G65="",$G65=0),0, AND(NOT(ISNUMBER($G65)),LOWER($G65)&lt;&gt;"dnf"),"Not a valid time",OR(LOWER($G65)="dnf",$G65&gt;ScoringTable!$N$161),1,RIGHT($E65,1)="B",_xlfn.XLOOKUP($G65,ScoringTable!$N$2:$N$161,ScoringTable!$L$2:$L$161,,1),TRUE,_xlfn.XLOOKUP($G65,ScoringTable!$T$2:$T$161,ScoringTable!$R$2:$R$161,,1))</f>
        <v>0</v>
      </c>
      <c r="Q65" s="125">
        <f t="shared" si="0"/>
        <v>0</v>
      </c>
      <c r="R65" s="126">
        <f t="shared" si="1"/>
        <v>0</v>
      </c>
      <c r="S65" s="127">
        <f t="shared" si="2"/>
        <v>0</v>
      </c>
      <c r="T65" s="126">
        <f t="shared" si="3"/>
        <v>0</v>
      </c>
      <c r="U65" s="128">
        <f t="shared" si="4"/>
        <v>0</v>
      </c>
    </row>
    <row r="66" spans="1:21" s="7" customFormat="1" ht="16" customHeight="1">
      <c r="A66" s="121" t="s">
        <v>3</v>
      </c>
      <c r="B66" s="122" t="str">
        <f>IF(ISNA(VLOOKUP($F66,Declarations!B$6:C$293,2,FALSE)),"",IF(VLOOKUP($F66,Declarations!B$6:C$293,2,FALSE)="","NOT DECLARED",IF(ISNA(_xlfn.TEXTBEFORE(VLOOKUP($F66,Declarations!B$6:C$293,2,FALSE)," ")),VLOOKUP($F66,Declarations!B$6:C$293,2,FALSE),_xlfn.TEXTBEFORE(VLOOKUP($F66,Declarations!B$6:C$293,2,FALSE)," "))))</f>
        <v/>
      </c>
      <c r="C66" s="122" t="str">
        <f>IF(ISNA(VLOOKUP($F66,Declarations!B$6:C$293,2,FALSE)),"",IF(VLOOKUP($F66,Declarations!B$6:C$293,2,FALSE)="","NOT DECLARED",IF(ISNA(_xlfn.TEXTAFTER(VLOOKUP($F66,Declarations!B$6:C$293,2,FALSE)," ")),VLOOKUP($F66,Declarations!B$6:C$293,2,FALSE),_xlfn.TEXTAFTER(VLOOKUP($F66,Declarations!B$6:C$293,2,FALSE)," "))))</f>
        <v/>
      </c>
      <c r="D66" s="122" t="str">
        <f>IF(ISNA(VLOOKUP($F66,Declarations!$B$6:$F$293,5,FALSE)),"",IF(VLOOKUP($F66,Declarations!$B$6:$F$293,5,FALSE)="","NOT DECLARED",VLOOKUP($F66,Declarations!$B$6:$F$293,5,FALSE)))</f>
        <v/>
      </c>
      <c r="E66" s="120" t="str">
        <f>IF(ISNA(VLOOKUP($F66,Declarations!$B$6:$D$293,3,FALSE)),"",IF(VLOOKUP($F66,Declarations!$B$6:$D$293,3,FALSE)="","NOT DECLARED",VLOOKUP($F66,Declarations!$B$6:$D$293,3,FALSE)&amp;LEFT(VLOOKUP($F66,Declarations!$B$6:$E$293,4,FALSE))))</f>
        <v/>
      </c>
      <c r="F66" s="59"/>
      <c r="G66" s="123">
        <v>0</v>
      </c>
      <c r="H66" s="322"/>
      <c r="I66" s="122" t="str">
        <f>IF(ISNA(VLOOKUP(F66,Declarations!B$6:C$293,2,FALSE)),"",IF(VLOOKUP(F66,Declarations!B$6:C$293,2,FALSE)="","NOTDECLARED",VLOOKUP(F66,Declarations!B$6:C$293,2,FALSE)))</f>
        <v/>
      </c>
      <c r="J66" s="124">
        <f>IF(LOWER(G66)="dnf",1,IF(U66&lt;ScoringTable!C$3,ScoringTable!I$2,VLOOKUP((1000-U66),ScoringTable!H$2:I$95,2)))</f>
        <v>0</v>
      </c>
      <c r="K66" s="120" t="str" cm="1">
        <f t="array" ref="K66">IF(OR(E66="",G66=""),"",_xlfn.IFS(E66="U10B",_xlfn.XLOOKUP(G66,Data!$D$3:$L$3,Data!$D$1:$L$1,"",1,1),E66="U12B",_xlfn.XLOOKUP(G66,Data!$D$9:$L$9,Data!$D$1:$L$1,"",1,1),E66="U10G",_xlfn.XLOOKUP(G66,Data!$D$16:$L$16,Data!$D$1:$L$1,"",1,1),E66="U12G",_xlfn.XLOOKUP(G66,Data!$D$22:$L$22,Data!$D$1:$L$1,"",1,1)))</f>
        <v/>
      </c>
      <c r="L66" s="184" t="str" cm="1">
        <f t="array" ref="L66">IFERROR(_xlfn.IFNA(
                      _xlfn.IFS(
                      G66="", "",
                      G66=0, "",
                      AND(E66="U10B",G66&lt;=Data!$M$3), "U10 Boys record",
                      AND(E66="U12B",G66&lt;=Data!$M$9), "U12 Boys record",
                      AND(E66="U10G",G66&lt;=Data!$M$16), "U10 Girls record",
                      AND(E66="U12G",G66&lt;=Data!$M$22), "U12 Girls record"
                       ),""), "")</f>
        <v/>
      </c>
      <c r="M66" s="19" cm="1">
        <f t="array" ref="M66">_xlfn.IFS(OR($G66="",$G66=0),0, AND(NOT(ISNUMBER($G66)),LOWER($G66)&lt;&gt;"dnf"),"Not a valid time",OR(LOWER($G66)="dnf",$G66&gt;ScoringTable!$N$161),1,RIGHT($E66,1)="B",_xlfn.XLOOKUP($G66,ScoringTable!$N$2:$N$161,ScoringTable!$L$2:$L$161,,1),TRUE,_xlfn.XLOOKUP($G66,ScoringTable!$T$2:$T$161,ScoringTable!$R$2:$R$161,,1))</f>
        <v>0</v>
      </c>
      <c r="Q66" s="125">
        <f t="shared" si="0"/>
        <v>0</v>
      </c>
      <c r="R66" s="126">
        <f t="shared" si="1"/>
        <v>0</v>
      </c>
      <c r="S66" s="127">
        <f t="shared" si="2"/>
        <v>0</v>
      </c>
      <c r="T66" s="126">
        <f t="shared" si="3"/>
        <v>0</v>
      </c>
      <c r="U66" s="128">
        <f t="shared" si="4"/>
        <v>0</v>
      </c>
    </row>
    <row r="67" spans="1:21" s="7" customFormat="1" ht="16" customHeight="1">
      <c r="A67" s="121" t="s">
        <v>3</v>
      </c>
      <c r="B67" s="122" t="str">
        <f>IF(ISNA(VLOOKUP($F67,Declarations!B$6:C$293,2,FALSE)),"",IF(VLOOKUP($F67,Declarations!B$6:C$293,2,FALSE)="","NOT DECLARED",IF(ISNA(_xlfn.TEXTBEFORE(VLOOKUP($F67,Declarations!B$6:C$293,2,FALSE)," ")),VLOOKUP($F67,Declarations!B$6:C$293,2,FALSE),_xlfn.TEXTBEFORE(VLOOKUP($F67,Declarations!B$6:C$293,2,FALSE)," "))))</f>
        <v/>
      </c>
      <c r="C67" s="122" t="str">
        <f>IF(ISNA(VLOOKUP($F67,Declarations!B$6:C$293,2,FALSE)),"",IF(VLOOKUP($F67,Declarations!B$6:C$293,2,FALSE)="","NOT DECLARED",IF(ISNA(_xlfn.TEXTAFTER(VLOOKUP($F67,Declarations!B$6:C$293,2,FALSE)," ")),VLOOKUP($F67,Declarations!B$6:C$293,2,FALSE),_xlfn.TEXTAFTER(VLOOKUP($F67,Declarations!B$6:C$293,2,FALSE)," "))))</f>
        <v/>
      </c>
      <c r="D67" s="122" t="str">
        <f>IF(ISNA(VLOOKUP($F67,Declarations!$B$6:$F$293,5,FALSE)),"",IF(VLOOKUP($F67,Declarations!$B$6:$F$293,5,FALSE)="","NOT DECLARED",VLOOKUP($F67,Declarations!$B$6:$F$293,5,FALSE)))</f>
        <v/>
      </c>
      <c r="E67" s="120" t="str">
        <f>IF(ISNA(VLOOKUP($F67,Declarations!$B$6:$D$293,3,FALSE)),"",IF(VLOOKUP($F67,Declarations!$B$6:$D$293,3,FALSE)="","NOT DECLARED",VLOOKUP($F67,Declarations!$B$6:$D$293,3,FALSE)&amp;LEFT(VLOOKUP($F67,Declarations!$B$6:$E$293,4,FALSE))))</f>
        <v/>
      </c>
      <c r="F67" s="59"/>
      <c r="G67" s="123">
        <v>0</v>
      </c>
      <c r="H67" s="322"/>
      <c r="I67" s="122" t="str">
        <f>IF(ISNA(VLOOKUP(F67,Declarations!B$6:C$293,2,FALSE)),"",IF(VLOOKUP(F67,Declarations!B$6:C$293,2,FALSE)="","NOTDECLARED",VLOOKUP(F67,Declarations!B$6:C$293,2,FALSE)))</f>
        <v/>
      </c>
      <c r="J67" s="124">
        <f>IF(LOWER(G67)="dnf",1,IF(U67&lt;ScoringTable!C$3,ScoringTable!I$2,VLOOKUP((1000-U67),ScoringTable!H$2:I$95,2)))</f>
        <v>0</v>
      </c>
      <c r="K67" s="120" t="str" cm="1">
        <f t="array" ref="K67">IF(OR(E67="",G67=""),"",_xlfn.IFS(E67="U10B",_xlfn.XLOOKUP(G67,Data!$D$3:$L$3,Data!$D$1:$L$1,"",1,1),E67="U12B",_xlfn.XLOOKUP(G67,Data!$D$9:$L$9,Data!$D$1:$L$1,"",1,1),E67="U10G",_xlfn.XLOOKUP(G67,Data!$D$16:$L$16,Data!$D$1:$L$1,"",1,1),E67="U12G",_xlfn.XLOOKUP(G67,Data!$D$22:$L$22,Data!$D$1:$L$1,"",1,1)))</f>
        <v/>
      </c>
      <c r="L67" s="184" t="str" cm="1">
        <f t="array" ref="L67">IFERROR(_xlfn.IFNA(
                      _xlfn.IFS(
                      G67="", "",
                      G67=0, "",
                      AND(E67="U10B",G67&lt;=Data!$M$3), "U10 Boys record",
                      AND(E67="U12B",G67&lt;=Data!$M$9), "U12 Boys record",
                      AND(E67="U10G",G67&lt;=Data!$M$16), "U10 Girls record",
                      AND(E67="U12G",G67&lt;=Data!$M$22), "U12 Girls record"
                       ),""), "")</f>
        <v/>
      </c>
      <c r="M67" s="19" cm="1">
        <f t="array" ref="M67">_xlfn.IFS(OR($G67="",$G67=0),0, AND(NOT(ISNUMBER($G67)),LOWER($G67)&lt;&gt;"dnf"),"Not a valid time",OR(LOWER($G67)="dnf",$G67&gt;ScoringTable!$N$161),1,RIGHT($E67,1)="B",_xlfn.XLOOKUP($G67,ScoringTable!$N$2:$N$161,ScoringTable!$L$2:$L$161,,1),TRUE,_xlfn.XLOOKUP($G67,ScoringTable!$T$2:$T$161,ScoringTable!$R$2:$R$161,,1))</f>
        <v>0</v>
      </c>
      <c r="Q67" s="125">
        <f t="shared" si="0"/>
        <v>0</v>
      </c>
      <c r="R67" s="126">
        <f t="shared" si="1"/>
        <v>0</v>
      </c>
      <c r="S67" s="127">
        <f t="shared" si="2"/>
        <v>0</v>
      </c>
      <c r="T67" s="126">
        <f t="shared" si="3"/>
        <v>0</v>
      </c>
      <c r="U67" s="128">
        <f t="shared" si="4"/>
        <v>0</v>
      </c>
    </row>
    <row r="68" spans="1:21" s="7" customFormat="1" ht="16" customHeight="1">
      <c r="A68" s="121" t="s">
        <v>3</v>
      </c>
      <c r="B68" s="122" t="str">
        <f>IF(ISNA(VLOOKUP($F68,Declarations!B$6:C$293,2,FALSE)),"",IF(VLOOKUP($F68,Declarations!B$6:C$293,2,FALSE)="","NOT DECLARED",IF(ISNA(_xlfn.TEXTBEFORE(VLOOKUP($F68,Declarations!B$6:C$293,2,FALSE)," ")),VLOOKUP($F68,Declarations!B$6:C$293,2,FALSE),_xlfn.TEXTBEFORE(VLOOKUP($F68,Declarations!B$6:C$293,2,FALSE)," "))))</f>
        <v/>
      </c>
      <c r="C68" s="122" t="str">
        <f>IF(ISNA(VLOOKUP($F68,Declarations!B$6:C$293,2,FALSE)),"",IF(VLOOKUP($F68,Declarations!B$6:C$293,2,FALSE)="","NOT DECLARED",IF(ISNA(_xlfn.TEXTAFTER(VLOOKUP($F68,Declarations!B$6:C$293,2,FALSE)," ")),VLOOKUP($F68,Declarations!B$6:C$293,2,FALSE),_xlfn.TEXTAFTER(VLOOKUP($F68,Declarations!B$6:C$293,2,FALSE)," "))))</f>
        <v/>
      </c>
      <c r="D68" s="122" t="str">
        <f>IF(ISNA(VLOOKUP($F68,Declarations!$B$6:$F$293,5,FALSE)),"",IF(VLOOKUP($F68,Declarations!$B$6:$F$293,5,FALSE)="","NOT DECLARED",VLOOKUP($F68,Declarations!$B$6:$F$293,5,FALSE)))</f>
        <v/>
      </c>
      <c r="E68" s="120" t="str">
        <f>IF(ISNA(VLOOKUP($F68,Declarations!$B$6:$D$293,3,FALSE)),"",IF(VLOOKUP($F68,Declarations!$B$6:$D$293,3,FALSE)="","NOT DECLARED",VLOOKUP($F68,Declarations!$B$6:$D$293,3,FALSE)&amp;LEFT(VLOOKUP($F68,Declarations!$B$6:$E$293,4,FALSE))))</f>
        <v/>
      </c>
      <c r="F68" s="59"/>
      <c r="G68" s="123">
        <v>0</v>
      </c>
      <c r="H68" s="322"/>
      <c r="I68" s="122" t="str">
        <f>IF(ISNA(VLOOKUP(F68,Declarations!B$6:C$293,2,FALSE)),"",IF(VLOOKUP(F68,Declarations!B$6:C$293,2,FALSE)="","NOTDECLARED",VLOOKUP(F68,Declarations!B$6:C$293,2,FALSE)))</f>
        <v/>
      </c>
      <c r="J68" s="124">
        <f>IF(LOWER(G68)="dnf",1,IF(U68&lt;ScoringTable!C$3,ScoringTable!I$2,VLOOKUP((1000-U68),ScoringTable!H$2:I$95,2)))</f>
        <v>0</v>
      </c>
      <c r="K68" s="120" t="str" cm="1">
        <f t="array" ref="K68">IF(OR(E68="",G68=""),"",_xlfn.IFS(E68="U10B",_xlfn.XLOOKUP(G68,Data!$D$3:$L$3,Data!$D$1:$L$1,"",1,1),E68="U12B",_xlfn.XLOOKUP(G68,Data!$D$9:$L$9,Data!$D$1:$L$1,"",1,1),E68="U10G",_xlfn.XLOOKUP(G68,Data!$D$16:$L$16,Data!$D$1:$L$1,"",1,1),E68="U12G",_xlfn.XLOOKUP(G68,Data!$D$22:$L$22,Data!$D$1:$L$1,"",1,1)))</f>
        <v/>
      </c>
      <c r="L68" s="184" t="str" cm="1">
        <f t="array" ref="L68">IFERROR(_xlfn.IFNA(
                      _xlfn.IFS(
                      G68="", "",
                      G68=0, "",
                      AND(E68="U10B",G68&lt;=Data!$M$3), "U10 Boys record",
                      AND(E68="U12B",G68&lt;=Data!$M$9), "U12 Boys record",
                      AND(E68="U10G",G68&lt;=Data!$M$16), "U10 Girls record",
                      AND(E68="U12G",G68&lt;=Data!$M$22), "U12 Girls record"
                       ),""), "")</f>
        <v/>
      </c>
      <c r="M68" s="19" cm="1">
        <f t="array" ref="M68">_xlfn.IFS(OR($G68="",$G68=0),0, AND(NOT(ISNUMBER($G68)),LOWER($G68)&lt;&gt;"dnf"),"Not a valid time",OR(LOWER($G68)="dnf",$G68&gt;ScoringTable!$N$161),1,RIGHT($E68,1)="B",_xlfn.XLOOKUP($G68,ScoringTable!$N$2:$N$161,ScoringTable!$L$2:$L$161,,1),TRUE,_xlfn.XLOOKUP($G68,ScoringTable!$T$2:$T$161,ScoringTable!$R$2:$R$161,,1))</f>
        <v>0</v>
      </c>
      <c r="Q68" s="125">
        <f t="shared" si="0"/>
        <v>0</v>
      </c>
      <c r="R68" s="126">
        <f t="shared" si="1"/>
        <v>0</v>
      </c>
      <c r="S68" s="127">
        <f t="shared" si="2"/>
        <v>0</v>
      </c>
      <c r="T68" s="126">
        <f t="shared" si="3"/>
        <v>0</v>
      </c>
      <c r="U68" s="128">
        <f t="shared" si="4"/>
        <v>0</v>
      </c>
    </row>
    <row r="69" spans="1:21" s="7" customFormat="1" ht="16" customHeight="1">
      <c r="A69" s="121" t="s">
        <v>3</v>
      </c>
      <c r="B69" s="122" t="str">
        <f>IF(ISNA(VLOOKUP($F69,Declarations!B$6:C$293,2,FALSE)),"",IF(VLOOKUP($F69,Declarations!B$6:C$293,2,FALSE)="","NOT DECLARED",IF(ISNA(_xlfn.TEXTBEFORE(VLOOKUP($F69,Declarations!B$6:C$293,2,FALSE)," ")),VLOOKUP($F69,Declarations!B$6:C$293,2,FALSE),_xlfn.TEXTBEFORE(VLOOKUP($F69,Declarations!B$6:C$293,2,FALSE)," "))))</f>
        <v/>
      </c>
      <c r="C69" s="122" t="str">
        <f>IF(ISNA(VLOOKUP($F69,Declarations!B$6:C$293,2,FALSE)),"",IF(VLOOKUP($F69,Declarations!B$6:C$293,2,FALSE)="","NOT DECLARED",IF(ISNA(_xlfn.TEXTAFTER(VLOOKUP($F69,Declarations!B$6:C$293,2,FALSE)," ")),VLOOKUP($F69,Declarations!B$6:C$293,2,FALSE),_xlfn.TEXTAFTER(VLOOKUP($F69,Declarations!B$6:C$293,2,FALSE)," "))))</f>
        <v/>
      </c>
      <c r="D69" s="122" t="str">
        <f>IF(ISNA(VLOOKUP($F69,Declarations!$B$6:$F$293,5,FALSE)),"",IF(VLOOKUP($F69,Declarations!$B$6:$F$293,5,FALSE)="","NOT DECLARED",VLOOKUP($F69,Declarations!$B$6:$F$293,5,FALSE)))</f>
        <v/>
      </c>
      <c r="E69" s="120" t="str">
        <f>IF(ISNA(VLOOKUP($F69,Declarations!$B$6:$D$293,3,FALSE)),"",IF(VLOOKUP($F69,Declarations!$B$6:$D$293,3,FALSE)="","NOT DECLARED",VLOOKUP($F69,Declarations!$B$6:$D$293,3,FALSE)&amp;LEFT(VLOOKUP($F69,Declarations!$B$6:$E$293,4,FALSE))))</f>
        <v/>
      </c>
      <c r="F69" s="59"/>
      <c r="G69" s="123">
        <v>0</v>
      </c>
      <c r="H69" s="322"/>
      <c r="I69" s="122" t="str">
        <f>IF(ISNA(VLOOKUP(F69,Declarations!B$6:C$293,2,FALSE)),"",IF(VLOOKUP(F69,Declarations!B$6:C$293,2,FALSE)="","NOTDECLARED",VLOOKUP(F69,Declarations!B$6:C$293,2,FALSE)))</f>
        <v/>
      </c>
      <c r="J69" s="124">
        <f>IF(LOWER(G69)="dnf",1,IF(U69&lt;ScoringTable!C$3,ScoringTable!I$2,VLOOKUP((1000-U69),ScoringTable!H$2:I$95,2)))</f>
        <v>0</v>
      </c>
      <c r="K69" s="120" t="str" cm="1">
        <f t="array" ref="K69">IF(OR(E69="",G69=""),"",_xlfn.IFS(E69="U10B",_xlfn.XLOOKUP(G69,Data!$D$3:$L$3,Data!$D$1:$L$1,"",1,1),E69="U12B",_xlfn.XLOOKUP(G69,Data!$D$9:$L$9,Data!$D$1:$L$1,"",1,1),E69="U10G",_xlfn.XLOOKUP(G69,Data!$D$16:$L$16,Data!$D$1:$L$1,"",1,1),E69="U12G",_xlfn.XLOOKUP(G69,Data!$D$22:$L$22,Data!$D$1:$L$1,"",1,1)))</f>
        <v/>
      </c>
      <c r="L69" s="184" t="str" cm="1">
        <f t="array" ref="L69">IFERROR(_xlfn.IFNA(
                      _xlfn.IFS(
                      G69="", "",
                      G69=0, "",
                      AND(E69="U10B",G69&lt;=Data!$M$3), "U10 Boys record",
                      AND(E69="U12B",G69&lt;=Data!$M$9), "U12 Boys record",
                      AND(E69="U10G",G69&lt;=Data!$M$16), "U10 Girls record",
                      AND(E69="U12G",G69&lt;=Data!$M$22), "U12 Girls record"
                       ),""), "")</f>
        <v/>
      </c>
      <c r="M69" s="19" cm="1">
        <f t="array" ref="M69">_xlfn.IFS(OR($G69="",$G69=0),0, AND(NOT(ISNUMBER($G69)),LOWER($G69)&lt;&gt;"dnf"),"Not a valid time",OR(LOWER($G69)="dnf",$G69&gt;ScoringTable!$N$161),1,RIGHT($E69,1)="B",_xlfn.XLOOKUP($G69,ScoringTable!$N$2:$N$161,ScoringTable!$L$2:$L$161,,1),TRUE,_xlfn.XLOOKUP($G69,ScoringTable!$T$2:$T$161,ScoringTable!$R$2:$R$161,,1))</f>
        <v>0</v>
      </c>
      <c r="Q69" s="125">
        <f t="shared" si="0"/>
        <v>0</v>
      </c>
      <c r="R69" s="126">
        <f t="shared" si="1"/>
        <v>0</v>
      </c>
      <c r="S69" s="127">
        <f t="shared" si="2"/>
        <v>0</v>
      </c>
      <c r="T69" s="126">
        <f t="shared" si="3"/>
        <v>0</v>
      </c>
      <c r="U69" s="128">
        <f t="shared" si="4"/>
        <v>0</v>
      </c>
    </row>
    <row r="70" spans="1:21" s="7" customFormat="1" ht="16" customHeight="1">
      <c r="A70" s="121" t="s">
        <v>3</v>
      </c>
      <c r="B70" s="122" t="str">
        <f>IF(ISNA(VLOOKUP($F70,Declarations!B$6:C$293,2,FALSE)),"",IF(VLOOKUP($F70,Declarations!B$6:C$293,2,FALSE)="","NOT DECLARED",IF(ISNA(_xlfn.TEXTBEFORE(VLOOKUP($F70,Declarations!B$6:C$293,2,FALSE)," ")),VLOOKUP($F70,Declarations!B$6:C$293,2,FALSE),_xlfn.TEXTBEFORE(VLOOKUP($F70,Declarations!B$6:C$293,2,FALSE)," "))))</f>
        <v/>
      </c>
      <c r="C70" s="122" t="str">
        <f>IF(ISNA(VLOOKUP($F70,Declarations!B$6:C$293,2,FALSE)),"",IF(VLOOKUP($F70,Declarations!B$6:C$293,2,FALSE)="","NOT DECLARED",IF(ISNA(_xlfn.TEXTAFTER(VLOOKUP($F70,Declarations!B$6:C$293,2,FALSE)," ")),VLOOKUP($F70,Declarations!B$6:C$293,2,FALSE),_xlfn.TEXTAFTER(VLOOKUP($F70,Declarations!B$6:C$293,2,FALSE)," "))))</f>
        <v/>
      </c>
      <c r="D70" s="122" t="str">
        <f>IF(ISNA(VLOOKUP($F70,Declarations!$B$6:$F$293,5,FALSE)),"",IF(VLOOKUP($F70,Declarations!$B$6:$F$293,5,FALSE)="","NOT DECLARED",VLOOKUP($F70,Declarations!$B$6:$F$293,5,FALSE)))</f>
        <v/>
      </c>
      <c r="E70" s="120" t="str">
        <f>IF(ISNA(VLOOKUP($F70,Declarations!$B$6:$D$293,3,FALSE)),"",IF(VLOOKUP($F70,Declarations!$B$6:$D$293,3,FALSE)="","NOT DECLARED",VLOOKUP($F70,Declarations!$B$6:$D$293,3,FALSE)&amp;LEFT(VLOOKUP($F70,Declarations!$B$6:$E$293,4,FALSE))))</f>
        <v/>
      </c>
      <c r="F70" s="59"/>
      <c r="G70" s="123">
        <v>0</v>
      </c>
      <c r="H70" s="322"/>
      <c r="I70" s="122" t="str">
        <f>IF(ISNA(VLOOKUP(F70,Declarations!B$6:C$293,2,FALSE)),"",IF(VLOOKUP(F70,Declarations!B$6:C$293,2,FALSE)="","NOTDECLARED",VLOOKUP(F70,Declarations!B$6:C$293,2,FALSE)))</f>
        <v/>
      </c>
      <c r="J70" s="124">
        <f>IF(LOWER(G70)="dnf",1,IF(U70&lt;ScoringTable!C$3,ScoringTable!I$2,VLOOKUP((1000-U70),ScoringTable!H$2:I$95,2)))</f>
        <v>0</v>
      </c>
      <c r="K70" s="120" t="str" cm="1">
        <f t="array" ref="K70">IF(OR(E70="",G70=""),"",_xlfn.IFS(E70="U10B",_xlfn.XLOOKUP(G70,Data!$D$3:$L$3,Data!$D$1:$L$1,"",1,1),E70="U12B",_xlfn.XLOOKUP(G70,Data!$D$9:$L$9,Data!$D$1:$L$1,"",1,1),E70="U10G",_xlfn.XLOOKUP(G70,Data!$D$16:$L$16,Data!$D$1:$L$1,"",1,1),E70="U12G",_xlfn.XLOOKUP(G70,Data!$D$22:$L$22,Data!$D$1:$L$1,"",1,1)))</f>
        <v/>
      </c>
      <c r="L70" s="184" t="str" cm="1">
        <f t="array" ref="L70">IFERROR(_xlfn.IFNA(
                      _xlfn.IFS(
                      G70="", "",
                      G70=0, "",
                      AND(E70="U10B",G70&lt;=Data!$M$3), "U10 Boys record",
                      AND(E70="U12B",G70&lt;=Data!$M$9), "U12 Boys record",
                      AND(E70="U10G",G70&lt;=Data!$M$16), "U10 Girls record",
                      AND(E70="U12G",G70&lt;=Data!$M$22), "U12 Girls record"
                       ),""), "")</f>
        <v/>
      </c>
      <c r="M70" s="19" cm="1">
        <f t="array" ref="M70">_xlfn.IFS(OR($G70="",$G70=0),0, AND(NOT(ISNUMBER($G70)),LOWER($G70)&lt;&gt;"dnf"),"Not a valid time",OR(LOWER($G70)="dnf",$G70&gt;ScoringTable!$N$161),1,RIGHT($E70,1)="B",_xlfn.XLOOKUP($G70,ScoringTable!$N$2:$N$161,ScoringTable!$L$2:$L$161,,1),TRUE,_xlfn.XLOOKUP($G70,ScoringTable!$T$2:$T$161,ScoringTable!$R$2:$R$161,,1))</f>
        <v>0</v>
      </c>
      <c r="Q70" s="125">
        <f t="shared" si="0"/>
        <v>0</v>
      </c>
      <c r="R70" s="126">
        <f t="shared" si="1"/>
        <v>0</v>
      </c>
      <c r="S70" s="127">
        <f t="shared" si="2"/>
        <v>0</v>
      </c>
      <c r="T70" s="126">
        <f t="shared" si="3"/>
        <v>0</v>
      </c>
      <c r="U70" s="128">
        <f t="shared" si="4"/>
        <v>0</v>
      </c>
    </row>
    <row r="71" spans="1:21" s="7" customFormat="1" ht="16" customHeight="1">
      <c r="A71" s="121" t="s">
        <v>3</v>
      </c>
      <c r="B71" s="122" t="str">
        <f>IF(ISNA(VLOOKUP($F71,Declarations!B$6:C$293,2,FALSE)),"",IF(VLOOKUP($F71,Declarations!B$6:C$293,2,FALSE)="","NOT DECLARED",IF(ISNA(_xlfn.TEXTBEFORE(VLOOKUP($F71,Declarations!B$6:C$293,2,FALSE)," ")),VLOOKUP($F71,Declarations!B$6:C$293,2,FALSE),_xlfn.TEXTBEFORE(VLOOKUP($F71,Declarations!B$6:C$293,2,FALSE)," "))))</f>
        <v/>
      </c>
      <c r="C71" s="122" t="str">
        <f>IF(ISNA(VLOOKUP($F71,Declarations!B$6:C$293,2,FALSE)),"",IF(VLOOKUP($F71,Declarations!B$6:C$293,2,FALSE)="","NOT DECLARED",IF(ISNA(_xlfn.TEXTAFTER(VLOOKUP($F71,Declarations!B$6:C$293,2,FALSE)," ")),VLOOKUP($F71,Declarations!B$6:C$293,2,FALSE),_xlfn.TEXTAFTER(VLOOKUP($F71,Declarations!B$6:C$293,2,FALSE)," "))))</f>
        <v/>
      </c>
      <c r="D71" s="122" t="str">
        <f>IF(ISNA(VLOOKUP($F71,Declarations!$B$6:$F$293,5,FALSE)),"",IF(VLOOKUP($F71,Declarations!$B$6:$F$293,5,FALSE)="","NOT DECLARED",VLOOKUP($F71,Declarations!$B$6:$F$293,5,FALSE)))</f>
        <v/>
      </c>
      <c r="E71" s="120" t="str">
        <f>IF(ISNA(VLOOKUP($F71,Declarations!$B$6:$D$293,3,FALSE)),"",IF(VLOOKUP($F71,Declarations!$B$6:$D$293,3,FALSE)="","NOT DECLARED",VLOOKUP($F71,Declarations!$B$6:$D$293,3,FALSE)&amp;LEFT(VLOOKUP($F71,Declarations!$B$6:$E$293,4,FALSE))))</f>
        <v/>
      </c>
      <c r="F71" s="59"/>
      <c r="G71" s="123">
        <v>0</v>
      </c>
      <c r="H71" s="322"/>
      <c r="I71" s="122" t="str">
        <f>IF(ISNA(VLOOKUP(F71,Declarations!B$6:C$293,2,FALSE)),"",IF(VLOOKUP(F71,Declarations!B$6:C$293,2,FALSE)="","NOTDECLARED",VLOOKUP(F71,Declarations!B$6:C$293,2,FALSE)))</f>
        <v/>
      </c>
      <c r="J71" s="124">
        <f>IF(LOWER(G71)="dnf",1,IF(U71&lt;ScoringTable!C$3,ScoringTable!I$2,VLOOKUP((1000-U71),ScoringTable!H$2:I$95,2)))</f>
        <v>0</v>
      </c>
      <c r="K71" s="120" t="str" cm="1">
        <f t="array" ref="K71">IF(OR(E71="",G71=""),"",_xlfn.IFS(E71="U10B",_xlfn.XLOOKUP(G71,Data!$D$3:$L$3,Data!$D$1:$L$1,"",1,1),E71="U12B",_xlfn.XLOOKUP(G71,Data!$D$9:$L$9,Data!$D$1:$L$1,"",1,1),E71="U10G",_xlfn.XLOOKUP(G71,Data!$D$16:$L$16,Data!$D$1:$L$1,"",1,1),E71="U12G",_xlfn.XLOOKUP(G71,Data!$D$22:$L$22,Data!$D$1:$L$1,"",1,1)))</f>
        <v/>
      </c>
      <c r="L71" s="184" t="str" cm="1">
        <f t="array" ref="L71">IFERROR(_xlfn.IFNA(
                      _xlfn.IFS(
                      G71="", "",
                      G71=0, "",
                      AND(E71="U10B",G71&lt;=Data!$M$3), "U10 Boys record",
                      AND(E71="U12B",G71&lt;=Data!$M$9), "U12 Boys record",
                      AND(E71="U10G",G71&lt;=Data!$M$16), "U10 Girls record",
                      AND(E71="U12G",G71&lt;=Data!$M$22), "U12 Girls record"
                       ),""), "")</f>
        <v/>
      </c>
      <c r="M71" s="19" cm="1">
        <f t="array" ref="M71">_xlfn.IFS(OR($G71="",$G71=0),0, AND(NOT(ISNUMBER($G71)),LOWER($G71)&lt;&gt;"dnf"),"Not a valid time",OR(LOWER($G71)="dnf",$G71&gt;ScoringTable!$N$161),1,RIGHT($E71,1)="B",_xlfn.XLOOKUP($G71,ScoringTable!$N$2:$N$161,ScoringTable!$L$2:$L$161,,1),TRUE,_xlfn.XLOOKUP($G71,ScoringTable!$T$2:$T$161,ScoringTable!$R$2:$R$161,,1))</f>
        <v>0</v>
      </c>
      <c r="Q71" s="125">
        <f t="shared" ref="Q71:Q134" si="5">G71*86400</f>
        <v>0</v>
      </c>
      <c r="R71" s="126">
        <f t="shared" ref="R71:R134" si="6">Q71/60</f>
        <v>0</v>
      </c>
      <c r="S71" s="127">
        <f t="shared" ref="S71:S134" si="7">(ROUNDDOWN(R71,0))</f>
        <v>0</v>
      </c>
      <c r="T71" s="126">
        <f t="shared" ref="T71:T134" si="8">Q71-((S71*60))</f>
        <v>0</v>
      </c>
      <c r="U71" s="128">
        <f t="shared" ref="U71:U134" si="9">+(S71)+(T71/100)</f>
        <v>0</v>
      </c>
    </row>
    <row r="72" spans="1:21" s="7" customFormat="1" ht="16" customHeight="1">
      <c r="A72" s="121" t="s">
        <v>3</v>
      </c>
      <c r="B72" s="122" t="str">
        <f>IF(ISNA(VLOOKUP($F72,Declarations!B$6:C$293,2,FALSE)),"",IF(VLOOKUP($F72,Declarations!B$6:C$293,2,FALSE)="","NOT DECLARED",IF(ISNA(_xlfn.TEXTBEFORE(VLOOKUP($F72,Declarations!B$6:C$293,2,FALSE)," ")),VLOOKUP($F72,Declarations!B$6:C$293,2,FALSE),_xlfn.TEXTBEFORE(VLOOKUP($F72,Declarations!B$6:C$293,2,FALSE)," "))))</f>
        <v/>
      </c>
      <c r="C72" s="122" t="str">
        <f>IF(ISNA(VLOOKUP($F72,Declarations!B$6:C$293,2,FALSE)),"",IF(VLOOKUP($F72,Declarations!B$6:C$293,2,FALSE)="","NOT DECLARED",IF(ISNA(_xlfn.TEXTAFTER(VLOOKUP($F72,Declarations!B$6:C$293,2,FALSE)," ")),VLOOKUP($F72,Declarations!B$6:C$293,2,FALSE),_xlfn.TEXTAFTER(VLOOKUP($F72,Declarations!B$6:C$293,2,FALSE)," "))))</f>
        <v/>
      </c>
      <c r="D72" s="122" t="str">
        <f>IF(ISNA(VLOOKUP($F72,Declarations!$B$6:$F$293,5,FALSE)),"",IF(VLOOKUP($F72,Declarations!$B$6:$F$293,5,FALSE)="","NOT DECLARED",VLOOKUP($F72,Declarations!$B$6:$F$293,5,FALSE)))</f>
        <v/>
      </c>
      <c r="E72" s="120" t="str">
        <f>IF(ISNA(VLOOKUP($F72,Declarations!$B$6:$D$293,3,FALSE)),"",IF(VLOOKUP($F72,Declarations!$B$6:$D$293,3,FALSE)="","NOT DECLARED",VLOOKUP($F72,Declarations!$B$6:$D$293,3,FALSE)&amp;LEFT(VLOOKUP($F72,Declarations!$B$6:$E$293,4,FALSE))))</f>
        <v/>
      </c>
      <c r="F72" s="59"/>
      <c r="G72" s="123">
        <v>0</v>
      </c>
      <c r="H72" s="322"/>
      <c r="I72" s="122" t="str">
        <f>IF(ISNA(VLOOKUP(F72,Declarations!B$6:C$293,2,FALSE)),"",IF(VLOOKUP(F72,Declarations!B$6:C$293,2,FALSE)="","NOTDECLARED",VLOOKUP(F72,Declarations!B$6:C$293,2,FALSE)))</f>
        <v/>
      </c>
      <c r="J72" s="124">
        <f>IF(LOWER(G72)="dnf",1,IF(U72&lt;ScoringTable!C$3,ScoringTable!I$2,VLOOKUP((1000-U72),ScoringTable!H$2:I$95,2)))</f>
        <v>0</v>
      </c>
      <c r="K72" s="120" t="str" cm="1">
        <f t="array" ref="K72">IF(OR(E72="",G72=""),"",_xlfn.IFS(E72="U10B",_xlfn.XLOOKUP(G72,Data!$D$3:$L$3,Data!$D$1:$L$1,"",1,1),E72="U12B",_xlfn.XLOOKUP(G72,Data!$D$9:$L$9,Data!$D$1:$L$1,"",1,1),E72="U10G",_xlfn.XLOOKUP(G72,Data!$D$16:$L$16,Data!$D$1:$L$1,"",1,1),E72="U12G",_xlfn.XLOOKUP(G72,Data!$D$22:$L$22,Data!$D$1:$L$1,"",1,1)))</f>
        <v/>
      </c>
      <c r="L72" s="184" t="str" cm="1">
        <f t="array" ref="L72">IFERROR(_xlfn.IFNA(
                      _xlfn.IFS(
                      G72="", "",
                      G72=0, "",
                      AND(E72="U10B",G72&lt;=Data!$M$3), "U10 Boys record",
                      AND(E72="U12B",G72&lt;=Data!$M$9), "U12 Boys record",
                      AND(E72="U10G",G72&lt;=Data!$M$16), "U10 Girls record",
                      AND(E72="U12G",G72&lt;=Data!$M$22), "U12 Girls record"
                       ),""), "")</f>
        <v/>
      </c>
      <c r="M72" s="19" cm="1">
        <f t="array" ref="M72">_xlfn.IFS(OR($G72="",$G72=0),0, AND(NOT(ISNUMBER($G72)),LOWER($G72)&lt;&gt;"dnf"),"Not a valid time",OR(LOWER($G72)="dnf",$G72&gt;ScoringTable!$N$161),1,RIGHT($E72,1)="B",_xlfn.XLOOKUP($G72,ScoringTable!$N$2:$N$161,ScoringTable!$L$2:$L$161,,1),TRUE,_xlfn.XLOOKUP($G72,ScoringTable!$T$2:$T$161,ScoringTable!$R$2:$R$161,,1))</f>
        <v>0</v>
      </c>
      <c r="Q72" s="125">
        <f t="shared" si="5"/>
        <v>0</v>
      </c>
      <c r="R72" s="126">
        <f t="shared" si="6"/>
        <v>0</v>
      </c>
      <c r="S72" s="127">
        <f t="shared" si="7"/>
        <v>0</v>
      </c>
      <c r="T72" s="126">
        <f t="shared" si="8"/>
        <v>0</v>
      </c>
      <c r="U72" s="128">
        <f t="shared" si="9"/>
        <v>0</v>
      </c>
    </row>
    <row r="73" spans="1:21" s="7" customFormat="1" ht="16" customHeight="1">
      <c r="A73" s="121" t="s">
        <v>3</v>
      </c>
      <c r="B73" s="122" t="str">
        <f>IF(ISNA(VLOOKUP($F73,Declarations!B$6:C$293,2,FALSE)),"",IF(VLOOKUP($F73,Declarations!B$6:C$293,2,FALSE)="","NOT DECLARED",IF(ISNA(_xlfn.TEXTBEFORE(VLOOKUP($F73,Declarations!B$6:C$293,2,FALSE)," ")),VLOOKUP($F73,Declarations!B$6:C$293,2,FALSE),_xlfn.TEXTBEFORE(VLOOKUP($F73,Declarations!B$6:C$293,2,FALSE)," "))))</f>
        <v/>
      </c>
      <c r="C73" s="122" t="str">
        <f>IF(ISNA(VLOOKUP($F73,Declarations!B$6:C$293,2,FALSE)),"",IF(VLOOKUP($F73,Declarations!B$6:C$293,2,FALSE)="","NOT DECLARED",IF(ISNA(_xlfn.TEXTAFTER(VLOOKUP($F73,Declarations!B$6:C$293,2,FALSE)," ")),VLOOKUP($F73,Declarations!B$6:C$293,2,FALSE),_xlfn.TEXTAFTER(VLOOKUP($F73,Declarations!B$6:C$293,2,FALSE)," "))))</f>
        <v/>
      </c>
      <c r="D73" s="122" t="str">
        <f>IF(ISNA(VLOOKUP($F73,Declarations!$B$6:$F$293,5,FALSE)),"",IF(VLOOKUP($F73,Declarations!$B$6:$F$293,5,FALSE)="","NOT DECLARED",VLOOKUP($F73,Declarations!$B$6:$F$293,5,FALSE)))</f>
        <v/>
      </c>
      <c r="E73" s="120" t="str">
        <f>IF(ISNA(VLOOKUP($F73,Declarations!$B$6:$D$293,3,FALSE)),"",IF(VLOOKUP($F73,Declarations!$B$6:$D$293,3,FALSE)="","NOT DECLARED",VLOOKUP($F73,Declarations!$B$6:$D$293,3,FALSE)&amp;LEFT(VLOOKUP($F73,Declarations!$B$6:$E$293,4,FALSE))))</f>
        <v/>
      </c>
      <c r="F73" s="59"/>
      <c r="G73" s="123">
        <v>0</v>
      </c>
      <c r="H73" s="322"/>
      <c r="I73" s="122" t="str">
        <f>IF(ISNA(VLOOKUP(F73,Declarations!B$6:C$293,2,FALSE)),"",IF(VLOOKUP(F73,Declarations!B$6:C$293,2,FALSE)="","NOTDECLARED",VLOOKUP(F73,Declarations!B$6:C$293,2,FALSE)))</f>
        <v/>
      </c>
      <c r="J73" s="124">
        <f>IF(LOWER(G73)="dnf",1,IF(U73&lt;ScoringTable!C$3,ScoringTable!I$2,VLOOKUP((1000-U73),ScoringTable!H$2:I$95,2)))</f>
        <v>0</v>
      </c>
      <c r="K73" s="120" t="str" cm="1">
        <f t="array" ref="K73">IF(OR(E73="",G73=""),"",_xlfn.IFS(E73="U10B",_xlfn.XLOOKUP(G73,Data!$D$3:$L$3,Data!$D$1:$L$1,"",1,1),E73="U12B",_xlfn.XLOOKUP(G73,Data!$D$9:$L$9,Data!$D$1:$L$1,"",1,1),E73="U10G",_xlfn.XLOOKUP(G73,Data!$D$16:$L$16,Data!$D$1:$L$1,"",1,1),E73="U12G",_xlfn.XLOOKUP(G73,Data!$D$22:$L$22,Data!$D$1:$L$1,"",1,1)))</f>
        <v/>
      </c>
      <c r="L73" s="184" t="str" cm="1">
        <f t="array" ref="L73">IFERROR(_xlfn.IFNA(
                      _xlfn.IFS(
                      G73="", "",
                      G73=0, "",
                      AND(E73="U10B",G73&lt;=Data!$M$3), "U10 Boys record",
                      AND(E73="U12B",G73&lt;=Data!$M$9), "U12 Boys record",
                      AND(E73="U10G",G73&lt;=Data!$M$16), "U10 Girls record",
                      AND(E73="U12G",G73&lt;=Data!$M$22), "U12 Girls record"
                       ),""), "")</f>
        <v/>
      </c>
      <c r="M73" s="19" cm="1">
        <f t="array" ref="M73">_xlfn.IFS(OR($G73="",$G73=0),0, AND(NOT(ISNUMBER($G73)),LOWER($G73)&lt;&gt;"dnf"),"Not a valid time",OR(LOWER($G73)="dnf",$G73&gt;ScoringTable!$N$161),1,RIGHT($E73,1)="B",_xlfn.XLOOKUP($G73,ScoringTable!$N$2:$N$161,ScoringTable!$L$2:$L$161,,1),TRUE,_xlfn.XLOOKUP($G73,ScoringTable!$T$2:$T$161,ScoringTable!$R$2:$R$161,,1))</f>
        <v>0</v>
      </c>
      <c r="Q73" s="125">
        <f t="shared" si="5"/>
        <v>0</v>
      </c>
      <c r="R73" s="126">
        <f t="shared" si="6"/>
        <v>0</v>
      </c>
      <c r="S73" s="127">
        <f t="shared" si="7"/>
        <v>0</v>
      </c>
      <c r="T73" s="126">
        <f t="shared" si="8"/>
        <v>0</v>
      </c>
      <c r="U73" s="128">
        <f t="shared" si="9"/>
        <v>0</v>
      </c>
    </row>
    <row r="74" spans="1:21" s="7" customFormat="1" ht="16" customHeight="1">
      <c r="A74" s="121" t="s">
        <v>3</v>
      </c>
      <c r="B74" s="122" t="str">
        <f>IF(ISNA(VLOOKUP($F74,Declarations!B$6:C$293,2,FALSE)),"",IF(VLOOKUP($F74,Declarations!B$6:C$293,2,FALSE)="","NOT DECLARED",IF(ISNA(_xlfn.TEXTBEFORE(VLOOKUP($F74,Declarations!B$6:C$293,2,FALSE)," ")),VLOOKUP($F74,Declarations!B$6:C$293,2,FALSE),_xlfn.TEXTBEFORE(VLOOKUP($F74,Declarations!B$6:C$293,2,FALSE)," "))))</f>
        <v/>
      </c>
      <c r="C74" s="122" t="str">
        <f>IF(ISNA(VLOOKUP($F74,Declarations!B$6:C$293,2,FALSE)),"",IF(VLOOKUP($F74,Declarations!B$6:C$293,2,FALSE)="","NOT DECLARED",IF(ISNA(_xlfn.TEXTAFTER(VLOOKUP($F74,Declarations!B$6:C$293,2,FALSE)," ")),VLOOKUP($F74,Declarations!B$6:C$293,2,FALSE),_xlfn.TEXTAFTER(VLOOKUP($F74,Declarations!B$6:C$293,2,FALSE)," "))))</f>
        <v/>
      </c>
      <c r="D74" s="122" t="str">
        <f>IF(ISNA(VLOOKUP($F74,Declarations!$B$6:$F$293,5,FALSE)),"",IF(VLOOKUP($F74,Declarations!$B$6:$F$293,5,FALSE)="","NOT DECLARED",VLOOKUP($F74,Declarations!$B$6:$F$293,5,FALSE)))</f>
        <v/>
      </c>
      <c r="E74" s="120" t="str">
        <f>IF(ISNA(VLOOKUP($F74,Declarations!$B$6:$D$293,3,FALSE)),"",IF(VLOOKUP($F74,Declarations!$B$6:$D$293,3,FALSE)="","NOT DECLARED",VLOOKUP($F74,Declarations!$B$6:$D$293,3,FALSE)&amp;LEFT(VLOOKUP($F74,Declarations!$B$6:$E$293,4,FALSE))))</f>
        <v/>
      </c>
      <c r="F74" s="59"/>
      <c r="G74" s="123">
        <v>0</v>
      </c>
      <c r="H74" s="322"/>
      <c r="I74" s="122" t="str">
        <f>IF(ISNA(VLOOKUP(F74,Declarations!B$6:C$293,2,FALSE)),"",IF(VLOOKUP(F74,Declarations!B$6:C$293,2,FALSE)="","NOTDECLARED",VLOOKUP(F74,Declarations!B$6:C$293,2,FALSE)))</f>
        <v/>
      </c>
      <c r="J74" s="124">
        <f>IF(LOWER(G74)="dnf",1,IF(U74&lt;ScoringTable!C$3,ScoringTable!I$2,VLOOKUP((1000-U74),ScoringTable!H$2:I$95,2)))</f>
        <v>0</v>
      </c>
      <c r="K74" s="120" t="str" cm="1">
        <f t="array" ref="K74">IF(OR(E74="",G74=""),"",_xlfn.IFS(E74="U10B",_xlfn.XLOOKUP(G74,Data!$D$3:$L$3,Data!$D$1:$L$1,"",1,1),E74="U12B",_xlfn.XLOOKUP(G74,Data!$D$9:$L$9,Data!$D$1:$L$1,"",1,1),E74="U10G",_xlfn.XLOOKUP(G74,Data!$D$16:$L$16,Data!$D$1:$L$1,"",1,1),E74="U12G",_xlfn.XLOOKUP(G74,Data!$D$22:$L$22,Data!$D$1:$L$1,"",1,1)))</f>
        <v/>
      </c>
      <c r="L74" s="184" t="str" cm="1">
        <f t="array" ref="L74">IFERROR(_xlfn.IFNA(
                      _xlfn.IFS(
                      G74="", "",
                      G74=0, "",
                      AND(E74="U10B",G74&lt;=Data!$M$3), "U10 Boys record",
                      AND(E74="U12B",G74&lt;=Data!$M$9), "U12 Boys record",
                      AND(E74="U10G",G74&lt;=Data!$M$16), "U10 Girls record",
                      AND(E74="U12G",G74&lt;=Data!$M$22), "U12 Girls record"
                       ),""), "")</f>
        <v/>
      </c>
      <c r="M74" s="19" cm="1">
        <f t="array" ref="M74">_xlfn.IFS(OR($G74="",$G74=0),0, AND(NOT(ISNUMBER($G74)),LOWER($G74)&lt;&gt;"dnf"),"Not a valid time",OR(LOWER($G74)="dnf",$G74&gt;ScoringTable!$N$161),1,RIGHT($E74,1)="B",_xlfn.XLOOKUP($G74,ScoringTable!$N$2:$N$161,ScoringTable!$L$2:$L$161,,1),TRUE,_xlfn.XLOOKUP($G74,ScoringTable!$T$2:$T$161,ScoringTable!$R$2:$R$161,,1))</f>
        <v>0</v>
      </c>
      <c r="Q74" s="125">
        <f t="shared" si="5"/>
        <v>0</v>
      </c>
      <c r="R74" s="126">
        <f t="shared" si="6"/>
        <v>0</v>
      </c>
      <c r="S74" s="127">
        <f t="shared" si="7"/>
        <v>0</v>
      </c>
      <c r="T74" s="126">
        <f t="shared" si="8"/>
        <v>0</v>
      </c>
      <c r="U74" s="128">
        <f t="shared" si="9"/>
        <v>0</v>
      </c>
    </row>
    <row r="75" spans="1:21" s="7" customFormat="1" ht="16" customHeight="1">
      <c r="A75" s="121" t="s">
        <v>3</v>
      </c>
      <c r="B75" s="122" t="str">
        <f>IF(ISNA(VLOOKUP($F75,Declarations!B$6:C$293,2,FALSE)),"",IF(VLOOKUP($F75,Declarations!B$6:C$293,2,FALSE)="","NOT DECLARED",IF(ISNA(_xlfn.TEXTBEFORE(VLOOKUP($F75,Declarations!B$6:C$293,2,FALSE)," ")),VLOOKUP($F75,Declarations!B$6:C$293,2,FALSE),_xlfn.TEXTBEFORE(VLOOKUP($F75,Declarations!B$6:C$293,2,FALSE)," "))))</f>
        <v/>
      </c>
      <c r="C75" s="122" t="str">
        <f>IF(ISNA(VLOOKUP($F75,Declarations!B$6:C$293,2,FALSE)),"",IF(VLOOKUP($F75,Declarations!B$6:C$293,2,FALSE)="","NOT DECLARED",IF(ISNA(_xlfn.TEXTAFTER(VLOOKUP($F75,Declarations!B$6:C$293,2,FALSE)," ")),VLOOKUP($F75,Declarations!B$6:C$293,2,FALSE),_xlfn.TEXTAFTER(VLOOKUP($F75,Declarations!B$6:C$293,2,FALSE)," "))))</f>
        <v/>
      </c>
      <c r="D75" s="122" t="str">
        <f>IF(ISNA(VLOOKUP($F75,Declarations!$B$6:$F$293,5,FALSE)),"",IF(VLOOKUP($F75,Declarations!$B$6:$F$293,5,FALSE)="","NOT DECLARED",VLOOKUP($F75,Declarations!$B$6:$F$293,5,FALSE)))</f>
        <v/>
      </c>
      <c r="E75" s="120" t="str">
        <f>IF(ISNA(VLOOKUP($F75,Declarations!$B$6:$D$293,3,FALSE)),"",IF(VLOOKUP($F75,Declarations!$B$6:$D$293,3,FALSE)="","NOT DECLARED",VLOOKUP($F75,Declarations!$B$6:$D$293,3,FALSE)&amp;LEFT(VLOOKUP($F75,Declarations!$B$6:$E$293,4,FALSE))))</f>
        <v/>
      </c>
      <c r="F75" s="59"/>
      <c r="G75" s="123">
        <v>0</v>
      </c>
      <c r="H75" s="322"/>
      <c r="I75" s="122" t="str">
        <f>IF(ISNA(VLOOKUP(F75,Declarations!B$6:C$293,2,FALSE)),"",IF(VLOOKUP(F75,Declarations!B$6:C$293,2,FALSE)="","NOTDECLARED",VLOOKUP(F75,Declarations!B$6:C$293,2,FALSE)))</f>
        <v/>
      </c>
      <c r="J75" s="124">
        <f>IF(LOWER(G75)="dnf",1,IF(U75&lt;ScoringTable!C$3,ScoringTable!I$2,VLOOKUP((1000-U75),ScoringTable!H$2:I$95,2)))</f>
        <v>0</v>
      </c>
      <c r="K75" s="120" t="str" cm="1">
        <f t="array" ref="K75">IF(OR(E75="",G75=""),"",_xlfn.IFS(E75="U10B",_xlfn.XLOOKUP(G75,Data!$D$3:$L$3,Data!$D$1:$L$1,"",1,1),E75="U12B",_xlfn.XLOOKUP(G75,Data!$D$9:$L$9,Data!$D$1:$L$1,"",1,1),E75="U10G",_xlfn.XLOOKUP(G75,Data!$D$16:$L$16,Data!$D$1:$L$1,"",1,1),E75="U12G",_xlfn.XLOOKUP(G75,Data!$D$22:$L$22,Data!$D$1:$L$1,"",1,1)))</f>
        <v/>
      </c>
      <c r="L75" s="184" t="str" cm="1">
        <f t="array" ref="L75">IFERROR(_xlfn.IFNA(
                      _xlfn.IFS(
                      G75="", "",
                      G75=0, "",
                      AND(E75="U10B",G75&lt;=Data!$M$3), "U10 Boys record",
                      AND(E75="U12B",G75&lt;=Data!$M$9), "U12 Boys record",
                      AND(E75="U10G",G75&lt;=Data!$M$16), "U10 Girls record",
                      AND(E75="U12G",G75&lt;=Data!$M$22), "U12 Girls record"
                       ),""), "")</f>
        <v/>
      </c>
      <c r="M75" s="19" cm="1">
        <f t="array" ref="M75">_xlfn.IFS(OR($G75="",$G75=0),0, AND(NOT(ISNUMBER($G75)),LOWER($G75)&lt;&gt;"dnf"),"Not a valid time",OR(LOWER($G75)="dnf",$G75&gt;ScoringTable!$N$161),1,RIGHT($E75,1)="B",_xlfn.XLOOKUP($G75,ScoringTable!$N$2:$N$161,ScoringTable!$L$2:$L$161,,1),TRUE,_xlfn.XLOOKUP($G75,ScoringTable!$T$2:$T$161,ScoringTable!$R$2:$R$161,,1))</f>
        <v>0</v>
      </c>
      <c r="Q75" s="125">
        <f t="shared" si="5"/>
        <v>0</v>
      </c>
      <c r="R75" s="126">
        <f t="shared" si="6"/>
        <v>0</v>
      </c>
      <c r="S75" s="127">
        <f t="shared" si="7"/>
        <v>0</v>
      </c>
      <c r="T75" s="126">
        <f t="shared" si="8"/>
        <v>0</v>
      </c>
      <c r="U75" s="128">
        <f t="shared" si="9"/>
        <v>0</v>
      </c>
    </row>
    <row r="76" spans="1:21" s="7" customFormat="1" ht="16" customHeight="1">
      <c r="A76" s="121" t="s">
        <v>3</v>
      </c>
      <c r="B76" s="122" t="str">
        <f>IF(ISNA(VLOOKUP($F76,Declarations!B$6:C$293,2,FALSE)),"",IF(VLOOKUP($F76,Declarations!B$6:C$293,2,FALSE)="","NOT DECLARED",IF(ISNA(_xlfn.TEXTBEFORE(VLOOKUP($F76,Declarations!B$6:C$293,2,FALSE)," ")),VLOOKUP($F76,Declarations!B$6:C$293,2,FALSE),_xlfn.TEXTBEFORE(VLOOKUP($F76,Declarations!B$6:C$293,2,FALSE)," "))))</f>
        <v/>
      </c>
      <c r="C76" s="122" t="str">
        <f>IF(ISNA(VLOOKUP($F76,Declarations!B$6:C$293,2,FALSE)),"",IF(VLOOKUP($F76,Declarations!B$6:C$293,2,FALSE)="","NOT DECLARED",IF(ISNA(_xlfn.TEXTAFTER(VLOOKUP($F76,Declarations!B$6:C$293,2,FALSE)," ")),VLOOKUP($F76,Declarations!B$6:C$293,2,FALSE),_xlfn.TEXTAFTER(VLOOKUP($F76,Declarations!B$6:C$293,2,FALSE)," "))))</f>
        <v/>
      </c>
      <c r="D76" s="122" t="str">
        <f>IF(ISNA(VLOOKUP($F76,Declarations!$B$6:$F$293,5,FALSE)),"",IF(VLOOKUP($F76,Declarations!$B$6:$F$293,5,FALSE)="","NOT DECLARED",VLOOKUP($F76,Declarations!$B$6:$F$293,5,FALSE)))</f>
        <v/>
      </c>
      <c r="E76" s="120" t="str">
        <f>IF(ISNA(VLOOKUP($F76,Declarations!$B$6:$D$293,3,FALSE)),"",IF(VLOOKUP($F76,Declarations!$B$6:$D$293,3,FALSE)="","NOT DECLARED",VLOOKUP($F76,Declarations!$B$6:$D$293,3,FALSE)&amp;LEFT(VLOOKUP($F76,Declarations!$B$6:$E$293,4,FALSE))))</f>
        <v/>
      </c>
      <c r="F76" s="59"/>
      <c r="G76" s="123">
        <v>0</v>
      </c>
      <c r="H76" s="322"/>
      <c r="I76" s="122" t="str">
        <f>IF(ISNA(VLOOKUP(F76,Declarations!B$6:C$293,2,FALSE)),"",IF(VLOOKUP(F76,Declarations!B$6:C$293,2,FALSE)="","NOTDECLARED",VLOOKUP(F76,Declarations!B$6:C$293,2,FALSE)))</f>
        <v/>
      </c>
      <c r="J76" s="124">
        <f>IF(LOWER(G76)="dnf",1,IF(U76&lt;ScoringTable!C$3,ScoringTable!I$2,VLOOKUP((1000-U76),ScoringTable!H$2:I$95,2)))</f>
        <v>0</v>
      </c>
      <c r="K76" s="120" t="str" cm="1">
        <f t="array" ref="K76">IF(OR(E76="",G76=""),"",_xlfn.IFS(E76="U10B",_xlfn.XLOOKUP(G76,Data!$D$3:$L$3,Data!$D$1:$L$1,"",1,1),E76="U12B",_xlfn.XLOOKUP(G76,Data!$D$9:$L$9,Data!$D$1:$L$1,"",1,1),E76="U10G",_xlfn.XLOOKUP(G76,Data!$D$16:$L$16,Data!$D$1:$L$1,"",1,1),E76="U12G",_xlfn.XLOOKUP(G76,Data!$D$22:$L$22,Data!$D$1:$L$1,"",1,1)))</f>
        <v/>
      </c>
      <c r="L76" s="184" t="str" cm="1">
        <f t="array" ref="L76">IFERROR(_xlfn.IFNA(
                      _xlfn.IFS(
                      G76="", "",
                      G76=0, "",
                      AND(E76="U10B",G76&lt;=Data!$M$3), "U10 Boys record",
                      AND(E76="U12B",G76&lt;=Data!$M$9), "U12 Boys record",
                      AND(E76="U10G",G76&lt;=Data!$M$16), "U10 Girls record",
                      AND(E76="U12G",G76&lt;=Data!$M$22), "U12 Girls record"
                       ),""), "")</f>
        <v/>
      </c>
      <c r="M76" s="19" cm="1">
        <f t="array" ref="M76">_xlfn.IFS(OR($G76="",$G76=0),0, AND(NOT(ISNUMBER($G76)),LOWER($G76)&lt;&gt;"dnf"),"Not a valid time",OR(LOWER($G76)="dnf",$G76&gt;ScoringTable!$N$161),1,RIGHT($E76,1)="B",_xlfn.XLOOKUP($G76,ScoringTable!$N$2:$N$161,ScoringTable!$L$2:$L$161,,1),TRUE,_xlfn.XLOOKUP($G76,ScoringTable!$T$2:$T$161,ScoringTable!$R$2:$R$161,,1))</f>
        <v>0</v>
      </c>
      <c r="Q76" s="125">
        <f t="shared" si="5"/>
        <v>0</v>
      </c>
      <c r="R76" s="126">
        <f t="shared" si="6"/>
        <v>0</v>
      </c>
      <c r="S76" s="127">
        <f t="shared" si="7"/>
        <v>0</v>
      </c>
      <c r="T76" s="126">
        <f t="shared" si="8"/>
        <v>0</v>
      </c>
      <c r="U76" s="128">
        <f t="shared" si="9"/>
        <v>0</v>
      </c>
    </row>
    <row r="77" spans="1:21" s="7" customFormat="1" ht="16" customHeight="1">
      <c r="A77" s="121" t="s">
        <v>3</v>
      </c>
      <c r="B77" s="122" t="str">
        <f>IF(ISNA(VLOOKUP($F77,Declarations!B$6:C$293,2,FALSE)),"",IF(VLOOKUP($F77,Declarations!B$6:C$293,2,FALSE)="","NOT DECLARED",IF(ISNA(_xlfn.TEXTBEFORE(VLOOKUP($F77,Declarations!B$6:C$293,2,FALSE)," ")),VLOOKUP($F77,Declarations!B$6:C$293,2,FALSE),_xlfn.TEXTBEFORE(VLOOKUP($F77,Declarations!B$6:C$293,2,FALSE)," "))))</f>
        <v/>
      </c>
      <c r="C77" s="122" t="str">
        <f>IF(ISNA(VLOOKUP($F77,Declarations!B$6:C$293,2,FALSE)),"",IF(VLOOKUP($F77,Declarations!B$6:C$293,2,FALSE)="","NOT DECLARED",IF(ISNA(_xlfn.TEXTAFTER(VLOOKUP($F77,Declarations!B$6:C$293,2,FALSE)," ")),VLOOKUP($F77,Declarations!B$6:C$293,2,FALSE),_xlfn.TEXTAFTER(VLOOKUP($F77,Declarations!B$6:C$293,2,FALSE)," "))))</f>
        <v/>
      </c>
      <c r="D77" s="122" t="str">
        <f>IF(ISNA(VLOOKUP($F77,Declarations!$B$6:$F$293,5,FALSE)),"",IF(VLOOKUP($F77,Declarations!$B$6:$F$293,5,FALSE)="","NOT DECLARED",VLOOKUP($F77,Declarations!$B$6:$F$293,5,FALSE)))</f>
        <v/>
      </c>
      <c r="E77" s="120" t="str">
        <f>IF(ISNA(VLOOKUP($F77,Declarations!$B$6:$D$293,3,FALSE)),"",IF(VLOOKUP($F77,Declarations!$B$6:$D$293,3,FALSE)="","NOT DECLARED",VLOOKUP($F77,Declarations!$B$6:$D$293,3,FALSE)&amp;LEFT(VLOOKUP($F77,Declarations!$B$6:$E$293,4,FALSE))))</f>
        <v/>
      </c>
      <c r="F77" s="59"/>
      <c r="G77" s="123">
        <v>0</v>
      </c>
      <c r="H77" s="322"/>
      <c r="I77" s="122" t="str">
        <f>IF(ISNA(VLOOKUP(F77,Declarations!B$6:C$293,2,FALSE)),"",IF(VLOOKUP(F77,Declarations!B$6:C$293,2,FALSE)="","NOTDECLARED",VLOOKUP(F77,Declarations!B$6:C$293,2,FALSE)))</f>
        <v/>
      </c>
      <c r="J77" s="124">
        <f>IF(LOWER(G77)="dnf",1,IF(U77&lt;ScoringTable!C$3,ScoringTable!I$2,VLOOKUP((1000-U77),ScoringTable!H$2:I$95,2)))</f>
        <v>0</v>
      </c>
      <c r="K77" s="120" t="str" cm="1">
        <f t="array" ref="K77">IF(OR(E77="",G77=""),"",_xlfn.IFS(E77="U10B",_xlfn.XLOOKUP(G77,Data!$D$3:$L$3,Data!$D$1:$L$1,"",1,1),E77="U12B",_xlfn.XLOOKUP(G77,Data!$D$9:$L$9,Data!$D$1:$L$1,"",1,1),E77="U10G",_xlfn.XLOOKUP(G77,Data!$D$16:$L$16,Data!$D$1:$L$1,"",1,1),E77="U12G",_xlfn.XLOOKUP(G77,Data!$D$22:$L$22,Data!$D$1:$L$1,"",1,1)))</f>
        <v/>
      </c>
      <c r="L77" s="184" t="str" cm="1">
        <f t="array" ref="L77">IFERROR(_xlfn.IFNA(
                      _xlfn.IFS(
                      G77="", "",
                      G77=0, "",
                      AND(E77="U10B",G77&lt;=Data!$M$3), "U10 Boys record",
                      AND(E77="U12B",G77&lt;=Data!$M$9), "U12 Boys record",
                      AND(E77="U10G",G77&lt;=Data!$M$16), "U10 Girls record",
                      AND(E77="U12G",G77&lt;=Data!$M$22), "U12 Girls record"
                       ),""), "")</f>
        <v/>
      </c>
      <c r="M77" s="19" cm="1">
        <f t="array" ref="M77">_xlfn.IFS(OR($G77="",$G77=0),0, AND(NOT(ISNUMBER($G77)),LOWER($G77)&lt;&gt;"dnf"),"Not a valid time",OR(LOWER($G77)="dnf",$G77&gt;ScoringTable!$N$161),1,RIGHT($E77,1)="B",_xlfn.XLOOKUP($G77,ScoringTable!$N$2:$N$161,ScoringTable!$L$2:$L$161,,1),TRUE,_xlfn.XLOOKUP($G77,ScoringTable!$T$2:$T$161,ScoringTable!$R$2:$R$161,,1))</f>
        <v>0</v>
      </c>
      <c r="Q77" s="125">
        <f t="shared" si="5"/>
        <v>0</v>
      </c>
      <c r="R77" s="126">
        <f t="shared" si="6"/>
        <v>0</v>
      </c>
      <c r="S77" s="127">
        <f t="shared" si="7"/>
        <v>0</v>
      </c>
      <c r="T77" s="126">
        <f t="shared" si="8"/>
        <v>0</v>
      </c>
      <c r="U77" s="128">
        <f t="shared" si="9"/>
        <v>0</v>
      </c>
    </row>
    <row r="78" spans="1:21" s="7" customFormat="1" ht="16" customHeight="1">
      <c r="A78" s="121" t="s">
        <v>3</v>
      </c>
      <c r="B78" s="122" t="str">
        <f>IF(ISNA(VLOOKUP($F78,Declarations!B$6:C$293,2,FALSE)),"",IF(VLOOKUP($F78,Declarations!B$6:C$293,2,FALSE)="","NOT DECLARED",IF(ISNA(_xlfn.TEXTBEFORE(VLOOKUP($F78,Declarations!B$6:C$293,2,FALSE)," ")),VLOOKUP($F78,Declarations!B$6:C$293,2,FALSE),_xlfn.TEXTBEFORE(VLOOKUP($F78,Declarations!B$6:C$293,2,FALSE)," "))))</f>
        <v/>
      </c>
      <c r="C78" s="122" t="str">
        <f>IF(ISNA(VLOOKUP($F78,Declarations!B$6:C$293,2,FALSE)),"",IF(VLOOKUP($F78,Declarations!B$6:C$293,2,FALSE)="","NOT DECLARED",IF(ISNA(_xlfn.TEXTAFTER(VLOOKUP($F78,Declarations!B$6:C$293,2,FALSE)," ")),VLOOKUP($F78,Declarations!B$6:C$293,2,FALSE),_xlfn.TEXTAFTER(VLOOKUP($F78,Declarations!B$6:C$293,2,FALSE)," "))))</f>
        <v/>
      </c>
      <c r="D78" s="122" t="str">
        <f>IF(ISNA(VLOOKUP($F78,Declarations!$B$6:$F$293,5,FALSE)),"",IF(VLOOKUP($F78,Declarations!$B$6:$F$293,5,FALSE)="","NOT DECLARED",VLOOKUP($F78,Declarations!$B$6:$F$293,5,FALSE)))</f>
        <v/>
      </c>
      <c r="E78" s="120" t="str">
        <f>IF(ISNA(VLOOKUP($F78,Declarations!$B$6:$D$293,3,FALSE)),"",IF(VLOOKUP($F78,Declarations!$B$6:$D$293,3,FALSE)="","NOT DECLARED",VLOOKUP($F78,Declarations!$B$6:$D$293,3,FALSE)&amp;LEFT(VLOOKUP($F78,Declarations!$B$6:$E$293,4,FALSE))))</f>
        <v/>
      </c>
      <c r="F78" s="59"/>
      <c r="G78" s="123">
        <v>0</v>
      </c>
      <c r="H78" s="322"/>
      <c r="I78" s="122" t="str">
        <f>IF(ISNA(VLOOKUP(F78,Declarations!B$6:C$293,2,FALSE)),"",IF(VLOOKUP(F78,Declarations!B$6:C$293,2,FALSE)="","NOTDECLARED",VLOOKUP(F78,Declarations!B$6:C$293,2,FALSE)))</f>
        <v/>
      </c>
      <c r="J78" s="124">
        <f>IF(LOWER(G78)="dnf",1,IF(U78&lt;ScoringTable!C$3,ScoringTable!I$2,VLOOKUP((1000-U78),ScoringTable!H$2:I$95,2)))</f>
        <v>0</v>
      </c>
      <c r="K78" s="120" t="str" cm="1">
        <f t="array" ref="K78">IF(OR(E78="",G78=""),"",_xlfn.IFS(E78="U10B",_xlfn.XLOOKUP(G78,Data!$D$3:$L$3,Data!$D$1:$L$1,"",1,1),E78="U12B",_xlfn.XLOOKUP(G78,Data!$D$9:$L$9,Data!$D$1:$L$1,"",1,1),E78="U10G",_xlfn.XLOOKUP(G78,Data!$D$16:$L$16,Data!$D$1:$L$1,"",1,1),E78="U12G",_xlfn.XLOOKUP(G78,Data!$D$22:$L$22,Data!$D$1:$L$1,"",1,1)))</f>
        <v/>
      </c>
      <c r="L78" s="184" t="str" cm="1">
        <f t="array" ref="L78">IFERROR(_xlfn.IFNA(
                      _xlfn.IFS(
                      G78="", "",
                      G78=0, "",
                      AND(E78="U10B",G78&lt;=Data!$M$3), "U10 Boys record",
                      AND(E78="U12B",G78&lt;=Data!$M$9), "U12 Boys record",
                      AND(E78="U10G",G78&lt;=Data!$M$16), "U10 Girls record",
                      AND(E78="U12G",G78&lt;=Data!$M$22), "U12 Girls record"
                       ),""), "")</f>
        <v/>
      </c>
      <c r="M78" s="19" cm="1">
        <f t="array" ref="M78">_xlfn.IFS(OR($G78="",$G78=0),0, AND(NOT(ISNUMBER($G78)),LOWER($G78)&lt;&gt;"dnf"),"Not a valid time",OR(LOWER($G78)="dnf",$G78&gt;ScoringTable!$N$161),1,RIGHT($E78,1)="B",_xlfn.XLOOKUP($G78,ScoringTable!$N$2:$N$161,ScoringTable!$L$2:$L$161,,1),TRUE,_xlfn.XLOOKUP($G78,ScoringTable!$T$2:$T$161,ScoringTable!$R$2:$R$161,,1))</f>
        <v>0</v>
      </c>
      <c r="Q78" s="125">
        <f t="shared" si="5"/>
        <v>0</v>
      </c>
      <c r="R78" s="126">
        <f t="shared" si="6"/>
        <v>0</v>
      </c>
      <c r="S78" s="127">
        <f t="shared" si="7"/>
        <v>0</v>
      </c>
      <c r="T78" s="126">
        <f t="shared" si="8"/>
        <v>0</v>
      </c>
      <c r="U78" s="128">
        <f t="shared" si="9"/>
        <v>0</v>
      </c>
    </row>
    <row r="79" spans="1:21" s="7" customFormat="1" ht="16" customHeight="1">
      <c r="A79" s="121" t="s">
        <v>3</v>
      </c>
      <c r="B79" s="122" t="str">
        <f>IF(ISNA(VLOOKUP($F79,Declarations!B$6:C$293,2,FALSE)),"",IF(VLOOKUP($F79,Declarations!B$6:C$293,2,FALSE)="","NOT DECLARED",IF(ISNA(_xlfn.TEXTBEFORE(VLOOKUP($F79,Declarations!B$6:C$293,2,FALSE)," ")),VLOOKUP($F79,Declarations!B$6:C$293,2,FALSE),_xlfn.TEXTBEFORE(VLOOKUP($F79,Declarations!B$6:C$293,2,FALSE)," "))))</f>
        <v/>
      </c>
      <c r="C79" s="122" t="str">
        <f>IF(ISNA(VLOOKUP($F79,Declarations!B$6:C$293,2,FALSE)),"",IF(VLOOKUP($F79,Declarations!B$6:C$293,2,FALSE)="","NOT DECLARED",IF(ISNA(_xlfn.TEXTAFTER(VLOOKUP($F79,Declarations!B$6:C$293,2,FALSE)," ")),VLOOKUP($F79,Declarations!B$6:C$293,2,FALSE),_xlfn.TEXTAFTER(VLOOKUP($F79,Declarations!B$6:C$293,2,FALSE)," "))))</f>
        <v/>
      </c>
      <c r="D79" s="122" t="str">
        <f>IF(ISNA(VLOOKUP($F79,Declarations!$B$6:$F$293,5,FALSE)),"",IF(VLOOKUP($F79,Declarations!$B$6:$F$293,5,FALSE)="","NOT DECLARED",VLOOKUP($F79,Declarations!$B$6:$F$293,5,FALSE)))</f>
        <v/>
      </c>
      <c r="E79" s="120" t="str">
        <f>IF(ISNA(VLOOKUP($F79,Declarations!$B$6:$D$293,3,FALSE)),"",IF(VLOOKUP($F79,Declarations!$B$6:$D$293,3,FALSE)="","NOT DECLARED",VLOOKUP($F79,Declarations!$B$6:$D$293,3,FALSE)&amp;LEFT(VLOOKUP($F79,Declarations!$B$6:$E$293,4,FALSE))))</f>
        <v/>
      </c>
      <c r="F79" s="59"/>
      <c r="G79" s="123">
        <v>0</v>
      </c>
      <c r="H79" s="322"/>
      <c r="I79" s="122" t="str">
        <f>IF(ISNA(VLOOKUP(F79,Declarations!B$6:C$293,2,FALSE)),"",IF(VLOOKUP(F79,Declarations!B$6:C$293,2,FALSE)="","NOTDECLARED",VLOOKUP(F79,Declarations!B$6:C$293,2,FALSE)))</f>
        <v/>
      </c>
      <c r="J79" s="124">
        <f>IF(LOWER(G79)="dnf",1,IF(U79&lt;ScoringTable!C$3,ScoringTable!I$2,VLOOKUP((1000-U79),ScoringTable!H$2:I$95,2)))</f>
        <v>0</v>
      </c>
      <c r="K79" s="120" t="str" cm="1">
        <f t="array" ref="K79">IF(OR(E79="",G79=""),"",_xlfn.IFS(E79="U10B",_xlfn.XLOOKUP(G79,Data!$D$3:$L$3,Data!$D$1:$L$1,"",1,1),E79="U12B",_xlfn.XLOOKUP(G79,Data!$D$9:$L$9,Data!$D$1:$L$1,"",1,1),E79="U10G",_xlfn.XLOOKUP(G79,Data!$D$16:$L$16,Data!$D$1:$L$1,"",1,1),E79="U12G",_xlfn.XLOOKUP(G79,Data!$D$22:$L$22,Data!$D$1:$L$1,"",1,1)))</f>
        <v/>
      </c>
      <c r="L79" s="184" t="str" cm="1">
        <f t="array" ref="L79">IFERROR(_xlfn.IFNA(
                      _xlfn.IFS(
                      G79="", "",
                      G79=0, "",
                      AND(E79="U10B",G79&lt;=Data!$M$3), "U10 Boys record",
                      AND(E79="U12B",G79&lt;=Data!$M$9), "U12 Boys record",
                      AND(E79="U10G",G79&lt;=Data!$M$16), "U10 Girls record",
                      AND(E79="U12G",G79&lt;=Data!$M$22), "U12 Girls record"
                       ),""), "")</f>
        <v/>
      </c>
      <c r="M79" s="19" cm="1">
        <f t="array" ref="M79">_xlfn.IFS(OR($G79="",$G79=0),0, AND(NOT(ISNUMBER($G79)),LOWER($G79)&lt;&gt;"dnf"),"Not a valid time",OR(LOWER($G79)="dnf",$G79&gt;ScoringTable!$N$161),1,RIGHT($E79,1)="B",_xlfn.XLOOKUP($G79,ScoringTable!$N$2:$N$161,ScoringTable!$L$2:$L$161,,1),TRUE,_xlfn.XLOOKUP($G79,ScoringTable!$T$2:$T$161,ScoringTable!$R$2:$R$161,,1))</f>
        <v>0</v>
      </c>
      <c r="Q79" s="125">
        <f t="shared" si="5"/>
        <v>0</v>
      </c>
      <c r="R79" s="126">
        <f t="shared" si="6"/>
        <v>0</v>
      </c>
      <c r="S79" s="127">
        <f t="shared" si="7"/>
        <v>0</v>
      </c>
      <c r="T79" s="126">
        <f t="shared" si="8"/>
        <v>0</v>
      </c>
      <c r="U79" s="128">
        <f t="shared" si="9"/>
        <v>0</v>
      </c>
    </row>
    <row r="80" spans="1:21" s="7" customFormat="1" ht="16" customHeight="1">
      <c r="A80" s="121" t="s">
        <v>3</v>
      </c>
      <c r="B80" s="122" t="str">
        <f>IF(ISNA(VLOOKUP($F80,Declarations!B$6:C$293,2,FALSE)),"",IF(VLOOKUP($F80,Declarations!B$6:C$293,2,FALSE)="","NOT DECLARED",IF(ISNA(_xlfn.TEXTBEFORE(VLOOKUP($F80,Declarations!B$6:C$293,2,FALSE)," ")),VLOOKUP($F80,Declarations!B$6:C$293,2,FALSE),_xlfn.TEXTBEFORE(VLOOKUP($F80,Declarations!B$6:C$293,2,FALSE)," "))))</f>
        <v/>
      </c>
      <c r="C80" s="122" t="str">
        <f>IF(ISNA(VLOOKUP($F80,Declarations!B$6:C$293,2,FALSE)),"",IF(VLOOKUP($F80,Declarations!B$6:C$293,2,FALSE)="","NOT DECLARED",IF(ISNA(_xlfn.TEXTAFTER(VLOOKUP($F80,Declarations!B$6:C$293,2,FALSE)," ")),VLOOKUP($F80,Declarations!B$6:C$293,2,FALSE),_xlfn.TEXTAFTER(VLOOKUP($F80,Declarations!B$6:C$293,2,FALSE)," "))))</f>
        <v/>
      </c>
      <c r="D80" s="122" t="str">
        <f>IF(ISNA(VLOOKUP($F80,Declarations!$B$6:$F$293,5,FALSE)),"",IF(VLOOKUP($F80,Declarations!$B$6:$F$293,5,FALSE)="","NOT DECLARED",VLOOKUP($F80,Declarations!$B$6:$F$293,5,FALSE)))</f>
        <v/>
      </c>
      <c r="E80" s="120" t="str">
        <f>IF(ISNA(VLOOKUP($F80,Declarations!$B$6:$D$293,3,FALSE)),"",IF(VLOOKUP($F80,Declarations!$B$6:$D$293,3,FALSE)="","NOT DECLARED",VLOOKUP($F80,Declarations!$B$6:$D$293,3,FALSE)&amp;LEFT(VLOOKUP($F80,Declarations!$B$6:$E$293,4,FALSE))))</f>
        <v/>
      </c>
      <c r="F80" s="59"/>
      <c r="G80" s="123">
        <v>0</v>
      </c>
      <c r="H80" s="322"/>
      <c r="I80" s="122" t="str">
        <f>IF(ISNA(VLOOKUP(F80,Declarations!B$6:C$293,2,FALSE)),"",IF(VLOOKUP(F80,Declarations!B$6:C$293,2,FALSE)="","NOTDECLARED",VLOOKUP(F80,Declarations!B$6:C$293,2,FALSE)))</f>
        <v/>
      </c>
      <c r="J80" s="124">
        <f>IF(LOWER(G80)="dnf",1,IF(U80&lt;ScoringTable!C$3,ScoringTable!I$2,VLOOKUP((1000-U80),ScoringTable!H$2:I$95,2)))</f>
        <v>0</v>
      </c>
      <c r="K80" s="120" t="str" cm="1">
        <f t="array" ref="K80">IF(OR(E80="",G80=""),"",_xlfn.IFS(E80="U10B",_xlfn.XLOOKUP(G80,Data!$D$3:$L$3,Data!$D$1:$L$1,"",1,1),E80="U12B",_xlfn.XLOOKUP(G80,Data!$D$9:$L$9,Data!$D$1:$L$1,"",1,1),E80="U10G",_xlfn.XLOOKUP(G80,Data!$D$16:$L$16,Data!$D$1:$L$1,"",1,1),E80="U12G",_xlfn.XLOOKUP(G80,Data!$D$22:$L$22,Data!$D$1:$L$1,"",1,1)))</f>
        <v/>
      </c>
      <c r="L80" s="184" t="str" cm="1">
        <f t="array" ref="L80">IFERROR(_xlfn.IFNA(
                      _xlfn.IFS(
                      G80="", "",
                      G80=0, "",
                      AND(E80="U10B",G80&lt;=Data!$M$3), "U10 Boys record",
                      AND(E80="U12B",G80&lt;=Data!$M$9), "U12 Boys record",
                      AND(E80="U10G",G80&lt;=Data!$M$16), "U10 Girls record",
                      AND(E80="U12G",G80&lt;=Data!$M$22), "U12 Girls record"
                       ),""), "")</f>
        <v/>
      </c>
      <c r="M80" s="19" cm="1">
        <f t="array" ref="M80">_xlfn.IFS(OR($G80="",$G80=0),0, AND(NOT(ISNUMBER($G80)),LOWER($G80)&lt;&gt;"dnf"),"Not a valid time",OR(LOWER($G80)="dnf",$G80&gt;ScoringTable!$N$161),1,RIGHT($E80,1)="B",_xlfn.XLOOKUP($G80,ScoringTable!$N$2:$N$161,ScoringTable!$L$2:$L$161,,1),TRUE,_xlfn.XLOOKUP($G80,ScoringTable!$T$2:$T$161,ScoringTable!$R$2:$R$161,,1))</f>
        <v>0</v>
      </c>
      <c r="Q80" s="125">
        <f t="shared" si="5"/>
        <v>0</v>
      </c>
      <c r="R80" s="126">
        <f t="shared" si="6"/>
        <v>0</v>
      </c>
      <c r="S80" s="127">
        <f t="shared" si="7"/>
        <v>0</v>
      </c>
      <c r="T80" s="126">
        <f t="shared" si="8"/>
        <v>0</v>
      </c>
      <c r="U80" s="128">
        <f t="shared" si="9"/>
        <v>0</v>
      </c>
    </row>
    <row r="81" spans="1:21" s="7" customFormat="1" ht="16" customHeight="1">
      <c r="A81" s="121" t="s">
        <v>3</v>
      </c>
      <c r="B81" s="122" t="str">
        <f>IF(ISNA(VLOOKUP($F81,Declarations!B$6:C$293,2,FALSE)),"",IF(VLOOKUP($F81,Declarations!B$6:C$293,2,FALSE)="","NOT DECLARED",IF(ISNA(_xlfn.TEXTBEFORE(VLOOKUP($F81,Declarations!B$6:C$293,2,FALSE)," ")),VLOOKUP($F81,Declarations!B$6:C$293,2,FALSE),_xlfn.TEXTBEFORE(VLOOKUP($F81,Declarations!B$6:C$293,2,FALSE)," "))))</f>
        <v/>
      </c>
      <c r="C81" s="122" t="str">
        <f>IF(ISNA(VLOOKUP($F81,Declarations!B$6:C$293,2,FALSE)),"",IF(VLOOKUP($F81,Declarations!B$6:C$293,2,FALSE)="","NOT DECLARED",IF(ISNA(_xlfn.TEXTAFTER(VLOOKUP($F81,Declarations!B$6:C$293,2,FALSE)," ")),VLOOKUP($F81,Declarations!B$6:C$293,2,FALSE),_xlfn.TEXTAFTER(VLOOKUP($F81,Declarations!B$6:C$293,2,FALSE)," "))))</f>
        <v/>
      </c>
      <c r="D81" s="122" t="str">
        <f>IF(ISNA(VLOOKUP($F81,Declarations!$B$6:$F$293,5,FALSE)),"",IF(VLOOKUP($F81,Declarations!$B$6:$F$293,5,FALSE)="","NOT DECLARED",VLOOKUP($F81,Declarations!$B$6:$F$293,5,FALSE)))</f>
        <v/>
      </c>
      <c r="E81" s="120" t="str">
        <f>IF(ISNA(VLOOKUP($F81,Declarations!$B$6:$D$293,3,FALSE)),"",IF(VLOOKUP($F81,Declarations!$B$6:$D$293,3,FALSE)="","NOT DECLARED",VLOOKUP($F81,Declarations!$B$6:$D$293,3,FALSE)&amp;LEFT(VLOOKUP($F81,Declarations!$B$6:$E$293,4,FALSE))))</f>
        <v/>
      </c>
      <c r="F81" s="59"/>
      <c r="G81" s="123">
        <v>0</v>
      </c>
      <c r="H81" s="322"/>
      <c r="I81" s="122" t="str">
        <f>IF(ISNA(VLOOKUP(F81,Declarations!B$6:C$293,2,FALSE)),"",IF(VLOOKUP(F81,Declarations!B$6:C$293,2,FALSE)="","NOTDECLARED",VLOOKUP(F81,Declarations!B$6:C$293,2,FALSE)))</f>
        <v/>
      </c>
      <c r="J81" s="124">
        <f>IF(LOWER(G81)="dnf",1,IF(U81&lt;ScoringTable!C$3,ScoringTable!I$2,VLOOKUP((1000-U81),ScoringTable!H$2:I$95,2)))</f>
        <v>0</v>
      </c>
      <c r="K81" s="120" t="str" cm="1">
        <f t="array" ref="K81">IF(OR(E81="",G81=""),"",_xlfn.IFS(E81="U10B",_xlfn.XLOOKUP(G81,Data!$D$3:$L$3,Data!$D$1:$L$1,"",1,1),E81="U12B",_xlfn.XLOOKUP(G81,Data!$D$9:$L$9,Data!$D$1:$L$1,"",1,1),E81="U10G",_xlfn.XLOOKUP(G81,Data!$D$16:$L$16,Data!$D$1:$L$1,"",1,1),E81="U12G",_xlfn.XLOOKUP(G81,Data!$D$22:$L$22,Data!$D$1:$L$1,"",1,1)))</f>
        <v/>
      </c>
      <c r="L81" s="184" t="str" cm="1">
        <f t="array" ref="L81">IFERROR(_xlfn.IFNA(
                      _xlfn.IFS(
                      G81="", "",
                      G81=0, "",
                      AND(E81="U10B",G81&lt;=Data!$M$3), "U10 Boys record",
                      AND(E81="U12B",G81&lt;=Data!$M$9), "U12 Boys record",
                      AND(E81="U10G",G81&lt;=Data!$M$16), "U10 Girls record",
                      AND(E81="U12G",G81&lt;=Data!$M$22), "U12 Girls record"
                       ),""), "")</f>
        <v/>
      </c>
      <c r="M81" s="19" cm="1">
        <f t="array" ref="M81">_xlfn.IFS(OR($G81="",$G81=0),0, AND(NOT(ISNUMBER($G81)),LOWER($G81)&lt;&gt;"dnf"),"Not a valid time",OR(LOWER($G81)="dnf",$G81&gt;ScoringTable!$N$161),1,RIGHT($E81,1)="B",_xlfn.XLOOKUP($G81,ScoringTable!$N$2:$N$161,ScoringTable!$L$2:$L$161,,1),TRUE,_xlfn.XLOOKUP($G81,ScoringTable!$T$2:$T$161,ScoringTable!$R$2:$R$161,,1))</f>
        <v>0</v>
      </c>
      <c r="Q81" s="125">
        <f t="shared" si="5"/>
        <v>0</v>
      </c>
      <c r="R81" s="126">
        <f t="shared" si="6"/>
        <v>0</v>
      </c>
      <c r="S81" s="127">
        <f t="shared" si="7"/>
        <v>0</v>
      </c>
      <c r="T81" s="126">
        <f t="shared" si="8"/>
        <v>0</v>
      </c>
      <c r="U81" s="128">
        <f t="shared" si="9"/>
        <v>0</v>
      </c>
    </row>
    <row r="82" spans="1:21" s="7" customFormat="1" ht="16" customHeight="1">
      <c r="A82" s="121" t="s">
        <v>3</v>
      </c>
      <c r="B82" s="122" t="str">
        <f>IF(ISNA(VLOOKUP($F82,Declarations!B$6:C$293,2,FALSE)),"",IF(VLOOKUP($F82,Declarations!B$6:C$293,2,FALSE)="","NOT DECLARED",IF(ISNA(_xlfn.TEXTBEFORE(VLOOKUP($F82,Declarations!B$6:C$293,2,FALSE)," ")),VLOOKUP($F82,Declarations!B$6:C$293,2,FALSE),_xlfn.TEXTBEFORE(VLOOKUP($F82,Declarations!B$6:C$293,2,FALSE)," "))))</f>
        <v/>
      </c>
      <c r="C82" s="122" t="str">
        <f>IF(ISNA(VLOOKUP($F82,Declarations!B$6:C$293,2,FALSE)),"",IF(VLOOKUP($F82,Declarations!B$6:C$293,2,FALSE)="","NOT DECLARED",IF(ISNA(_xlfn.TEXTAFTER(VLOOKUP($F82,Declarations!B$6:C$293,2,FALSE)," ")),VLOOKUP($F82,Declarations!B$6:C$293,2,FALSE),_xlfn.TEXTAFTER(VLOOKUP($F82,Declarations!B$6:C$293,2,FALSE)," "))))</f>
        <v/>
      </c>
      <c r="D82" s="122" t="str">
        <f>IF(ISNA(VLOOKUP($F82,Declarations!$B$6:$F$293,5,FALSE)),"",IF(VLOOKUP($F82,Declarations!$B$6:$F$293,5,FALSE)="","NOT DECLARED",VLOOKUP($F82,Declarations!$B$6:$F$293,5,FALSE)))</f>
        <v/>
      </c>
      <c r="E82" s="120" t="str">
        <f>IF(ISNA(VLOOKUP($F82,Declarations!$B$6:$D$293,3,FALSE)),"",IF(VLOOKUP($F82,Declarations!$B$6:$D$293,3,FALSE)="","NOT DECLARED",VLOOKUP($F82,Declarations!$B$6:$D$293,3,FALSE)&amp;LEFT(VLOOKUP($F82,Declarations!$B$6:$E$293,4,FALSE))))</f>
        <v/>
      </c>
      <c r="F82" s="59"/>
      <c r="G82" s="123">
        <v>0</v>
      </c>
      <c r="H82" s="322"/>
      <c r="I82" s="122" t="str">
        <f>IF(ISNA(VLOOKUP(F82,Declarations!B$6:C$293,2,FALSE)),"",IF(VLOOKUP(F82,Declarations!B$6:C$293,2,FALSE)="","NOTDECLARED",VLOOKUP(F82,Declarations!B$6:C$293,2,FALSE)))</f>
        <v/>
      </c>
      <c r="J82" s="124">
        <f>IF(LOWER(G82)="dnf",1,IF(U82&lt;ScoringTable!C$3,ScoringTable!I$2,VLOOKUP((1000-U82),ScoringTable!H$2:I$95,2)))</f>
        <v>0</v>
      </c>
      <c r="K82" s="120" t="str" cm="1">
        <f t="array" ref="K82">IF(OR(E82="",G82=""),"",_xlfn.IFS(E82="U10B",_xlfn.XLOOKUP(G82,Data!$D$3:$L$3,Data!$D$1:$L$1,"",1,1),E82="U12B",_xlfn.XLOOKUP(G82,Data!$D$9:$L$9,Data!$D$1:$L$1,"",1,1),E82="U10G",_xlfn.XLOOKUP(G82,Data!$D$16:$L$16,Data!$D$1:$L$1,"",1,1),E82="U12G",_xlfn.XLOOKUP(G82,Data!$D$22:$L$22,Data!$D$1:$L$1,"",1,1)))</f>
        <v/>
      </c>
      <c r="L82" s="184" t="str" cm="1">
        <f t="array" ref="L82">IFERROR(_xlfn.IFNA(
                      _xlfn.IFS(
                      G82="", "",
                      G82=0, "",
                      AND(E82="U10B",G82&lt;=Data!$M$3), "U10 Boys record",
                      AND(E82="U12B",G82&lt;=Data!$M$9), "U12 Boys record",
                      AND(E82="U10G",G82&lt;=Data!$M$16), "U10 Girls record",
                      AND(E82="U12G",G82&lt;=Data!$M$22), "U12 Girls record"
                       ),""), "")</f>
        <v/>
      </c>
      <c r="M82" s="19" cm="1">
        <f t="array" ref="M82">_xlfn.IFS(OR($G82="",$G82=0),0, AND(NOT(ISNUMBER($G82)),LOWER($G82)&lt;&gt;"dnf"),"Not a valid time",OR(LOWER($G82)="dnf",$G82&gt;ScoringTable!$N$161),1,RIGHT($E82,1)="B",_xlfn.XLOOKUP($G82,ScoringTable!$N$2:$N$161,ScoringTable!$L$2:$L$161,,1),TRUE,_xlfn.XLOOKUP($G82,ScoringTable!$T$2:$T$161,ScoringTable!$R$2:$R$161,,1))</f>
        <v>0</v>
      </c>
      <c r="Q82" s="125">
        <f t="shared" si="5"/>
        <v>0</v>
      </c>
      <c r="R82" s="126">
        <f t="shared" si="6"/>
        <v>0</v>
      </c>
      <c r="S82" s="127">
        <f t="shared" si="7"/>
        <v>0</v>
      </c>
      <c r="T82" s="126">
        <f t="shared" si="8"/>
        <v>0</v>
      </c>
      <c r="U82" s="128">
        <f t="shared" si="9"/>
        <v>0</v>
      </c>
    </row>
    <row r="83" spans="1:21" s="7" customFormat="1" ht="16" customHeight="1">
      <c r="A83" s="121" t="s">
        <v>3</v>
      </c>
      <c r="B83" s="122" t="str">
        <f>IF(ISNA(VLOOKUP($F83,Declarations!B$6:C$293,2,FALSE)),"",IF(VLOOKUP($F83,Declarations!B$6:C$293,2,FALSE)="","NOT DECLARED",IF(ISNA(_xlfn.TEXTBEFORE(VLOOKUP($F83,Declarations!B$6:C$293,2,FALSE)," ")),VLOOKUP($F83,Declarations!B$6:C$293,2,FALSE),_xlfn.TEXTBEFORE(VLOOKUP($F83,Declarations!B$6:C$293,2,FALSE)," "))))</f>
        <v/>
      </c>
      <c r="C83" s="122" t="str">
        <f>IF(ISNA(VLOOKUP($F83,Declarations!B$6:C$293,2,FALSE)),"",IF(VLOOKUP($F83,Declarations!B$6:C$293,2,FALSE)="","NOT DECLARED",IF(ISNA(_xlfn.TEXTAFTER(VLOOKUP($F83,Declarations!B$6:C$293,2,FALSE)," ")),VLOOKUP($F83,Declarations!B$6:C$293,2,FALSE),_xlfn.TEXTAFTER(VLOOKUP($F83,Declarations!B$6:C$293,2,FALSE)," "))))</f>
        <v/>
      </c>
      <c r="D83" s="122" t="str">
        <f>IF(ISNA(VLOOKUP($F83,Declarations!$B$6:$F$293,5,FALSE)),"",IF(VLOOKUP($F83,Declarations!$B$6:$F$293,5,FALSE)="","NOT DECLARED",VLOOKUP($F83,Declarations!$B$6:$F$293,5,FALSE)))</f>
        <v/>
      </c>
      <c r="E83" s="120" t="str">
        <f>IF(ISNA(VLOOKUP($F83,Declarations!$B$6:$D$293,3,FALSE)),"",IF(VLOOKUP($F83,Declarations!$B$6:$D$293,3,FALSE)="","NOT DECLARED",VLOOKUP($F83,Declarations!$B$6:$D$293,3,FALSE)&amp;LEFT(VLOOKUP($F83,Declarations!$B$6:$E$293,4,FALSE))))</f>
        <v/>
      </c>
      <c r="F83" s="59"/>
      <c r="G83" s="123">
        <v>0</v>
      </c>
      <c r="H83" s="322"/>
      <c r="I83" s="122" t="str">
        <f>IF(ISNA(VLOOKUP(F83,Declarations!B$6:C$293,2,FALSE)),"",IF(VLOOKUP(F83,Declarations!B$6:C$293,2,FALSE)="","NOTDECLARED",VLOOKUP(F83,Declarations!B$6:C$293,2,FALSE)))</f>
        <v/>
      </c>
      <c r="J83" s="124">
        <f>IF(LOWER(G83)="dnf",1,IF(U83&lt;ScoringTable!C$3,ScoringTable!I$2,VLOOKUP((1000-U83),ScoringTable!H$2:I$95,2)))</f>
        <v>0</v>
      </c>
      <c r="K83" s="120" t="str" cm="1">
        <f t="array" ref="K83">IF(OR(E83="",G83=""),"",_xlfn.IFS(E83="U10B",_xlfn.XLOOKUP(G83,Data!$D$3:$L$3,Data!$D$1:$L$1,"",1,1),E83="U12B",_xlfn.XLOOKUP(G83,Data!$D$9:$L$9,Data!$D$1:$L$1,"",1,1),E83="U10G",_xlfn.XLOOKUP(G83,Data!$D$16:$L$16,Data!$D$1:$L$1,"",1,1),E83="U12G",_xlfn.XLOOKUP(G83,Data!$D$22:$L$22,Data!$D$1:$L$1,"",1,1)))</f>
        <v/>
      </c>
      <c r="L83" s="184" t="str" cm="1">
        <f t="array" ref="L83">IFERROR(_xlfn.IFNA(
                      _xlfn.IFS(
                      G83="", "",
                      G83=0, "",
                      AND(E83="U10B",G83&lt;=Data!$M$3), "U10 Boys record",
                      AND(E83="U12B",G83&lt;=Data!$M$9), "U12 Boys record",
                      AND(E83="U10G",G83&lt;=Data!$M$16), "U10 Girls record",
                      AND(E83="U12G",G83&lt;=Data!$M$22), "U12 Girls record"
                       ),""), "")</f>
        <v/>
      </c>
      <c r="M83" s="19" cm="1">
        <f t="array" ref="M83">_xlfn.IFS(OR($G83="",$G83=0),0, AND(NOT(ISNUMBER($G83)),LOWER($G83)&lt;&gt;"dnf"),"Not a valid time",OR(LOWER($G83)="dnf",$G83&gt;ScoringTable!$N$161),1,RIGHT($E83,1)="B",_xlfn.XLOOKUP($G83,ScoringTable!$N$2:$N$161,ScoringTable!$L$2:$L$161,,1),TRUE,_xlfn.XLOOKUP($G83,ScoringTable!$T$2:$T$161,ScoringTable!$R$2:$R$161,,1))</f>
        <v>0</v>
      </c>
      <c r="Q83" s="125">
        <f t="shared" si="5"/>
        <v>0</v>
      </c>
      <c r="R83" s="126">
        <f t="shared" si="6"/>
        <v>0</v>
      </c>
      <c r="S83" s="127">
        <f t="shared" si="7"/>
        <v>0</v>
      </c>
      <c r="T83" s="126">
        <f t="shared" si="8"/>
        <v>0</v>
      </c>
      <c r="U83" s="128">
        <f t="shared" si="9"/>
        <v>0</v>
      </c>
    </row>
    <row r="84" spans="1:21" s="7" customFormat="1" ht="16" customHeight="1">
      <c r="A84" s="121" t="s">
        <v>3</v>
      </c>
      <c r="B84" s="122" t="str">
        <f>IF(ISNA(VLOOKUP($F84,Declarations!B$6:C$293,2,FALSE)),"",IF(VLOOKUP($F84,Declarations!B$6:C$293,2,FALSE)="","NOT DECLARED",IF(ISNA(_xlfn.TEXTBEFORE(VLOOKUP($F84,Declarations!B$6:C$293,2,FALSE)," ")),VLOOKUP($F84,Declarations!B$6:C$293,2,FALSE),_xlfn.TEXTBEFORE(VLOOKUP($F84,Declarations!B$6:C$293,2,FALSE)," "))))</f>
        <v/>
      </c>
      <c r="C84" s="122" t="str">
        <f>IF(ISNA(VLOOKUP($F84,Declarations!B$6:C$293,2,FALSE)),"",IF(VLOOKUP($F84,Declarations!B$6:C$293,2,FALSE)="","NOT DECLARED",IF(ISNA(_xlfn.TEXTAFTER(VLOOKUP($F84,Declarations!B$6:C$293,2,FALSE)," ")),VLOOKUP($F84,Declarations!B$6:C$293,2,FALSE),_xlfn.TEXTAFTER(VLOOKUP($F84,Declarations!B$6:C$293,2,FALSE)," "))))</f>
        <v/>
      </c>
      <c r="D84" s="122" t="str">
        <f>IF(ISNA(VLOOKUP($F84,Declarations!$B$6:$F$293,5,FALSE)),"",IF(VLOOKUP($F84,Declarations!$B$6:$F$293,5,FALSE)="","NOT DECLARED",VLOOKUP($F84,Declarations!$B$6:$F$293,5,FALSE)))</f>
        <v/>
      </c>
      <c r="E84" s="120" t="str">
        <f>IF(ISNA(VLOOKUP($F84,Declarations!$B$6:$D$293,3,FALSE)),"",IF(VLOOKUP($F84,Declarations!$B$6:$D$293,3,FALSE)="","NOT DECLARED",VLOOKUP($F84,Declarations!$B$6:$D$293,3,FALSE)&amp;LEFT(VLOOKUP($F84,Declarations!$B$6:$E$293,4,FALSE))))</f>
        <v/>
      </c>
      <c r="F84" s="59"/>
      <c r="G84" s="123">
        <v>0</v>
      </c>
      <c r="H84" s="322"/>
      <c r="I84" s="122" t="str">
        <f>IF(ISNA(VLOOKUP(F84,Declarations!B$6:C$293,2,FALSE)),"",IF(VLOOKUP(F84,Declarations!B$6:C$293,2,FALSE)="","NOTDECLARED",VLOOKUP(F84,Declarations!B$6:C$293,2,FALSE)))</f>
        <v/>
      </c>
      <c r="J84" s="124">
        <f>IF(LOWER(G84)="dnf",1,IF(U84&lt;ScoringTable!C$3,ScoringTable!I$2,VLOOKUP((1000-U84),ScoringTable!H$2:I$95,2)))</f>
        <v>0</v>
      </c>
      <c r="K84" s="120" t="str" cm="1">
        <f t="array" ref="K84">IF(OR(E84="",G84=""),"",_xlfn.IFS(E84="U10B",_xlfn.XLOOKUP(G84,Data!$D$3:$L$3,Data!$D$1:$L$1,"",1,1),E84="U12B",_xlfn.XLOOKUP(G84,Data!$D$9:$L$9,Data!$D$1:$L$1,"",1,1),E84="U10G",_xlfn.XLOOKUP(G84,Data!$D$16:$L$16,Data!$D$1:$L$1,"",1,1),E84="U12G",_xlfn.XLOOKUP(G84,Data!$D$22:$L$22,Data!$D$1:$L$1,"",1,1)))</f>
        <v/>
      </c>
      <c r="L84" s="184" t="str" cm="1">
        <f t="array" ref="L84">IFERROR(_xlfn.IFNA(
                      _xlfn.IFS(
                      G84="", "",
                      G84=0, "",
                      AND(E84="U10B",G84&lt;=Data!$M$3), "U10 Boys record",
                      AND(E84="U12B",G84&lt;=Data!$M$9), "U12 Boys record",
                      AND(E84="U10G",G84&lt;=Data!$M$16), "U10 Girls record",
                      AND(E84="U12G",G84&lt;=Data!$M$22), "U12 Girls record"
                       ),""), "")</f>
        <v/>
      </c>
      <c r="M84" s="19" cm="1">
        <f t="array" ref="M84">_xlfn.IFS(OR($G84="",$G84=0),0, AND(NOT(ISNUMBER($G84)),LOWER($G84)&lt;&gt;"dnf"),"Not a valid time",OR(LOWER($G84)="dnf",$G84&gt;ScoringTable!$N$161),1,RIGHT($E84,1)="B",_xlfn.XLOOKUP($G84,ScoringTable!$N$2:$N$161,ScoringTable!$L$2:$L$161,,1),TRUE,_xlfn.XLOOKUP($G84,ScoringTable!$T$2:$T$161,ScoringTable!$R$2:$R$161,,1))</f>
        <v>0</v>
      </c>
      <c r="Q84" s="125">
        <f t="shared" si="5"/>
        <v>0</v>
      </c>
      <c r="R84" s="126">
        <f t="shared" si="6"/>
        <v>0</v>
      </c>
      <c r="S84" s="127">
        <f t="shared" si="7"/>
        <v>0</v>
      </c>
      <c r="T84" s="126">
        <f t="shared" si="8"/>
        <v>0</v>
      </c>
      <c r="U84" s="128">
        <f t="shared" si="9"/>
        <v>0</v>
      </c>
    </row>
    <row r="85" spans="1:21" s="7" customFormat="1" ht="16" customHeight="1">
      <c r="A85" s="121" t="s">
        <v>3</v>
      </c>
      <c r="B85" s="122" t="str">
        <f>IF(ISNA(VLOOKUP($F85,Declarations!B$6:C$293,2,FALSE)),"",IF(VLOOKUP($F85,Declarations!B$6:C$293,2,FALSE)="","NOT DECLARED",IF(ISNA(_xlfn.TEXTBEFORE(VLOOKUP($F85,Declarations!B$6:C$293,2,FALSE)," ")),VLOOKUP($F85,Declarations!B$6:C$293,2,FALSE),_xlfn.TEXTBEFORE(VLOOKUP($F85,Declarations!B$6:C$293,2,FALSE)," "))))</f>
        <v/>
      </c>
      <c r="C85" s="122" t="str">
        <f>IF(ISNA(VLOOKUP($F85,Declarations!B$6:C$293,2,FALSE)),"",IF(VLOOKUP($F85,Declarations!B$6:C$293,2,FALSE)="","NOT DECLARED",IF(ISNA(_xlfn.TEXTAFTER(VLOOKUP($F85,Declarations!B$6:C$293,2,FALSE)," ")),VLOOKUP($F85,Declarations!B$6:C$293,2,FALSE),_xlfn.TEXTAFTER(VLOOKUP($F85,Declarations!B$6:C$293,2,FALSE)," "))))</f>
        <v/>
      </c>
      <c r="D85" s="122" t="str">
        <f>IF(ISNA(VLOOKUP($F85,Declarations!$B$6:$F$293,5,FALSE)),"",IF(VLOOKUP($F85,Declarations!$B$6:$F$293,5,FALSE)="","NOT DECLARED",VLOOKUP($F85,Declarations!$B$6:$F$293,5,FALSE)))</f>
        <v/>
      </c>
      <c r="E85" s="120" t="str">
        <f>IF(ISNA(VLOOKUP($F85,Declarations!$B$6:$D$293,3,FALSE)),"",IF(VLOOKUP($F85,Declarations!$B$6:$D$293,3,FALSE)="","NOT DECLARED",VLOOKUP($F85,Declarations!$B$6:$D$293,3,FALSE)&amp;LEFT(VLOOKUP($F85,Declarations!$B$6:$E$293,4,FALSE))))</f>
        <v/>
      </c>
      <c r="F85" s="59"/>
      <c r="G85" s="123">
        <v>0</v>
      </c>
      <c r="H85" s="322"/>
      <c r="I85" s="122" t="str">
        <f>IF(ISNA(VLOOKUP(F85,Declarations!B$6:C$293,2,FALSE)),"",IF(VLOOKUP(F85,Declarations!B$6:C$293,2,FALSE)="","NOTDECLARED",VLOOKUP(F85,Declarations!B$6:C$293,2,FALSE)))</f>
        <v/>
      </c>
      <c r="J85" s="124">
        <f>IF(LOWER(G85)="dnf",1,IF(U85&lt;ScoringTable!C$3,ScoringTable!I$2,VLOOKUP((1000-U85),ScoringTable!H$2:I$95,2)))</f>
        <v>0</v>
      </c>
      <c r="K85" s="120" t="str" cm="1">
        <f t="array" ref="K85">IF(OR(E85="",G85=""),"",_xlfn.IFS(E85="U10B",_xlfn.XLOOKUP(G85,Data!$D$3:$L$3,Data!$D$1:$L$1,"",1,1),E85="U12B",_xlfn.XLOOKUP(G85,Data!$D$9:$L$9,Data!$D$1:$L$1,"",1,1),E85="U10G",_xlfn.XLOOKUP(G85,Data!$D$16:$L$16,Data!$D$1:$L$1,"",1,1),E85="U12G",_xlfn.XLOOKUP(G85,Data!$D$22:$L$22,Data!$D$1:$L$1,"",1,1)))</f>
        <v/>
      </c>
      <c r="L85" s="184" t="str" cm="1">
        <f t="array" ref="L85">IFERROR(_xlfn.IFNA(
                      _xlfn.IFS(
                      G85="", "",
                      G85=0, "",
                      AND(E85="U10B",G85&lt;=Data!$M$3), "U10 Boys record",
                      AND(E85="U12B",G85&lt;=Data!$M$9), "U12 Boys record",
                      AND(E85="U10G",G85&lt;=Data!$M$16), "U10 Girls record",
                      AND(E85="U12G",G85&lt;=Data!$M$22), "U12 Girls record"
                       ),""), "")</f>
        <v/>
      </c>
      <c r="M85" s="19" cm="1">
        <f t="array" ref="M85">_xlfn.IFS(OR($G85="",$G85=0),0, AND(NOT(ISNUMBER($G85)),LOWER($G85)&lt;&gt;"dnf"),"Not a valid time",OR(LOWER($G85)="dnf",$G85&gt;ScoringTable!$N$161),1,RIGHT($E85,1)="B",_xlfn.XLOOKUP($G85,ScoringTable!$N$2:$N$161,ScoringTable!$L$2:$L$161,,1),TRUE,_xlfn.XLOOKUP($G85,ScoringTable!$T$2:$T$161,ScoringTable!$R$2:$R$161,,1))</f>
        <v>0</v>
      </c>
      <c r="Q85" s="125">
        <f t="shared" si="5"/>
        <v>0</v>
      </c>
      <c r="R85" s="126">
        <f t="shared" si="6"/>
        <v>0</v>
      </c>
      <c r="S85" s="127">
        <f t="shared" si="7"/>
        <v>0</v>
      </c>
      <c r="T85" s="126">
        <f t="shared" si="8"/>
        <v>0</v>
      </c>
      <c r="U85" s="128">
        <f t="shared" si="9"/>
        <v>0</v>
      </c>
    </row>
    <row r="86" spans="1:21" s="7" customFormat="1" ht="16" customHeight="1">
      <c r="A86" s="121" t="s">
        <v>3</v>
      </c>
      <c r="B86" s="122" t="str">
        <f>IF(ISNA(VLOOKUP($F86,Declarations!B$6:C$293,2,FALSE)),"",IF(VLOOKUP($F86,Declarations!B$6:C$293,2,FALSE)="","NOT DECLARED",IF(ISNA(_xlfn.TEXTBEFORE(VLOOKUP($F86,Declarations!B$6:C$293,2,FALSE)," ")),VLOOKUP($F86,Declarations!B$6:C$293,2,FALSE),_xlfn.TEXTBEFORE(VLOOKUP($F86,Declarations!B$6:C$293,2,FALSE)," "))))</f>
        <v/>
      </c>
      <c r="C86" s="122" t="str">
        <f>IF(ISNA(VLOOKUP($F86,Declarations!B$6:C$293,2,FALSE)),"",IF(VLOOKUP($F86,Declarations!B$6:C$293,2,FALSE)="","NOT DECLARED",IF(ISNA(_xlfn.TEXTAFTER(VLOOKUP($F86,Declarations!B$6:C$293,2,FALSE)," ")),VLOOKUP($F86,Declarations!B$6:C$293,2,FALSE),_xlfn.TEXTAFTER(VLOOKUP($F86,Declarations!B$6:C$293,2,FALSE)," "))))</f>
        <v/>
      </c>
      <c r="D86" s="122" t="str">
        <f>IF(ISNA(VLOOKUP($F86,Declarations!$B$6:$F$293,5,FALSE)),"",IF(VLOOKUP($F86,Declarations!$B$6:$F$293,5,FALSE)="","NOT DECLARED",VLOOKUP($F86,Declarations!$B$6:$F$293,5,FALSE)))</f>
        <v/>
      </c>
      <c r="E86" s="120" t="str">
        <f>IF(ISNA(VLOOKUP($F86,Declarations!$B$6:$D$293,3,FALSE)),"",IF(VLOOKUP($F86,Declarations!$B$6:$D$293,3,FALSE)="","NOT DECLARED",VLOOKUP($F86,Declarations!$B$6:$D$293,3,FALSE)&amp;LEFT(VLOOKUP($F86,Declarations!$B$6:$E$293,4,FALSE))))</f>
        <v/>
      </c>
      <c r="F86" s="59"/>
      <c r="G86" s="123">
        <v>0</v>
      </c>
      <c r="H86" s="322"/>
      <c r="I86" s="122" t="str">
        <f>IF(ISNA(VLOOKUP(F86,Declarations!B$6:C$293,2,FALSE)),"",IF(VLOOKUP(F86,Declarations!B$6:C$293,2,FALSE)="","NOTDECLARED",VLOOKUP(F86,Declarations!B$6:C$293,2,FALSE)))</f>
        <v/>
      </c>
      <c r="J86" s="124">
        <f>IF(LOWER(G86)="dnf",1,IF(U86&lt;ScoringTable!C$3,ScoringTable!I$2,VLOOKUP((1000-U86),ScoringTable!H$2:I$95,2)))</f>
        <v>0</v>
      </c>
      <c r="K86" s="120" t="str" cm="1">
        <f t="array" ref="K86">IF(OR(E86="",G86=""),"",_xlfn.IFS(E86="U10B",_xlfn.XLOOKUP(G86,Data!$D$3:$L$3,Data!$D$1:$L$1,"",1,1),E86="U12B",_xlfn.XLOOKUP(G86,Data!$D$9:$L$9,Data!$D$1:$L$1,"",1,1),E86="U10G",_xlfn.XLOOKUP(G86,Data!$D$16:$L$16,Data!$D$1:$L$1,"",1,1),E86="U12G",_xlfn.XLOOKUP(G86,Data!$D$22:$L$22,Data!$D$1:$L$1,"",1,1)))</f>
        <v/>
      </c>
      <c r="L86" s="184" t="str" cm="1">
        <f t="array" ref="L86">IFERROR(_xlfn.IFNA(
                      _xlfn.IFS(
                      G86="", "",
                      G86=0, "",
                      AND(E86="U10B",G86&lt;=Data!$M$3), "U10 Boys record",
                      AND(E86="U12B",G86&lt;=Data!$M$9), "U12 Boys record",
                      AND(E86="U10G",G86&lt;=Data!$M$16), "U10 Girls record",
                      AND(E86="U12G",G86&lt;=Data!$M$22), "U12 Girls record"
                       ),""), "")</f>
        <v/>
      </c>
      <c r="M86" s="19" cm="1">
        <f t="array" ref="M86">_xlfn.IFS(OR($G86="",$G86=0),0, AND(NOT(ISNUMBER($G86)),LOWER($G86)&lt;&gt;"dnf"),"Not a valid time",OR(LOWER($G86)="dnf",$G86&gt;ScoringTable!$N$161),1,RIGHT($E86,1)="B",_xlfn.XLOOKUP($G86,ScoringTable!$N$2:$N$161,ScoringTable!$L$2:$L$161,,1),TRUE,_xlfn.XLOOKUP($G86,ScoringTable!$T$2:$T$161,ScoringTable!$R$2:$R$161,,1))</f>
        <v>0</v>
      </c>
      <c r="Q86" s="125">
        <f t="shared" si="5"/>
        <v>0</v>
      </c>
      <c r="R86" s="126">
        <f t="shared" si="6"/>
        <v>0</v>
      </c>
      <c r="S86" s="127">
        <f t="shared" si="7"/>
        <v>0</v>
      </c>
      <c r="T86" s="126">
        <f t="shared" si="8"/>
        <v>0</v>
      </c>
      <c r="U86" s="128">
        <f t="shared" si="9"/>
        <v>0</v>
      </c>
    </row>
    <row r="87" spans="1:21" s="7" customFormat="1" ht="16" customHeight="1">
      <c r="A87" s="121" t="s">
        <v>3</v>
      </c>
      <c r="B87" s="122" t="str">
        <f>IF(ISNA(VLOOKUP($F87,Declarations!B$6:C$293,2,FALSE)),"",IF(VLOOKUP($F87,Declarations!B$6:C$293,2,FALSE)="","NOT DECLARED",IF(ISNA(_xlfn.TEXTBEFORE(VLOOKUP($F87,Declarations!B$6:C$293,2,FALSE)," ")),VLOOKUP($F87,Declarations!B$6:C$293,2,FALSE),_xlfn.TEXTBEFORE(VLOOKUP($F87,Declarations!B$6:C$293,2,FALSE)," "))))</f>
        <v/>
      </c>
      <c r="C87" s="122" t="str">
        <f>IF(ISNA(VLOOKUP($F87,Declarations!B$6:C$293,2,FALSE)),"",IF(VLOOKUP($F87,Declarations!B$6:C$293,2,FALSE)="","NOT DECLARED",IF(ISNA(_xlfn.TEXTAFTER(VLOOKUP($F87,Declarations!B$6:C$293,2,FALSE)," ")),VLOOKUP($F87,Declarations!B$6:C$293,2,FALSE),_xlfn.TEXTAFTER(VLOOKUP($F87,Declarations!B$6:C$293,2,FALSE)," "))))</f>
        <v/>
      </c>
      <c r="D87" s="122" t="str">
        <f>IF(ISNA(VLOOKUP($F87,Declarations!$B$6:$F$293,5,FALSE)),"",IF(VLOOKUP($F87,Declarations!$B$6:$F$293,5,FALSE)="","NOT DECLARED",VLOOKUP($F87,Declarations!$B$6:$F$293,5,FALSE)))</f>
        <v/>
      </c>
      <c r="E87" s="120" t="str">
        <f>IF(ISNA(VLOOKUP($F87,Declarations!$B$6:$D$293,3,FALSE)),"",IF(VLOOKUP($F87,Declarations!$B$6:$D$293,3,FALSE)="","NOT DECLARED",VLOOKUP($F87,Declarations!$B$6:$D$293,3,FALSE)&amp;LEFT(VLOOKUP($F87,Declarations!$B$6:$E$293,4,FALSE))))</f>
        <v/>
      </c>
      <c r="F87" s="59"/>
      <c r="G87" s="123">
        <v>0</v>
      </c>
      <c r="H87" s="322"/>
      <c r="I87" s="122" t="str">
        <f>IF(ISNA(VLOOKUP(F87,Declarations!B$6:C$293,2,FALSE)),"",IF(VLOOKUP(F87,Declarations!B$6:C$293,2,FALSE)="","NOTDECLARED",VLOOKUP(F87,Declarations!B$6:C$293,2,FALSE)))</f>
        <v/>
      </c>
      <c r="J87" s="124">
        <f>IF(LOWER(G87)="dnf",1,IF(U87&lt;ScoringTable!C$3,ScoringTable!I$2,VLOOKUP((1000-U87),ScoringTable!H$2:I$95,2)))</f>
        <v>0</v>
      </c>
      <c r="K87" s="120" t="str" cm="1">
        <f t="array" ref="K87">IF(OR(E87="",G87=""),"",_xlfn.IFS(E87="U10B",_xlfn.XLOOKUP(G87,Data!$D$3:$L$3,Data!$D$1:$L$1,"",1,1),E87="U12B",_xlfn.XLOOKUP(G87,Data!$D$9:$L$9,Data!$D$1:$L$1,"",1,1),E87="U10G",_xlfn.XLOOKUP(G87,Data!$D$16:$L$16,Data!$D$1:$L$1,"",1,1),E87="U12G",_xlfn.XLOOKUP(G87,Data!$D$22:$L$22,Data!$D$1:$L$1,"",1,1)))</f>
        <v/>
      </c>
      <c r="L87" s="184" t="str" cm="1">
        <f t="array" ref="L87">IFERROR(_xlfn.IFNA(
                      _xlfn.IFS(
                      G87="", "",
                      G87=0, "",
                      AND(E87="U10B",G87&lt;=Data!$M$3), "U10 Boys record",
                      AND(E87="U12B",G87&lt;=Data!$M$9), "U12 Boys record",
                      AND(E87="U10G",G87&lt;=Data!$M$16), "U10 Girls record",
                      AND(E87="U12G",G87&lt;=Data!$M$22), "U12 Girls record"
                       ),""), "")</f>
        <v/>
      </c>
      <c r="M87" s="19" cm="1">
        <f t="array" ref="M87">_xlfn.IFS(OR($G87="",$G87=0),0, AND(NOT(ISNUMBER($G87)),LOWER($G87)&lt;&gt;"dnf"),"Not a valid time",OR(LOWER($G87)="dnf",$G87&gt;ScoringTable!$N$161),1,RIGHT($E87,1)="B",_xlfn.XLOOKUP($G87,ScoringTable!$N$2:$N$161,ScoringTable!$L$2:$L$161,,1),TRUE,_xlfn.XLOOKUP($G87,ScoringTable!$T$2:$T$161,ScoringTable!$R$2:$R$161,,1))</f>
        <v>0</v>
      </c>
      <c r="Q87" s="125">
        <f t="shared" si="5"/>
        <v>0</v>
      </c>
      <c r="R87" s="126">
        <f t="shared" si="6"/>
        <v>0</v>
      </c>
      <c r="S87" s="127">
        <f t="shared" si="7"/>
        <v>0</v>
      </c>
      <c r="T87" s="126">
        <f t="shared" si="8"/>
        <v>0</v>
      </c>
      <c r="U87" s="128">
        <f t="shared" si="9"/>
        <v>0</v>
      </c>
    </row>
    <row r="88" spans="1:21" s="7" customFormat="1" ht="16" customHeight="1">
      <c r="A88" s="121" t="s">
        <v>3</v>
      </c>
      <c r="B88" s="122" t="str">
        <f>IF(ISNA(VLOOKUP($F88,Declarations!B$6:C$293,2,FALSE)),"",IF(VLOOKUP($F88,Declarations!B$6:C$293,2,FALSE)="","NOT DECLARED",IF(ISNA(_xlfn.TEXTBEFORE(VLOOKUP($F88,Declarations!B$6:C$293,2,FALSE)," ")),VLOOKUP($F88,Declarations!B$6:C$293,2,FALSE),_xlfn.TEXTBEFORE(VLOOKUP($F88,Declarations!B$6:C$293,2,FALSE)," "))))</f>
        <v/>
      </c>
      <c r="C88" s="122" t="str">
        <f>IF(ISNA(VLOOKUP($F88,Declarations!B$6:C$293,2,FALSE)),"",IF(VLOOKUP($F88,Declarations!B$6:C$293,2,FALSE)="","NOT DECLARED",IF(ISNA(_xlfn.TEXTAFTER(VLOOKUP($F88,Declarations!B$6:C$293,2,FALSE)," ")),VLOOKUP($F88,Declarations!B$6:C$293,2,FALSE),_xlfn.TEXTAFTER(VLOOKUP($F88,Declarations!B$6:C$293,2,FALSE)," "))))</f>
        <v/>
      </c>
      <c r="D88" s="122" t="str">
        <f>IF(ISNA(VLOOKUP($F88,Declarations!$B$6:$F$293,5,FALSE)),"",IF(VLOOKUP($F88,Declarations!$B$6:$F$293,5,FALSE)="","NOT DECLARED",VLOOKUP($F88,Declarations!$B$6:$F$293,5,FALSE)))</f>
        <v/>
      </c>
      <c r="E88" s="120" t="str">
        <f>IF(ISNA(VLOOKUP($F88,Declarations!$B$6:$D$293,3,FALSE)),"",IF(VLOOKUP($F88,Declarations!$B$6:$D$293,3,FALSE)="","NOT DECLARED",VLOOKUP($F88,Declarations!$B$6:$D$293,3,FALSE)&amp;LEFT(VLOOKUP($F88,Declarations!$B$6:$E$293,4,FALSE))))</f>
        <v/>
      </c>
      <c r="F88" s="59"/>
      <c r="G88" s="123">
        <v>0</v>
      </c>
      <c r="H88" s="322"/>
      <c r="I88" s="122" t="str">
        <f>IF(ISNA(VLOOKUP(F88,Declarations!B$6:C$293,2,FALSE)),"",IF(VLOOKUP(F88,Declarations!B$6:C$293,2,FALSE)="","NOTDECLARED",VLOOKUP(F88,Declarations!B$6:C$293,2,FALSE)))</f>
        <v/>
      </c>
      <c r="J88" s="124">
        <f>IF(LOWER(G88)="dnf",1,IF(U88&lt;ScoringTable!C$3,ScoringTable!I$2,VLOOKUP((1000-U88),ScoringTable!H$2:I$95,2)))</f>
        <v>0</v>
      </c>
      <c r="K88" s="120" t="str" cm="1">
        <f t="array" ref="K88">IF(OR(E88="",G88=""),"",_xlfn.IFS(E88="U10B",_xlfn.XLOOKUP(G88,Data!$D$3:$L$3,Data!$D$1:$L$1,"",1,1),E88="U12B",_xlfn.XLOOKUP(G88,Data!$D$9:$L$9,Data!$D$1:$L$1,"",1,1),E88="U10G",_xlfn.XLOOKUP(G88,Data!$D$16:$L$16,Data!$D$1:$L$1,"",1,1),E88="U12G",_xlfn.XLOOKUP(G88,Data!$D$22:$L$22,Data!$D$1:$L$1,"",1,1)))</f>
        <v/>
      </c>
      <c r="L88" s="184" t="str" cm="1">
        <f t="array" ref="L88">IFERROR(_xlfn.IFNA(
                      _xlfn.IFS(
                      G88="", "",
                      G88=0, "",
                      AND(E88="U10B",G88&lt;=Data!$M$3), "U10 Boys record",
                      AND(E88="U12B",G88&lt;=Data!$M$9), "U12 Boys record",
                      AND(E88="U10G",G88&lt;=Data!$M$16), "U10 Girls record",
                      AND(E88="U12G",G88&lt;=Data!$M$22), "U12 Girls record"
                       ),""), "")</f>
        <v/>
      </c>
      <c r="M88" s="19" cm="1">
        <f t="array" ref="M88">_xlfn.IFS(OR($G88="",$G88=0),0, AND(NOT(ISNUMBER($G88)),LOWER($G88)&lt;&gt;"dnf"),"Not a valid time",OR(LOWER($G88)="dnf",$G88&gt;ScoringTable!$N$161),1,RIGHT($E88,1)="B",_xlfn.XLOOKUP($G88,ScoringTable!$N$2:$N$161,ScoringTable!$L$2:$L$161,,1),TRUE,_xlfn.XLOOKUP($G88,ScoringTable!$T$2:$T$161,ScoringTable!$R$2:$R$161,,1))</f>
        <v>0</v>
      </c>
      <c r="Q88" s="125">
        <f t="shared" si="5"/>
        <v>0</v>
      </c>
      <c r="R88" s="126">
        <f t="shared" si="6"/>
        <v>0</v>
      </c>
      <c r="S88" s="127">
        <f t="shared" si="7"/>
        <v>0</v>
      </c>
      <c r="T88" s="126">
        <f t="shared" si="8"/>
        <v>0</v>
      </c>
      <c r="U88" s="128">
        <f t="shared" si="9"/>
        <v>0</v>
      </c>
    </row>
    <row r="89" spans="1:21" s="7" customFormat="1" ht="16" customHeight="1">
      <c r="A89" s="121" t="s">
        <v>3</v>
      </c>
      <c r="B89" s="122" t="str">
        <f>IF(ISNA(VLOOKUP($F89,Declarations!B$6:C$293,2,FALSE)),"",IF(VLOOKUP($F89,Declarations!B$6:C$293,2,FALSE)="","NOT DECLARED",IF(ISNA(_xlfn.TEXTBEFORE(VLOOKUP($F89,Declarations!B$6:C$293,2,FALSE)," ")),VLOOKUP($F89,Declarations!B$6:C$293,2,FALSE),_xlfn.TEXTBEFORE(VLOOKUP($F89,Declarations!B$6:C$293,2,FALSE)," "))))</f>
        <v/>
      </c>
      <c r="C89" s="122" t="str">
        <f>IF(ISNA(VLOOKUP($F89,Declarations!B$6:C$293,2,FALSE)),"",IF(VLOOKUP($F89,Declarations!B$6:C$293,2,FALSE)="","NOT DECLARED",IF(ISNA(_xlfn.TEXTAFTER(VLOOKUP($F89,Declarations!B$6:C$293,2,FALSE)," ")),VLOOKUP($F89,Declarations!B$6:C$293,2,FALSE),_xlfn.TEXTAFTER(VLOOKUP($F89,Declarations!B$6:C$293,2,FALSE)," "))))</f>
        <v/>
      </c>
      <c r="D89" s="122" t="str">
        <f>IF(ISNA(VLOOKUP($F89,Declarations!$B$6:$F$293,5,FALSE)),"",IF(VLOOKUP($F89,Declarations!$B$6:$F$293,5,FALSE)="","NOT DECLARED",VLOOKUP($F89,Declarations!$B$6:$F$293,5,FALSE)))</f>
        <v/>
      </c>
      <c r="E89" s="120" t="str">
        <f>IF(ISNA(VLOOKUP($F89,Declarations!$B$6:$D$293,3,FALSE)),"",IF(VLOOKUP($F89,Declarations!$B$6:$D$293,3,FALSE)="","NOT DECLARED",VLOOKUP($F89,Declarations!$B$6:$D$293,3,FALSE)&amp;LEFT(VLOOKUP($F89,Declarations!$B$6:$E$293,4,FALSE))))</f>
        <v/>
      </c>
      <c r="F89" s="59"/>
      <c r="G89" s="123">
        <v>0</v>
      </c>
      <c r="H89" s="322"/>
      <c r="I89" s="122" t="str">
        <f>IF(ISNA(VLOOKUP(F89,Declarations!B$6:C$293,2,FALSE)),"",IF(VLOOKUP(F89,Declarations!B$6:C$293,2,FALSE)="","NOTDECLARED",VLOOKUP(F89,Declarations!B$6:C$293,2,FALSE)))</f>
        <v/>
      </c>
      <c r="J89" s="124">
        <f>IF(LOWER(G89)="dnf",1,IF(U89&lt;ScoringTable!C$3,ScoringTable!I$2,VLOOKUP((1000-U89),ScoringTable!H$2:I$95,2)))</f>
        <v>0</v>
      </c>
      <c r="K89" s="120" t="str" cm="1">
        <f t="array" ref="K89">IF(OR(E89="",G89=""),"",_xlfn.IFS(E89="U10B",_xlfn.XLOOKUP(G89,Data!$D$3:$L$3,Data!$D$1:$L$1,"",1,1),E89="U12B",_xlfn.XLOOKUP(G89,Data!$D$9:$L$9,Data!$D$1:$L$1,"",1,1),E89="U10G",_xlfn.XLOOKUP(G89,Data!$D$16:$L$16,Data!$D$1:$L$1,"",1,1),E89="U12G",_xlfn.XLOOKUP(G89,Data!$D$22:$L$22,Data!$D$1:$L$1,"",1,1)))</f>
        <v/>
      </c>
      <c r="L89" s="184" t="str" cm="1">
        <f t="array" ref="L89">IFERROR(_xlfn.IFNA(
                      _xlfn.IFS(
                      G89="", "",
                      G89=0, "",
                      AND(E89="U10B",G89&lt;=Data!$M$3), "U10 Boys record",
                      AND(E89="U12B",G89&lt;=Data!$M$9), "U12 Boys record",
                      AND(E89="U10G",G89&lt;=Data!$M$16), "U10 Girls record",
                      AND(E89="U12G",G89&lt;=Data!$M$22), "U12 Girls record"
                       ),""), "")</f>
        <v/>
      </c>
      <c r="M89" s="19" cm="1">
        <f t="array" ref="M89">_xlfn.IFS(OR($G89="",$G89=0),0, AND(NOT(ISNUMBER($G89)),LOWER($G89)&lt;&gt;"dnf"),"Not a valid time",OR(LOWER($G89)="dnf",$G89&gt;ScoringTable!$N$161),1,RIGHT($E89,1)="B",_xlfn.XLOOKUP($G89,ScoringTable!$N$2:$N$161,ScoringTable!$L$2:$L$161,,1),TRUE,_xlfn.XLOOKUP($G89,ScoringTable!$T$2:$T$161,ScoringTable!$R$2:$R$161,,1))</f>
        <v>0</v>
      </c>
      <c r="Q89" s="125">
        <f t="shared" si="5"/>
        <v>0</v>
      </c>
      <c r="R89" s="126">
        <f t="shared" si="6"/>
        <v>0</v>
      </c>
      <c r="S89" s="127">
        <f t="shared" si="7"/>
        <v>0</v>
      </c>
      <c r="T89" s="126">
        <f t="shared" si="8"/>
        <v>0</v>
      </c>
      <c r="U89" s="128">
        <f t="shared" si="9"/>
        <v>0</v>
      </c>
    </row>
    <row r="90" spans="1:21" s="7" customFormat="1" ht="16" customHeight="1">
      <c r="A90" s="121" t="s">
        <v>3</v>
      </c>
      <c r="B90" s="122" t="str">
        <f>IF(ISNA(VLOOKUP($F90,Declarations!B$6:C$293,2,FALSE)),"",IF(VLOOKUP($F90,Declarations!B$6:C$293,2,FALSE)="","NOT DECLARED",IF(ISNA(_xlfn.TEXTBEFORE(VLOOKUP($F90,Declarations!B$6:C$293,2,FALSE)," ")),VLOOKUP($F90,Declarations!B$6:C$293,2,FALSE),_xlfn.TEXTBEFORE(VLOOKUP($F90,Declarations!B$6:C$293,2,FALSE)," "))))</f>
        <v/>
      </c>
      <c r="C90" s="122" t="str">
        <f>IF(ISNA(VLOOKUP($F90,Declarations!B$6:C$293,2,FALSE)),"",IF(VLOOKUP($F90,Declarations!B$6:C$293,2,FALSE)="","NOT DECLARED",IF(ISNA(_xlfn.TEXTAFTER(VLOOKUP($F90,Declarations!B$6:C$293,2,FALSE)," ")),VLOOKUP($F90,Declarations!B$6:C$293,2,FALSE),_xlfn.TEXTAFTER(VLOOKUP($F90,Declarations!B$6:C$293,2,FALSE)," "))))</f>
        <v/>
      </c>
      <c r="D90" s="122" t="str">
        <f>IF(ISNA(VLOOKUP($F90,Declarations!$B$6:$F$293,5,FALSE)),"",IF(VLOOKUP($F90,Declarations!$B$6:$F$293,5,FALSE)="","NOT DECLARED",VLOOKUP($F90,Declarations!$B$6:$F$293,5,FALSE)))</f>
        <v/>
      </c>
      <c r="E90" s="120" t="str">
        <f>IF(ISNA(VLOOKUP($F90,Declarations!$B$6:$D$293,3,FALSE)),"",IF(VLOOKUP($F90,Declarations!$B$6:$D$293,3,FALSE)="","NOT DECLARED",VLOOKUP($F90,Declarations!$B$6:$D$293,3,FALSE)&amp;LEFT(VLOOKUP($F90,Declarations!$B$6:$E$293,4,FALSE))))</f>
        <v/>
      </c>
      <c r="F90" s="59"/>
      <c r="G90" s="123">
        <v>0</v>
      </c>
      <c r="H90" s="322"/>
      <c r="I90" s="122" t="str">
        <f>IF(ISNA(VLOOKUP(F90,Declarations!B$6:C$293,2,FALSE)),"",IF(VLOOKUP(F90,Declarations!B$6:C$293,2,FALSE)="","NOTDECLARED",VLOOKUP(F90,Declarations!B$6:C$293,2,FALSE)))</f>
        <v/>
      </c>
      <c r="J90" s="124">
        <f>IF(LOWER(G90)="dnf",1,IF(U90&lt;ScoringTable!C$3,ScoringTable!I$2,VLOOKUP((1000-U90),ScoringTable!H$2:I$95,2)))</f>
        <v>0</v>
      </c>
      <c r="K90" s="120" t="str" cm="1">
        <f t="array" ref="K90">IF(OR(E90="",G90=""),"",_xlfn.IFS(E90="U10B",_xlfn.XLOOKUP(G90,Data!$D$3:$L$3,Data!$D$1:$L$1,"",1,1),E90="U12B",_xlfn.XLOOKUP(G90,Data!$D$9:$L$9,Data!$D$1:$L$1,"",1,1),E90="U10G",_xlfn.XLOOKUP(G90,Data!$D$16:$L$16,Data!$D$1:$L$1,"",1,1),E90="U12G",_xlfn.XLOOKUP(G90,Data!$D$22:$L$22,Data!$D$1:$L$1,"",1,1)))</f>
        <v/>
      </c>
      <c r="L90" s="184" t="str" cm="1">
        <f t="array" ref="L90">IFERROR(_xlfn.IFNA(
                      _xlfn.IFS(
                      G90="", "",
                      G90=0, "",
                      AND(E90="U10B",G90&lt;=Data!$M$3), "U10 Boys record",
                      AND(E90="U12B",G90&lt;=Data!$M$9), "U12 Boys record",
                      AND(E90="U10G",G90&lt;=Data!$M$16), "U10 Girls record",
                      AND(E90="U12G",G90&lt;=Data!$M$22), "U12 Girls record"
                       ),""), "")</f>
        <v/>
      </c>
      <c r="M90" s="19" cm="1">
        <f t="array" ref="M90">_xlfn.IFS(OR($G90="",$G90=0),0, AND(NOT(ISNUMBER($G90)),LOWER($G90)&lt;&gt;"dnf"),"Not a valid time",OR(LOWER($G90)="dnf",$G90&gt;ScoringTable!$N$161),1,RIGHT($E90,1)="B",_xlfn.XLOOKUP($G90,ScoringTable!$N$2:$N$161,ScoringTable!$L$2:$L$161,,1),TRUE,_xlfn.XLOOKUP($G90,ScoringTable!$T$2:$T$161,ScoringTable!$R$2:$R$161,,1))</f>
        <v>0</v>
      </c>
      <c r="Q90" s="125">
        <f t="shared" si="5"/>
        <v>0</v>
      </c>
      <c r="R90" s="126">
        <f t="shared" si="6"/>
        <v>0</v>
      </c>
      <c r="S90" s="127">
        <f t="shared" si="7"/>
        <v>0</v>
      </c>
      <c r="T90" s="126">
        <f t="shared" si="8"/>
        <v>0</v>
      </c>
      <c r="U90" s="128">
        <f t="shared" si="9"/>
        <v>0</v>
      </c>
    </row>
    <row r="91" spans="1:21" s="7" customFormat="1" ht="16" customHeight="1">
      <c r="A91" s="121" t="s">
        <v>3</v>
      </c>
      <c r="B91" s="122" t="str">
        <f>IF(ISNA(VLOOKUP($F91,Declarations!B$6:C$293,2,FALSE)),"",IF(VLOOKUP($F91,Declarations!B$6:C$293,2,FALSE)="","NOT DECLARED",IF(ISNA(_xlfn.TEXTBEFORE(VLOOKUP($F91,Declarations!B$6:C$293,2,FALSE)," ")),VLOOKUP($F91,Declarations!B$6:C$293,2,FALSE),_xlfn.TEXTBEFORE(VLOOKUP($F91,Declarations!B$6:C$293,2,FALSE)," "))))</f>
        <v/>
      </c>
      <c r="C91" s="122" t="str">
        <f>IF(ISNA(VLOOKUP($F91,Declarations!B$6:C$293,2,FALSE)),"",IF(VLOOKUP($F91,Declarations!B$6:C$293,2,FALSE)="","NOT DECLARED",IF(ISNA(_xlfn.TEXTAFTER(VLOOKUP($F91,Declarations!B$6:C$293,2,FALSE)," ")),VLOOKUP($F91,Declarations!B$6:C$293,2,FALSE),_xlfn.TEXTAFTER(VLOOKUP($F91,Declarations!B$6:C$293,2,FALSE)," "))))</f>
        <v/>
      </c>
      <c r="D91" s="122" t="str">
        <f>IF(ISNA(VLOOKUP($F91,Declarations!$B$6:$F$293,5,FALSE)),"",IF(VLOOKUP($F91,Declarations!$B$6:$F$293,5,FALSE)="","NOT DECLARED",VLOOKUP($F91,Declarations!$B$6:$F$293,5,FALSE)))</f>
        <v/>
      </c>
      <c r="E91" s="120" t="str">
        <f>IF(ISNA(VLOOKUP($F91,Declarations!$B$6:$D$293,3,FALSE)),"",IF(VLOOKUP($F91,Declarations!$B$6:$D$293,3,FALSE)="","NOT DECLARED",VLOOKUP($F91,Declarations!$B$6:$D$293,3,FALSE)&amp;LEFT(VLOOKUP($F91,Declarations!$B$6:$E$293,4,FALSE))))</f>
        <v/>
      </c>
      <c r="F91" s="59"/>
      <c r="G91" s="123">
        <v>0</v>
      </c>
      <c r="H91" s="322"/>
      <c r="I91" s="122" t="str">
        <f>IF(ISNA(VLOOKUP(F91,Declarations!B$6:C$293,2,FALSE)),"",IF(VLOOKUP(F91,Declarations!B$6:C$293,2,FALSE)="","NOTDECLARED",VLOOKUP(F91,Declarations!B$6:C$293,2,FALSE)))</f>
        <v/>
      </c>
      <c r="J91" s="124">
        <f>IF(LOWER(G91)="dnf",1,IF(U91&lt;ScoringTable!C$3,ScoringTable!I$2,VLOOKUP((1000-U91),ScoringTable!H$2:I$95,2)))</f>
        <v>0</v>
      </c>
      <c r="K91" s="120" t="str" cm="1">
        <f t="array" ref="K91">IF(OR(E91="",G91=""),"",_xlfn.IFS(E91="U10B",_xlfn.XLOOKUP(G91,Data!$D$3:$L$3,Data!$D$1:$L$1,"",1,1),E91="U12B",_xlfn.XLOOKUP(G91,Data!$D$9:$L$9,Data!$D$1:$L$1,"",1,1),E91="U10G",_xlfn.XLOOKUP(G91,Data!$D$16:$L$16,Data!$D$1:$L$1,"",1,1),E91="U12G",_xlfn.XLOOKUP(G91,Data!$D$22:$L$22,Data!$D$1:$L$1,"",1,1)))</f>
        <v/>
      </c>
      <c r="L91" s="184" t="str" cm="1">
        <f t="array" ref="L91">IFERROR(_xlfn.IFNA(
                      _xlfn.IFS(
                      G91="", "",
                      G91=0, "",
                      AND(E91="U10B",G91&lt;=Data!$M$3), "U10 Boys record",
                      AND(E91="U12B",G91&lt;=Data!$M$9), "U12 Boys record",
                      AND(E91="U10G",G91&lt;=Data!$M$16), "U10 Girls record",
                      AND(E91="U12G",G91&lt;=Data!$M$22), "U12 Girls record"
                       ),""), "")</f>
        <v/>
      </c>
      <c r="M91" s="19" cm="1">
        <f t="array" ref="M91">_xlfn.IFS(OR($G91="",$G91=0),0, AND(NOT(ISNUMBER($G91)),LOWER($G91)&lt;&gt;"dnf"),"Not a valid time",OR(LOWER($G91)="dnf",$G91&gt;ScoringTable!$N$161),1,RIGHT($E91,1)="B",_xlfn.XLOOKUP($G91,ScoringTable!$N$2:$N$161,ScoringTable!$L$2:$L$161,,1),TRUE,_xlfn.XLOOKUP($G91,ScoringTable!$T$2:$T$161,ScoringTable!$R$2:$R$161,,1))</f>
        <v>0</v>
      </c>
      <c r="Q91" s="125">
        <f t="shared" si="5"/>
        <v>0</v>
      </c>
      <c r="R91" s="126">
        <f t="shared" si="6"/>
        <v>0</v>
      </c>
      <c r="S91" s="127">
        <f t="shared" si="7"/>
        <v>0</v>
      </c>
      <c r="T91" s="126">
        <f t="shared" si="8"/>
        <v>0</v>
      </c>
      <c r="U91" s="128">
        <f t="shared" si="9"/>
        <v>0</v>
      </c>
    </row>
    <row r="92" spans="1:21" s="7" customFormat="1" ht="16" customHeight="1">
      <c r="A92" s="121" t="s">
        <v>3</v>
      </c>
      <c r="B92" s="122" t="str">
        <f>IF(ISNA(VLOOKUP($F92,Declarations!B$6:C$293,2,FALSE)),"",IF(VLOOKUP($F92,Declarations!B$6:C$293,2,FALSE)="","NOT DECLARED",IF(ISNA(_xlfn.TEXTBEFORE(VLOOKUP($F92,Declarations!B$6:C$293,2,FALSE)," ")),VLOOKUP($F92,Declarations!B$6:C$293,2,FALSE),_xlfn.TEXTBEFORE(VLOOKUP($F92,Declarations!B$6:C$293,2,FALSE)," "))))</f>
        <v/>
      </c>
      <c r="C92" s="122" t="str">
        <f>IF(ISNA(VLOOKUP($F92,Declarations!B$6:C$293,2,FALSE)),"",IF(VLOOKUP($F92,Declarations!B$6:C$293,2,FALSE)="","NOT DECLARED",IF(ISNA(_xlfn.TEXTAFTER(VLOOKUP($F92,Declarations!B$6:C$293,2,FALSE)," ")),VLOOKUP($F92,Declarations!B$6:C$293,2,FALSE),_xlfn.TEXTAFTER(VLOOKUP($F92,Declarations!B$6:C$293,2,FALSE)," "))))</f>
        <v/>
      </c>
      <c r="D92" s="122" t="str">
        <f>IF(ISNA(VLOOKUP($F92,Declarations!$B$6:$F$293,5,FALSE)),"",IF(VLOOKUP($F92,Declarations!$B$6:$F$293,5,FALSE)="","NOT DECLARED",VLOOKUP($F92,Declarations!$B$6:$F$293,5,FALSE)))</f>
        <v/>
      </c>
      <c r="E92" s="120" t="str">
        <f>IF(ISNA(VLOOKUP($F92,Declarations!$B$6:$D$293,3,FALSE)),"",IF(VLOOKUP($F92,Declarations!$B$6:$D$293,3,FALSE)="","NOT DECLARED",VLOOKUP($F92,Declarations!$B$6:$D$293,3,FALSE)&amp;LEFT(VLOOKUP($F92,Declarations!$B$6:$E$293,4,FALSE))))</f>
        <v/>
      </c>
      <c r="F92" s="59"/>
      <c r="G92" s="123">
        <v>0</v>
      </c>
      <c r="H92" s="322"/>
      <c r="I92" s="122" t="str">
        <f>IF(ISNA(VLOOKUP(F92,Declarations!B$6:C$293,2,FALSE)),"",IF(VLOOKUP(F92,Declarations!B$6:C$293,2,FALSE)="","NOTDECLARED",VLOOKUP(F92,Declarations!B$6:C$293,2,FALSE)))</f>
        <v/>
      </c>
      <c r="J92" s="124">
        <f>IF(LOWER(G92)="dnf",1,IF(U92&lt;ScoringTable!C$3,ScoringTable!I$2,VLOOKUP((1000-U92),ScoringTable!H$2:I$95,2)))</f>
        <v>0</v>
      </c>
      <c r="K92" s="120" t="str" cm="1">
        <f t="array" ref="K92">IF(OR(E92="",G92=""),"",_xlfn.IFS(E92="U10B",_xlfn.XLOOKUP(G92,Data!$D$3:$L$3,Data!$D$1:$L$1,"",1,1),E92="U12B",_xlfn.XLOOKUP(G92,Data!$D$9:$L$9,Data!$D$1:$L$1,"",1,1),E92="U10G",_xlfn.XLOOKUP(G92,Data!$D$16:$L$16,Data!$D$1:$L$1,"",1,1),E92="U12G",_xlfn.XLOOKUP(G92,Data!$D$22:$L$22,Data!$D$1:$L$1,"",1,1)))</f>
        <v/>
      </c>
      <c r="L92" s="184" t="str" cm="1">
        <f t="array" ref="L92">IFERROR(_xlfn.IFNA(
                      _xlfn.IFS(
                      G92="", "",
                      G92=0, "",
                      AND(E92="U10B",G92&lt;=Data!$M$3), "U10 Boys record",
                      AND(E92="U12B",G92&lt;=Data!$M$9), "U12 Boys record",
                      AND(E92="U10G",G92&lt;=Data!$M$16), "U10 Girls record",
                      AND(E92="U12G",G92&lt;=Data!$M$22), "U12 Girls record"
                       ),""), "")</f>
        <v/>
      </c>
      <c r="M92" s="19" cm="1">
        <f t="array" ref="M92">_xlfn.IFS(OR($G92="",$G92=0),0, AND(NOT(ISNUMBER($G92)),LOWER($G92)&lt;&gt;"dnf"),"Not a valid time",OR(LOWER($G92)="dnf",$G92&gt;ScoringTable!$N$161),1,RIGHT($E92,1)="B",_xlfn.XLOOKUP($G92,ScoringTable!$N$2:$N$161,ScoringTable!$L$2:$L$161,,1),TRUE,_xlfn.XLOOKUP($G92,ScoringTable!$T$2:$T$161,ScoringTable!$R$2:$R$161,,1))</f>
        <v>0</v>
      </c>
      <c r="Q92" s="125">
        <f t="shared" si="5"/>
        <v>0</v>
      </c>
      <c r="R92" s="126">
        <f t="shared" si="6"/>
        <v>0</v>
      </c>
      <c r="S92" s="127">
        <f t="shared" si="7"/>
        <v>0</v>
      </c>
      <c r="T92" s="126">
        <f t="shared" si="8"/>
        <v>0</v>
      </c>
      <c r="U92" s="128">
        <f t="shared" si="9"/>
        <v>0</v>
      </c>
    </row>
    <row r="93" spans="1:21" s="7" customFormat="1" ht="16" customHeight="1">
      <c r="A93" s="121" t="s">
        <v>3</v>
      </c>
      <c r="B93" s="122" t="str">
        <f>IF(ISNA(VLOOKUP($F93,Declarations!B$6:C$293,2,FALSE)),"",IF(VLOOKUP($F93,Declarations!B$6:C$293,2,FALSE)="","NOT DECLARED",IF(ISNA(_xlfn.TEXTBEFORE(VLOOKUP($F93,Declarations!B$6:C$293,2,FALSE)," ")),VLOOKUP($F93,Declarations!B$6:C$293,2,FALSE),_xlfn.TEXTBEFORE(VLOOKUP($F93,Declarations!B$6:C$293,2,FALSE)," "))))</f>
        <v/>
      </c>
      <c r="C93" s="122" t="str">
        <f>IF(ISNA(VLOOKUP($F93,Declarations!B$6:C$293,2,FALSE)),"",IF(VLOOKUP($F93,Declarations!B$6:C$293,2,FALSE)="","NOT DECLARED",IF(ISNA(_xlfn.TEXTAFTER(VLOOKUP($F93,Declarations!B$6:C$293,2,FALSE)," ")),VLOOKUP($F93,Declarations!B$6:C$293,2,FALSE),_xlfn.TEXTAFTER(VLOOKUP($F93,Declarations!B$6:C$293,2,FALSE)," "))))</f>
        <v/>
      </c>
      <c r="D93" s="122" t="str">
        <f>IF(ISNA(VLOOKUP($F93,Declarations!$B$6:$F$293,5,FALSE)),"",IF(VLOOKUP($F93,Declarations!$B$6:$F$293,5,FALSE)="","NOT DECLARED",VLOOKUP($F93,Declarations!$B$6:$F$293,5,FALSE)))</f>
        <v/>
      </c>
      <c r="E93" s="120" t="str">
        <f>IF(ISNA(VLOOKUP($F93,Declarations!$B$6:$D$293,3,FALSE)),"",IF(VLOOKUP($F93,Declarations!$B$6:$D$293,3,FALSE)="","NOT DECLARED",VLOOKUP($F93,Declarations!$B$6:$D$293,3,FALSE)&amp;LEFT(VLOOKUP($F93,Declarations!$B$6:$E$293,4,FALSE))))</f>
        <v/>
      </c>
      <c r="F93" s="59"/>
      <c r="G93" s="123">
        <v>0</v>
      </c>
      <c r="H93" s="322"/>
      <c r="I93" s="122" t="str">
        <f>IF(ISNA(VLOOKUP(F93,Declarations!B$6:C$293,2,FALSE)),"",IF(VLOOKUP(F93,Declarations!B$6:C$293,2,FALSE)="","NOTDECLARED",VLOOKUP(F93,Declarations!B$6:C$293,2,FALSE)))</f>
        <v/>
      </c>
      <c r="J93" s="124">
        <f>IF(LOWER(G93)="dnf",1,IF(U93&lt;ScoringTable!C$3,ScoringTable!I$2,VLOOKUP((1000-U93),ScoringTable!H$2:I$95,2)))</f>
        <v>0</v>
      </c>
      <c r="K93" s="120" t="str" cm="1">
        <f t="array" ref="K93">IF(OR(E93="",G93=""),"",_xlfn.IFS(E93="U10B",_xlfn.XLOOKUP(G93,Data!$D$3:$L$3,Data!$D$1:$L$1,"",1,1),E93="U12B",_xlfn.XLOOKUP(G93,Data!$D$9:$L$9,Data!$D$1:$L$1,"",1,1),E93="U10G",_xlfn.XLOOKUP(G93,Data!$D$16:$L$16,Data!$D$1:$L$1,"",1,1),E93="U12G",_xlfn.XLOOKUP(G93,Data!$D$22:$L$22,Data!$D$1:$L$1,"",1,1)))</f>
        <v/>
      </c>
      <c r="L93" s="184" t="str" cm="1">
        <f t="array" ref="L93">IFERROR(_xlfn.IFNA(
                      _xlfn.IFS(
                      G93="", "",
                      G93=0, "",
                      AND(E93="U10B",G93&lt;=Data!$M$3), "U10 Boys record",
                      AND(E93="U12B",G93&lt;=Data!$M$9), "U12 Boys record",
                      AND(E93="U10G",G93&lt;=Data!$M$16), "U10 Girls record",
                      AND(E93="U12G",G93&lt;=Data!$M$22), "U12 Girls record"
                       ),""), "")</f>
        <v/>
      </c>
      <c r="M93" s="19" cm="1">
        <f t="array" ref="M93">_xlfn.IFS(OR($G93="",$G93=0),0, AND(NOT(ISNUMBER($G93)),LOWER($G93)&lt;&gt;"dnf"),"Not a valid time",OR(LOWER($G93)="dnf",$G93&gt;ScoringTable!$N$161),1,RIGHT($E93,1)="B",_xlfn.XLOOKUP($G93,ScoringTable!$N$2:$N$161,ScoringTable!$L$2:$L$161,,1),TRUE,_xlfn.XLOOKUP($G93,ScoringTable!$T$2:$T$161,ScoringTable!$R$2:$R$161,,1))</f>
        <v>0</v>
      </c>
      <c r="Q93" s="125">
        <f t="shared" si="5"/>
        <v>0</v>
      </c>
      <c r="R93" s="126">
        <f t="shared" si="6"/>
        <v>0</v>
      </c>
      <c r="S93" s="127">
        <f t="shared" si="7"/>
        <v>0</v>
      </c>
      <c r="T93" s="126">
        <f t="shared" si="8"/>
        <v>0</v>
      </c>
      <c r="U93" s="128">
        <f t="shared" si="9"/>
        <v>0</v>
      </c>
    </row>
    <row r="94" spans="1:21" s="7" customFormat="1" ht="16" customHeight="1">
      <c r="A94" s="121" t="s">
        <v>3</v>
      </c>
      <c r="B94" s="122" t="str">
        <f>IF(ISNA(VLOOKUP($F94,Declarations!B$6:C$293,2,FALSE)),"",IF(VLOOKUP($F94,Declarations!B$6:C$293,2,FALSE)="","NOT DECLARED",IF(ISNA(_xlfn.TEXTBEFORE(VLOOKUP($F94,Declarations!B$6:C$293,2,FALSE)," ")),VLOOKUP($F94,Declarations!B$6:C$293,2,FALSE),_xlfn.TEXTBEFORE(VLOOKUP($F94,Declarations!B$6:C$293,2,FALSE)," "))))</f>
        <v/>
      </c>
      <c r="C94" s="122" t="str">
        <f>IF(ISNA(VLOOKUP($F94,Declarations!B$6:C$293,2,FALSE)),"",IF(VLOOKUP($F94,Declarations!B$6:C$293,2,FALSE)="","NOT DECLARED",IF(ISNA(_xlfn.TEXTAFTER(VLOOKUP($F94,Declarations!B$6:C$293,2,FALSE)," ")),VLOOKUP($F94,Declarations!B$6:C$293,2,FALSE),_xlfn.TEXTAFTER(VLOOKUP($F94,Declarations!B$6:C$293,2,FALSE)," "))))</f>
        <v/>
      </c>
      <c r="D94" s="122" t="str">
        <f>IF(ISNA(VLOOKUP($F94,Declarations!$B$6:$F$293,5,FALSE)),"",IF(VLOOKUP($F94,Declarations!$B$6:$F$293,5,FALSE)="","NOT DECLARED",VLOOKUP($F94,Declarations!$B$6:$F$293,5,FALSE)))</f>
        <v/>
      </c>
      <c r="E94" s="120" t="str">
        <f>IF(ISNA(VLOOKUP($F94,Declarations!$B$6:$D$293,3,FALSE)),"",IF(VLOOKUP($F94,Declarations!$B$6:$D$293,3,FALSE)="","NOT DECLARED",VLOOKUP($F94,Declarations!$B$6:$D$293,3,FALSE)&amp;LEFT(VLOOKUP($F94,Declarations!$B$6:$E$293,4,FALSE))))</f>
        <v/>
      </c>
      <c r="F94" s="59"/>
      <c r="G94" s="123">
        <v>0</v>
      </c>
      <c r="H94" s="322"/>
      <c r="I94" s="122" t="str">
        <f>IF(ISNA(VLOOKUP(F94,Declarations!B$6:C$293,2,FALSE)),"",IF(VLOOKUP(F94,Declarations!B$6:C$293,2,FALSE)="","NOTDECLARED",VLOOKUP(F94,Declarations!B$6:C$293,2,FALSE)))</f>
        <v/>
      </c>
      <c r="J94" s="124">
        <f>IF(LOWER(G94)="dnf",1,IF(U94&lt;ScoringTable!C$3,ScoringTable!I$2,VLOOKUP((1000-U94),ScoringTable!H$2:I$95,2)))</f>
        <v>0</v>
      </c>
      <c r="K94" s="120" t="str" cm="1">
        <f t="array" ref="K94">IF(OR(E94="",G94=""),"",_xlfn.IFS(E94="U10B",_xlfn.XLOOKUP(G94,Data!$D$3:$L$3,Data!$D$1:$L$1,"",1,1),E94="U12B",_xlfn.XLOOKUP(G94,Data!$D$9:$L$9,Data!$D$1:$L$1,"",1,1),E94="U10G",_xlfn.XLOOKUP(G94,Data!$D$16:$L$16,Data!$D$1:$L$1,"",1,1),E94="U12G",_xlfn.XLOOKUP(G94,Data!$D$22:$L$22,Data!$D$1:$L$1,"",1,1)))</f>
        <v/>
      </c>
      <c r="L94" s="184" t="str" cm="1">
        <f t="array" ref="L94">IFERROR(_xlfn.IFNA(
                      _xlfn.IFS(
                      G94="", "",
                      G94=0, "",
                      AND(E94="U10B",G94&lt;=Data!$M$3), "U10 Boys record",
                      AND(E94="U12B",G94&lt;=Data!$M$9), "U12 Boys record",
                      AND(E94="U10G",G94&lt;=Data!$M$16), "U10 Girls record",
                      AND(E94="U12G",G94&lt;=Data!$M$22), "U12 Girls record"
                       ),""), "")</f>
        <v/>
      </c>
      <c r="M94" s="19" cm="1">
        <f t="array" ref="M94">_xlfn.IFS(OR($G94="",$G94=0),0, AND(NOT(ISNUMBER($G94)),LOWER($G94)&lt;&gt;"dnf"),"Not a valid time",OR(LOWER($G94)="dnf",$G94&gt;ScoringTable!$N$161),1,RIGHT($E94,1)="B",_xlfn.XLOOKUP($G94,ScoringTable!$N$2:$N$161,ScoringTable!$L$2:$L$161,,1),TRUE,_xlfn.XLOOKUP($G94,ScoringTable!$T$2:$T$161,ScoringTable!$R$2:$R$161,,1))</f>
        <v>0</v>
      </c>
      <c r="Q94" s="125">
        <f t="shared" si="5"/>
        <v>0</v>
      </c>
      <c r="R94" s="126">
        <f t="shared" si="6"/>
        <v>0</v>
      </c>
      <c r="S94" s="127">
        <f t="shared" si="7"/>
        <v>0</v>
      </c>
      <c r="T94" s="126">
        <f t="shared" si="8"/>
        <v>0</v>
      </c>
      <c r="U94" s="128">
        <f t="shared" si="9"/>
        <v>0</v>
      </c>
    </row>
    <row r="95" spans="1:21" s="7" customFormat="1" ht="16" customHeight="1">
      <c r="A95" s="121" t="s">
        <v>3</v>
      </c>
      <c r="B95" s="122" t="str">
        <f>IF(ISNA(VLOOKUP($F95,Declarations!B$6:C$293,2,FALSE)),"",IF(VLOOKUP($F95,Declarations!B$6:C$293,2,FALSE)="","NOT DECLARED",IF(ISNA(_xlfn.TEXTBEFORE(VLOOKUP($F95,Declarations!B$6:C$293,2,FALSE)," ")),VLOOKUP($F95,Declarations!B$6:C$293,2,FALSE),_xlfn.TEXTBEFORE(VLOOKUP($F95,Declarations!B$6:C$293,2,FALSE)," "))))</f>
        <v/>
      </c>
      <c r="C95" s="122" t="str">
        <f>IF(ISNA(VLOOKUP($F95,Declarations!B$6:C$293,2,FALSE)),"",IF(VLOOKUP($F95,Declarations!B$6:C$293,2,FALSE)="","NOT DECLARED",IF(ISNA(_xlfn.TEXTAFTER(VLOOKUP($F95,Declarations!B$6:C$293,2,FALSE)," ")),VLOOKUP($F95,Declarations!B$6:C$293,2,FALSE),_xlfn.TEXTAFTER(VLOOKUP($F95,Declarations!B$6:C$293,2,FALSE)," "))))</f>
        <v/>
      </c>
      <c r="D95" s="122" t="str">
        <f>IF(ISNA(VLOOKUP($F95,Declarations!$B$6:$F$293,5,FALSE)),"",IF(VLOOKUP($F95,Declarations!$B$6:$F$293,5,FALSE)="","NOT DECLARED",VLOOKUP($F95,Declarations!$B$6:$F$293,5,FALSE)))</f>
        <v/>
      </c>
      <c r="E95" s="120" t="str">
        <f>IF(ISNA(VLOOKUP($F95,Declarations!$B$6:$D$293,3,FALSE)),"",IF(VLOOKUP($F95,Declarations!$B$6:$D$293,3,FALSE)="","NOT DECLARED",VLOOKUP($F95,Declarations!$B$6:$D$293,3,FALSE)&amp;LEFT(VLOOKUP($F95,Declarations!$B$6:$E$293,4,FALSE))))</f>
        <v/>
      </c>
      <c r="F95" s="59"/>
      <c r="G95" s="123">
        <v>0</v>
      </c>
      <c r="H95" s="322"/>
      <c r="I95" s="122" t="str">
        <f>IF(ISNA(VLOOKUP(F95,Declarations!B$6:C$293,2,FALSE)),"",IF(VLOOKUP(F95,Declarations!B$6:C$293,2,FALSE)="","NOTDECLARED",VLOOKUP(F95,Declarations!B$6:C$293,2,FALSE)))</f>
        <v/>
      </c>
      <c r="J95" s="124">
        <f>IF(LOWER(G95)="dnf",1,IF(U95&lt;ScoringTable!C$3,ScoringTable!I$2,VLOOKUP((1000-U95),ScoringTable!H$2:I$95,2)))</f>
        <v>0</v>
      </c>
      <c r="K95" s="120" t="str" cm="1">
        <f t="array" ref="K95">IF(OR(E95="",G95=""),"",_xlfn.IFS(E95="U10B",_xlfn.XLOOKUP(G95,Data!$D$3:$L$3,Data!$D$1:$L$1,"",1,1),E95="U12B",_xlfn.XLOOKUP(G95,Data!$D$9:$L$9,Data!$D$1:$L$1,"",1,1),E95="U10G",_xlfn.XLOOKUP(G95,Data!$D$16:$L$16,Data!$D$1:$L$1,"",1,1),E95="U12G",_xlfn.XLOOKUP(G95,Data!$D$22:$L$22,Data!$D$1:$L$1,"",1,1)))</f>
        <v/>
      </c>
      <c r="L95" s="184" t="str" cm="1">
        <f t="array" ref="L95">IFERROR(_xlfn.IFNA(
                      _xlfn.IFS(
                      G95="", "",
                      G95=0, "",
                      AND(E95="U10B",G95&lt;=Data!$M$3), "U10 Boys record",
                      AND(E95="U12B",G95&lt;=Data!$M$9), "U12 Boys record",
                      AND(E95="U10G",G95&lt;=Data!$M$16), "U10 Girls record",
                      AND(E95="U12G",G95&lt;=Data!$M$22), "U12 Girls record"
                       ),""), "")</f>
        <v/>
      </c>
      <c r="M95" s="19" cm="1">
        <f t="array" ref="M95">_xlfn.IFS(OR($G95="",$G95=0),0, AND(NOT(ISNUMBER($G95)),LOWER($G95)&lt;&gt;"dnf"),"Not a valid time",OR(LOWER($G95)="dnf",$G95&gt;ScoringTable!$N$161),1,RIGHT($E95,1)="B",_xlfn.XLOOKUP($G95,ScoringTable!$N$2:$N$161,ScoringTable!$L$2:$L$161,,1),TRUE,_xlfn.XLOOKUP($G95,ScoringTable!$T$2:$T$161,ScoringTable!$R$2:$R$161,,1))</f>
        <v>0</v>
      </c>
      <c r="Q95" s="125">
        <f t="shared" si="5"/>
        <v>0</v>
      </c>
      <c r="R95" s="126">
        <f t="shared" si="6"/>
        <v>0</v>
      </c>
      <c r="S95" s="127">
        <f t="shared" si="7"/>
        <v>0</v>
      </c>
      <c r="T95" s="126">
        <f t="shared" si="8"/>
        <v>0</v>
      </c>
      <c r="U95" s="128">
        <f t="shared" si="9"/>
        <v>0</v>
      </c>
    </row>
    <row r="96" spans="1:21" s="7" customFormat="1" ht="16" customHeight="1">
      <c r="A96" s="121" t="s">
        <v>3</v>
      </c>
      <c r="B96" s="122" t="str">
        <f>IF(ISNA(VLOOKUP($F96,Declarations!B$6:C$293,2,FALSE)),"",IF(VLOOKUP($F96,Declarations!B$6:C$293,2,FALSE)="","NOT DECLARED",IF(ISNA(_xlfn.TEXTBEFORE(VLOOKUP($F96,Declarations!B$6:C$293,2,FALSE)," ")),VLOOKUP($F96,Declarations!B$6:C$293,2,FALSE),_xlfn.TEXTBEFORE(VLOOKUP($F96,Declarations!B$6:C$293,2,FALSE)," "))))</f>
        <v/>
      </c>
      <c r="C96" s="122" t="str">
        <f>IF(ISNA(VLOOKUP($F96,Declarations!B$6:C$293,2,FALSE)),"",IF(VLOOKUP($F96,Declarations!B$6:C$293,2,FALSE)="","NOT DECLARED",IF(ISNA(_xlfn.TEXTAFTER(VLOOKUP($F96,Declarations!B$6:C$293,2,FALSE)," ")),VLOOKUP($F96,Declarations!B$6:C$293,2,FALSE),_xlfn.TEXTAFTER(VLOOKUP($F96,Declarations!B$6:C$293,2,FALSE)," "))))</f>
        <v/>
      </c>
      <c r="D96" s="122" t="str">
        <f>IF(ISNA(VLOOKUP($F96,Declarations!$B$6:$F$293,5,FALSE)),"",IF(VLOOKUP($F96,Declarations!$B$6:$F$293,5,FALSE)="","NOT DECLARED",VLOOKUP($F96,Declarations!$B$6:$F$293,5,FALSE)))</f>
        <v/>
      </c>
      <c r="E96" s="120" t="str">
        <f>IF(ISNA(VLOOKUP($F96,Declarations!$B$6:$D$293,3,FALSE)),"",IF(VLOOKUP($F96,Declarations!$B$6:$D$293,3,FALSE)="","NOT DECLARED",VLOOKUP($F96,Declarations!$B$6:$D$293,3,FALSE)&amp;LEFT(VLOOKUP($F96,Declarations!$B$6:$E$293,4,FALSE))))</f>
        <v/>
      </c>
      <c r="F96" s="59"/>
      <c r="G96" s="123">
        <v>0</v>
      </c>
      <c r="H96" s="322"/>
      <c r="I96" s="122" t="str">
        <f>IF(ISNA(VLOOKUP(F96,Declarations!B$6:C$293,2,FALSE)),"",IF(VLOOKUP(F96,Declarations!B$6:C$293,2,FALSE)="","NOTDECLARED",VLOOKUP(F96,Declarations!B$6:C$293,2,FALSE)))</f>
        <v/>
      </c>
      <c r="J96" s="124">
        <f>IF(LOWER(G96)="dnf",1,IF(U96&lt;ScoringTable!C$3,ScoringTable!I$2,VLOOKUP((1000-U96),ScoringTable!H$2:I$95,2)))</f>
        <v>0</v>
      </c>
      <c r="K96" s="120" t="str" cm="1">
        <f t="array" ref="K96">IF(OR(E96="",G96=""),"",_xlfn.IFS(E96="U10B",_xlfn.XLOOKUP(G96,Data!$D$3:$L$3,Data!$D$1:$L$1,"",1,1),E96="U12B",_xlfn.XLOOKUP(G96,Data!$D$9:$L$9,Data!$D$1:$L$1,"",1,1),E96="U10G",_xlfn.XLOOKUP(G96,Data!$D$16:$L$16,Data!$D$1:$L$1,"",1,1),E96="U12G",_xlfn.XLOOKUP(G96,Data!$D$22:$L$22,Data!$D$1:$L$1,"",1,1)))</f>
        <v/>
      </c>
      <c r="L96" s="184" t="str" cm="1">
        <f t="array" ref="L96">IFERROR(_xlfn.IFNA(
                      _xlfn.IFS(
                      G96="", "",
                      G96=0, "",
                      AND(E96="U10B",G96&lt;=Data!$M$3), "U10 Boys record",
                      AND(E96="U12B",G96&lt;=Data!$M$9), "U12 Boys record",
                      AND(E96="U10G",G96&lt;=Data!$M$16), "U10 Girls record",
                      AND(E96="U12G",G96&lt;=Data!$M$22), "U12 Girls record"
                       ),""), "")</f>
        <v/>
      </c>
      <c r="M96" s="19" cm="1">
        <f t="array" ref="M96">_xlfn.IFS(OR($G96="",$G96=0),0, AND(NOT(ISNUMBER($G96)),LOWER($G96)&lt;&gt;"dnf"),"Not a valid time",OR(LOWER($G96)="dnf",$G96&gt;ScoringTable!$N$161),1,RIGHT($E96,1)="B",_xlfn.XLOOKUP($G96,ScoringTable!$N$2:$N$161,ScoringTable!$L$2:$L$161,,1),TRUE,_xlfn.XLOOKUP($G96,ScoringTable!$T$2:$T$161,ScoringTable!$R$2:$R$161,,1))</f>
        <v>0</v>
      </c>
      <c r="Q96" s="125">
        <f t="shared" si="5"/>
        <v>0</v>
      </c>
      <c r="R96" s="126">
        <f t="shared" si="6"/>
        <v>0</v>
      </c>
      <c r="S96" s="127">
        <f t="shared" si="7"/>
        <v>0</v>
      </c>
      <c r="T96" s="126">
        <f t="shared" si="8"/>
        <v>0</v>
      </c>
      <c r="U96" s="128">
        <f t="shared" si="9"/>
        <v>0</v>
      </c>
    </row>
    <row r="97" spans="1:21" s="7" customFormat="1" ht="16" customHeight="1">
      <c r="A97" s="121" t="s">
        <v>3</v>
      </c>
      <c r="B97" s="122" t="str">
        <f>IF(ISNA(VLOOKUP($F97,Declarations!B$6:C$293,2,FALSE)),"",IF(VLOOKUP($F97,Declarations!B$6:C$293,2,FALSE)="","NOT DECLARED",IF(ISNA(_xlfn.TEXTBEFORE(VLOOKUP($F97,Declarations!B$6:C$293,2,FALSE)," ")),VLOOKUP($F97,Declarations!B$6:C$293,2,FALSE),_xlfn.TEXTBEFORE(VLOOKUP($F97,Declarations!B$6:C$293,2,FALSE)," "))))</f>
        <v/>
      </c>
      <c r="C97" s="122" t="str">
        <f>IF(ISNA(VLOOKUP($F97,Declarations!B$6:C$293,2,FALSE)),"",IF(VLOOKUP($F97,Declarations!B$6:C$293,2,FALSE)="","NOT DECLARED",IF(ISNA(_xlfn.TEXTAFTER(VLOOKUP($F97,Declarations!B$6:C$293,2,FALSE)," ")),VLOOKUP($F97,Declarations!B$6:C$293,2,FALSE),_xlfn.TEXTAFTER(VLOOKUP($F97,Declarations!B$6:C$293,2,FALSE)," "))))</f>
        <v/>
      </c>
      <c r="D97" s="122" t="str">
        <f>IF(ISNA(VLOOKUP($F97,Declarations!$B$6:$F$293,5,FALSE)),"",IF(VLOOKUP($F97,Declarations!$B$6:$F$293,5,FALSE)="","NOT DECLARED",VLOOKUP($F97,Declarations!$B$6:$F$293,5,FALSE)))</f>
        <v/>
      </c>
      <c r="E97" s="120" t="str">
        <f>IF(ISNA(VLOOKUP($F97,Declarations!$B$6:$D$293,3,FALSE)),"",IF(VLOOKUP($F97,Declarations!$B$6:$D$293,3,FALSE)="","NOT DECLARED",VLOOKUP($F97,Declarations!$B$6:$D$293,3,FALSE)&amp;LEFT(VLOOKUP($F97,Declarations!$B$6:$E$293,4,FALSE))))</f>
        <v/>
      </c>
      <c r="F97" s="59"/>
      <c r="G97" s="123">
        <v>0</v>
      </c>
      <c r="H97" s="322"/>
      <c r="I97" s="122" t="str">
        <f>IF(ISNA(VLOOKUP(F97,Declarations!B$6:C$293,2,FALSE)),"",IF(VLOOKUP(F97,Declarations!B$6:C$293,2,FALSE)="","NOTDECLARED",VLOOKUP(F97,Declarations!B$6:C$293,2,FALSE)))</f>
        <v/>
      </c>
      <c r="J97" s="124">
        <f>IF(LOWER(G97)="dnf",1,IF(U97&lt;ScoringTable!C$3,ScoringTable!I$2,VLOOKUP((1000-U97),ScoringTable!H$2:I$95,2)))</f>
        <v>0</v>
      </c>
      <c r="K97" s="120" t="str" cm="1">
        <f t="array" ref="K97">IF(OR(E97="",G97=""),"",_xlfn.IFS(E97="U10B",_xlfn.XLOOKUP(G97,Data!$D$3:$L$3,Data!$D$1:$L$1,"",1,1),E97="U12B",_xlfn.XLOOKUP(G97,Data!$D$9:$L$9,Data!$D$1:$L$1,"",1,1),E97="U10G",_xlfn.XLOOKUP(G97,Data!$D$16:$L$16,Data!$D$1:$L$1,"",1,1),E97="U12G",_xlfn.XLOOKUP(G97,Data!$D$22:$L$22,Data!$D$1:$L$1,"",1,1)))</f>
        <v/>
      </c>
      <c r="L97" s="184" t="str" cm="1">
        <f t="array" ref="L97">IFERROR(_xlfn.IFNA(
                      _xlfn.IFS(
                      G97="", "",
                      G97=0, "",
                      AND(E97="U10B",G97&lt;=Data!$M$3), "U10 Boys record",
                      AND(E97="U12B",G97&lt;=Data!$M$9), "U12 Boys record",
                      AND(E97="U10G",G97&lt;=Data!$M$16), "U10 Girls record",
                      AND(E97="U12G",G97&lt;=Data!$M$22), "U12 Girls record"
                       ),""), "")</f>
        <v/>
      </c>
      <c r="M97" s="19" cm="1">
        <f t="array" ref="M97">_xlfn.IFS(OR($G97="",$G97=0),0, AND(NOT(ISNUMBER($G97)),LOWER($G97)&lt;&gt;"dnf"),"Not a valid time",OR(LOWER($G97)="dnf",$G97&gt;ScoringTable!$N$161),1,RIGHT($E97,1)="B",_xlfn.XLOOKUP($G97,ScoringTable!$N$2:$N$161,ScoringTable!$L$2:$L$161,,1),TRUE,_xlfn.XLOOKUP($G97,ScoringTable!$T$2:$T$161,ScoringTable!$R$2:$R$161,,1))</f>
        <v>0</v>
      </c>
      <c r="Q97" s="125">
        <f t="shared" si="5"/>
        <v>0</v>
      </c>
      <c r="R97" s="126">
        <f t="shared" si="6"/>
        <v>0</v>
      </c>
      <c r="S97" s="127">
        <f t="shared" si="7"/>
        <v>0</v>
      </c>
      <c r="T97" s="126">
        <f t="shared" si="8"/>
        <v>0</v>
      </c>
      <c r="U97" s="128">
        <f t="shared" si="9"/>
        <v>0</v>
      </c>
    </row>
    <row r="98" spans="1:21" s="7" customFormat="1" ht="16" customHeight="1">
      <c r="A98" s="121" t="s">
        <v>3</v>
      </c>
      <c r="B98" s="122" t="str">
        <f>IF(ISNA(VLOOKUP($F98,Declarations!B$6:C$293,2,FALSE)),"",IF(VLOOKUP($F98,Declarations!B$6:C$293,2,FALSE)="","NOT DECLARED",IF(ISNA(_xlfn.TEXTBEFORE(VLOOKUP($F98,Declarations!B$6:C$293,2,FALSE)," ")),VLOOKUP($F98,Declarations!B$6:C$293,2,FALSE),_xlfn.TEXTBEFORE(VLOOKUP($F98,Declarations!B$6:C$293,2,FALSE)," "))))</f>
        <v/>
      </c>
      <c r="C98" s="122" t="str">
        <f>IF(ISNA(VLOOKUP($F98,Declarations!B$6:C$293,2,FALSE)),"",IF(VLOOKUP($F98,Declarations!B$6:C$293,2,FALSE)="","NOT DECLARED",IF(ISNA(_xlfn.TEXTAFTER(VLOOKUP($F98,Declarations!B$6:C$293,2,FALSE)," ")),VLOOKUP($F98,Declarations!B$6:C$293,2,FALSE),_xlfn.TEXTAFTER(VLOOKUP($F98,Declarations!B$6:C$293,2,FALSE)," "))))</f>
        <v/>
      </c>
      <c r="D98" s="122" t="str">
        <f>IF(ISNA(VLOOKUP($F98,Declarations!$B$6:$F$293,5,FALSE)),"",IF(VLOOKUP($F98,Declarations!$B$6:$F$293,5,FALSE)="","NOT DECLARED",VLOOKUP($F98,Declarations!$B$6:$F$293,5,FALSE)))</f>
        <v/>
      </c>
      <c r="E98" s="120" t="str">
        <f>IF(ISNA(VLOOKUP($F98,Declarations!$B$6:$D$293,3,FALSE)),"",IF(VLOOKUP($F98,Declarations!$B$6:$D$293,3,FALSE)="","NOT DECLARED",VLOOKUP($F98,Declarations!$B$6:$D$293,3,FALSE)&amp;LEFT(VLOOKUP($F98,Declarations!$B$6:$E$293,4,FALSE))))</f>
        <v/>
      </c>
      <c r="F98" s="59"/>
      <c r="G98" s="123">
        <v>0</v>
      </c>
      <c r="H98" s="322"/>
      <c r="I98" s="122" t="str">
        <f>IF(ISNA(VLOOKUP(F98,Declarations!B$6:C$293,2,FALSE)),"",IF(VLOOKUP(F98,Declarations!B$6:C$293,2,FALSE)="","NOTDECLARED",VLOOKUP(F98,Declarations!B$6:C$293,2,FALSE)))</f>
        <v/>
      </c>
      <c r="J98" s="124">
        <f>IF(LOWER(G98)="dnf",1,IF(U98&lt;ScoringTable!C$3,ScoringTable!I$2,VLOOKUP((1000-U98),ScoringTable!H$2:I$95,2)))</f>
        <v>0</v>
      </c>
      <c r="K98" s="120" t="str" cm="1">
        <f t="array" ref="K98">IF(OR(E98="",G98=""),"",_xlfn.IFS(E98="U10B",_xlfn.XLOOKUP(G98,Data!$D$3:$L$3,Data!$D$1:$L$1,"",1,1),E98="U12B",_xlfn.XLOOKUP(G98,Data!$D$9:$L$9,Data!$D$1:$L$1,"",1,1),E98="U10G",_xlfn.XLOOKUP(G98,Data!$D$16:$L$16,Data!$D$1:$L$1,"",1,1),E98="U12G",_xlfn.XLOOKUP(G98,Data!$D$22:$L$22,Data!$D$1:$L$1,"",1,1)))</f>
        <v/>
      </c>
      <c r="L98" s="184" t="str" cm="1">
        <f t="array" ref="L98">IFERROR(_xlfn.IFNA(
                      _xlfn.IFS(
                      G98="", "",
                      G98=0, "",
                      AND(E98="U10B",G98&lt;=Data!$M$3), "U10 Boys record",
                      AND(E98="U12B",G98&lt;=Data!$M$9), "U12 Boys record",
                      AND(E98="U10G",G98&lt;=Data!$M$16), "U10 Girls record",
                      AND(E98="U12G",G98&lt;=Data!$M$22), "U12 Girls record"
                       ),""), "")</f>
        <v/>
      </c>
      <c r="M98" s="19" cm="1">
        <f t="array" ref="M98">_xlfn.IFS(OR($G98="",$G98=0),0, AND(NOT(ISNUMBER($G98)),LOWER($G98)&lt;&gt;"dnf"),"Not a valid time",OR(LOWER($G98)="dnf",$G98&gt;ScoringTable!$N$161),1,RIGHT($E98,1)="B",_xlfn.XLOOKUP($G98,ScoringTable!$N$2:$N$161,ScoringTable!$L$2:$L$161,,1),TRUE,_xlfn.XLOOKUP($G98,ScoringTable!$T$2:$T$161,ScoringTable!$R$2:$R$161,,1))</f>
        <v>0</v>
      </c>
      <c r="Q98" s="125">
        <f t="shared" si="5"/>
        <v>0</v>
      </c>
      <c r="R98" s="126">
        <f t="shared" si="6"/>
        <v>0</v>
      </c>
      <c r="S98" s="127">
        <f t="shared" si="7"/>
        <v>0</v>
      </c>
      <c r="T98" s="126">
        <f t="shared" si="8"/>
        <v>0</v>
      </c>
      <c r="U98" s="128">
        <f t="shared" si="9"/>
        <v>0</v>
      </c>
    </row>
    <row r="99" spans="1:21" s="7" customFormat="1" ht="16" customHeight="1">
      <c r="A99" s="121" t="s">
        <v>3</v>
      </c>
      <c r="B99" s="122" t="str">
        <f>IF(ISNA(VLOOKUP($F99,Declarations!B$6:C$293,2,FALSE)),"",IF(VLOOKUP($F99,Declarations!B$6:C$293,2,FALSE)="","NOT DECLARED",IF(ISNA(_xlfn.TEXTBEFORE(VLOOKUP($F99,Declarations!B$6:C$293,2,FALSE)," ")),VLOOKUP($F99,Declarations!B$6:C$293,2,FALSE),_xlfn.TEXTBEFORE(VLOOKUP($F99,Declarations!B$6:C$293,2,FALSE)," "))))</f>
        <v/>
      </c>
      <c r="C99" s="122" t="str">
        <f>IF(ISNA(VLOOKUP($F99,Declarations!B$6:C$293,2,FALSE)),"",IF(VLOOKUP($F99,Declarations!B$6:C$293,2,FALSE)="","NOT DECLARED",IF(ISNA(_xlfn.TEXTAFTER(VLOOKUP($F99,Declarations!B$6:C$293,2,FALSE)," ")),VLOOKUP($F99,Declarations!B$6:C$293,2,FALSE),_xlfn.TEXTAFTER(VLOOKUP($F99,Declarations!B$6:C$293,2,FALSE)," "))))</f>
        <v/>
      </c>
      <c r="D99" s="122" t="str">
        <f>IF(ISNA(VLOOKUP($F99,Declarations!$B$6:$F$293,5,FALSE)),"",IF(VLOOKUP($F99,Declarations!$B$6:$F$293,5,FALSE)="","NOT DECLARED",VLOOKUP($F99,Declarations!$B$6:$F$293,5,FALSE)))</f>
        <v/>
      </c>
      <c r="E99" s="120" t="str">
        <f>IF(ISNA(VLOOKUP($F99,Declarations!$B$6:$D$293,3,FALSE)),"",IF(VLOOKUP($F99,Declarations!$B$6:$D$293,3,FALSE)="","NOT DECLARED",VLOOKUP($F99,Declarations!$B$6:$D$293,3,FALSE)&amp;LEFT(VLOOKUP($F99,Declarations!$B$6:$E$293,4,FALSE))))</f>
        <v/>
      </c>
      <c r="F99" s="59"/>
      <c r="G99" s="123">
        <v>0</v>
      </c>
      <c r="H99" s="322"/>
      <c r="I99" s="122" t="str">
        <f>IF(ISNA(VLOOKUP(F99,Declarations!B$6:C$293,2,FALSE)),"",IF(VLOOKUP(F99,Declarations!B$6:C$293,2,FALSE)="","NOTDECLARED",VLOOKUP(F99,Declarations!B$6:C$293,2,FALSE)))</f>
        <v/>
      </c>
      <c r="J99" s="124">
        <f>IF(LOWER(G99)="dnf",1,IF(U99&lt;ScoringTable!C$3,ScoringTable!I$2,VLOOKUP((1000-U99),ScoringTable!H$2:I$95,2)))</f>
        <v>0</v>
      </c>
      <c r="K99" s="120" t="str" cm="1">
        <f t="array" ref="K99">IF(OR(E99="",G99=""),"",_xlfn.IFS(E99="U10B",_xlfn.XLOOKUP(G99,Data!$D$3:$L$3,Data!$D$1:$L$1,"",1,1),E99="U12B",_xlfn.XLOOKUP(G99,Data!$D$9:$L$9,Data!$D$1:$L$1,"",1,1),E99="U10G",_xlfn.XLOOKUP(G99,Data!$D$16:$L$16,Data!$D$1:$L$1,"",1,1),E99="U12G",_xlfn.XLOOKUP(G99,Data!$D$22:$L$22,Data!$D$1:$L$1,"",1,1)))</f>
        <v/>
      </c>
      <c r="L99" s="184" t="str" cm="1">
        <f t="array" ref="L99">IFERROR(_xlfn.IFNA(
                      _xlfn.IFS(
                      G99="", "",
                      G99=0, "",
                      AND(E99="U10B",G99&lt;=Data!$M$3), "U10 Boys record",
                      AND(E99="U12B",G99&lt;=Data!$M$9), "U12 Boys record",
                      AND(E99="U10G",G99&lt;=Data!$M$16), "U10 Girls record",
                      AND(E99="U12G",G99&lt;=Data!$M$22), "U12 Girls record"
                       ),""), "")</f>
        <v/>
      </c>
      <c r="M99" s="19" cm="1">
        <f t="array" ref="M99">_xlfn.IFS(OR($G99="",$G99=0),0, AND(NOT(ISNUMBER($G99)),LOWER($G99)&lt;&gt;"dnf"),"Not a valid time",OR(LOWER($G99)="dnf",$G99&gt;ScoringTable!$N$161),1,RIGHT($E99,1)="B",_xlfn.XLOOKUP($G99,ScoringTable!$N$2:$N$161,ScoringTable!$L$2:$L$161,,1),TRUE,_xlfn.XLOOKUP($G99,ScoringTable!$T$2:$T$161,ScoringTable!$R$2:$R$161,,1))</f>
        <v>0</v>
      </c>
      <c r="Q99" s="125">
        <f t="shared" si="5"/>
        <v>0</v>
      </c>
      <c r="R99" s="126">
        <f t="shared" si="6"/>
        <v>0</v>
      </c>
      <c r="S99" s="127">
        <f t="shared" si="7"/>
        <v>0</v>
      </c>
      <c r="T99" s="126">
        <f t="shared" si="8"/>
        <v>0</v>
      </c>
      <c r="U99" s="128">
        <f t="shared" si="9"/>
        <v>0</v>
      </c>
    </row>
    <row r="100" spans="1:21" s="7" customFormat="1" ht="16" customHeight="1">
      <c r="A100" s="121" t="s">
        <v>3</v>
      </c>
      <c r="B100" s="122" t="str">
        <f>IF(ISNA(VLOOKUP($F100,Declarations!B$6:C$293,2,FALSE)),"",IF(VLOOKUP($F100,Declarations!B$6:C$293,2,FALSE)="","NOT DECLARED",IF(ISNA(_xlfn.TEXTBEFORE(VLOOKUP($F100,Declarations!B$6:C$293,2,FALSE)," ")),VLOOKUP($F100,Declarations!B$6:C$293,2,FALSE),_xlfn.TEXTBEFORE(VLOOKUP($F100,Declarations!B$6:C$293,2,FALSE)," "))))</f>
        <v/>
      </c>
      <c r="C100" s="122" t="str">
        <f>IF(ISNA(VLOOKUP($F100,Declarations!B$6:C$293,2,FALSE)),"",IF(VLOOKUP($F100,Declarations!B$6:C$293,2,FALSE)="","NOT DECLARED",IF(ISNA(_xlfn.TEXTAFTER(VLOOKUP($F100,Declarations!B$6:C$293,2,FALSE)," ")),VLOOKUP($F100,Declarations!B$6:C$293,2,FALSE),_xlfn.TEXTAFTER(VLOOKUP($F100,Declarations!B$6:C$293,2,FALSE)," "))))</f>
        <v/>
      </c>
      <c r="D100" s="122" t="str">
        <f>IF(ISNA(VLOOKUP($F100,Declarations!$B$6:$F$293,5,FALSE)),"",IF(VLOOKUP($F100,Declarations!$B$6:$F$293,5,FALSE)="","NOT DECLARED",VLOOKUP($F100,Declarations!$B$6:$F$293,5,FALSE)))</f>
        <v/>
      </c>
      <c r="E100" s="120" t="str">
        <f>IF(ISNA(VLOOKUP($F100,Declarations!$B$6:$D$293,3,FALSE)),"",IF(VLOOKUP($F100,Declarations!$B$6:$D$293,3,FALSE)="","NOT DECLARED",VLOOKUP($F100,Declarations!$B$6:$D$293,3,FALSE)&amp;LEFT(VLOOKUP($F100,Declarations!$B$6:$E$293,4,FALSE))))</f>
        <v/>
      </c>
      <c r="F100" s="59"/>
      <c r="G100" s="123">
        <v>0</v>
      </c>
      <c r="H100" s="322"/>
      <c r="I100" s="122" t="str">
        <f>IF(ISNA(VLOOKUP(F100,Declarations!B$6:C$293,2,FALSE)),"",IF(VLOOKUP(F100,Declarations!B$6:C$293,2,FALSE)="","NOTDECLARED",VLOOKUP(F100,Declarations!B$6:C$293,2,FALSE)))</f>
        <v/>
      </c>
      <c r="J100" s="124">
        <f>IF(LOWER(G100)="dnf",1,IF(U100&lt;ScoringTable!C$3,ScoringTable!I$2,VLOOKUP((1000-U100),ScoringTable!H$2:I$95,2)))</f>
        <v>0</v>
      </c>
      <c r="K100" s="120" t="str" cm="1">
        <f t="array" ref="K100">IF(OR(E100="",G100=""),"",_xlfn.IFS(E100="U10B",_xlfn.XLOOKUP(G100,Data!$D$3:$L$3,Data!$D$1:$L$1,"",1,1),E100="U12B",_xlfn.XLOOKUP(G100,Data!$D$9:$L$9,Data!$D$1:$L$1,"",1,1),E100="U10G",_xlfn.XLOOKUP(G100,Data!$D$16:$L$16,Data!$D$1:$L$1,"",1,1),E100="U12G",_xlfn.XLOOKUP(G100,Data!$D$22:$L$22,Data!$D$1:$L$1,"",1,1)))</f>
        <v/>
      </c>
      <c r="L100" s="184" t="str" cm="1">
        <f t="array" ref="L100">IFERROR(_xlfn.IFNA(
                      _xlfn.IFS(
                      G100="", "",
                      G100=0, "",
                      AND(E100="U10B",G100&lt;=Data!$M$3), "U10 Boys record",
                      AND(E100="U12B",G100&lt;=Data!$M$9), "U12 Boys record",
                      AND(E100="U10G",G100&lt;=Data!$M$16), "U10 Girls record",
                      AND(E100="U12G",G100&lt;=Data!$M$22), "U12 Girls record"
                       ),""), "")</f>
        <v/>
      </c>
      <c r="M100" s="19" cm="1">
        <f t="array" ref="M100">_xlfn.IFS(OR($G100="",$G100=0),0, AND(NOT(ISNUMBER($G100)),LOWER($G100)&lt;&gt;"dnf"),"Not a valid time",OR(LOWER($G100)="dnf",$G100&gt;ScoringTable!$N$161),1,RIGHT($E100,1)="B",_xlfn.XLOOKUP($G100,ScoringTable!$N$2:$N$161,ScoringTable!$L$2:$L$161,,1),TRUE,_xlfn.XLOOKUP($G100,ScoringTable!$T$2:$T$161,ScoringTable!$R$2:$R$161,,1))</f>
        <v>0</v>
      </c>
      <c r="Q100" s="125">
        <f t="shared" si="5"/>
        <v>0</v>
      </c>
      <c r="R100" s="126">
        <f t="shared" si="6"/>
        <v>0</v>
      </c>
      <c r="S100" s="127">
        <f t="shared" si="7"/>
        <v>0</v>
      </c>
      <c r="T100" s="126">
        <f t="shared" si="8"/>
        <v>0</v>
      </c>
      <c r="U100" s="128">
        <f t="shared" si="9"/>
        <v>0</v>
      </c>
    </row>
    <row r="101" spans="1:21" s="7" customFormat="1" ht="16" customHeight="1">
      <c r="A101" s="121" t="s">
        <v>3</v>
      </c>
      <c r="B101" s="122" t="str">
        <f>IF(ISNA(VLOOKUP($F101,Declarations!B$6:C$293,2,FALSE)),"",IF(VLOOKUP($F101,Declarations!B$6:C$293,2,FALSE)="","NOT DECLARED",IF(ISNA(_xlfn.TEXTBEFORE(VLOOKUP($F101,Declarations!B$6:C$293,2,FALSE)," ")),VLOOKUP($F101,Declarations!B$6:C$293,2,FALSE),_xlfn.TEXTBEFORE(VLOOKUP($F101,Declarations!B$6:C$293,2,FALSE)," "))))</f>
        <v/>
      </c>
      <c r="C101" s="122" t="str">
        <f>IF(ISNA(VLOOKUP($F101,Declarations!B$6:C$293,2,FALSE)),"",IF(VLOOKUP($F101,Declarations!B$6:C$293,2,FALSE)="","NOT DECLARED",IF(ISNA(_xlfn.TEXTAFTER(VLOOKUP($F101,Declarations!B$6:C$293,2,FALSE)," ")),VLOOKUP($F101,Declarations!B$6:C$293,2,FALSE),_xlfn.TEXTAFTER(VLOOKUP($F101,Declarations!B$6:C$293,2,FALSE)," "))))</f>
        <v/>
      </c>
      <c r="D101" s="122" t="str">
        <f>IF(ISNA(VLOOKUP($F101,Declarations!$B$6:$F$293,5,FALSE)),"",IF(VLOOKUP($F101,Declarations!$B$6:$F$293,5,FALSE)="","NOT DECLARED",VLOOKUP($F101,Declarations!$B$6:$F$293,5,FALSE)))</f>
        <v/>
      </c>
      <c r="E101" s="120" t="str">
        <f>IF(ISNA(VLOOKUP($F101,Declarations!$B$6:$D$293,3,FALSE)),"",IF(VLOOKUP($F101,Declarations!$B$6:$D$293,3,FALSE)="","NOT DECLARED",VLOOKUP($F101,Declarations!$B$6:$D$293,3,FALSE)&amp;LEFT(VLOOKUP($F101,Declarations!$B$6:$E$293,4,FALSE))))</f>
        <v/>
      </c>
      <c r="F101" s="59"/>
      <c r="G101" s="123">
        <v>0</v>
      </c>
      <c r="H101" s="322"/>
      <c r="I101" s="122" t="str">
        <f>IF(ISNA(VLOOKUP(F101,Declarations!B$6:C$293,2,FALSE)),"",IF(VLOOKUP(F101,Declarations!B$6:C$293,2,FALSE)="","NOTDECLARED",VLOOKUP(F101,Declarations!B$6:C$293,2,FALSE)))</f>
        <v/>
      </c>
      <c r="J101" s="124">
        <f>IF(LOWER(G101)="dnf",1,IF(U101&lt;ScoringTable!C$3,ScoringTable!I$2,VLOOKUP((1000-U101),ScoringTable!H$2:I$95,2)))</f>
        <v>0</v>
      </c>
      <c r="K101" s="120" t="str" cm="1">
        <f t="array" ref="K101">IF(OR(E101="",G101=""),"",_xlfn.IFS(E101="U10B",_xlfn.XLOOKUP(G101,Data!$D$3:$L$3,Data!$D$1:$L$1,"",1,1),E101="U12B",_xlfn.XLOOKUP(G101,Data!$D$9:$L$9,Data!$D$1:$L$1,"",1,1),E101="U10G",_xlfn.XLOOKUP(G101,Data!$D$16:$L$16,Data!$D$1:$L$1,"",1,1),E101="U12G",_xlfn.XLOOKUP(G101,Data!$D$22:$L$22,Data!$D$1:$L$1,"",1,1)))</f>
        <v/>
      </c>
      <c r="L101" s="184" t="str" cm="1">
        <f t="array" ref="L101">IFERROR(_xlfn.IFNA(
                      _xlfn.IFS(
                      G101="", "",
                      G101=0, "",
                      AND(E101="U10B",G101&lt;=Data!$M$3), "U10 Boys record",
                      AND(E101="U12B",G101&lt;=Data!$M$9), "U12 Boys record",
                      AND(E101="U10G",G101&lt;=Data!$M$16), "U10 Girls record",
                      AND(E101="U12G",G101&lt;=Data!$M$22), "U12 Girls record"
                       ),""), "")</f>
        <v/>
      </c>
      <c r="M101" s="19" cm="1">
        <f t="array" ref="M101">_xlfn.IFS(OR($G101="",$G101=0),0, AND(NOT(ISNUMBER($G101)),LOWER($G101)&lt;&gt;"dnf"),"Not a valid time",OR(LOWER($G101)="dnf",$G101&gt;ScoringTable!$N$161),1,RIGHT($E101,1)="B",_xlfn.XLOOKUP($G101,ScoringTable!$N$2:$N$161,ScoringTable!$L$2:$L$161,,1),TRUE,_xlfn.XLOOKUP($G101,ScoringTable!$T$2:$T$161,ScoringTable!$R$2:$R$161,,1))</f>
        <v>0</v>
      </c>
      <c r="Q101" s="125">
        <f t="shared" si="5"/>
        <v>0</v>
      </c>
      <c r="R101" s="126">
        <f t="shared" si="6"/>
        <v>0</v>
      </c>
      <c r="S101" s="127">
        <f t="shared" si="7"/>
        <v>0</v>
      </c>
      <c r="T101" s="126">
        <f t="shared" si="8"/>
        <v>0</v>
      </c>
      <c r="U101" s="128">
        <f t="shared" si="9"/>
        <v>0</v>
      </c>
    </row>
    <row r="102" spans="1:21" s="7" customFormat="1" ht="16" customHeight="1">
      <c r="A102" s="121" t="s">
        <v>3</v>
      </c>
      <c r="B102" s="122" t="str">
        <f>IF(ISNA(VLOOKUP($F102,Declarations!B$6:C$293,2,FALSE)),"",IF(VLOOKUP($F102,Declarations!B$6:C$293,2,FALSE)="","NOT DECLARED",IF(ISNA(_xlfn.TEXTBEFORE(VLOOKUP($F102,Declarations!B$6:C$293,2,FALSE)," ")),VLOOKUP($F102,Declarations!B$6:C$293,2,FALSE),_xlfn.TEXTBEFORE(VLOOKUP($F102,Declarations!B$6:C$293,2,FALSE)," "))))</f>
        <v/>
      </c>
      <c r="C102" s="122" t="str">
        <f>IF(ISNA(VLOOKUP($F102,Declarations!B$6:C$293,2,FALSE)),"",IF(VLOOKUP($F102,Declarations!B$6:C$293,2,FALSE)="","NOT DECLARED",IF(ISNA(_xlfn.TEXTAFTER(VLOOKUP($F102,Declarations!B$6:C$293,2,FALSE)," ")),VLOOKUP($F102,Declarations!B$6:C$293,2,FALSE),_xlfn.TEXTAFTER(VLOOKUP($F102,Declarations!B$6:C$293,2,FALSE)," "))))</f>
        <v/>
      </c>
      <c r="D102" s="122" t="str">
        <f>IF(ISNA(VLOOKUP($F102,Declarations!$B$6:$F$293,5,FALSE)),"",IF(VLOOKUP($F102,Declarations!$B$6:$F$293,5,FALSE)="","NOT DECLARED",VLOOKUP($F102,Declarations!$B$6:$F$293,5,FALSE)))</f>
        <v/>
      </c>
      <c r="E102" s="120" t="str">
        <f>IF(ISNA(VLOOKUP($F102,Declarations!$B$6:$D$293,3,FALSE)),"",IF(VLOOKUP($F102,Declarations!$B$6:$D$293,3,FALSE)="","NOT DECLARED",VLOOKUP($F102,Declarations!$B$6:$D$293,3,FALSE)&amp;LEFT(VLOOKUP($F102,Declarations!$B$6:$E$293,4,FALSE))))</f>
        <v/>
      </c>
      <c r="F102" s="59"/>
      <c r="G102" s="123">
        <v>0</v>
      </c>
      <c r="H102" s="322"/>
      <c r="I102" s="122" t="str">
        <f>IF(ISNA(VLOOKUP(F102,Declarations!B$6:C$293,2,FALSE)),"",IF(VLOOKUP(F102,Declarations!B$6:C$293,2,FALSE)="","NOTDECLARED",VLOOKUP(F102,Declarations!B$6:C$293,2,FALSE)))</f>
        <v/>
      </c>
      <c r="J102" s="124">
        <f>IF(LOWER(G102)="dnf",1,IF(U102&lt;ScoringTable!C$3,ScoringTable!I$2,VLOOKUP((1000-U102),ScoringTable!H$2:I$95,2)))</f>
        <v>0</v>
      </c>
      <c r="K102" s="120" t="str" cm="1">
        <f t="array" ref="K102">IF(OR(E102="",G102=""),"",_xlfn.IFS(E102="U10B",_xlfn.XLOOKUP(G102,Data!$D$3:$L$3,Data!$D$1:$L$1,"",1,1),E102="U12B",_xlfn.XLOOKUP(G102,Data!$D$9:$L$9,Data!$D$1:$L$1,"",1,1),E102="U10G",_xlfn.XLOOKUP(G102,Data!$D$16:$L$16,Data!$D$1:$L$1,"",1,1),E102="U12G",_xlfn.XLOOKUP(G102,Data!$D$22:$L$22,Data!$D$1:$L$1,"",1,1)))</f>
        <v/>
      </c>
      <c r="L102" s="184" t="str" cm="1">
        <f t="array" ref="L102">IFERROR(_xlfn.IFNA(
                      _xlfn.IFS(
                      G102="", "",
                      G102=0, "",
                      AND(E102="U10B",G102&lt;=Data!$M$3), "U10 Boys record",
                      AND(E102="U12B",G102&lt;=Data!$M$9), "U12 Boys record",
                      AND(E102="U10G",G102&lt;=Data!$M$16), "U10 Girls record",
                      AND(E102="U12G",G102&lt;=Data!$M$22), "U12 Girls record"
                       ),""), "")</f>
        <v/>
      </c>
      <c r="M102" s="19" cm="1">
        <f t="array" ref="M102">_xlfn.IFS(OR($G102="",$G102=0),0, AND(NOT(ISNUMBER($G102)),LOWER($G102)&lt;&gt;"dnf"),"Not a valid time",OR(LOWER($G102)="dnf",$G102&gt;ScoringTable!$N$161),1,RIGHT($E102,1)="B",_xlfn.XLOOKUP($G102,ScoringTable!$N$2:$N$161,ScoringTable!$L$2:$L$161,,1),TRUE,_xlfn.XLOOKUP($G102,ScoringTable!$T$2:$T$161,ScoringTable!$R$2:$R$161,,1))</f>
        <v>0</v>
      </c>
      <c r="Q102" s="125">
        <f t="shared" si="5"/>
        <v>0</v>
      </c>
      <c r="R102" s="126">
        <f t="shared" si="6"/>
        <v>0</v>
      </c>
      <c r="S102" s="127">
        <f t="shared" si="7"/>
        <v>0</v>
      </c>
      <c r="T102" s="126">
        <f t="shared" si="8"/>
        <v>0</v>
      </c>
      <c r="U102" s="128">
        <f t="shared" si="9"/>
        <v>0</v>
      </c>
    </row>
    <row r="103" spans="1:21" s="7" customFormat="1" ht="16" customHeight="1">
      <c r="A103" s="121" t="s">
        <v>3</v>
      </c>
      <c r="B103" s="122" t="str">
        <f>IF(ISNA(VLOOKUP($F103,Declarations!B$6:C$293,2,FALSE)),"",IF(VLOOKUP($F103,Declarations!B$6:C$293,2,FALSE)="","NOT DECLARED",IF(ISNA(_xlfn.TEXTBEFORE(VLOOKUP($F103,Declarations!B$6:C$293,2,FALSE)," ")),VLOOKUP($F103,Declarations!B$6:C$293,2,FALSE),_xlfn.TEXTBEFORE(VLOOKUP($F103,Declarations!B$6:C$293,2,FALSE)," "))))</f>
        <v/>
      </c>
      <c r="C103" s="122" t="str">
        <f>IF(ISNA(VLOOKUP($F103,Declarations!B$6:C$293,2,FALSE)),"",IF(VLOOKUP($F103,Declarations!B$6:C$293,2,FALSE)="","NOT DECLARED",IF(ISNA(_xlfn.TEXTAFTER(VLOOKUP($F103,Declarations!B$6:C$293,2,FALSE)," ")),VLOOKUP($F103,Declarations!B$6:C$293,2,FALSE),_xlfn.TEXTAFTER(VLOOKUP($F103,Declarations!B$6:C$293,2,FALSE)," "))))</f>
        <v/>
      </c>
      <c r="D103" s="122" t="str">
        <f>IF(ISNA(VLOOKUP($F103,Declarations!$B$6:$F$293,5,FALSE)),"",IF(VLOOKUP($F103,Declarations!$B$6:$F$293,5,FALSE)="","NOT DECLARED",VLOOKUP($F103,Declarations!$B$6:$F$293,5,FALSE)))</f>
        <v/>
      </c>
      <c r="E103" s="120" t="str">
        <f>IF(ISNA(VLOOKUP($F103,Declarations!$B$6:$D$293,3,FALSE)),"",IF(VLOOKUP($F103,Declarations!$B$6:$D$293,3,FALSE)="","NOT DECLARED",VLOOKUP($F103,Declarations!$B$6:$D$293,3,FALSE)&amp;LEFT(VLOOKUP($F103,Declarations!$B$6:$E$293,4,FALSE))))</f>
        <v/>
      </c>
      <c r="F103" s="59"/>
      <c r="G103" s="123">
        <v>0</v>
      </c>
      <c r="H103" s="322"/>
      <c r="I103" s="122" t="str">
        <f>IF(ISNA(VLOOKUP(F103,Declarations!B$6:C$293,2,FALSE)),"",IF(VLOOKUP(F103,Declarations!B$6:C$293,2,FALSE)="","NOTDECLARED",VLOOKUP(F103,Declarations!B$6:C$293,2,FALSE)))</f>
        <v/>
      </c>
      <c r="J103" s="124">
        <f>IF(LOWER(G103)="dnf",1,IF(U103&lt;ScoringTable!C$3,ScoringTable!I$2,VLOOKUP((1000-U103),ScoringTable!H$2:I$95,2)))</f>
        <v>0</v>
      </c>
      <c r="K103" s="120" t="str" cm="1">
        <f t="array" ref="K103">IF(OR(E103="",G103=""),"",_xlfn.IFS(E103="U10B",_xlfn.XLOOKUP(G103,Data!$D$3:$L$3,Data!$D$1:$L$1,"",1,1),E103="U12B",_xlfn.XLOOKUP(G103,Data!$D$9:$L$9,Data!$D$1:$L$1,"",1,1),E103="U10G",_xlfn.XLOOKUP(G103,Data!$D$16:$L$16,Data!$D$1:$L$1,"",1,1),E103="U12G",_xlfn.XLOOKUP(G103,Data!$D$22:$L$22,Data!$D$1:$L$1,"",1,1)))</f>
        <v/>
      </c>
      <c r="L103" s="184" t="str" cm="1">
        <f t="array" ref="L103">IFERROR(_xlfn.IFNA(
                      _xlfn.IFS(
                      G103="", "",
                      G103=0, "",
                      AND(E103="U10B",G103&lt;=Data!$M$3), "U10 Boys record",
                      AND(E103="U12B",G103&lt;=Data!$M$9), "U12 Boys record",
                      AND(E103="U10G",G103&lt;=Data!$M$16), "U10 Girls record",
                      AND(E103="U12G",G103&lt;=Data!$M$22), "U12 Girls record"
                       ),""), "")</f>
        <v/>
      </c>
      <c r="M103" s="19" cm="1">
        <f t="array" ref="M103">_xlfn.IFS(OR($G103="",$G103=0),0, AND(NOT(ISNUMBER($G103)),LOWER($G103)&lt;&gt;"dnf"),"Not a valid time",OR(LOWER($G103)="dnf",$G103&gt;ScoringTable!$N$161),1,RIGHT($E103,1)="B",_xlfn.XLOOKUP($G103,ScoringTable!$N$2:$N$161,ScoringTable!$L$2:$L$161,,1),TRUE,_xlfn.XLOOKUP($G103,ScoringTable!$T$2:$T$161,ScoringTable!$R$2:$R$161,,1))</f>
        <v>0</v>
      </c>
      <c r="Q103" s="125">
        <f t="shared" si="5"/>
        <v>0</v>
      </c>
      <c r="R103" s="126">
        <f t="shared" si="6"/>
        <v>0</v>
      </c>
      <c r="S103" s="127">
        <f t="shared" si="7"/>
        <v>0</v>
      </c>
      <c r="T103" s="126">
        <f t="shared" si="8"/>
        <v>0</v>
      </c>
      <c r="U103" s="128">
        <f t="shared" si="9"/>
        <v>0</v>
      </c>
    </row>
    <row r="104" spans="1:21" s="7" customFormat="1" ht="16" customHeight="1">
      <c r="A104" s="121" t="s">
        <v>3</v>
      </c>
      <c r="B104" s="122" t="str">
        <f>IF(ISNA(VLOOKUP($F104,Declarations!B$6:C$293,2,FALSE)),"",IF(VLOOKUP($F104,Declarations!B$6:C$293,2,FALSE)="","NOT DECLARED",IF(ISNA(_xlfn.TEXTBEFORE(VLOOKUP($F104,Declarations!B$6:C$293,2,FALSE)," ")),VLOOKUP($F104,Declarations!B$6:C$293,2,FALSE),_xlfn.TEXTBEFORE(VLOOKUP($F104,Declarations!B$6:C$293,2,FALSE)," "))))</f>
        <v/>
      </c>
      <c r="C104" s="122" t="str">
        <f>IF(ISNA(VLOOKUP($F104,Declarations!B$6:C$293,2,FALSE)),"",IF(VLOOKUP($F104,Declarations!B$6:C$293,2,FALSE)="","NOT DECLARED",IF(ISNA(_xlfn.TEXTAFTER(VLOOKUP($F104,Declarations!B$6:C$293,2,FALSE)," ")),VLOOKUP($F104,Declarations!B$6:C$293,2,FALSE),_xlfn.TEXTAFTER(VLOOKUP($F104,Declarations!B$6:C$293,2,FALSE)," "))))</f>
        <v/>
      </c>
      <c r="D104" s="122" t="str">
        <f>IF(ISNA(VLOOKUP($F104,Declarations!$B$6:$F$293,5,FALSE)),"",IF(VLOOKUP($F104,Declarations!$B$6:$F$293,5,FALSE)="","NOT DECLARED",VLOOKUP($F104,Declarations!$B$6:$F$293,5,FALSE)))</f>
        <v/>
      </c>
      <c r="E104" s="120" t="str">
        <f>IF(ISNA(VLOOKUP($F104,Declarations!$B$6:$D$293,3,FALSE)),"",IF(VLOOKUP($F104,Declarations!$B$6:$D$293,3,FALSE)="","NOT DECLARED",VLOOKUP($F104,Declarations!$B$6:$D$293,3,FALSE)&amp;LEFT(VLOOKUP($F104,Declarations!$B$6:$E$293,4,FALSE))))</f>
        <v/>
      </c>
      <c r="F104" s="59"/>
      <c r="G104" s="123">
        <v>0</v>
      </c>
      <c r="H104" s="322"/>
      <c r="I104" s="122" t="str">
        <f>IF(ISNA(VLOOKUP(F104,Declarations!B$6:C$293,2,FALSE)),"",IF(VLOOKUP(F104,Declarations!B$6:C$293,2,FALSE)="","NOTDECLARED",VLOOKUP(F104,Declarations!B$6:C$293,2,FALSE)))</f>
        <v/>
      </c>
      <c r="J104" s="124">
        <f>IF(LOWER(G104)="dnf",1,IF(U104&lt;ScoringTable!C$3,ScoringTable!I$2,VLOOKUP((1000-U104),ScoringTable!H$2:I$95,2)))</f>
        <v>0</v>
      </c>
      <c r="K104" s="120" t="str" cm="1">
        <f t="array" ref="K104">IF(OR(E104="",G104=""),"",_xlfn.IFS(E104="U10B",_xlfn.XLOOKUP(G104,Data!$D$3:$L$3,Data!$D$1:$L$1,"",1,1),E104="U12B",_xlfn.XLOOKUP(G104,Data!$D$9:$L$9,Data!$D$1:$L$1,"",1,1),E104="U10G",_xlfn.XLOOKUP(G104,Data!$D$16:$L$16,Data!$D$1:$L$1,"",1,1),E104="U12G",_xlfn.XLOOKUP(G104,Data!$D$22:$L$22,Data!$D$1:$L$1,"",1,1)))</f>
        <v/>
      </c>
      <c r="L104" s="184" t="str" cm="1">
        <f t="array" ref="L104">IFERROR(_xlfn.IFNA(
                      _xlfn.IFS(
                      G104="", "",
                      G104=0, "",
                      AND(E104="U10B",G104&lt;=Data!$M$3), "U10 Boys record",
                      AND(E104="U12B",G104&lt;=Data!$M$9), "U12 Boys record",
                      AND(E104="U10G",G104&lt;=Data!$M$16), "U10 Girls record",
                      AND(E104="U12G",G104&lt;=Data!$M$22), "U12 Girls record"
                       ),""), "")</f>
        <v/>
      </c>
      <c r="M104" s="19" cm="1">
        <f t="array" ref="M104">_xlfn.IFS(OR($G104="",$G104=0),0, AND(NOT(ISNUMBER($G104)),LOWER($G104)&lt;&gt;"dnf"),"Not a valid time",OR(LOWER($G104)="dnf",$G104&gt;ScoringTable!$N$161),1,RIGHT($E104,1)="B",_xlfn.XLOOKUP($G104,ScoringTable!$N$2:$N$161,ScoringTable!$L$2:$L$161,,1),TRUE,_xlfn.XLOOKUP($G104,ScoringTable!$T$2:$T$161,ScoringTable!$R$2:$R$161,,1))</f>
        <v>0</v>
      </c>
      <c r="Q104" s="125">
        <f t="shared" si="5"/>
        <v>0</v>
      </c>
      <c r="R104" s="126">
        <f t="shared" si="6"/>
        <v>0</v>
      </c>
      <c r="S104" s="127">
        <f t="shared" si="7"/>
        <v>0</v>
      </c>
      <c r="T104" s="126">
        <f t="shared" si="8"/>
        <v>0</v>
      </c>
      <c r="U104" s="128">
        <f t="shared" si="9"/>
        <v>0</v>
      </c>
    </row>
    <row r="105" spans="1:21" s="7" customFormat="1" ht="16" customHeight="1">
      <c r="A105" s="121" t="s">
        <v>3</v>
      </c>
      <c r="B105" s="122" t="str">
        <f>IF(ISNA(VLOOKUP($F105,Declarations!B$6:C$293,2,FALSE)),"",IF(VLOOKUP($F105,Declarations!B$6:C$293,2,FALSE)="","NOT DECLARED",IF(ISNA(_xlfn.TEXTBEFORE(VLOOKUP($F105,Declarations!B$6:C$293,2,FALSE)," ")),VLOOKUP($F105,Declarations!B$6:C$293,2,FALSE),_xlfn.TEXTBEFORE(VLOOKUP($F105,Declarations!B$6:C$293,2,FALSE)," "))))</f>
        <v/>
      </c>
      <c r="C105" s="122" t="str">
        <f>IF(ISNA(VLOOKUP($F105,Declarations!B$6:C$293,2,FALSE)),"",IF(VLOOKUP($F105,Declarations!B$6:C$293,2,FALSE)="","NOT DECLARED",IF(ISNA(_xlfn.TEXTAFTER(VLOOKUP($F105,Declarations!B$6:C$293,2,FALSE)," ")),VLOOKUP($F105,Declarations!B$6:C$293,2,FALSE),_xlfn.TEXTAFTER(VLOOKUP($F105,Declarations!B$6:C$293,2,FALSE)," "))))</f>
        <v/>
      </c>
      <c r="D105" s="122" t="str">
        <f>IF(ISNA(VLOOKUP($F105,Declarations!$B$6:$F$293,5,FALSE)),"",IF(VLOOKUP($F105,Declarations!$B$6:$F$293,5,FALSE)="","NOT DECLARED",VLOOKUP($F105,Declarations!$B$6:$F$293,5,FALSE)))</f>
        <v/>
      </c>
      <c r="E105" s="120" t="str">
        <f>IF(ISNA(VLOOKUP($F105,Declarations!$B$6:$D$293,3,FALSE)),"",IF(VLOOKUP($F105,Declarations!$B$6:$D$293,3,FALSE)="","NOT DECLARED",VLOOKUP($F105,Declarations!$B$6:$D$293,3,FALSE)&amp;LEFT(VLOOKUP($F105,Declarations!$B$6:$E$293,4,FALSE))))</f>
        <v/>
      </c>
      <c r="F105" s="59"/>
      <c r="G105" s="123">
        <v>0</v>
      </c>
      <c r="H105" s="322"/>
      <c r="I105" s="122" t="str">
        <f>IF(ISNA(VLOOKUP(F105,Declarations!B$6:C$293,2,FALSE)),"",IF(VLOOKUP(F105,Declarations!B$6:C$293,2,FALSE)="","NOTDECLARED",VLOOKUP(F105,Declarations!B$6:C$293,2,FALSE)))</f>
        <v/>
      </c>
      <c r="J105" s="124">
        <f>IF(LOWER(G105)="dnf",1,IF(U105&lt;ScoringTable!C$3,ScoringTable!I$2,VLOOKUP((1000-U105),ScoringTable!H$2:I$95,2)))</f>
        <v>0</v>
      </c>
      <c r="K105" s="120" t="str" cm="1">
        <f t="array" ref="K105">IF(OR(E105="",G105=""),"",_xlfn.IFS(E105="U10B",_xlfn.XLOOKUP(G105,Data!$D$3:$L$3,Data!$D$1:$L$1,"",1,1),E105="U12B",_xlfn.XLOOKUP(G105,Data!$D$9:$L$9,Data!$D$1:$L$1,"",1,1),E105="U10G",_xlfn.XLOOKUP(G105,Data!$D$16:$L$16,Data!$D$1:$L$1,"",1,1),E105="U12G",_xlfn.XLOOKUP(G105,Data!$D$22:$L$22,Data!$D$1:$L$1,"",1,1)))</f>
        <v/>
      </c>
      <c r="L105" s="184" t="str" cm="1">
        <f t="array" ref="L105">IFERROR(_xlfn.IFNA(
                      _xlfn.IFS(
                      G105="", "",
                      G105=0, "",
                      AND(E105="U10B",G105&lt;=Data!$M$3), "U10 Boys record",
                      AND(E105="U12B",G105&lt;=Data!$M$9), "U12 Boys record",
                      AND(E105="U10G",G105&lt;=Data!$M$16), "U10 Girls record",
                      AND(E105="U12G",G105&lt;=Data!$M$22), "U12 Girls record"
                       ),""), "")</f>
        <v/>
      </c>
      <c r="M105" s="19" cm="1">
        <f t="array" ref="M105">_xlfn.IFS(OR($G105="",$G105=0),0, AND(NOT(ISNUMBER($G105)),LOWER($G105)&lt;&gt;"dnf"),"Not a valid time",OR(LOWER($G105)="dnf",$G105&gt;ScoringTable!$N$161),1,RIGHT($E105,1)="B",_xlfn.XLOOKUP($G105,ScoringTable!$N$2:$N$161,ScoringTable!$L$2:$L$161,,1),TRUE,_xlfn.XLOOKUP($G105,ScoringTable!$T$2:$T$161,ScoringTable!$R$2:$R$161,,1))</f>
        <v>0</v>
      </c>
      <c r="Q105" s="125">
        <f t="shared" si="5"/>
        <v>0</v>
      </c>
      <c r="R105" s="126">
        <f t="shared" si="6"/>
        <v>0</v>
      </c>
      <c r="S105" s="127">
        <f t="shared" si="7"/>
        <v>0</v>
      </c>
      <c r="T105" s="126">
        <f t="shared" si="8"/>
        <v>0</v>
      </c>
      <c r="U105" s="128">
        <f t="shared" si="9"/>
        <v>0</v>
      </c>
    </row>
    <row r="106" spans="1:21" s="7" customFormat="1" ht="16" customHeight="1">
      <c r="A106" s="121" t="s">
        <v>3</v>
      </c>
      <c r="B106" s="122" t="str">
        <f>IF(ISNA(VLOOKUP($F106,Declarations!B$6:C$293,2,FALSE)),"",IF(VLOOKUP($F106,Declarations!B$6:C$293,2,FALSE)="","NOT DECLARED",IF(ISNA(_xlfn.TEXTBEFORE(VLOOKUP($F106,Declarations!B$6:C$293,2,FALSE)," ")),VLOOKUP($F106,Declarations!B$6:C$293,2,FALSE),_xlfn.TEXTBEFORE(VLOOKUP($F106,Declarations!B$6:C$293,2,FALSE)," "))))</f>
        <v/>
      </c>
      <c r="C106" s="122" t="str">
        <f>IF(ISNA(VLOOKUP($F106,Declarations!B$6:C$293,2,FALSE)),"",IF(VLOOKUP($F106,Declarations!B$6:C$293,2,FALSE)="","NOT DECLARED",IF(ISNA(_xlfn.TEXTAFTER(VLOOKUP($F106,Declarations!B$6:C$293,2,FALSE)," ")),VLOOKUP($F106,Declarations!B$6:C$293,2,FALSE),_xlfn.TEXTAFTER(VLOOKUP($F106,Declarations!B$6:C$293,2,FALSE)," "))))</f>
        <v/>
      </c>
      <c r="D106" s="122" t="str">
        <f>IF(ISNA(VLOOKUP($F106,Declarations!$B$6:$F$293,5,FALSE)),"",IF(VLOOKUP($F106,Declarations!$B$6:$F$293,5,FALSE)="","NOT DECLARED",VLOOKUP($F106,Declarations!$B$6:$F$293,5,FALSE)))</f>
        <v/>
      </c>
      <c r="E106" s="120" t="str">
        <f>IF(ISNA(VLOOKUP($F106,Declarations!$B$6:$D$293,3,FALSE)),"",IF(VLOOKUP($F106,Declarations!$B$6:$D$293,3,FALSE)="","NOT DECLARED",VLOOKUP($F106,Declarations!$B$6:$D$293,3,FALSE)&amp;LEFT(VLOOKUP($F106,Declarations!$B$6:$E$293,4,FALSE))))</f>
        <v/>
      </c>
      <c r="F106" s="59"/>
      <c r="G106" s="123">
        <v>0</v>
      </c>
      <c r="H106" s="322"/>
      <c r="I106" s="122" t="str">
        <f>IF(ISNA(VLOOKUP(F106,Declarations!B$6:C$293,2,FALSE)),"",IF(VLOOKUP(F106,Declarations!B$6:C$293,2,FALSE)="","NOTDECLARED",VLOOKUP(F106,Declarations!B$6:C$293,2,FALSE)))</f>
        <v/>
      </c>
      <c r="J106" s="124">
        <f>IF(LOWER(G106)="dnf",1,IF(U106&lt;ScoringTable!C$3,ScoringTable!I$2,VLOOKUP((1000-U106),ScoringTable!H$2:I$95,2)))</f>
        <v>0</v>
      </c>
      <c r="K106" s="120" t="str" cm="1">
        <f t="array" ref="K106">IF(OR(E106="",G106=""),"",_xlfn.IFS(E106="U10B",_xlfn.XLOOKUP(G106,Data!$D$3:$L$3,Data!$D$1:$L$1,"",1,1),E106="U12B",_xlfn.XLOOKUP(G106,Data!$D$9:$L$9,Data!$D$1:$L$1,"",1,1),E106="U10G",_xlfn.XLOOKUP(G106,Data!$D$16:$L$16,Data!$D$1:$L$1,"",1,1),E106="U12G",_xlfn.XLOOKUP(G106,Data!$D$22:$L$22,Data!$D$1:$L$1,"",1,1)))</f>
        <v/>
      </c>
      <c r="L106" s="184" t="str" cm="1">
        <f t="array" ref="L106">IFERROR(_xlfn.IFNA(
                      _xlfn.IFS(
                      G106="", "",
                      G106=0, "",
                      AND(E106="U10B",G106&lt;=Data!$M$3), "U10 Boys record",
                      AND(E106="U12B",G106&lt;=Data!$M$9), "U12 Boys record",
                      AND(E106="U10G",G106&lt;=Data!$M$16), "U10 Girls record",
                      AND(E106="U12G",G106&lt;=Data!$M$22), "U12 Girls record"
                       ),""), "")</f>
        <v/>
      </c>
      <c r="M106" s="19" cm="1">
        <f t="array" ref="M106">_xlfn.IFS(OR($G106="",$G106=0),0, AND(NOT(ISNUMBER($G106)),LOWER($G106)&lt;&gt;"dnf"),"Not a valid time",OR(LOWER($G106)="dnf",$G106&gt;ScoringTable!$N$161),1,RIGHT($E106,1)="B",_xlfn.XLOOKUP($G106,ScoringTable!$N$2:$N$161,ScoringTable!$L$2:$L$161,,1),TRUE,_xlfn.XLOOKUP($G106,ScoringTable!$T$2:$T$161,ScoringTable!$R$2:$R$161,,1))</f>
        <v>0</v>
      </c>
      <c r="Q106" s="125">
        <f t="shared" si="5"/>
        <v>0</v>
      </c>
      <c r="R106" s="126">
        <f t="shared" si="6"/>
        <v>0</v>
      </c>
      <c r="S106" s="127">
        <f t="shared" si="7"/>
        <v>0</v>
      </c>
      <c r="T106" s="126">
        <f t="shared" si="8"/>
        <v>0</v>
      </c>
      <c r="U106" s="128">
        <f t="shared" si="9"/>
        <v>0</v>
      </c>
    </row>
    <row r="107" spans="1:21" s="7" customFormat="1" ht="16" customHeight="1">
      <c r="A107" s="121" t="s">
        <v>3</v>
      </c>
      <c r="B107" s="122" t="str">
        <f>IF(ISNA(VLOOKUP($F107,Declarations!B$6:C$293,2,FALSE)),"",IF(VLOOKUP($F107,Declarations!B$6:C$293,2,FALSE)="","NOT DECLARED",IF(ISNA(_xlfn.TEXTBEFORE(VLOOKUP($F107,Declarations!B$6:C$293,2,FALSE)," ")),VLOOKUP($F107,Declarations!B$6:C$293,2,FALSE),_xlfn.TEXTBEFORE(VLOOKUP($F107,Declarations!B$6:C$293,2,FALSE)," "))))</f>
        <v/>
      </c>
      <c r="C107" s="122" t="str">
        <f>IF(ISNA(VLOOKUP($F107,Declarations!B$6:C$293,2,FALSE)),"",IF(VLOOKUP($F107,Declarations!B$6:C$293,2,FALSE)="","NOT DECLARED",IF(ISNA(_xlfn.TEXTAFTER(VLOOKUP($F107,Declarations!B$6:C$293,2,FALSE)," ")),VLOOKUP($F107,Declarations!B$6:C$293,2,FALSE),_xlfn.TEXTAFTER(VLOOKUP($F107,Declarations!B$6:C$293,2,FALSE)," "))))</f>
        <v/>
      </c>
      <c r="D107" s="122" t="str">
        <f>IF(ISNA(VLOOKUP($F107,Declarations!$B$6:$F$293,5,FALSE)),"",IF(VLOOKUP($F107,Declarations!$B$6:$F$293,5,FALSE)="","NOT DECLARED",VLOOKUP($F107,Declarations!$B$6:$F$293,5,FALSE)))</f>
        <v/>
      </c>
      <c r="E107" s="120" t="str">
        <f>IF(ISNA(VLOOKUP($F107,Declarations!$B$6:$D$293,3,FALSE)),"",IF(VLOOKUP($F107,Declarations!$B$6:$D$293,3,FALSE)="","NOT DECLARED",VLOOKUP($F107,Declarations!$B$6:$D$293,3,FALSE)&amp;LEFT(VLOOKUP($F107,Declarations!$B$6:$E$293,4,FALSE))))</f>
        <v/>
      </c>
      <c r="F107" s="59"/>
      <c r="G107" s="123">
        <v>0</v>
      </c>
      <c r="H107" s="322"/>
      <c r="I107" s="122" t="str">
        <f>IF(ISNA(VLOOKUP(F107,Declarations!B$6:C$293,2,FALSE)),"",IF(VLOOKUP(F107,Declarations!B$6:C$293,2,FALSE)="","NOTDECLARED",VLOOKUP(F107,Declarations!B$6:C$293,2,FALSE)))</f>
        <v/>
      </c>
      <c r="J107" s="124">
        <f>IF(LOWER(G107)="dnf",1,IF(U107&lt;ScoringTable!C$3,ScoringTable!I$2,VLOOKUP((1000-U107),ScoringTable!H$2:I$95,2)))</f>
        <v>0</v>
      </c>
      <c r="K107" s="120" t="str" cm="1">
        <f t="array" ref="K107">IF(OR(E107="",G107=""),"",_xlfn.IFS(E107="U10B",_xlfn.XLOOKUP(G107,Data!$D$3:$L$3,Data!$D$1:$L$1,"",1,1),E107="U12B",_xlfn.XLOOKUP(G107,Data!$D$9:$L$9,Data!$D$1:$L$1,"",1,1),E107="U10G",_xlfn.XLOOKUP(G107,Data!$D$16:$L$16,Data!$D$1:$L$1,"",1,1),E107="U12G",_xlfn.XLOOKUP(G107,Data!$D$22:$L$22,Data!$D$1:$L$1,"",1,1)))</f>
        <v/>
      </c>
      <c r="L107" s="184" t="str" cm="1">
        <f t="array" ref="L107">IFERROR(_xlfn.IFNA(
                      _xlfn.IFS(
                      G107="", "",
                      G107=0, "",
                      AND(E107="U10B",G107&lt;=Data!$M$3), "U10 Boys record",
                      AND(E107="U12B",G107&lt;=Data!$M$9), "U12 Boys record",
                      AND(E107="U10G",G107&lt;=Data!$M$16), "U10 Girls record",
                      AND(E107="U12G",G107&lt;=Data!$M$22), "U12 Girls record"
                       ),""), "")</f>
        <v/>
      </c>
      <c r="M107" s="19" cm="1">
        <f t="array" ref="M107">_xlfn.IFS(OR($G107="",$G107=0),0, AND(NOT(ISNUMBER($G107)),LOWER($G107)&lt;&gt;"dnf"),"Not a valid time",OR(LOWER($G107)="dnf",$G107&gt;ScoringTable!$N$161),1,RIGHT($E107,1)="B",_xlfn.XLOOKUP($G107,ScoringTable!$N$2:$N$161,ScoringTable!$L$2:$L$161,,1),TRUE,_xlfn.XLOOKUP($G107,ScoringTable!$T$2:$T$161,ScoringTable!$R$2:$R$161,,1))</f>
        <v>0</v>
      </c>
      <c r="Q107" s="125">
        <f t="shared" si="5"/>
        <v>0</v>
      </c>
      <c r="R107" s="126">
        <f t="shared" si="6"/>
        <v>0</v>
      </c>
      <c r="S107" s="127">
        <f t="shared" si="7"/>
        <v>0</v>
      </c>
      <c r="T107" s="126">
        <f t="shared" si="8"/>
        <v>0</v>
      </c>
      <c r="U107" s="128">
        <f t="shared" si="9"/>
        <v>0</v>
      </c>
    </row>
    <row r="108" spans="1:21" s="7" customFormat="1" ht="16" customHeight="1">
      <c r="A108" s="121" t="s">
        <v>3</v>
      </c>
      <c r="B108" s="122" t="str">
        <f>IF(ISNA(VLOOKUP($F108,Declarations!B$6:C$293,2,FALSE)),"",IF(VLOOKUP($F108,Declarations!B$6:C$293,2,FALSE)="","NOT DECLARED",IF(ISNA(_xlfn.TEXTBEFORE(VLOOKUP($F108,Declarations!B$6:C$293,2,FALSE)," ")),VLOOKUP($F108,Declarations!B$6:C$293,2,FALSE),_xlfn.TEXTBEFORE(VLOOKUP($F108,Declarations!B$6:C$293,2,FALSE)," "))))</f>
        <v/>
      </c>
      <c r="C108" s="122" t="str">
        <f>IF(ISNA(VLOOKUP($F108,Declarations!B$6:C$293,2,FALSE)),"",IF(VLOOKUP($F108,Declarations!B$6:C$293,2,FALSE)="","NOT DECLARED",IF(ISNA(_xlfn.TEXTAFTER(VLOOKUP($F108,Declarations!B$6:C$293,2,FALSE)," ")),VLOOKUP($F108,Declarations!B$6:C$293,2,FALSE),_xlfn.TEXTAFTER(VLOOKUP($F108,Declarations!B$6:C$293,2,FALSE)," "))))</f>
        <v/>
      </c>
      <c r="D108" s="122" t="str">
        <f>IF(ISNA(VLOOKUP($F108,Declarations!$B$6:$F$293,5,FALSE)),"",IF(VLOOKUP($F108,Declarations!$B$6:$F$293,5,FALSE)="","NOT DECLARED",VLOOKUP($F108,Declarations!$B$6:$F$293,5,FALSE)))</f>
        <v/>
      </c>
      <c r="E108" s="120" t="str">
        <f>IF(ISNA(VLOOKUP($F108,Declarations!$B$6:$D$293,3,FALSE)),"",IF(VLOOKUP($F108,Declarations!$B$6:$D$293,3,FALSE)="","NOT DECLARED",VLOOKUP($F108,Declarations!$B$6:$D$293,3,FALSE)&amp;LEFT(VLOOKUP($F108,Declarations!$B$6:$E$293,4,FALSE))))</f>
        <v/>
      </c>
      <c r="F108" s="59"/>
      <c r="G108" s="123">
        <v>0</v>
      </c>
      <c r="H108" s="322"/>
      <c r="I108" s="122" t="str">
        <f>IF(ISNA(VLOOKUP(F108,Declarations!B$6:C$293,2,FALSE)),"",IF(VLOOKUP(F108,Declarations!B$6:C$293,2,FALSE)="","NOTDECLARED",VLOOKUP(F108,Declarations!B$6:C$293,2,FALSE)))</f>
        <v/>
      </c>
      <c r="J108" s="124">
        <f>IF(LOWER(G108)="dnf",1,IF(U108&lt;ScoringTable!C$3,ScoringTable!I$2,VLOOKUP((1000-U108),ScoringTable!H$2:I$95,2)))</f>
        <v>0</v>
      </c>
      <c r="K108" s="120" t="str" cm="1">
        <f t="array" ref="K108">IF(OR(E108="",G108=""),"",_xlfn.IFS(E108="U10B",_xlfn.XLOOKUP(G108,Data!$D$3:$L$3,Data!$D$1:$L$1,"",1,1),E108="U12B",_xlfn.XLOOKUP(G108,Data!$D$9:$L$9,Data!$D$1:$L$1,"",1,1),E108="U10G",_xlfn.XLOOKUP(G108,Data!$D$16:$L$16,Data!$D$1:$L$1,"",1,1),E108="U12G",_xlfn.XLOOKUP(G108,Data!$D$22:$L$22,Data!$D$1:$L$1,"",1,1)))</f>
        <v/>
      </c>
      <c r="L108" s="184" t="str" cm="1">
        <f t="array" ref="L108">IFERROR(_xlfn.IFNA(
                      _xlfn.IFS(
                      G108="", "",
                      G108=0, "",
                      AND(E108="U10B",G108&lt;=Data!$M$3), "U10 Boys record",
                      AND(E108="U12B",G108&lt;=Data!$M$9), "U12 Boys record",
                      AND(E108="U10G",G108&lt;=Data!$M$16), "U10 Girls record",
                      AND(E108="U12G",G108&lt;=Data!$M$22), "U12 Girls record"
                       ),""), "")</f>
        <v/>
      </c>
      <c r="M108" s="19" cm="1">
        <f t="array" ref="M108">_xlfn.IFS(OR($G108="",$G108=0),0, AND(NOT(ISNUMBER($G108)),LOWER($G108)&lt;&gt;"dnf"),"Not a valid time",OR(LOWER($G108)="dnf",$G108&gt;ScoringTable!$N$161),1,RIGHT($E108,1)="B",_xlfn.XLOOKUP($G108,ScoringTable!$N$2:$N$161,ScoringTable!$L$2:$L$161,,1),TRUE,_xlfn.XLOOKUP($G108,ScoringTable!$T$2:$T$161,ScoringTable!$R$2:$R$161,,1))</f>
        <v>0</v>
      </c>
      <c r="Q108" s="125">
        <f t="shared" si="5"/>
        <v>0</v>
      </c>
      <c r="R108" s="126">
        <f t="shared" si="6"/>
        <v>0</v>
      </c>
      <c r="S108" s="127">
        <f t="shared" si="7"/>
        <v>0</v>
      </c>
      <c r="T108" s="126">
        <f t="shared" si="8"/>
        <v>0</v>
      </c>
      <c r="U108" s="128">
        <f t="shared" si="9"/>
        <v>0</v>
      </c>
    </row>
    <row r="109" spans="1:21" s="7" customFormat="1" ht="16" customHeight="1">
      <c r="A109" s="121" t="s">
        <v>3</v>
      </c>
      <c r="B109" s="122" t="str">
        <f>IF(ISNA(VLOOKUP($F109,Declarations!B$6:C$293,2,FALSE)),"",IF(VLOOKUP($F109,Declarations!B$6:C$293,2,FALSE)="","NOT DECLARED",IF(ISNA(_xlfn.TEXTBEFORE(VLOOKUP($F109,Declarations!B$6:C$293,2,FALSE)," ")),VLOOKUP($F109,Declarations!B$6:C$293,2,FALSE),_xlfn.TEXTBEFORE(VLOOKUP($F109,Declarations!B$6:C$293,2,FALSE)," "))))</f>
        <v/>
      </c>
      <c r="C109" s="122" t="str">
        <f>IF(ISNA(VLOOKUP($F109,Declarations!B$6:C$293,2,FALSE)),"",IF(VLOOKUP($F109,Declarations!B$6:C$293,2,FALSE)="","NOT DECLARED",IF(ISNA(_xlfn.TEXTAFTER(VLOOKUP($F109,Declarations!B$6:C$293,2,FALSE)," ")),VLOOKUP($F109,Declarations!B$6:C$293,2,FALSE),_xlfn.TEXTAFTER(VLOOKUP($F109,Declarations!B$6:C$293,2,FALSE)," "))))</f>
        <v/>
      </c>
      <c r="D109" s="122" t="str">
        <f>IF(ISNA(VLOOKUP($F109,Declarations!$B$6:$F$293,5,FALSE)),"",IF(VLOOKUP($F109,Declarations!$B$6:$F$293,5,FALSE)="","NOT DECLARED",VLOOKUP($F109,Declarations!$B$6:$F$293,5,FALSE)))</f>
        <v/>
      </c>
      <c r="E109" s="120" t="str">
        <f>IF(ISNA(VLOOKUP($F109,Declarations!$B$6:$D$293,3,FALSE)),"",IF(VLOOKUP($F109,Declarations!$B$6:$D$293,3,FALSE)="","NOT DECLARED",VLOOKUP($F109,Declarations!$B$6:$D$293,3,FALSE)&amp;LEFT(VLOOKUP($F109,Declarations!$B$6:$E$293,4,FALSE))))</f>
        <v/>
      </c>
      <c r="F109" s="59"/>
      <c r="G109" s="123">
        <v>0</v>
      </c>
      <c r="H109" s="322"/>
      <c r="I109" s="122" t="str">
        <f>IF(ISNA(VLOOKUP(F109,Declarations!B$6:C$293,2,FALSE)),"",IF(VLOOKUP(F109,Declarations!B$6:C$293,2,FALSE)="","NOTDECLARED",VLOOKUP(F109,Declarations!B$6:C$293,2,FALSE)))</f>
        <v/>
      </c>
      <c r="J109" s="124">
        <f>IF(LOWER(G109)="dnf",1,IF(U109&lt;ScoringTable!C$3,ScoringTable!I$2,VLOOKUP((1000-U109),ScoringTable!H$2:I$95,2)))</f>
        <v>0</v>
      </c>
      <c r="K109" s="120" t="str" cm="1">
        <f t="array" ref="K109">IF(OR(E109="",G109=""),"",_xlfn.IFS(E109="U10B",_xlfn.XLOOKUP(G109,Data!$D$3:$L$3,Data!$D$1:$L$1,"",1,1),E109="U12B",_xlfn.XLOOKUP(G109,Data!$D$9:$L$9,Data!$D$1:$L$1,"",1,1),E109="U10G",_xlfn.XLOOKUP(G109,Data!$D$16:$L$16,Data!$D$1:$L$1,"",1,1),E109="U12G",_xlfn.XLOOKUP(G109,Data!$D$22:$L$22,Data!$D$1:$L$1,"",1,1)))</f>
        <v/>
      </c>
      <c r="L109" s="184" t="str" cm="1">
        <f t="array" ref="L109">IFERROR(_xlfn.IFNA(
                      _xlfn.IFS(
                      G109="", "",
                      G109=0, "",
                      AND(E109="U10B",G109&lt;=Data!$M$3), "U10 Boys record",
                      AND(E109="U12B",G109&lt;=Data!$M$9), "U12 Boys record",
                      AND(E109="U10G",G109&lt;=Data!$M$16), "U10 Girls record",
                      AND(E109="U12G",G109&lt;=Data!$M$22), "U12 Girls record"
                       ),""), "")</f>
        <v/>
      </c>
      <c r="M109" s="19" cm="1">
        <f t="array" ref="M109">_xlfn.IFS(OR($G109="",$G109=0),0, AND(NOT(ISNUMBER($G109)),LOWER($G109)&lt;&gt;"dnf"),"Not a valid time",OR(LOWER($G109)="dnf",$G109&gt;ScoringTable!$N$161),1,RIGHT($E109,1)="B",_xlfn.XLOOKUP($G109,ScoringTable!$N$2:$N$161,ScoringTable!$L$2:$L$161,,1),TRUE,_xlfn.XLOOKUP($G109,ScoringTable!$T$2:$T$161,ScoringTable!$R$2:$R$161,,1))</f>
        <v>0</v>
      </c>
      <c r="Q109" s="125">
        <f t="shared" si="5"/>
        <v>0</v>
      </c>
      <c r="R109" s="126">
        <f t="shared" si="6"/>
        <v>0</v>
      </c>
      <c r="S109" s="127">
        <f t="shared" si="7"/>
        <v>0</v>
      </c>
      <c r="T109" s="126">
        <f t="shared" si="8"/>
        <v>0</v>
      </c>
      <c r="U109" s="128">
        <f t="shared" si="9"/>
        <v>0</v>
      </c>
    </row>
    <row r="110" spans="1:21" s="7" customFormat="1" ht="16" customHeight="1">
      <c r="A110" s="121" t="s">
        <v>3</v>
      </c>
      <c r="B110" s="122" t="str">
        <f>IF(ISNA(VLOOKUP($F110,Declarations!B$6:C$293,2,FALSE)),"",IF(VLOOKUP($F110,Declarations!B$6:C$293,2,FALSE)="","NOT DECLARED",IF(ISNA(_xlfn.TEXTBEFORE(VLOOKUP($F110,Declarations!B$6:C$293,2,FALSE)," ")),VLOOKUP($F110,Declarations!B$6:C$293,2,FALSE),_xlfn.TEXTBEFORE(VLOOKUP($F110,Declarations!B$6:C$293,2,FALSE)," "))))</f>
        <v/>
      </c>
      <c r="C110" s="122" t="str">
        <f>IF(ISNA(VLOOKUP($F110,Declarations!B$6:C$293,2,FALSE)),"",IF(VLOOKUP($F110,Declarations!B$6:C$293,2,FALSE)="","NOT DECLARED",IF(ISNA(_xlfn.TEXTAFTER(VLOOKUP($F110,Declarations!B$6:C$293,2,FALSE)," ")),VLOOKUP($F110,Declarations!B$6:C$293,2,FALSE),_xlfn.TEXTAFTER(VLOOKUP($F110,Declarations!B$6:C$293,2,FALSE)," "))))</f>
        <v/>
      </c>
      <c r="D110" s="122" t="str">
        <f>IF(ISNA(VLOOKUP($F110,Declarations!$B$6:$F$293,5,FALSE)),"",IF(VLOOKUP($F110,Declarations!$B$6:$F$293,5,FALSE)="","NOT DECLARED",VLOOKUP($F110,Declarations!$B$6:$F$293,5,FALSE)))</f>
        <v/>
      </c>
      <c r="E110" s="120" t="str">
        <f>IF(ISNA(VLOOKUP($F110,Declarations!$B$6:$D$293,3,FALSE)),"",IF(VLOOKUP($F110,Declarations!$B$6:$D$293,3,FALSE)="","NOT DECLARED",VLOOKUP($F110,Declarations!$B$6:$D$293,3,FALSE)&amp;LEFT(VLOOKUP($F110,Declarations!$B$6:$E$293,4,FALSE))))</f>
        <v/>
      </c>
      <c r="F110" s="59"/>
      <c r="G110" s="123">
        <v>0</v>
      </c>
      <c r="H110" s="322"/>
      <c r="I110" s="122" t="str">
        <f>IF(ISNA(VLOOKUP(F110,Declarations!B$6:C$293,2,FALSE)),"",IF(VLOOKUP(F110,Declarations!B$6:C$293,2,FALSE)="","NOTDECLARED",VLOOKUP(F110,Declarations!B$6:C$293,2,FALSE)))</f>
        <v/>
      </c>
      <c r="J110" s="124">
        <f>IF(LOWER(G110)="dnf",1,IF(U110&lt;ScoringTable!C$3,ScoringTable!I$2,VLOOKUP((1000-U110),ScoringTable!H$2:I$95,2)))</f>
        <v>0</v>
      </c>
      <c r="K110" s="120" t="str" cm="1">
        <f t="array" ref="K110">IF(OR(E110="",G110=""),"",_xlfn.IFS(E110="U10B",_xlfn.XLOOKUP(G110,Data!$D$3:$L$3,Data!$D$1:$L$1,"",1,1),E110="U12B",_xlfn.XLOOKUP(G110,Data!$D$9:$L$9,Data!$D$1:$L$1,"",1,1),E110="U10G",_xlfn.XLOOKUP(G110,Data!$D$16:$L$16,Data!$D$1:$L$1,"",1,1),E110="U12G",_xlfn.XLOOKUP(G110,Data!$D$22:$L$22,Data!$D$1:$L$1,"",1,1)))</f>
        <v/>
      </c>
      <c r="L110" s="184" t="str" cm="1">
        <f t="array" ref="L110">IFERROR(_xlfn.IFNA(
                      _xlfn.IFS(
                      G110="", "",
                      G110=0, "",
                      AND(E110="U10B",G110&lt;=Data!$M$3), "U10 Boys record",
                      AND(E110="U12B",G110&lt;=Data!$M$9), "U12 Boys record",
                      AND(E110="U10G",G110&lt;=Data!$M$16), "U10 Girls record",
                      AND(E110="U12G",G110&lt;=Data!$M$22), "U12 Girls record"
                       ),""), "")</f>
        <v/>
      </c>
      <c r="M110" s="19" cm="1">
        <f t="array" ref="M110">_xlfn.IFS(OR($G110="",$G110=0),0, AND(NOT(ISNUMBER($G110)),LOWER($G110)&lt;&gt;"dnf"),"Not a valid time",OR(LOWER($G110)="dnf",$G110&gt;ScoringTable!$N$161),1,RIGHT($E110,1)="B",_xlfn.XLOOKUP($G110,ScoringTable!$N$2:$N$161,ScoringTable!$L$2:$L$161,,1),TRUE,_xlfn.XLOOKUP($G110,ScoringTable!$T$2:$T$161,ScoringTable!$R$2:$R$161,,1))</f>
        <v>0</v>
      </c>
      <c r="Q110" s="125">
        <f t="shared" si="5"/>
        <v>0</v>
      </c>
      <c r="R110" s="126">
        <f t="shared" si="6"/>
        <v>0</v>
      </c>
      <c r="S110" s="127">
        <f t="shared" si="7"/>
        <v>0</v>
      </c>
      <c r="T110" s="126">
        <f t="shared" si="8"/>
        <v>0</v>
      </c>
      <c r="U110" s="128">
        <f t="shared" si="9"/>
        <v>0</v>
      </c>
    </row>
    <row r="111" spans="1:21" s="7" customFormat="1" ht="16" customHeight="1">
      <c r="A111" s="121" t="s">
        <v>3</v>
      </c>
      <c r="B111" s="122" t="str">
        <f>IF(ISNA(VLOOKUP($F111,Declarations!B$6:C$293,2,FALSE)),"",IF(VLOOKUP($F111,Declarations!B$6:C$293,2,FALSE)="","NOT DECLARED",IF(ISNA(_xlfn.TEXTBEFORE(VLOOKUP($F111,Declarations!B$6:C$293,2,FALSE)," ")),VLOOKUP($F111,Declarations!B$6:C$293,2,FALSE),_xlfn.TEXTBEFORE(VLOOKUP($F111,Declarations!B$6:C$293,2,FALSE)," "))))</f>
        <v/>
      </c>
      <c r="C111" s="122" t="str">
        <f>IF(ISNA(VLOOKUP($F111,Declarations!B$6:C$293,2,FALSE)),"",IF(VLOOKUP($F111,Declarations!B$6:C$293,2,FALSE)="","NOT DECLARED",IF(ISNA(_xlfn.TEXTAFTER(VLOOKUP($F111,Declarations!B$6:C$293,2,FALSE)," ")),VLOOKUP($F111,Declarations!B$6:C$293,2,FALSE),_xlfn.TEXTAFTER(VLOOKUP($F111,Declarations!B$6:C$293,2,FALSE)," "))))</f>
        <v/>
      </c>
      <c r="D111" s="122" t="str">
        <f>IF(ISNA(VLOOKUP($F111,Declarations!$B$6:$F$293,5,FALSE)),"",IF(VLOOKUP($F111,Declarations!$B$6:$F$293,5,FALSE)="","NOT DECLARED",VLOOKUP($F111,Declarations!$B$6:$F$293,5,FALSE)))</f>
        <v/>
      </c>
      <c r="E111" s="120" t="str">
        <f>IF(ISNA(VLOOKUP($F111,Declarations!$B$6:$D$293,3,FALSE)),"",IF(VLOOKUP($F111,Declarations!$B$6:$D$293,3,FALSE)="","NOT DECLARED",VLOOKUP($F111,Declarations!$B$6:$D$293,3,FALSE)&amp;LEFT(VLOOKUP($F111,Declarations!$B$6:$E$293,4,FALSE))))</f>
        <v/>
      </c>
      <c r="F111" s="59"/>
      <c r="G111" s="123">
        <v>0</v>
      </c>
      <c r="H111" s="322"/>
      <c r="I111" s="122" t="str">
        <f>IF(ISNA(VLOOKUP(F111,Declarations!B$6:C$293,2,FALSE)),"",IF(VLOOKUP(F111,Declarations!B$6:C$293,2,FALSE)="","NOTDECLARED",VLOOKUP(F111,Declarations!B$6:C$293,2,FALSE)))</f>
        <v/>
      </c>
      <c r="J111" s="124">
        <f>IF(LOWER(G111)="dnf",1,IF(U111&lt;ScoringTable!C$3,ScoringTable!I$2,VLOOKUP((1000-U111),ScoringTable!H$2:I$95,2)))</f>
        <v>0</v>
      </c>
      <c r="K111" s="120" t="str" cm="1">
        <f t="array" ref="K111">IF(OR(E111="",G111=""),"",_xlfn.IFS(E111="U10B",_xlfn.XLOOKUP(G111,Data!$D$3:$L$3,Data!$D$1:$L$1,"",1,1),E111="U12B",_xlfn.XLOOKUP(G111,Data!$D$9:$L$9,Data!$D$1:$L$1,"",1,1),E111="U10G",_xlfn.XLOOKUP(G111,Data!$D$16:$L$16,Data!$D$1:$L$1,"",1,1),E111="U12G",_xlfn.XLOOKUP(G111,Data!$D$22:$L$22,Data!$D$1:$L$1,"",1,1)))</f>
        <v/>
      </c>
      <c r="L111" s="184" t="str" cm="1">
        <f t="array" ref="L111">IFERROR(_xlfn.IFNA(
                      _xlfn.IFS(
                      G111="", "",
                      G111=0, "",
                      AND(E111="U10B",G111&lt;=Data!$M$3), "U10 Boys record",
                      AND(E111="U12B",G111&lt;=Data!$M$9), "U12 Boys record",
                      AND(E111="U10G",G111&lt;=Data!$M$16), "U10 Girls record",
                      AND(E111="U12G",G111&lt;=Data!$M$22), "U12 Girls record"
                       ),""), "")</f>
        <v/>
      </c>
      <c r="M111" s="19" cm="1">
        <f t="array" ref="M111">_xlfn.IFS(OR($G111="",$G111=0),0, AND(NOT(ISNUMBER($G111)),LOWER($G111)&lt;&gt;"dnf"),"Not a valid time",OR(LOWER($G111)="dnf",$G111&gt;ScoringTable!$N$161),1,RIGHT($E111,1)="B",_xlfn.XLOOKUP($G111,ScoringTable!$N$2:$N$161,ScoringTable!$L$2:$L$161,,1),TRUE,_xlfn.XLOOKUP($G111,ScoringTable!$T$2:$T$161,ScoringTable!$R$2:$R$161,,1))</f>
        <v>0</v>
      </c>
      <c r="Q111" s="125">
        <f t="shared" si="5"/>
        <v>0</v>
      </c>
      <c r="R111" s="126">
        <f t="shared" si="6"/>
        <v>0</v>
      </c>
      <c r="S111" s="127">
        <f t="shared" si="7"/>
        <v>0</v>
      </c>
      <c r="T111" s="126">
        <f t="shared" si="8"/>
        <v>0</v>
      </c>
      <c r="U111" s="128">
        <f t="shared" si="9"/>
        <v>0</v>
      </c>
    </row>
    <row r="112" spans="1:21" s="7" customFormat="1" ht="16" customHeight="1">
      <c r="A112" s="121" t="s">
        <v>3</v>
      </c>
      <c r="B112" s="122" t="str">
        <f>IF(ISNA(VLOOKUP($F112,Declarations!B$6:C$293,2,FALSE)),"",IF(VLOOKUP($F112,Declarations!B$6:C$293,2,FALSE)="","NOT DECLARED",IF(ISNA(_xlfn.TEXTBEFORE(VLOOKUP($F112,Declarations!B$6:C$293,2,FALSE)," ")),VLOOKUP($F112,Declarations!B$6:C$293,2,FALSE),_xlfn.TEXTBEFORE(VLOOKUP($F112,Declarations!B$6:C$293,2,FALSE)," "))))</f>
        <v/>
      </c>
      <c r="C112" s="122" t="str">
        <f>IF(ISNA(VLOOKUP($F112,Declarations!B$6:C$293,2,FALSE)),"",IF(VLOOKUP($F112,Declarations!B$6:C$293,2,FALSE)="","NOT DECLARED",IF(ISNA(_xlfn.TEXTAFTER(VLOOKUP($F112,Declarations!B$6:C$293,2,FALSE)," ")),VLOOKUP($F112,Declarations!B$6:C$293,2,FALSE),_xlfn.TEXTAFTER(VLOOKUP($F112,Declarations!B$6:C$293,2,FALSE)," "))))</f>
        <v/>
      </c>
      <c r="D112" s="122" t="str">
        <f>IF(ISNA(VLOOKUP($F112,Declarations!$B$6:$F$293,5,FALSE)),"",IF(VLOOKUP($F112,Declarations!$B$6:$F$293,5,FALSE)="","NOT DECLARED",VLOOKUP($F112,Declarations!$B$6:$F$293,5,FALSE)))</f>
        <v/>
      </c>
      <c r="E112" s="120" t="str">
        <f>IF(ISNA(VLOOKUP($F112,Declarations!$B$6:$D$293,3,FALSE)),"",IF(VLOOKUP($F112,Declarations!$B$6:$D$293,3,FALSE)="","NOT DECLARED",VLOOKUP($F112,Declarations!$B$6:$D$293,3,FALSE)&amp;LEFT(VLOOKUP($F112,Declarations!$B$6:$E$293,4,FALSE))))</f>
        <v/>
      </c>
      <c r="F112" s="59"/>
      <c r="G112" s="123">
        <v>0</v>
      </c>
      <c r="H112" s="322"/>
      <c r="I112" s="122" t="str">
        <f>IF(ISNA(VLOOKUP(F112,Declarations!B$6:C$293,2,FALSE)),"",IF(VLOOKUP(F112,Declarations!B$6:C$293,2,FALSE)="","NOTDECLARED",VLOOKUP(F112,Declarations!B$6:C$293,2,FALSE)))</f>
        <v/>
      </c>
      <c r="J112" s="124">
        <f>IF(LOWER(G112)="dnf",1,IF(U112&lt;ScoringTable!C$3,ScoringTable!I$2,VLOOKUP((1000-U112),ScoringTable!H$2:I$95,2)))</f>
        <v>0</v>
      </c>
      <c r="K112" s="120" t="str" cm="1">
        <f t="array" ref="K112">IF(OR(E112="",G112=""),"",_xlfn.IFS(E112="U10B",_xlfn.XLOOKUP(G112,Data!$D$3:$L$3,Data!$D$1:$L$1,"",1,1),E112="U12B",_xlfn.XLOOKUP(G112,Data!$D$9:$L$9,Data!$D$1:$L$1,"",1,1),E112="U10G",_xlfn.XLOOKUP(G112,Data!$D$16:$L$16,Data!$D$1:$L$1,"",1,1),E112="U12G",_xlfn.XLOOKUP(G112,Data!$D$22:$L$22,Data!$D$1:$L$1,"",1,1)))</f>
        <v/>
      </c>
      <c r="L112" s="184" t="str" cm="1">
        <f t="array" ref="L112">IFERROR(_xlfn.IFNA(
                      _xlfn.IFS(
                      G112="", "",
                      G112=0, "",
                      AND(E112="U10B",G112&lt;=Data!$M$3), "U10 Boys record",
                      AND(E112="U12B",G112&lt;=Data!$M$9), "U12 Boys record",
                      AND(E112="U10G",G112&lt;=Data!$M$16), "U10 Girls record",
                      AND(E112="U12G",G112&lt;=Data!$M$22), "U12 Girls record"
                       ),""), "")</f>
        <v/>
      </c>
      <c r="M112" s="19" cm="1">
        <f t="array" ref="M112">_xlfn.IFS(OR($G112="",$G112=0),0, AND(NOT(ISNUMBER($G112)),LOWER($G112)&lt;&gt;"dnf"),"Not a valid time",OR(LOWER($G112)="dnf",$G112&gt;ScoringTable!$N$161),1,RIGHT($E112,1)="B",_xlfn.XLOOKUP($G112,ScoringTable!$N$2:$N$161,ScoringTable!$L$2:$L$161,,1),TRUE,_xlfn.XLOOKUP($G112,ScoringTable!$T$2:$T$161,ScoringTable!$R$2:$R$161,,1))</f>
        <v>0</v>
      </c>
      <c r="Q112" s="125">
        <f t="shared" si="5"/>
        <v>0</v>
      </c>
      <c r="R112" s="126">
        <f t="shared" si="6"/>
        <v>0</v>
      </c>
      <c r="S112" s="127">
        <f t="shared" si="7"/>
        <v>0</v>
      </c>
      <c r="T112" s="126">
        <f t="shared" si="8"/>
        <v>0</v>
      </c>
      <c r="U112" s="128">
        <f t="shared" si="9"/>
        <v>0</v>
      </c>
    </row>
    <row r="113" spans="1:21" s="7" customFormat="1" ht="16" customHeight="1">
      <c r="A113" s="121" t="s">
        <v>3</v>
      </c>
      <c r="B113" s="122" t="str">
        <f>IF(ISNA(VLOOKUP($F113,Declarations!B$6:C$293,2,FALSE)),"",IF(VLOOKUP($F113,Declarations!B$6:C$293,2,FALSE)="","NOT DECLARED",IF(ISNA(_xlfn.TEXTBEFORE(VLOOKUP($F113,Declarations!B$6:C$293,2,FALSE)," ")),VLOOKUP($F113,Declarations!B$6:C$293,2,FALSE),_xlfn.TEXTBEFORE(VLOOKUP($F113,Declarations!B$6:C$293,2,FALSE)," "))))</f>
        <v/>
      </c>
      <c r="C113" s="122" t="str">
        <f>IF(ISNA(VLOOKUP($F113,Declarations!B$6:C$293,2,FALSE)),"",IF(VLOOKUP($F113,Declarations!B$6:C$293,2,FALSE)="","NOT DECLARED",IF(ISNA(_xlfn.TEXTAFTER(VLOOKUP($F113,Declarations!B$6:C$293,2,FALSE)," ")),VLOOKUP($F113,Declarations!B$6:C$293,2,FALSE),_xlfn.TEXTAFTER(VLOOKUP($F113,Declarations!B$6:C$293,2,FALSE)," "))))</f>
        <v/>
      </c>
      <c r="D113" s="122" t="str">
        <f>IF(ISNA(VLOOKUP($F113,Declarations!$B$6:$F$293,5,FALSE)),"",IF(VLOOKUP($F113,Declarations!$B$6:$F$293,5,FALSE)="","NOT DECLARED",VLOOKUP($F113,Declarations!$B$6:$F$293,5,FALSE)))</f>
        <v/>
      </c>
      <c r="E113" s="120" t="str">
        <f>IF(ISNA(VLOOKUP($F113,Declarations!$B$6:$D$293,3,FALSE)),"",IF(VLOOKUP($F113,Declarations!$B$6:$D$293,3,FALSE)="","NOT DECLARED",VLOOKUP($F113,Declarations!$B$6:$D$293,3,FALSE)&amp;LEFT(VLOOKUP($F113,Declarations!$B$6:$E$293,4,FALSE))))</f>
        <v/>
      </c>
      <c r="F113" s="59"/>
      <c r="G113" s="123">
        <v>0</v>
      </c>
      <c r="H113" s="322"/>
      <c r="I113" s="122" t="str">
        <f>IF(ISNA(VLOOKUP(F113,Declarations!B$6:C$293,2,FALSE)),"",IF(VLOOKUP(F113,Declarations!B$6:C$293,2,FALSE)="","NOTDECLARED",VLOOKUP(F113,Declarations!B$6:C$293,2,FALSE)))</f>
        <v/>
      </c>
      <c r="J113" s="124">
        <f>IF(LOWER(G113)="dnf",1,IF(U113&lt;ScoringTable!C$3,ScoringTable!I$2,VLOOKUP((1000-U113),ScoringTable!H$2:I$95,2)))</f>
        <v>0</v>
      </c>
      <c r="K113" s="120" t="str" cm="1">
        <f t="array" ref="K113">IF(OR(E113="",G113=""),"",_xlfn.IFS(E113="U10B",_xlfn.XLOOKUP(G113,Data!$D$3:$L$3,Data!$D$1:$L$1,"",1,1),E113="U12B",_xlfn.XLOOKUP(G113,Data!$D$9:$L$9,Data!$D$1:$L$1,"",1,1),E113="U10G",_xlfn.XLOOKUP(G113,Data!$D$16:$L$16,Data!$D$1:$L$1,"",1,1),E113="U12G",_xlfn.XLOOKUP(G113,Data!$D$22:$L$22,Data!$D$1:$L$1,"",1,1)))</f>
        <v/>
      </c>
      <c r="L113" s="184" t="str" cm="1">
        <f t="array" ref="L113">IFERROR(_xlfn.IFNA(
                      _xlfn.IFS(
                      G113="", "",
                      G113=0, "",
                      AND(E113="U10B",G113&lt;=Data!$M$3), "U10 Boys record",
                      AND(E113="U12B",G113&lt;=Data!$M$9), "U12 Boys record",
                      AND(E113="U10G",G113&lt;=Data!$M$16), "U10 Girls record",
                      AND(E113="U12G",G113&lt;=Data!$M$22), "U12 Girls record"
                       ),""), "")</f>
        <v/>
      </c>
      <c r="M113" s="19" cm="1">
        <f t="array" ref="M113">_xlfn.IFS(OR($G113="",$G113=0),0, AND(NOT(ISNUMBER($G113)),LOWER($G113)&lt;&gt;"dnf"),"Not a valid time",OR(LOWER($G113)="dnf",$G113&gt;ScoringTable!$N$161),1,RIGHT($E113,1)="B",_xlfn.XLOOKUP($G113,ScoringTable!$N$2:$N$161,ScoringTable!$L$2:$L$161,,1),TRUE,_xlfn.XLOOKUP($G113,ScoringTable!$T$2:$T$161,ScoringTable!$R$2:$R$161,,1))</f>
        <v>0</v>
      </c>
      <c r="Q113" s="125">
        <f t="shared" si="5"/>
        <v>0</v>
      </c>
      <c r="R113" s="126">
        <f t="shared" si="6"/>
        <v>0</v>
      </c>
      <c r="S113" s="127">
        <f t="shared" si="7"/>
        <v>0</v>
      </c>
      <c r="T113" s="126">
        <f t="shared" si="8"/>
        <v>0</v>
      </c>
      <c r="U113" s="128">
        <f t="shared" si="9"/>
        <v>0</v>
      </c>
    </row>
    <row r="114" spans="1:21" s="7" customFormat="1" ht="16" customHeight="1">
      <c r="A114" s="121" t="s">
        <v>3</v>
      </c>
      <c r="B114" s="122" t="str">
        <f>IF(ISNA(VLOOKUP($F114,Declarations!B$6:C$293,2,FALSE)),"",IF(VLOOKUP($F114,Declarations!B$6:C$293,2,FALSE)="","NOT DECLARED",IF(ISNA(_xlfn.TEXTBEFORE(VLOOKUP($F114,Declarations!B$6:C$293,2,FALSE)," ")),VLOOKUP($F114,Declarations!B$6:C$293,2,FALSE),_xlfn.TEXTBEFORE(VLOOKUP($F114,Declarations!B$6:C$293,2,FALSE)," "))))</f>
        <v/>
      </c>
      <c r="C114" s="122" t="str">
        <f>IF(ISNA(VLOOKUP($F114,Declarations!B$6:C$293,2,FALSE)),"",IF(VLOOKUP($F114,Declarations!B$6:C$293,2,FALSE)="","NOT DECLARED",IF(ISNA(_xlfn.TEXTAFTER(VLOOKUP($F114,Declarations!B$6:C$293,2,FALSE)," ")),VLOOKUP($F114,Declarations!B$6:C$293,2,FALSE),_xlfn.TEXTAFTER(VLOOKUP($F114,Declarations!B$6:C$293,2,FALSE)," "))))</f>
        <v/>
      </c>
      <c r="D114" s="122" t="str">
        <f>IF(ISNA(VLOOKUP($F114,Declarations!$B$6:$F$293,5,FALSE)),"",IF(VLOOKUP($F114,Declarations!$B$6:$F$293,5,FALSE)="","NOT DECLARED",VLOOKUP($F114,Declarations!$B$6:$F$293,5,FALSE)))</f>
        <v/>
      </c>
      <c r="E114" s="120" t="str">
        <f>IF(ISNA(VLOOKUP($F114,Declarations!$B$6:$D$293,3,FALSE)),"",IF(VLOOKUP($F114,Declarations!$B$6:$D$293,3,FALSE)="","NOT DECLARED",VLOOKUP($F114,Declarations!$B$6:$D$293,3,FALSE)&amp;LEFT(VLOOKUP($F114,Declarations!$B$6:$E$293,4,FALSE))))</f>
        <v/>
      </c>
      <c r="F114" s="59"/>
      <c r="G114" s="123">
        <v>0</v>
      </c>
      <c r="H114" s="322"/>
      <c r="I114" s="122" t="str">
        <f>IF(ISNA(VLOOKUP(F114,Declarations!B$6:C$293,2,FALSE)),"",IF(VLOOKUP(F114,Declarations!B$6:C$293,2,FALSE)="","NOTDECLARED",VLOOKUP(F114,Declarations!B$6:C$293,2,FALSE)))</f>
        <v/>
      </c>
      <c r="J114" s="124">
        <f>IF(LOWER(G114)="dnf",1,IF(U114&lt;ScoringTable!C$3,ScoringTable!I$2,VLOOKUP((1000-U114),ScoringTable!H$2:I$95,2)))</f>
        <v>0</v>
      </c>
      <c r="K114" s="120" t="str" cm="1">
        <f t="array" ref="K114">IF(OR(E114="",G114=""),"",_xlfn.IFS(E114="U10B",_xlfn.XLOOKUP(G114,Data!$D$3:$L$3,Data!$D$1:$L$1,"",1,1),E114="U12B",_xlfn.XLOOKUP(G114,Data!$D$9:$L$9,Data!$D$1:$L$1,"",1,1),E114="U10G",_xlfn.XLOOKUP(G114,Data!$D$16:$L$16,Data!$D$1:$L$1,"",1,1),E114="U12G",_xlfn.XLOOKUP(G114,Data!$D$22:$L$22,Data!$D$1:$L$1,"",1,1)))</f>
        <v/>
      </c>
      <c r="L114" s="184" t="str" cm="1">
        <f t="array" ref="L114">IFERROR(_xlfn.IFNA(
                      _xlfn.IFS(
                      G114="", "",
                      G114=0, "",
                      AND(E114="U10B",G114&lt;=Data!$M$3), "U10 Boys record",
                      AND(E114="U12B",G114&lt;=Data!$M$9), "U12 Boys record",
                      AND(E114="U10G",G114&lt;=Data!$M$16), "U10 Girls record",
                      AND(E114="U12G",G114&lt;=Data!$M$22), "U12 Girls record"
                       ),""), "")</f>
        <v/>
      </c>
      <c r="M114" s="19" cm="1">
        <f t="array" ref="M114">_xlfn.IFS(OR($G114="",$G114=0),0, AND(NOT(ISNUMBER($G114)),LOWER($G114)&lt;&gt;"dnf"),"Not a valid time",OR(LOWER($G114)="dnf",$G114&gt;ScoringTable!$N$161),1,RIGHT($E114,1)="B",_xlfn.XLOOKUP($G114,ScoringTable!$N$2:$N$161,ScoringTable!$L$2:$L$161,,1),TRUE,_xlfn.XLOOKUP($G114,ScoringTable!$T$2:$T$161,ScoringTable!$R$2:$R$161,,1))</f>
        <v>0</v>
      </c>
      <c r="Q114" s="125">
        <f t="shared" si="5"/>
        <v>0</v>
      </c>
      <c r="R114" s="126">
        <f t="shared" si="6"/>
        <v>0</v>
      </c>
      <c r="S114" s="127">
        <f t="shared" si="7"/>
        <v>0</v>
      </c>
      <c r="T114" s="126">
        <f t="shared" si="8"/>
        <v>0</v>
      </c>
      <c r="U114" s="128">
        <f t="shared" si="9"/>
        <v>0</v>
      </c>
    </row>
    <row r="115" spans="1:21" s="7" customFormat="1" ht="16" customHeight="1">
      <c r="A115" s="121" t="s">
        <v>3</v>
      </c>
      <c r="B115" s="122" t="str">
        <f>IF(ISNA(VLOOKUP($F115,Declarations!B$6:C$293,2,FALSE)),"",IF(VLOOKUP($F115,Declarations!B$6:C$293,2,FALSE)="","NOT DECLARED",IF(ISNA(_xlfn.TEXTBEFORE(VLOOKUP($F115,Declarations!B$6:C$293,2,FALSE)," ")),VLOOKUP($F115,Declarations!B$6:C$293,2,FALSE),_xlfn.TEXTBEFORE(VLOOKUP($F115,Declarations!B$6:C$293,2,FALSE)," "))))</f>
        <v/>
      </c>
      <c r="C115" s="122" t="str">
        <f>IF(ISNA(VLOOKUP($F115,Declarations!B$6:C$293,2,FALSE)),"",IF(VLOOKUP($F115,Declarations!B$6:C$293,2,FALSE)="","NOT DECLARED",IF(ISNA(_xlfn.TEXTAFTER(VLOOKUP($F115,Declarations!B$6:C$293,2,FALSE)," ")),VLOOKUP($F115,Declarations!B$6:C$293,2,FALSE),_xlfn.TEXTAFTER(VLOOKUP($F115,Declarations!B$6:C$293,2,FALSE)," "))))</f>
        <v/>
      </c>
      <c r="D115" s="122" t="str">
        <f>IF(ISNA(VLOOKUP($F115,Declarations!$B$6:$F$293,5,FALSE)),"",IF(VLOOKUP($F115,Declarations!$B$6:$F$293,5,FALSE)="","NOT DECLARED",VLOOKUP($F115,Declarations!$B$6:$F$293,5,FALSE)))</f>
        <v/>
      </c>
      <c r="E115" s="120" t="str">
        <f>IF(ISNA(VLOOKUP($F115,Declarations!$B$6:$D$293,3,FALSE)),"",IF(VLOOKUP($F115,Declarations!$B$6:$D$293,3,FALSE)="","NOT DECLARED",VLOOKUP($F115,Declarations!$B$6:$D$293,3,FALSE)&amp;LEFT(VLOOKUP($F115,Declarations!$B$6:$E$293,4,FALSE))))</f>
        <v/>
      </c>
      <c r="F115" s="59"/>
      <c r="G115" s="123">
        <v>0</v>
      </c>
      <c r="H115" s="322"/>
      <c r="I115" s="122" t="str">
        <f>IF(ISNA(VLOOKUP(F115,Declarations!B$6:C$293,2,FALSE)),"",IF(VLOOKUP(F115,Declarations!B$6:C$293,2,FALSE)="","NOTDECLARED",VLOOKUP(F115,Declarations!B$6:C$293,2,FALSE)))</f>
        <v/>
      </c>
      <c r="J115" s="124">
        <f>IF(LOWER(G115)="dnf",1,IF(U115&lt;ScoringTable!C$3,ScoringTable!I$2,VLOOKUP((1000-U115),ScoringTable!H$2:I$95,2)))</f>
        <v>0</v>
      </c>
      <c r="K115" s="120" t="str" cm="1">
        <f t="array" ref="K115">IF(OR(E115="",G115=""),"",_xlfn.IFS(E115="U10B",_xlfn.XLOOKUP(G115,Data!$D$3:$L$3,Data!$D$1:$L$1,"",1,1),E115="U12B",_xlfn.XLOOKUP(G115,Data!$D$9:$L$9,Data!$D$1:$L$1,"",1,1),E115="U10G",_xlfn.XLOOKUP(G115,Data!$D$16:$L$16,Data!$D$1:$L$1,"",1,1),E115="U12G",_xlfn.XLOOKUP(G115,Data!$D$22:$L$22,Data!$D$1:$L$1,"",1,1)))</f>
        <v/>
      </c>
      <c r="L115" s="184" t="str" cm="1">
        <f t="array" ref="L115">IFERROR(_xlfn.IFNA(
                      _xlfn.IFS(
                      G115="", "",
                      G115=0, "",
                      AND(E115="U10B",G115&lt;=Data!$M$3), "U10 Boys record",
                      AND(E115="U12B",G115&lt;=Data!$M$9), "U12 Boys record",
                      AND(E115="U10G",G115&lt;=Data!$M$16), "U10 Girls record",
                      AND(E115="U12G",G115&lt;=Data!$M$22), "U12 Girls record"
                       ),""), "")</f>
        <v/>
      </c>
      <c r="M115" s="19" cm="1">
        <f t="array" ref="M115">_xlfn.IFS(OR($G115="",$G115=0),0, AND(NOT(ISNUMBER($G115)),LOWER($G115)&lt;&gt;"dnf"),"Not a valid time",OR(LOWER($G115)="dnf",$G115&gt;ScoringTable!$N$161),1,RIGHT($E115,1)="B",_xlfn.XLOOKUP($G115,ScoringTable!$N$2:$N$161,ScoringTable!$L$2:$L$161,,1),TRUE,_xlfn.XLOOKUP($G115,ScoringTable!$T$2:$T$161,ScoringTable!$R$2:$R$161,,1))</f>
        <v>0</v>
      </c>
      <c r="Q115" s="125">
        <f t="shared" si="5"/>
        <v>0</v>
      </c>
      <c r="R115" s="126">
        <f t="shared" si="6"/>
        <v>0</v>
      </c>
      <c r="S115" s="127">
        <f t="shared" si="7"/>
        <v>0</v>
      </c>
      <c r="T115" s="126">
        <f t="shared" si="8"/>
        <v>0</v>
      </c>
      <c r="U115" s="128">
        <f t="shared" si="9"/>
        <v>0</v>
      </c>
    </row>
    <row r="116" spans="1:21" s="7" customFormat="1" ht="16" customHeight="1">
      <c r="A116" s="121" t="s">
        <v>3</v>
      </c>
      <c r="B116" s="122" t="str">
        <f>IF(ISNA(VLOOKUP($F116,Declarations!B$6:C$293,2,FALSE)),"",IF(VLOOKUP($F116,Declarations!B$6:C$293,2,FALSE)="","NOT DECLARED",IF(ISNA(_xlfn.TEXTBEFORE(VLOOKUP($F116,Declarations!B$6:C$293,2,FALSE)," ")),VLOOKUP($F116,Declarations!B$6:C$293,2,FALSE),_xlfn.TEXTBEFORE(VLOOKUP($F116,Declarations!B$6:C$293,2,FALSE)," "))))</f>
        <v/>
      </c>
      <c r="C116" s="122" t="str">
        <f>IF(ISNA(VLOOKUP($F116,Declarations!B$6:C$293,2,FALSE)),"",IF(VLOOKUP($F116,Declarations!B$6:C$293,2,FALSE)="","NOT DECLARED",IF(ISNA(_xlfn.TEXTAFTER(VLOOKUP($F116,Declarations!B$6:C$293,2,FALSE)," ")),VLOOKUP($F116,Declarations!B$6:C$293,2,FALSE),_xlfn.TEXTAFTER(VLOOKUP($F116,Declarations!B$6:C$293,2,FALSE)," "))))</f>
        <v/>
      </c>
      <c r="D116" s="122" t="str">
        <f>IF(ISNA(VLOOKUP($F116,Declarations!$B$6:$F$293,5,FALSE)),"",IF(VLOOKUP($F116,Declarations!$B$6:$F$293,5,FALSE)="","NOT DECLARED",VLOOKUP($F116,Declarations!$B$6:$F$293,5,FALSE)))</f>
        <v/>
      </c>
      <c r="E116" s="120" t="str">
        <f>IF(ISNA(VLOOKUP($F116,Declarations!$B$6:$D$293,3,FALSE)),"",IF(VLOOKUP($F116,Declarations!$B$6:$D$293,3,FALSE)="","NOT DECLARED",VLOOKUP($F116,Declarations!$B$6:$D$293,3,FALSE)&amp;LEFT(VLOOKUP($F116,Declarations!$B$6:$E$293,4,FALSE))))</f>
        <v/>
      </c>
      <c r="F116" s="59"/>
      <c r="G116" s="123">
        <v>0</v>
      </c>
      <c r="H116" s="322"/>
      <c r="I116" s="122" t="str">
        <f>IF(ISNA(VLOOKUP(F116,Declarations!B$6:C$293,2,FALSE)),"",IF(VLOOKUP(F116,Declarations!B$6:C$293,2,FALSE)="","NOTDECLARED",VLOOKUP(F116,Declarations!B$6:C$293,2,FALSE)))</f>
        <v/>
      </c>
      <c r="J116" s="124">
        <f>IF(LOWER(G116)="dnf",1,IF(U116&lt;ScoringTable!C$3,ScoringTable!I$2,VLOOKUP((1000-U116),ScoringTable!H$2:I$95,2)))</f>
        <v>0</v>
      </c>
      <c r="K116" s="120" t="str" cm="1">
        <f t="array" ref="K116">IF(OR(E116="",G116=""),"",_xlfn.IFS(E116="U10B",_xlfn.XLOOKUP(G116,Data!$D$3:$L$3,Data!$D$1:$L$1,"",1,1),E116="U12B",_xlfn.XLOOKUP(G116,Data!$D$9:$L$9,Data!$D$1:$L$1,"",1,1),E116="U10G",_xlfn.XLOOKUP(G116,Data!$D$16:$L$16,Data!$D$1:$L$1,"",1,1),E116="U12G",_xlfn.XLOOKUP(G116,Data!$D$22:$L$22,Data!$D$1:$L$1,"",1,1)))</f>
        <v/>
      </c>
      <c r="L116" s="184" t="str" cm="1">
        <f t="array" ref="L116">IFERROR(_xlfn.IFNA(
                      _xlfn.IFS(
                      G116="", "",
                      G116=0, "",
                      AND(E116="U10B",G116&lt;=Data!$M$3), "U10 Boys record",
                      AND(E116="U12B",G116&lt;=Data!$M$9), "U12 Boys record",
                      AND(E116="U10G",G116&lt;=Data!$M$16), "U10 Girls record",
                      AND(E116="U12G",G116&lt;=Data!$M$22), "U12 Girls record"
                       ),""), "")</f>
        <v/>
      </c>
      <c r="M116" s="19" cm="1">
        <f t="array" ref="M116">_xlfn.IFS(OR($G116="",$G116=0),0, AND(NOT(ISNUMBER($G116)),LOWER($G116)&lt;&gt;"dnf"),"Not a valid time",OR(LOWER($G116)="dnf",$G116&gt;ScoringTable!$N$161),1,RIGHT($E116,1)="B",_xlfn.XLOOKUP($G116,ScoringTable!$N$2:$N$161,ScoringTable!$L$2:$L$161,,1),TRUE,_xlfn.XLOOKUP($G116,ScoringTable!$T$2:$T$161,ScoringTable!$R$2:$R$161,,1))</f>
        <v>0</v>
      </c>
      <c r="Q116" s="125">
        <f t="shared" si="5"/>
        <v>0</v>
      </c>
      <c r="R116" s="126">
        <f t="shared" si="6"/>
        <v>0</v>
      </c>
      <c r="S116" s="127">
        <f t="shared" si="7"/>
        <v>0</v>
      </c>
      <c r="T116" s="126">
        <f t="shared" si="8"/>
        <v>0</v>
      </c>
      <c r="U116" s="128">
        <f t="shared" si="9"/>
        <v>0</v>
      </c>
    </row>
    <row r="117" spans="1:21" s="7" customFormat="1" ht="16" customHeight="1">
      <c r="A117" s="121" t="s">
        <v>3</v>
      </c>
      <c r="B117" s="122" t="str">
        <f>IF(ISNA(VLOOKUP($F117,Declarations!B$6:C$293,2,FALSE)),"",IF(VLOOKUP($F117,Declarations!B$6:C$293,2,FALSE)="","NOT DECLARED",IF(ISNA(_xlfn.TEXTBEFORE(VLOOKUP($F117,Declarations!B$6:C$293,2,FALSE)," ")),VLOOKUP($F117,Declarations!B$6:C$293,2,FALSE),_xlfn.TEXTBEFORE(VLOOKUP($F117,Declarations!B$6:C$293,2,FALSE)," "))))</f>
        <v/>
      </c>
      <c r="C117" s="122" t="str">
        <f>IF(ISNA(VLOOKUP($F117,Declarations!B$6:C$293,2,FALSE)),"",IF(VLOOKUP($F117,Declarations!B$6:C$293,2,FALSE)="","NOT DECLARED",IF(ISNA(_xlfn.TEXTAFTER(VLOOKUP($F117,Declarations!B$6:C$293,2,FALSE)," ")),VLOOKUP($F117,Declarations!B$6:C$293,2,FALSE),_xlfn.TEXTAFTER(VLOOKUP($F117,Declarations!B$6:C$293,2,FALSE)," "))))</f>
        <v/>
      </c>
      <c r="D117" s="122" t="str">
        <f>IF(ISNA(VLOOKUP($F117,Declarations!$B$6:$F$293,5,FALSE)),"",IF(VLOOKUP($F117,Declarations!$B$6:$F$293,5,FALSE)="","NOT DECLARED",VLOOKUP($F117,Declarations!$B$6:$F$293,5,FALSE)))</f>
        <v/>
      </c>
      <c r="E117" s="120" t="str">
        <f>IF(ISNA(VLOOKUP($F117,Declarations!$B$6:$D$293,3,FALSE)),"",IF(VLOOKUP($F117,Declarations!$B$6:$D$293,3,FALSE)="","NOT DECLARED",VLOOKUP($F117,Declarations!$B$6:$D$293,3,FALSE)&amp;LEFT(VLOOKUP($F117,Declarations!$B$6:$E$293,4,FALSE))))</f>
        <v/>
      </c>
      <c r="F117" s="59"/>
      <c r="G117" s="123">
        <v>0</v>
      </c>
      <c r="H117" s="322"/>
      <c r="I117" s="122" t="str">
        <f>IF(ISNA(VLOOKUP(F117,Declarations!B$6:C$293,2,FALSE)),"",IF(VLOOKUP(F117,Declarations!B$6:C$293,2,FALSE)="","NOTDECLARED",VLOOKUP(F117,Declarations!B$6:C$293,2,FALSE)))</f>
        <v/>
      </c>
      <c r="J117" s="124">
        <f>IF(LOWER(G117)="dnf",1,IF(U117&lt;ScoringTable!C$3,ScoringTable!I$2,VLOOKUP((1000-U117),ScoringTable!H$2:I$95,2)))</f>
        <v>0</v>
      </c>
      <c r="K117" s="120" t="str" cm="1">
        <f t="array" ref="K117">IF(OR(E117="",G117=""),"",_xlfn.IFS(E117="U10B",_xlfn.XLOOKUP(G117,Data!$D$3:$L$3,Data!$D$1:$L$1,"",1,1),E117="U12B",_xlfn.XLOOKUP(G117,Data!$D$9:$L$9,Data!$D$1:$L$1,"",1,1),E117="U10G",_xlfn.XLOOKUP(G117,Data!$D$16:$L$16,Data!$D$1:$L$1,"",1,1),E117="U12G",_xlfn.XLOOKUP(G117,Data!$D$22:$L$22,Data!$D$1:$L$1,"",1,1)))</f>
        <v/>
      </c>
      <c r="L117" s="184" t="str" cm="1">
        <f t="array" ref="L117">IFERROR(_xlfn.IFNA(
                      _xlfn.IFS(
                      G117="", "",
                      G117=0, "",
                      AND(E117="U10B",G117&lt;=Data!$M$3), "U10 Boys record",
                      AND(E117="U12B",G117&lt;=Data!$M$9), "U12 Boys record",
                      AND(E117="U10G",G117&lt;=Data!$M$16), "U10 Girls record",
                      AND(E117="U12G",G117&lt;=Data!$M$22), "U12 Girls record"
                       ),""), "")</f>
        <v/>
      </c>
      <c r="M117" s="19" cm="1">
        <f t="array" ref="M117">_xlfn.IFS(OR($G117="",$G117=0),0, AND(NOT(ISNUMBER($G117)),LOWER($G117)&lt;&gt;"dnf"),"Not a valid time",OR(LOWER($G117)="dnf",$G117&gt;ScoringTable!$N$161),1,RIGHT($E117,1)="B",_xlfn.XLOOKUP($G117,ScoringTable!$N$2:$N$161,ScoringTable!$L$2:$L$161,,1),TRUE,_xlfn.XLOOKUP($G117,ScoringTable!$T$2:$T$161,ScoringTable!$R$2:$R$161,,1))</f>
        <v>0</v>
      </c>
      <c r="Q117" s="125">
        <f t="shared" si="5"/>
        <v>0</v>
      </c>
      <c r="R117" s="126">
        <f t="shared" si="6"/>
        <v>0</v>
      </c>
      <c r="S117" s="127">
        <f t="shared" si="7"/>
        <v>0</v>
      </c>
      <c r="T117" s="126">
        <f t="shared" si="8"/>
        <v>0</v>
      </c>
      <c r="U117" s="128">
        <f t="shared" si="9"/>
        <v>0</v>
      </c>
    </row>
    <row r="118" spans="1:21" s="7" customFormat="1" ht="16" customHeight="1">
      <c r="A118" s="121" t="s">
        <v>3</v>
      </c>
      <c r="B118" s="122" t="str">
        <f>IF(ISNA(VLOOKUP($F118,Declarations!B$6:C$293,2,FALSE)),"",IF(VLOOKUP($F118,Declarations!B$6:C$293,2,FALSE)="","NOT DECLARED",IF(ISNA(_xlfn.TEXTBEFORE(VLOOKUP($F118,Declarations!B$6:C$293,2,FALSE)," ")),VLOOKUP($F118,Declarations!B$6:C$293,2,FALSE),_xlfn.TEXTBEFORE(VLOOKUP($F118,Declarations!B$6:C$293,2,FALSE)," "))))</f>
        <v/>
      </c>
      <c r="C118" s="122" t="str">
        <f>IF(ISNA(VLOOKUP($F118,Declarations!B$6:C$293,2,FALSE)),"",IF(VLOOKUP($F118,Declarations!B$6:C$293,2,FALSE)="","NOT DECLARED",IF(ISNA(_xlfn.TEXTAFTER(VLOOKUP($F118,Declarations!B$6:C$293,2,FALSE)," ")),VLOOKUP($F118,Declarations!B$6:C$293,2,FALSE),_xlfn.TEXTAFTER(VLOOKUP($F118,Declarations!B$6:C$293,2,FALSE)," "))))</f>
        <v/>
      </c>
      <c r="D118" s="122" t="str">
        <f>IF(ISNA(VLOOKUP($F118,Declarations!$B$6:$F$293,5,FALSE)),"",IF(VLOOKUP($F118,Declarations!$B$6:$F$293,5,FALSE)="","NOT DECLARED",VLOOKUP($F118,Declarations!$B$6:$F$293,5,FALSE)))</f>
        <v/>
      </c>
      <c r="E118" s="120" t="str">
        <f>IF(ISNA(VLOOKUP($F118,Declarations!$B$6:$D$293,3,FALSE)),"",IF(VLOOKUP($F118,Declarations!$B$6:$D$293,3,FALSE)="","NOT DECLARED",VLOOKUP($F118,Declarations!$B$6:$D$293,3,FALSE)&amp;LEFT(VLOOKUP($F118,Declarations!$B$6:$E$293,4,FALSE))))</f>
        <v/>
      </c>
      <c r="F118" s="59"/>
      <c r="G118" s="123">
        <v>0</v>
      </c>
      <c r="H118" s="322"/>
      <c r="I118" s="122" t="str">
        <f>IF(ISNA(VLOOKUP(F118,Declarations!B$6:C$293,2,FALSE)),"",IF(VLOOKUP(F118,Declarations!B$6:C$293,2,FALSE)="","NOTDECLARED",VLOOKUP(F118,Declarations!B$6:C$293,2,FALSE)))</f>
        <v/>
      </c>
      <c r="J118" s="124">
        <f>IF(LOWER(G118)="dnf",1,IF(U118&lt;ScoringTable!C$3,ScoringTable!I$2,VLOOKUP((1000-U118),ScoringTable!H$2:I$95,2)))</f>
        <v>0</v>
      </c>
      <c r="K118" s="120" t="str" cm="1">
        <f t="array" ref="K118">IF(OR(E118="",G118=""),"",_xlfn.IFS(E118="U10B",_xlfn.XLOOKUP(G118,Data!$D$3:$L$3,Data!$D$1:$L$1,"",1,1),E118="U12B",_xlfn.XLOOKUP(G118,Data!$D$9:$L$9,Data!$D$1:$L$1,"",1,1),E118="U10G",_xlfn.XLOOKUP(G118,Data!$D$16:$L$16,Data!$D$1:$L$1,"",1,1),E118="U12G",_xlfn.XLOOKUP(G118,Data!$D$22:$L$22,Data!$D$1:$L$1,"",1,1)))</f>
        <v/>
      </c>
      <c r="L118" s="184" t="str" cm="1">
        <f t="array" ref="L118">IFERROR(_xlfn.IFNA(
                      _xlfn.IFS(
                      G118="", "",
                      G118=0, "",
                      AND(E118="U10B",G118&lt;=Data!$M$3), "U10 Boys record",
                      AND(E118="U12B",G118&lt;=Data!$M$9), "U12 Boys record",
                      AND(E118="U10G",G118&lt;=Data!$M$16), "U10 Girls record",
                      AND(E118="U12G",G118&lt;=Data!$M$22), "U12 Girls record"
                       ),""), "")</f>
        <v/>
      </c>
      <c r="M118" s="19" cm="1">
        <f t="array" ref="M118">_xlfn.IFS(OR($G118="",$G118=0),0, AND(NOT(ISNUMBER($G118)),LOWER($G118)&lt;&gt;"dnf"),"Not a valid time",OR(LOWER($G118)="dnf",$G118&gt;ScoringTable!$N$161),1,RIGHT($E118,1)="B",_xlfn.XLOOKUP($G118,ScoringTable!$N$2:$N$161,ScoringTable!$L$2:$L$161,,1),TRUE,_xlfn.XLOOKUP($G118,ScoringTable!$T$2:$T$161,ScoringTable!$R$2:$R$161,,1))</f>
        <v>0</v>
      </c>
      <c r="Q118" s="125">
        <f t="shared" si="5"/>
        <v>0</v>
      </c>
      <c r="R118" s="126">
        <f t="shared" si="6"/>
        <v>0</v>
      </c>
      <c r="S118" s="127">
        <f t="shared" si="7"/>
        <v>0</v>
      </c>
      <c r="T118" s="126">
        <f t="shared" si="8"/>
        <v>0</v>
      </c>
      <c r="U118" s="128">
        <f t="shared" si="9"/>
        <v>0</v>
      </c>
    </row>
    <row r="119" spans="1:21" s="7" customFormat="1" ht="16" customHeight="1">
      <c r="A119" s="121" t="s">
        <v>3</v>
      </c>
      <c r="B119" s="122" t="str">
        <f>IF(ISNA(VLOOKUP($F119,Declarations!B$6:C$293,2,FALSE)),"",IF(VLOOKUP($F119,Declarations!B$6:C$293,2,FALSE)="","NOT DECLARED",IF(ISNA(_xlfn.TEXTBEFORE(VLOOKUP($F119,Declarations!B$6:C$293,2,FALSE)," ")),VLOOKUP($F119,Declarations!B$6:C$293,2,FALSE),_xlfn.TEXTBEFORE(VLOOKUP($F119,Declarations!B$6:C$293,2,FALSE)," "))))</f>
        <v/>
      </c>
      <c r="C119" s="122" t="str">
        <f>IF(ISNA(VLOOKUP($F119,Declarations!B$6:C$293,2,FALSE)),"",IF(VLOOKUP($F119,Declarations!B$6:C$293,2,FALSE)="","NOT DECLARED",IF(ISNA(_xlfn.TEXTAFTER(VLOOKUP($F119,Declarations!B$6:C$293,2,FALSE)," ")),VLOOKUP($F119,Declarations!B$6:C$293,2,FALSE),_xlfn.TEXTAFTER(VLOOKUP($F119,Declarations!B$6:C$293,2,FALSE)," "))))</f>
        <v/>
      </c>
      <c r="D119" s="122" t="str">
        <f>IF(ISNA(VLOOKUP($F119,Declarations!$B$6:$F$293,5,FALSE)),"",IF(VLOOKUP($F119,Declarations!$B$6:$F$293,5,FALSE)="","NOT DECLARED",VLOOKUP($F119,Declarations!$B$6:$F$293,5,FALSE)))</f>
        <v/>
      </c>
      <c r="E119" s="120" t="str">
        <f>IF(ISNA(VLOOKUP($F119,Declarations!$B$6:$D$293,3,FALSE)),"",IF(VLOOKUP($F119,Declarations!$B$6:$D$293,3,FALSE)="","NOT DECLARED",VLOOKUP($F119,Declarations!$B$6:$D$293,3,FALSE)&amp;LEFT(VLOOKUP($F119,Declarations!$B$6:$E$293,4,FALSE))))</f>
        <v/>
      </c>
      <c r="F119" s="59"/>
      <c r="G119" s="123">
        <v>0</v>
      </c>
      <c r="H119" s="322"/>
      <c r="I119" s="122" t="str">
        <f>IF(ISNA(VLOOKUP(F119,Declarations!B$6:C$293,2,FALSE)),"",IF(VLOOKUP(F119,Declarations!B$6:C$293,2,FALSE)="","NOTDECLARED",VLOOKUP(F119,Declarations!B$6:C$293,2,FALSE)))</f>
        <v/>
      </c>
      <c r="J119" s="124">
        <f>IF(LOWER(G119)="dnf",1,IF(U119&lt;ScoringTable!C$3,ScoringTable!I$2,VLOOKUP((1000-U119),ScoringTable!H$2:I$95,2)))</f>
        <v>0</v>
      </c>
      <c r="K119" s="120" t="str" cm="1">
        <f t="array" ref="K119">IF(OR(E119="",G119=""),"",_xlfn.IFS(E119="U10B",_xlfn.XLOOKUP(G119,Data!$D$3:$L$3,Data!$D$1:$L$1,"",1,1),E119="U12B",_xlfn.XLOOKUP(G119,Data!$D$9:$L$9,Data!$D$1:$L$1,"",1,1),E119="U10G",_xlfn.XLOOKUP(G119,Data!$D$16:$L$16,Data!$D$1:$L$1,"",1,1),E119="U12G",_xlfn.XLOOKUP(G119,Data!$D$22:$L$22,Data!$D$1:$L$1,"",1,1)))</f>
        <v/>
      </c>
      <c r="L119" s="184" t="str" cm="1">
        <f t="array" ref="L119">IFERROR(_xlfn.IFNA(
                      _xlfn.IFS(
                      G119="", "",
                      G119=0, "",
                      AND(E119="U10B",G119&lt;=Data!$M$3), "U10 Boys record",
                      AND(E119="U12B",G119&lt;=Data!$M$9), "U12 Boys record",
                      AND(E119="U10G",G119&lt;=Data!$M$16), "U10 Girls record",
                      AND(E119="U12G",G119&lt;=Data!$M$22), "U12 Girls record"
                       ),""), "")</f>
        <v/>
      </c>
      <c r="M119" s="19" cm="1">
        <f t="array" ref="M119">_xlfn.IFS(OR($G119="",$G119=0),0, AND(NOT(ISNUMBER($G119)),LOWER($G119)&lt;&gt;"dnf"),"Not a valid time",OR(LOWER($G119)="dnf",$G119&gt;ScoringTable!$N$161),1,RIGHT($E119,1)="B",_xlfn.XLOOKUP($G119,ScoringTable!$N$2:$N$161,ScoringTable!$L$2:$L$161,,1),TRUE,_xlfn.XLOOKUP($G119,ScoringTable!$T$2:$T$161,ScoringTable!$R$2:$R$161,,1))</f>
        <v>0</v>
      </c>
      <c r="Q119" s="125">
        <f t="shared" si="5"/>
        <v>0</v>
      </c>
      <c r="R119" s="126">
        <f t="shared" si="6"/>
        <v>0</v>
      </c>
      <c r="S119" s="127">
        <f t="shared" si="7"/>
        <v>0</v>
      </c>
      <c r="T119" s="126">
        <f t="shared" si="8"/>
        <v>0</v>
      </c>
      <c r="U119" s="128">
        <f t="shared" si="9"/>
        <v>0</v>
      </c>
    </row>
    <row r="120" spans="1:21" s="7" customFormat="1" ht="16" customHeight="1">
      <c r="A120" s="121" t="s">
        <v>3</v>
      </c>
      <c r="B120" s="122" t="str">
        <f>IF(ISNA(VLOOKUP($F120,Declarations!B$6:C$293,2,FALSE)),"",IF(VLOOKUP($F120,Declarations!B$6:C$293,2,FALSE)="","NOT DECLARED",IF(ISNA(_xlfn.TEXTBEFORE(VLOOKUP($F120,Declarations!B$6:C$293,2,FALSE)," ")),VLOOKUP($F120,Declarations!B$6:C$293,2,FALSE),_xlfn.TEXTBEFORE(VLOOKUP($F120,Declarations!B$6:C$293,2,FALSE)," "))))</f>
        <v/>
      </c>
      <c r="C120" s="122" t="str">
        <f>IF(ISNA(VLOOKUP($F120,Declarations!B$6:C$293,2,FALSE)),"",IF(VLOOKUP($F120,Declarations!B$6:C$293,2,FALSE)="","NOT DECLARED",IF(ISNA(_xlfn.TEXTAFTER(VLOOKUP($F120,Declarations!B$6:C$293,2,FALSE)," ")),VLOOKUP($F120,Declarations!B$6:C$293,2,FALSE),_xlfn.TEXTAFTER(VLOOKUP($F120,Declarations!B$6:C$293,2,FALSE)," "))))</f>
        <v/>
      </c>
      <c r="D120" s="122" t="str">
        <f>IF(ISNA(VLOOKUP($F120,Declarations!$B$6:$F$293,5,FALSE)),"",IF(VLOOKUP($F120,Declarations!$B$6:$F$293,5,FALSE)="","NOT DECLARED",VLOOKUP($F120,Declarations!$B$6:$F$293,5,FALSE)))</f>
        <v/>
      </c>
      <c r="E120" s="120" t="str">
        <f>IF(ISNA(VLOOKUP($F120,Declarations!$B$6:$D$293,3,FALSE)),"",IF(VLOOKUP($F120,Declarations!$B$6:$D$293,3,FALSE)="","NOT DECLARED",VLOOKUP($F120,Declarations!$B$6:$D$293,3,FALSE)&amp;LEFT(VLOOKUP($F120,Declarations!$B$6:$E$293,4,FALSE))))</f>
        <v/>
      </c>
      <c r="F120" s="59"/>
      <c r="G120" s="123">
        <v>0</v>
      </c>
      <c r="H120" s="322"/>
      <c r="I120" s="122" t="str">
        <f>IF(ISNA(VLOOKUP(F120,Declarations!B$6:C$293,2,FALSE)),"",IF(VLOOKUP(F120,Declarations!B$6:C$293,2,FALSE)="","NOTDECLARED",VLOOKUP(F120,Declarations!B$6:C$293,2,FALSE)))</f>
        <v/>
      </c>
      <c r="J120" s="124">
        <f>IF(LOWER(G120)="dnf",1,IF(U120&lt;ScoringTable!C$3,ScoringTable!I$2,VLOOKUP((1000-U120),ScoringTable!H$2:I$95,2)))</f>
        <v>0</v>
      </c>
      <c r="K120" s="120" t="str" cm="1">
        <f t="array" ref="K120">IF(OR(E120="",G120=""),"",_xlfn.IFS(E120="U10B",_xlfn.XLOOKUP(G120,Data!$D$3:$L$3,Data!$D$1:$L$1,"",1,1),E120="U12B",_xlfn.XLOOKUP(G120,Data!$D$9:$L$9,Data!$D$1:$L$1,"",1,1),E120="U10G",_xlfn.XLOOKUP(G120,Data!$D$16:$L$16,Data!$D$1:$L$1,"",1,1),E120="U12G",_xlfn.XLOOKUP(G120,Data!$D$22:$L$22,Data!$D$1:$L$1,"",1,1)))</f>
        <v/>
      </c>
      <c r="L120" s="184" t="str" cm="1">
        <f t="array" ref="L120">IFERROR(_xlfn.IFNA(
                      _xlfn.IFS(
                      G120="", "",
                      G120=0, "",
                      AND(E120="U10B",G120&lt;=Data!$M$3), "U10 Boys record",
                      AND(E120="U12B",G120&lt;=Data!$M$9), "U12 Boys record",
                      AND(E120="U10G",G120&lt;=Data!$M$16), "U10 Girls record",
                      AND(E120="U12G",G120&lt;=Data!$M$22), "U12 Girls record"
                       ),""), "")</f>
        <v/>
      </c>
      <c r="M120" s="19" cm="1">
        <f t="array" ref="M120">_xlfn.IFS(OR($G120="",$G120=0),0, AND(NOT(ISNUMBER($G120)),LOWER($G120)&lt;&gt;"dnf"),"Not a valid time",OR(LOWER($G120)="dnf",$G120&gt;ScoringTable!$N$161),1,RIGHT($E120,1)="B",_xlfn.XLOOKUP($G120,ScoringTable!$N$2:$N$161,ScoringTable!$L$2:$L$161,,1),TRUE,_xlfn.XLOOKUP($G120,ScoringTable!$T$2:$T$161,ScoringTable!$R$2:$R$161,,1))</f>
        <v>0</v>
      </c>
      <c r="Q120" s="125">
        <f t="shared" si="5"/>
        <v>0</v>
      </c>
      <c r="R120" s="126">
        <f t="shared" si="6"/>
        <v>0</v>
      </c>
      <c r="S120" s="127">
        <f t="shared" si="7"/>
        <v>0</v>
      </c>
      <c r="T120" s="126">
        <f t="shared" si="8"/>
        <v>0</v>
      </c>
      <c r="U120" s="128">
        <f t="shared" si="9"/>
        <v>0</v>
      </c>
    </row>
    <row r="121" spans="1:21" s="7" customFormat="1" ht="16" customHeight="1">
      <c r="A121" s="121" t="s">
        <v>3</v>
      </c>
      <c r="B121" s="122" t="str">
        <f>IF(ISNA(VLOOKUP($F121,Declarations!B$6:C$293,2,FALSE)),"",IF(VLOOKUP($F121,Declarations!B$6:C$293,2,FALSE)="","NOT DECLARED",IF(ISNA(_xlfn.TEXTBEFORE(VLOOKUP($F121,Declarations!B$6:C$293,2,FALSE)," ")),VLOOKUP($F121,Declarations!B$6:C$293,2,FALSE),_xlfn.TEXTBEFORE(VLOOKUP($F121,Declarations!B$6:C$293,2,FALSE)," "))))</f>
        <v/>
      </c>
      <c r="C121" s="122" t="str">
        <f>IF(ISNA(VLOOKUP($F121,Declarations!B$6:C$293,2,FALSE)),"",IF(VLOOKUP($F121,Declarations!B$6:C$293,2,FALSE)="","NOT DECLARED",IF(ISNA(_xlfn.TEXTAFTER(VLOOKUP($F121,Declarations!B$6:C$293,2,FALSE)," ")),VLOOKUP($F121,Declarations!B$6:C$293,2,FALSE),_xlfn.TEXTAFTER(VLOOKUP($F121,Declarations!B$6:C$293,2,FALSE)," "))))</f>
        <v/>
      </c>
      <c r="D121" s="122" t="str">
        <f>IF(ISNA(VLOOKUP($F121,Declarations!$B$6:$F$293,5,FALSE)),"",IF(VLOOKUP($F121,Declarations!$B$6:$F$293,5,FALSE)="","NOT DECLARED",VLOOKUP($F121,Declarations!$B$6:$F$293,5,FALSE)))</f>
        <v/>
      </c>
      <c r="E121" s="120" t="str">
        <f>IF(ISNA(VLOOKUP($F121,Declarations!$B$6:$D$293,3,FALSE)),"",IF(VLOOKUP($F121,Declarations!$B$6:$D$293,3,FALSE)="","NOT DECLARED",VLOOKUP($F121,Declarations!$B$6:$D$293,3,FALSE)&amp;LEFT(VLOOKUP($F121,Declarations!$B$6:$E$293,4,FALSE))))</f>
        <v/>
      </c>
      <c r="F121" s="59"/>
      <c r="G121" s="123">
        <v>0</v>
      </c>
      <c r="H121" s="322"/>
      <c r="I121" s="122" t="str">
        <f>IF(ISNA(VLOOKUP(F121,Declarations!B$6:C$293,2,FALSE)),"",IF(VLOOKUP(F121,Declarations!B$6:C$293,2,FALSE)="","NOTDECLARED",VLOOKUP(F121,Declarations!B$6:C$293,2,FALSE)))</f>
        <v/>
      </c>
      <c r="J121" s="124">
        <f>IF(LOWER(G121)="dnf",1,IF(U121&lt;ScoringTable!C$3,ScoringTable!I$2,VLOOKUP((1000-U121),ScoringTable!H$2:I$95,2)))</f>
        <v>0</v>
      </c>
      <c r="K121" s="120" t="str" cm="1">
        <f t="array" ref="K121">IF(OR(E121="",G121=""),"",_xlfn.IFS(E121="U10B",_xlfn.XLOOKUP(G121,Data!$D$3:$L$3,Data!$D$1:$L$1,"",1,1),E121="U12B",_xlfn.XLOOKUP(G121,Data!$D$9:$L$9,Data!$D$1:$L$1,"",1,1),E121="U10G",_xlfn.XLOOKUP(G121,Data!$D$16:$L$16,Data!$D$1:$L$1,"",1,1),E121="U12G",_xlfn.XLOOKUP(G121,Data!$D$22:$L$22,Data!$D$1:$L$1,"",1,1)))</f>
        <v/>
      </c>
      <c r="L121" s="184" t="str" cm="1">
        <f t="array" ref="L121">IFERROR(_xlfn.IFNA(
                      _xlfn.IFS(
                      G121="", "",
                      G121=0, "",
                      AND(E121="U10B",G121&lt;=Data!$M$3), "U10 Boys record",
                      AND(E121="U12B",G121&lt;=Data!$M$9), "U12 Boys record",
                      AND(E121="U10G",G121&lt;=Data!$M$16), "U10 Girls record",
                      AND(E121="U12G",G121&lt;=Data!$M$22), "U12 Girls record"
                       ),""), "")</f>
        <v/>
      </c>
      <c r="M121" s="19" cm="1">
        <f t="array" ref="M121">_xlfn.IFS(OR($G121="",$G121=0),0, AND(NOT(ISNUMBER($G121)),LOWER($G121)&lt;&gt;"dnf"),"Not a valid time",OR(LOWER($G121)="dnf",$G121&gt;ScoringTable!$N$161),1,RIGHT($E121,1)="B",_xlfn.XLOOKUP($G121,ScoringTable!$N$2:$N$161,ScoringTable!$L$2:$L$161,,1),TRUE,_xlfn.XLOOKUP($G121,ScoringTable!$T$2:$T$161,ScoringTable!$R$2:$R$161,,1))</f>
        <v>0</v>
      </c>
      <c r="Q121" s="125">
        <f t="shared" si="5"/>
        <v>0</v>
      </c>
      <c r="R121" s="126">
        <f t="shared" si="6"/>
        <v>0</v>
      </c>
      <c r="S121" s="127">
        <f t="shared" si="7"/>
        <v>0</v>
      </c>
      <c r="T121" s="126">
        <f t="shared" si="8"/>
        <v>0</v>
      </c>
      <c r="U121" s="128">
        <f t="shared" si="9"/>
        <v>0</v>
      </c>
    </row>
    <row r="122" spans="1:21" s="7" customFormat="1" ht="16" customHeight="1">
      <c r="A122" s="121" t="s">
        <v>3</v>
      </c>
      <c r="B122" s="122" t="str">
        <f>IF(ISNA(VLOOKUP($F122,Declarations!B$6:C$293,2,FALSE)),"",IF(VLOOKUP($F122,Declarations!B$6:C$293,2,FALSE)="","NOT DECLARED",IF(ISNA(_xlfn.TEXTBEFORE(VLOOKUP($F122,Declarations!B$6:C$293,2,FALSE)," ")),VLOOKUP($F122,Declarations!B$6:C$293,2,FALSE),_xlfn.TEXTBEFORE(VLOOKUP($F122,Declarations!B$6:C$293,2,FALSE)," "))))</f>
        <v/>
      </c>
      <c r="C122" s="122" t="str">
        <f>IF(ISNA(VLOOKUP($F122,Declarations!B$6:C$293,2,FALSE)),"",IF(VLOOKUP($F122,Declarations!B$6:C$293,2,FALSE)="","NOT DECLARED",IF(ISNA(_xlfn.TEXTAFTER(VLOOKUP($F122,Declarations!B$6:C$293,2,FALSE)," ")),VLOOKUP($F122,Declarations!B$6:C$293,2,FALSE),_xlfn.TEXTAFTER(VLOOKUP($F122,Declarations!B$6:C$293,2,FALSE)," "))))</f>
        <v/>
      </c>
      <c r="D122" s="122" t="str">
        <f>IF(ISNA(VLOOKUP($F122,Declarations!$B$6:$F$293,5,FALSE)),"",IF(VLOOKUP($F122,Declarations!$B$6:$F$293,5,FALSE)="","NOT DECLARED",VLOOKUP($F122,Declarations!$B$6:$F$293,5,FALSE)))</f>
        <v/>
      </c>
      <c r="E122" s="120" t="str">
        <f>IF(ISNA(VLOOKUP($F122,Declarations!$B$6:$D$293,3,FALSE)),"",IF(VLOOKUP($F122,Declarations!$B$6:$D$293,3,FALSE)="","NOT DECLARED",VLOOKUP($F122,Declarations!$B$6:$D$293,3,FALSE)&amp;LEFT(VLOOKUP($F122,Declarations!$B$6:$E$293,4,FALSE))))</f>
        <v/>
      </c>
      <c r="F122" s="59"/>
      <c r="G122" s="123">
        <v>0</v>
      </c>
      <c r="H122" s="322"/>
      <c r="I122" s="122" t="str">
        <f>IF(ISNA(VLOOKUP(F122,Declarations!B$6:C$293,2,FALSE)),"",IF(VLOOKUP(F122,Declarations!B$6:C$293,2,FALSE)="","NOTDECLARED",VLOOKUP(F122,Declarations!B$6:C$293,2,FALSE)))</f>
        <v/>
      </c>
      <c r="J122" s="124">
        <f>IF(LOWER(G122)="dnf",1,IF(U122&lt;ScoringTable!C$3,ScoringTable!I$2,VLOOKUP((1000-U122),ScoringTable!H$2:I$95,2)))</f>
        <v>0</v>
      </c>
      <c r="K122" s="120" t="str" cm="1">
        <f t="array" ref="K122">IF(OR(E122="",G122=""),"",_xlfn.IFS(E122="U10B",_xlfn.XLOOKUP(G122,Data!$D$3:$L$3,Data!$D$1:$L$1,"",1,1),E122="U12B",_xlfn.XLOOKUP(G122,Data!$D$9:$L$9,Data!$D$1:$L$1,"",1,1),E122="U10G",_xlfn.XLOOKUP(G122,Data!$D$16:$L$16,Data!$D$1:$L$1,"",1,1),E122="U12G",_xlfn.XLOOKUP(G122,Data!$D$22:$L$22,Data!$D$1:$L$1,"",1,1)))</f>
        <v/>
      </c>
      <c r="L122" s="184" t="str" cm="1">
        <f t="array" ref="L122">IFERROR(_xlfn.IFNA(
                      _xlfn.IFS(
                      G122="", "",
                      G122=0, "",
                      AND(E122="U10B",G122&lt;=Data!$M$3), "U10 Boys record",
                      AND(E122="U12B",G122&lt;=Data!$M$9), "U12 Boys record",
                      AND(E122="U10G",G122&lt;=Data!$M$16), "U10 Girls record",
                      AND(E122="U12G",G122&lt;=Data!$M$22), "U12 Girls record"
                       ),""), "")</f>
        <v/>
      </c>
      <c r="M122" s="19" cm="1">
        <f t="array" ref="M122">_xlfn.IFS(OR($G122="",$G122=0),0, AND(NOT(ISNUMBER($G122)),LOWER($G122)&lt;&gt;"dnf"),"Not a valid time",OR(LOWER($G122)="dnf",$G122&gt;ScoringTable!$N$161),1,RIGHT($E122,1)="B",_xlfn.XLOOKUP($G122,ScoringTable!$N$2:$N$161,ScoringTable!$L$2:$L$161,,1),TRUE,_xlfn.XLOOKUP($G122,ScoringTable!$T$2:$T$161,ScoringTable!$R$2:$R$161,,1))</f>
        <v>0</v>
      </c>
      <c r="Q122" s="125">
        <f t="shared" si="5"/>
        <v>0</v>
      </c>
      <c r="R122" s="126">
        <f t="shared" si="6"/>
        <v>0</v>
      </c>
      <c r="S122" s="127">
        <f t="shared" si="7"/>
        <v>0</v>
      </c>
      <c r="T122" s="126">
        <f t="shared" si="8"/>
        <v>0</v>
      </c>
      <c r="U122" s="128">
        <f t="shared" si="9"/>
        <v>0</v>
      </c>
    </row>
    <row r="123" spans="1:21" s="7" customFormat="1" ht="16" customHeight="1">
      <c r="A123" s="121" t="s">
        <v>3</v>
      </c>
      <c r="B123" s="122" t="str">
        <f>IF(ISNA(VLOOKUP($F123,Declarations!B$6:C$293,2,FALSE)),"",IF(VLOOKUP($F123,Declarations!B$6:C$293,2,FALSE)="","NOT DECLARED",IF(ISNA(_xlfn.TEXTBEFORE(VLOOKUP($F123,Declarations!B$6:C$293,2,FALSE)," ")),VLOOKUP($F123,Declarations!B$6:C$293,2,FALSE),_xlfn.TEXTBEFORE(VLOOKUP($F123,Declarations!B$6:C$293,2,FALSE)," "))))</f>
        <v/>
      </c>
      <c r="C123" s="122" t="str">
        <f>IF(ISNA(VLOOKUP($F123,Declarations!B$6:C$293,2,FALSE)),"",IF(VLOOKUP($F123,Declarations!B$6:C$293,2,FALSE)="","NOT DECLARED",IF(ISNA(_xlfn.TEXTAFTER(VLOOKUP($F123,Declarations!B$6:C$293,2,FALSE)," ")),VLOOKUP($F123,Declarations!B$6:C$293,2,FALSE),_xlfn.TEXTAFTER(VLOOKUP($F123,Declarations!B$6:C$293,2,FALSE)," "))))</f>
        <v/>
      </c>
      <c r="D123" s="122" t="str">
        <f>IF(ISNA(VLOOKUP($F123,Declarations!$B$6:$F$293,5,FALSE)),"",IF(VLOOKUP($F123,Declarations!$B$6:$F$293,5,FALSE)="","NOT DECLARED",VLOOKUP($F123,Declarations!$B$6:$F$293,5,FALSE)))</f>
        <v/>
      </c>
      <c r="E123" s="120" t="str">
        <f>IF(ISNA(VLOOKUP($F123,Declarations!$B$6:$D$293,3,FALSE)),"",IF(VLOOKUP($F123,Declarations!$B$6:$D$293,3,FALSE)="","NOT DECLARED",VLOOKUP($F123,Declarations!$B$6:$D$293,3,FALSE)&amp;LEFT(VLOOKUP($F123,Declarations!$B$6:$E$293,4,FALSE))))</f>
        <v/>
      </c>
      <c r="F123" s="59"/>
      <c r="G123" s="123">
        <v>0</v>
      </c>
      <c r="H123" s="322"/>
      <c r="I123" s="122" t="str">
        <f>IF(ISNA(VLOOKUP(F123,Declarations!B$6:C$293,2,FALSE)),"",IF(VLOOKUP(F123,Declarations!B$6:C$293,2,FALSE)="","NOTDECLARED",VLOOKUP(F123,Declarations!B$6:C$293,2,FALSE)))</f>
        <v/>
      </c>
      <c r="J123" s="124">
        <f>IF(LOWER(G123)="dnf",1,IF(U123&lt;ScoringTable!C$3,ScoringTable!I$2,VLOOKUP((1000-U123),ScoringTable!H$2:I$95,2)))</f>
        <v>0</v>
      </c>
      <c r="K123" s="120" t="str" cm="1">
        <f t="array" ref="K123">IF(OR(E123="",G123=""),"",_xlfn.IFS(E123="U10B",_xlfn.XLOOKUP(G123,Data!$D$3:$L$3,Data!$D$1:$L$1,"",1,1),E123="U12B",_xlfn.XLOOKUP(G123,Data!$D$9:$L$9,Data!$D$1:$L$1,"",1,1),E123="U10G",_xlfn.XLOOKUP(G123,Data!$D$16:$L$16,Data!$D$1:$L$1,"",1,1),E123="U12G",_xlfn.XLOOKUP(G123,Data!$D$22:$L$22,Data!$D$1:$L$1,"",1,1)))</f>
        <v/>
      </c>
      <c r="L123" s="184" t="str" cm="1">
        <f t="array" ref="L123">IFERROR(_xlfn.IFNA(
                      _xlfn.IFS(
                      G123="", "",
                      G123=0, "",
                      AND(E123="U10B",G123&lt;=Data!$M$3), "U10 Boys record",
                      AND(E123="U12B",G123&lt;=Data!$M$9), "U12 Boys record",
                      AND(E123="U10G",G123&lt;=Data!$M$16), "U10 Girls record",
                      AND(E123="U12G",G123&lt;=Data!$M$22), "U12 Girls record"
                       ),""), "")</f>
        <v/>
      </c>
      <c r="M123" s="19" cm="1">
        <f t="array" ref="M123">_xlfn.IFS(OR($G123="",$G123=0),0, AND(NOT(ISNUMBER($G123)),LOWER($G123)&lt;&gt;"dnf"),"Not a valid time",OR(LOWER($G123)="dnf",$G123&gt;ScoringTable!$N$161),1,RIGHT($E123,1)="B",_xlfn.XLOOKUP($G123,ScoringTable!$N$2:$N$161,ScoringTable!$L$2:$L$161,,1),TRUE,_xlfn.XLOOKUP($G123,ScoringTable!$T$2:$T$161,ScoringTable!$R$2:$R$161,,1))</f>
        <v>0</v>
      </c>
      <c r="Q123" s="125">
        <f t="shared" si="5"/>
        <v>0</v>
      </c>
      <c r="R123" s="126">
        <f t="shared" si="6"/>
        <v>0</v>
      </c>
      <c r="S123" s="127">
        <f t="shared" si="7"/>
        <v>0</v>
      </c>
      <c r="T123" s="126">
        <f t="shared" si="8"/>
        <v>0</v>
      </c>
      <c r="U123" s="128">
        <f t="shared" si="9"/>
        <v>0</v>
      </c>
    </row>
    <row r="124" spans="1:21" s="7" customFormat="1" ht="16" customHeight="1">
      <c r="A124" s="121" t="s">
        <v>3</v>
      </c>
      <c r="B124" s="122" t="str">
        <f>IF(ISNA(VLOOKUP($F124,Declarations!B$6:C$293,2,FALSE)),"",IF(VLOOKUP($F124,Declarations!B$6:C$293,2,FALSE)="","NOT DECLARED",IF(ISNA(_xlfn.TEXTBEFORE(VLOOKUP($F124,Declarations!B$6:C$293,2,FALSE)," ")),VLOOKUP($F124,Declarations!B$6:C$293,2,FALSE),_xlfn.TEXTBEFORE(VLOOKUP($F124,Declarations!B$6:C$293,2,FALSE)," "))))</f>
        <v/>
      </c>
      <c r="C124" s="122" t="str">
        <f>IF(ISNA(VLOOKUP($F124,Declarations!B$6:C$293,2,FALSE)),"",IF(VLOOKUP($F124,Declarations!B$6:C$293,2,FALSE)="","NOT DECLARED",IF(ISNA(_xlfn.TEXTAFTER(VLOOKUP($F124,Declarations!B$6:C$293,2,FALSE)," ")),VLOOKUP($F124,Declarations!B$6:C$293,2,FALSE),_xlfn.TEXTAFTER(VLOOKUP($F124,Declarations!B$6:C$293,2,FALSE)," "))))</f>
        <v/>
      </c>
      <c r="D124" s="122" t="str">
        <f>IF(ISNA(VLOOKUP($F124,Declarations!$B$6:$F$293,5,FALSE)),"",IF(VLOOKUP($F124,Declarations!$B$6:$F$293,5,FALSE)="","NOT DECLARED",VLOOKUP($F124,Declarations!$B$6:$F$293,5,FALSE)))</f>
        <v/>
      </c>
      <c r="E124" s="120" t="str">
        <f>IF(ISNA(VLOOKUP($F124,Declarations!$B$6:$D$293,3,FALSE)),"",IF(VLOOKUP($F124,Declarations!$B$6:$D$293,3,FALSE)="","NOT DECLARED",VLOOKUP($F124,Declarations!$B$6:$D$293,3,FALSE)&amp;LEFT(VLOOKUP($F124,Declarations!$B$6:$E$293,4,FALSE))))</f>
        <v/>
      </c>
      <c r="F124" s="59"/>
      <c r="G124" s="123">
        <v>0</v>
      </c>
      <c r="H124" s="322"/>
      <c r="I124" s="122" t="str">
        <f>IF(ISNA(VLOOKUP(F124,Declarations!B$6:C$293,2,FALSE)),"",IF(VLOOKUP(F124,Declarations!B$6:C$293,2,FALSE)="","NOTDECLARED",VLOOKUP(F124,Declarations!B$6:C$293,2,FALSE)))</f>
        <v/>
      </c>
      <c r="J124" s="124">
        <f>IF(LOWER(G124)="dnf",1,IF(U124&lt;ScoringTable!C$3,ScoringTable!I$2,VLOOKUP((1000-U124),ScoringTable!H$2:I$95,2)))</f>
        <v>0</v>
      </c>
      <c r="K124" s="120" t="str" cm="1">
        <f t="array" ref="K124">IF(OR(E124="",G124=""),"",_xlfn.IFS(E124="U10B",_xlfn.XLOOKUP(G124,Data!$D$3:$L$3,Data!$D$1:$L$1,"",1,1),E124="U12B",_xlfn.XLOOKUP(G124,Data!$D$9:$L$9,Data!$D$1:$L$1,"",1,1),E124="U10G",_xlfn.XLOOKUP(G124,Data!$D$16:$L$16,Data!$D$1:$L$1,"",1,1),E124="U12G",_xlfn.XLOOKUP(G124,Data!$D$22:$L$22,Data!$D$1:$L$1,"",1,1)))</f>
        <v/>
      </c>
      <c r="L124" s="184" t="str" cm="1">
        <f t="array" ref="L124">IFERROR(_xlfn.IFNA(
                      _xlfn.IFS(
                      G124="", "",
                      G124=0, "",
                      AND(E124="U10B",G124&lt;=Data!$M$3), "U10 Boys record",
                      AND(E124="U12B",G124&lt;=Data!$M$9), "U12 Boys record",
                      AND(E124="U10G",G124&lt;=Data!$M$16), "U10 Girls record",
                      AND(E124="U12G",G124&lt;=Data!$M$22), "U12 Girls record"
                       ),""), "")</f>
        <v/>
      </c>
      <c r="M124" s="19" cm="1">
        <f t="array" ref="M124">_xlfn.IFS(OR($G124="",$G124=0),0, AND(NOT(ISNUMBER($G124)),LOWER($G124)&lt;&gt;"dnf"),"Not a valid time",OR(LOWER($G124)="dnf",$G124&gt;ScoringTable!$N$161),1,RIGHT($E124,1)="B",_xlfn.XLOOKUP($G124,ScoringTable!$N$2:$N$161,ScoringTable!$L$2:$L$161,,1),TRUE,_xlfn.XLOOKUP($G124,ScoringTable!$T$2:$T$161,ScoringTable!$R$2:$R$161,,1))</f>
        <v>0</v>
      </c>
      <c r="Q124" s="125">
        <f t="shared" si="5"/>
        <v>0</v>
      </c>
      <c r="R124" s="126">
        <f t="shared" si="6"/>
        <v>0</v>
      </c>
      <c r="S124" s="127">
        <f t="shared" si="7"/>
        <v>0</v>
      </c>
      <c r="T124" s="126">
        <f t="shared" si="8"/>
        <v>0</v>
      </c>
      <c r="U124" s="128">
        <f t="shared" si="9"/>
        <v>0</v>
      </c>
    </row>
    <row r="125" spans="1:21" s="7" customFormat="1" ht="16" customHeight="1">
      <c r="A125" s="121" t="s">
        <v>3</v>
      </c>
      <c r="B125" s="122" t="str">
        <f>IF(ISNA(VLOOKUP($F125,Declarations!B$6:C$293,2,FALSE)),"",IF(VLOOKUP($F125,Declarations!B$6:C$293,2,FALSE)="","NOT DECLARED",IF(ISNA(_xlfn.TEXTBEFORE(VLOOKUP($F125,Declarations!B$6:C$293,2,FALSE)," ")),VLOOKUP($F125,Declarations!B$6:C$293,2,FALSE),_xlfn.TEXTBEFORE(VLOOKUP($F125,Declarations!B$6:C$293,2,FALSE)," "))))</f>
        <v/>
      </c>
      <c r="C125" s="122" t="str">
        <f>IF(ISNA(VLOOKUP($F125,Declarations!B$6:C$293,2,FALSE)),"",IF(VLOOKUP($F125,Declarations!B$6:C$293,2,FALSE)="","NOT DECLARED",IF(ISNA(_xlfn.TEXTAFTER(VLOOKUP($F125,Declarations!B$6:C$293,2,FALSE)," ")),VLOOKUP($F125,Declarations!B$6:C$293,2,FALSE),_xlfn.TEXTAFTER(VLOOKUP($F125,Declarations!B$6:C$293,2,FALSE)," "))))</f>
        <v/>
      </c>
      <c r="D125" s="122" t="str">
        <f>IF(ISNA(VLOOKUP($F125,Declarations!$B$6:$F$293,5,FALSE)),"",IF(VLOOKUP($F125,Declarations!$B$6:$F$293,5,FALSE)="","NOT DECLARED",VLOOKUP($F125,Declarations!$B$6:$F$293,5,FALSE)))</f>
        <v/>
      </c>
      <c r="E125" s="120" t="str">
        <f>IF(ISNA(VLOOKUP($F125,Declarations!$B$6:$D$293,3,FALSE)),"",IF(VLOOKUP($F125,Declarations!$B$6:$D$293,3,FALSE)="","NOT DECLARED",VLOOKUP($F125,Declarations!$B$6:$D$293,3,FALSE)&amp;LEFT(VLOOKUP($F125,Declarations!$B$6:$E$293,4,FALSE))))</f>
        <v/>
      </c>
      <c r="F125" s="59"/>
      <c r="G125" s="123">
        <v>0</v>
      </c>
      <c r="H125" s="322"/>
      <c r="I125" s="122" t="str">
        <f>IF(ISNA(VLOOKUP(F125,Declarations!B$6:C$293,2,FALSE)),"",IF(VLOOKUP(F125,Declarations!B$6:C$293,2,FALSE)="","NOTDECLARED",VLOOKUP(F125,Declarations!B$6:C$293,2,FALSE)))</f>
        <v/>
      </c>
      <c r="J125" s="124">
        <f>IF(LOWER(G125)="dnf",1,IF(U125&lt;ScoringTable!C$3,ScoringTable!I$2,VLOOKUP((1000-U125),ScoringTable!H$2:I$95,2)))</f>
        <v>0</v>
      </c>
      <c r="K125" s="120" t="str" cm="1">
        <f t="array" ref="K125">IF(OR(E125="",G125=""),"",_xlfn.IFS(E125="U10B",_xlfn.XLOOKUP(G125,Data!$D$3:$L$3,Data!$D$1:$L$1,"",1,1),E125="U12B",_xlfn.XLOOKUP(G125,Data!$D$9:$L$9,Data!$D$1:$L$1,"",1,1),E125="U10G",_xlfn.XLOOKUP(G125,Data!$D$16:$L$16,Data!$D$1:$L$1,"",1,1),E125="U12G",_xlfn.XLOOKUP(G125,Data!$D$22:$L$22,Data!$D$1:$L$1,"",1,1)))</f>
        <v/>
      </c>
      <c r="L125" s="184" t="str" cm="1">
        <f t="array" ref="L125">IFERROR(_xlfn.IFNA(
                      _xlfn.IFS(
                      G125="", "",
                      G125=0, "",
                      AND(E125="U10B",G125&lt;=Data!$M$3), "U10 Boys record",
                      AND(E125="U12B",G125&lt;=Data!$M$9), "U12 Boys record",
                      AND(E125="U10G",G125&lt;=Data!$M$16), "U10 Girls record",
                      AND(E125="U12G",G125&lt;=Data!$M$22), "U12 Girls record"
                       ),""), "")</f>
        <v/>
      </c>
      <c r="M125" s="19" cm="1">
        <f t="array" ref="M125">_xlfn.IFS(OR($G125="",$G125=0),0, AND(NOT(ISNUMBER($G125)),LOWER($G125)&lt;&gt;"dnf"),"Not a valid time",OR(LOWER($G125)="dnf",$G125&gt;ScoringTable!$N$161),1,RIGHT($E125,1)="B",_xlfn.XLOOKUP($G125,ScoringTable!$N$2:$N$161,ScoringTable!$L$2:$L$161,,1),TRUE,_xlfn.XLOOKUP($G125,ScoringTable!$T$2:$T$161,ScoringTable!$R$2:$R$161,,1))</f>
        <v>0</v>
      </c>
      <c r="Q125" s="125">
        <f t="shared" si="5"/>
        <v>0</v>
      </c>
      <c r="R125" s="126">
        <f t="shared" si="6"/>
        <v>0</v>
      </c>
      <c r="S125" s="127">
        <f t="shared" si="7"/>
        <v>0</v>
      </c>
      <c r="T125" s="126">
        <f t="shared" si="8"/>
        <v>0</v>
      </c>
      <c r="U125" s="128">
        <f t="shared" si="9"/>
        <v>0</v>
      </c>
    </row>
    <row r="126" spans="1:21" s="7" customFormat="1" ht="16" customHeight="1">
      <c r="A126" s="121" t="s">
        <v>3</v>
      </c>
      <c r="B126" s="122" t="str">
        <f>IF(ISNA(VLOOKUP($F126,Declarations!B$6:C$293,2,FALSE)),"",IF(VLOOKUP($F126,Declarations!B$6:C$293,2,FALSE)="","NOT DECLARED",IF(ISNA(_xlfn.TEXTBEFORE(VLOOKUP($F126,Declarations!B$6:C$293,2,FALSE)," ")),VLOOKUP($F126,Declarations!B$6:C$293,2,FALSE),_xlfn.TEXTBEFORE(VLOOKUP($F126,Declarations!B$6:C$293,2,FALSE)," "))))</f>
        <v/>
      </c>
      <c r="C126" s="122" t="str">
        <f>IF(ISNA(VLOOKUP($F126,Declarations!B$6:C$293,2,FALSE)),"",IF(VLOOKUP($F126,Declarations!B$6:C$293,2,FALSE)="","NOT DECLARED",IF(ISNA(_xlfn.TEXTAFTER(VLOOKUP($F126,Declarations!B$6:C$293,2,FALSE)," ")),VLOOKUP($F126,Declarations!B$6:C$293,2,FALSE),_xlfn.TEXTAFTER(VLOOKUP($F126,Declarations!B$6:C$293,2,FALSE)," "))))</f>
        <v/>
      </c>
      <c r="D126" s="122" t="str">
        <f>IF(ISNA(VLOOKUP($F126,Declarations!$B$6:$F$293,5,FALSE)),"",IF(VLOOKUP($F126,Declarations!$B$6:$F$293,5,FALSE)="","NOT DECLARED",VLOOKUP($F126,Declarations!$B$6:$F$293,5,FALSE)))</f>
        <v/>
      </c>
      <c r="E126" s="120" t="str">
        <f>IF(ISNA(VLOOKUP($F126,Declarations!$B$6:$D$293,3,FALSE)),"",IF(VLOOKUP($F126,Declarations!$B$6:$D$293,3,FALSE)="","NOT DECLARED",VLOOKUP($F126,Declarations!$B$6:$D$293,3,FALSE)&amp;LEFT(VLOOKUP($F126,Declarations!$B$6:$E$293,4,FALSE))))</f>
        <v/>
      </c>
      <c r="F126" s="59"/>
      <c r="G126" s="123">
        <v>0</v>
      </c>
      <c r="H126" s="322"/>
      <c r="I126" s="122" t="str">
        <f>IF(ISNA(VLOOKUP(F126,Declarations!B$6:C$293,2,FALSE)),"",IF(VLOOKUP(F126,Declarations!B$6:C$293,2,FALSE)="","NOTDECLARED",VLOOKUP(F126,Declarations!B$6:C$293,2,FALSE)))</f>
        <v/>
      </c>
      <c r="J126" s="124">
        <f>IF(LOWER(G126)="dnf",1,IF(U126&lt;ScoringTable!C$3,ScoringTable!I$2,VLOOKUP((1000-U126),ScoringTable!H$2:I$95,2)))</f>
        <v>0</v>
      </c>
      <c r="K126" s="120" t="str" cm="1">
        <f t="array" ref="K126">IF(OR(E126="",G126=""),"",_xlfn.IFS(E126="U10B",_xlfn.XLOOKUP(G126,Data!$D$3:$L$3,Data!$D$1:$L$1,"",1,1),E126="U12B",_xlfn.XLOOKUP(G126,Data!$D$9:$L$9,Data!$D$1:$L$1,"",1,1),E126="U10G",_xlfn.XLOOKUP(G126,Data!$D$16:$L$16,Data!$D$1:$L$1,"",1,1),E126="U12G",_xlfn.XLOOKUP(G126,Data!$D$22:$L$22,Data!$D$1:$L$1,"",1,1)))</f>
        <v/>
      </c>
      <c r="L126" s="184" t="str" cm="1">
        <f t="array" ref="L126">IFERROR(_xlfn.IFNA(
                      _xlfn.IFS(
                      G126="", "",
                      G126=0, "",
                      AND(E126="U10B",G126&lt;=Data!$M$3), "U10 Boys record",
                      AND(E126="U12B",G126&lt;=Data!$M$9), "U12 Boys record",
                      AND(E126="U10G",G126&lt;=Data!$M$16), "U10 Girls record",
                      AND(E126="U12G",G126&lt;=Data!$M$22), "U12 Girls record"
                       ),""), "")</f>
        <v/>
      </c>
      <c r="M126" s="19" cm="1">
        <f t="array" ref="M126">_xlfn.IFS(OR($G126="",$G126=0),0, AND(NOT(ISNUMBER($G126)),LOWER($G126)&lt;&gt;"dnf"),"Not a valid time",OR(LOWER($G126)="dnf",$G126&gt;ScoringTable!$N$161),1,RIGHT($E126,1)="B",_xlfn.XLOOKUP($G126,ScoringTable!$N$2:$N$161,ScoringTable!$L$2:$L$161,,1),TRUE,_xlfn.XLOOKUP($G126,ScoringTable!$T$2:$T$161,ScoringTable!$R$2:$R$161,,1))</f>
        <v>0</v>
      </c>
      <c r="Q126" s="125">
        <f t="shared" si="5"/>
        <v>0</v>
      </c>
      <c r="R126" s="126">
        <f t="shared" si="6"/>
        <v>0</v>
      </c>
      <c r="S126" s="127">
        <f t="shared" si="7"/>
        <v>0</v>
      </c>
      <c r="T126" s="126">
        <f t="shared" si="8"/>
        <v>0</v>
      </c>
      <c r="U126" s="128">
        <f t="shared" si="9"/>
        <v>0</v>
      </c>
    </row>
    <row r="127" spans="1:21" s="7" customFormat="1" ht="16" customHeight="1">
      <c r="A127" s="121" t="s">
        <v>3</v>
      </c>
      <c r="B127" s="122" t="str">
        <f>IF(ISNA(VLOOKUP($F127,Declarations!B$6:C$293,2,FALSE)),"",IF(VLOOKUP($F127,Declarations!B$6:C$293,2,FALSE)="","NOT DECLARED",IF(ISNA(_xlfn.TEXTBEFORE(VLOOKUP($F127,Declarations!B$6:C$293,2,FALSE)," ")),VLOOKUP($F127,Declarations!B$6:C$293,2,FALSE),_xlfn.TEXTBEFORE(VLOOKUP($F127,Declarations!B$6:C$293,2,FALSE)," "))))</f>
        <v/>
      </c>
      <c r="C127" s="122" t="str">
        <f>IF(ISNA(VLOOKUP($F127,Declarations!B$6:C$293,2,FALSE)),"",IF(VLOOKUP($F127,Declarations!B$6:C$293,2,FALSE)="","NOT DECLARED",IF(ISNA(_xlfn.TEXTAFTER(VLOOKUP($F127,Declarations!B$6:C$293,2,FALSE)," ")),VLOOKUP($F127,Declarations!B$6:C$293,2,FALSE),_xlfn.TEXTAFTER(VLOOKUP($F127,Declarations!B$6:C$293,2,FALSE)," "))))</f>
        <v/>
      </c>
      <c r="D127" s="122" t="str">
        <f>IF(ISNA(VLOOKUP($F127,Declarations!$B$6:$F$293,5,FALSE)),"",IF(VLOOKUP($F127,Declarations!$B$6:$F$293,5,FALSE)="","NOT DECLARED",VLOOKUP($F127,Declarations!$B$6:$F$293,5,FALSE)))</f>
        <v/>
      </c>
      <c r="E127" s="120" t="str">
        <f>IF(ISNA(VLOOKUP($F127,Declarations!$B$6:$D$293,3,FALSE)),"",IF(VLOOKUP($F127,Declarations!$B$6:$D$293,3,FALSE)="","NOT DECLARED",VLOOKUP($F127,Declarations!$B$6:$D$293,3,FALSE)&amp;LEFT(VLOOKUP($F127,Declarations!$B$6:$E$293,4,FALSE))))</f>
        <v/>
      </c>
      <c r="F127" s="59"/>
      <c r="G127" s="123">
        <v>0</v>
      </c>
      <c r="H127" s="322"/>
      <c r="I127" s="122" t="str">
        <f>IF(ISNA(VLOOKUP(F127,Declarations!B$6:C$293,2,FALSE)),"",IF(VLOOKUP(F127,Declarations!B$6:C$293,2,FALSE)="","NOTDECLARED",VLOOKUP(F127,Declarations!B$6:C$293,2,FALSE)))</f>
        <v/>
      </c>
      <c r="J127" s="124">
        <f>IF(LOWER(G127)="dnf",1,IF(U127&lt;ScoringTable!C$3,ScoringTable!I$2,VLOOKUP((1000-U127),ScoringTable!H$2:I$95,2)))</f>
        <v>0</v>
      </c>
      <c r="K127" s="120" t="str" cm="1">
        <f t="array" ref="K127">IF(OR(E127="",G127=""),"",_xlfn.IFS(E127="U10B",_xlfn.XLOOKUP(G127,Data!$D$3:$L$3,Data!$D$1:$L$1,"",1,1),E127="U12B",_xlfn.XLOOKUP(G127,Data!$D$9:$L$9,Data!$D$1:$L$1,"",1,1),E127="U10G",_xlfn.XLOOKUP(G127,Data!$D$16:$L$16,Data!$D$1:$L$1,"",1,1),E127="U12G",_xlfn.XLOOKUP(G127,Data!$D$22:$L$22,Data!$D$1:$L$1,"",1,1)))</f>
        <v/>
      </c>
      <c r="L127" s="184" t="str" cm="1">
        <f t="array" ref="L127">IFERROR(_xlfn.IFNA(
                      _xlfn.IFS(
                      G127="", "",
                      G127=0, "",
                      AND(E127="U10B",G127&lt;=Data!$M$3), "U10 Boys record",
                      AND(E127="U12B",G127&lt;=Data!$M$9), "U12 Boys record",
                      AND(E127="U10G",G127&lt;=Data!$M$16), "U10 Girls record",
                      AND(E127="U12G",G127&lt;=Data!$M$22), "U12 Girls record"
                       ),""), "")</f>
        <v/>
      </c>
      <c r="M127" s="19" cm="1">
        <f t="array" ref="M127">_xlfn.IFS(OR($G127="",$G127=0),0, AND(NOT(ISNUMBER($G127)),LOWER($G127)&lt;&gt;"dnf"),"Not a valid time",OR(LOWER($G127)="dnf",$G127&gt;ScoringTable!$N$161),1,RIGHT($E127,1)="B",_xlfn.XLOOKUP($G127,ScoringTable!$N$2:$N$161,ScoringTable!$L$2:$L$161,,1),TRUE,_xlfn.XLOOKUP($G127,ScoringTable!$T$2:$T$161,ScoringTable!$R$2:$R$161,,1))</f>
        <v>0</v>
      </c>
      <c r="Q127" s="125">
        <f t="shared" si="5"/>
        <v>0</v>
      </c>
      <c r="R127" s="126">
        <f t="shared" si="6"/>
        <v>0</v>
      </c>
      <c r="S127" s="127">
        <f t="shared" si="7"/>
        <v>0</v>
      </c>
      <c r="T127" s="126">
        <f t="shared" si="8"/>
        <v>0</v>
      </c>
      <c r="U127" s="128">
        <f t="shared" si="9"/>
        <v>0</v>
      </c>
    </row>
    <row r="128" spans="1:21" s="7" customFormat="1" ht="16" customHeight="1">
      <c r="A128" s="121" t="s">
        <v>3</v>
      </c>
      <c r="B128" s="122" t="str">
        <f>IF(ISNA(VLOOKUP($F128,Declarations!B$6:C$293,2,FALSE)),"",IF(VLOOKUP($F128,Declarations!B$6:C$293,2,FALSE)="","NOT DECLARED",IF(ISNA(_xlfn.TEXTBEFORE(VLOOKUP($F128,Declarations!B$6:C$293,2,FALSE)," ")),VLOOKUP($F128,Declarations!B$6:C$293,2,FALSE),_xlfn.TEXTBEFORE(VLOOKUP($F128,Declarations!B$6:C$293,2,FALSE)," "))))</f>
        <v/>
      </c>
      <c r="C128" s="122" t="str">
        <f>IF(ISNA(VLOOKUP($F128,Declarations!B$6:C$293,2,FALSE)),"",IF(VLOOKUP($F128,Declarations!B$6:C$293,2,FALSE)="","NOT DECLARED",IF(ISNA(_xlfn.TEXTAFTER(VLOOKUP($F128,Declarations!B$6:C$293,2,FALSE)," ")),VLOOKUP($F128,Declarations!B$6:C$293,2,FALSE),_xlfn.TEXTAFTER(VLOOKUP($F128,Declarations!B$6:C$293,2,FALSE)," "))))</f>
        <v/>
      </c>
      <c r="D128" s="122" t="str">
        <f>IF(ISNA(VLOOKUP($F128,Declarations!$B$6:$F$293,5,FALSE)),"",IF(VLOOKUP($F128,Declarations!$B$6:$F$293,5,FALSE)="","NOT DECLARED",VLOOKUP($F128,Declarations!$B$6:$F$293,5,FALSE)))</f>
        <v/>
      </c>
      <c r="E128" s="120" t="str">
        <f>IF(ISNA(VLOOKUP($F128,Declarations!$B$6:$D$293,3,FALSE)),"",IF(VLOOKUP($F128,Declarations!$B$6:$D$293,3,FALSE)="","NOT DECLARED",VLOOKUP($F128,Declarations!$B$6:$D$293,3,FALSE)&amp;LEFT(VLOOKUP($F128,Declarations!$B$6:$E$293,4,FALSE))))</f>
        <v/>
      </c>
      <c r="F128" s="59"/>
      <c r="G128" s="123">
        <v>0</v>
      </c>
      <c r="H128" s="322"/>
      <c r="I128" s="122" t="str">
        <f>IF(ISNA(VLOOKUP(F128,Declarations!B$6:C$293,2,FALSE)),"",IF(VLOOKUP(F128,Declarations!B$6:C$293,2,FALSE)="","NOTDECLARED",VLOOKUP(F128,Declarations!B$6:C$293,2,FALSE)))</f>
        <v/>
      </c>
      <c r="J128" s="124">
        <f>IF(LOWER(G128)="dnf",1,IF(U128&lt;ScoringTable!C$3,ScoringTable!I$2,VLOOKUP((1000-U128),ScoringTable!H$2:I$95,2)))</f>
        <v>0</v>
      </c>
      <c r="K128" s="120" t="str" cm="1">
        <f t="array" ref="K128">IF(OR(E128="",G128=""),"",_xlfn.IFS(E128="U10B",_xlfn.XLOOKUP(G128,Data!$D$3:$L$3,Data!$D$1:$L$1,"",1,1),E128="U12B",_xlfn.XLOOKUP(G128,Data!$D$9:$L$9,Data!$D$1:$L$1,"",1,1),E128="U10G",_xlfn.XLOOKUP(G128,Data!$D$16:$L$16,Data!$D$1:$L$1,"",1,1),E128="U12G",_xlfn.XLOOKUP(G128,Data!$D$22:$L$22,Data!$D$1:$L$1,"",1,1)))</f>
        <v/>
      </c>
      <c r="L128" s="184" t="str" cm="1">
        <f t="array" ref="L128">IFERROR(_xlfn.IFNA(
                      _xlfn.IFS(
                      G128="", "",
                      G128=0, "",
                      AND(E128="U10B",G128&lt;=Data!$M$3), "U10 Boys record",
                      AND(E128="U12B",G128&lt;=Data!$M$9), "U12 Boys record",
                      AND(E128="U10G",G128&lt;=Data!$M$16), "U10 Girls record",
                      AND(E128="U12G",G128&lt;=Data!$M$22), "U12 Girls record"
                       ),""), "")</f>
        <v/>
      </c>
      <c r="M128" s="19" cm="1">
        <f t="array" ref="M128">_xlfn.IFS(OR($G128="",$G128=0),0, AND(NOT(ISNUMBER($G128)),LOWER($G128)&lt;&gt;"dnf"),"Not a valid time",OR(LOWER($G128)="dnf",$G128&gt;ScoringTable!$N$161),1,RIGHT($E128,1)="B",_xlfn.XLOOKUP($G128,ScoringTable!$N$2:$N$161,ScoringTable!$L$2:$L$161,,1),TRUE,_xlfn.XLOOKUP($G128,ScoringTable!$T$2:$T$161,ScoringTable!$R$2:$R$161,,1))</f>
        <v>0</v>
      </c>
      <c r="Q128" s="125">
        <f t="shared" si="5"/>
        <v>0</v>
      </c>
      <c r="R128" s="126">
        <f t="shared" si="6"/>
        <v>0</v>
      </c>
      <c r="S128" s="127">
        <f t="shared" si="7"/>
        <v>0</v>
      </c>
      <c r="T128" s="126">
        <f t="shared" si="8"/>
        <v>0</v>
      </c>
      <c r="U128" s="128">
        <f t="shared" si="9"/>
        <v>0</v>
      </c>
    </row>
    <row r="129" spans="1:21" s="7" customFormat="1" ht="16" customHeight="1">
      <c r="A129" s="121" t="s">
        <v>3</v>
      </c>
      <c r="B129" s="122" t="str">
        <f>IF(ISNA(VLOOKUP($F129,Declarations!B$6:C$293,2,FALSE)),"",IF(VLOOKUP($F129,Declarations!B$6:C$293,2,FALSE)="","NOT DECLARED",IF(ISNA(_xlfn.TEXTBEFORE(VLOOKUP($F129,Declarations!B$6:C$293,2,FALSE)," ")),VLOOKUP($F129,Declarations!B$6:C$293,2,FALSE),_xlfn.TEXTBEFORE(VLOOKUP($F129,Declarations!B$6:C$293,2,FALSE)," "))))</f>
        <v/>
      </c>
      <c r="C129" s="122" t="str">
        <f>IF(ISNA(VLOOKUP($F129,Declarations!B$6:C$293,2,FALSE)),"",IF(VLOOKUP($F129,Declarations!B$6:C$293,2,FALSE)="","NOT DECLARED",IF(ISNA(_xlfn.TEXTAFTER(VLOOKUP($F129,Declarations!B$6:C$293,2,FALSE)," ")),VLOOKUP($F129,Declarations!B$6:C$293,2,FALSE),_xlfn.TEXTAFTER(VLOOKUP($F129,Declarations!B$6:C$293,2,FALSE)," "))))</f>
        <v/>
      </c>
      <c r="D129" s="122" t="str">
        <f>IF(ISNA(VLOOKUP($F129,Declarations!$B$6:$F$293,5,FALSE)),"",IF(VLOOKUP($F129,Declarations!$B$6:$F$293,5,FALSE)="","NOT DECLARED",VLOOKUP($F129,Declarations!$B$6:$F$293,5,FALSE)))</f>
        <v/>
      </c>
      <c r="E129" s="120" t="str">
        <f>IF(ISNA(VLOOKUP($F129,Declarations!$B$6:$D$293,3,FALSE)),"",IF(VLOOKUP($F129,Declarations!$B$6:$D$293,3,FALSE)="","NOT DECLARED",VLOOKUP($F129,Declarations!$B$6:$D$293,3,FALSE)&amp;LEFT(VLOOKUP($F129,Declarations!$B$6:$E$293,4,FALSE))))</f>
        <v/>
      </c>
      <c r="F129" s="59"/>
      <c r="G129" s="123">
        <v>0</v>
      </c>
      <c r="H129" s="322"/>
      <c r="I129" s="122" t="str">
        <f>IF(ISNA(VLOOKUP(F129,Declarations!B$6:C$293,2,FALSE)),"",IF(VLOOKUP(F129,Declarations!B$6:C$293,2,FALSE)="","NOTDECLARED",VLOOKUP(F129,Declarations!B$6:C$293,2,FALSE)))</f>
        <v/>
      </c>
      <c r="J129" s="124">
        <f>IF(LOWER(G129)="dnf",1,IF(U129&lt;ScoringTable!C$3,ScoringTable!I$2,VLOOKUP((1000-U129),ScoringTable!H$2:I$95,2)))</f>
        <v>0</v>
      </c>
      <c r="K129" s="120" t="str" cm="1">
        <f t="array" ref="K129">IF(OR(E129="",G129=""),"",_xlfn.IFS(E129="U10B",_xlfn.XLOOKUP(G129,Data!$D$3:$L$3,Data!$D$1:$L$1,"",1,1),E129="U12B",_xlfn.XLOOKUP(G129,Data!$D$9:$L$9,Data!$D$1:$L$1,"",1,1),E129="U10G",_xlfn.XLOOKUP(G129,Data!$D$16:$L$16,Data!$D$1:$L$1,"",1,1),E129="U12G",_xlfn.XLOOKUP(G129,Data!$D$22:$L$22,Data!$D$1:$L$1,"",1,1)))</f>
        <v/>
      </c>
      <c r="L129" s="184" t="str" cm="1">
        <f t="array" ref="L129">IFERROR(_xlfn.IFNA(
                      _xlfn.IFS(
                      G129="", "",
                      G129=0, "",
                      AND(E129="U10B",G129&lt;=Data!$M$3), "U10 Boys record",
                      AND(E129="U12B",G129&lt;=Data!$M$9), "U12 Boys record",
                      AND(E129="U10G",G129&lt;=Data!$M$16), "U10 Girls record",
                      AND(E129="U12G",G129&lt;=Data!$M$22), "U12 Girls record"
                       ),""), "")</f>
        <v/>
      </c>
      <c r="M129" s="19" cm="1">
        <f t="array" ref="M129">_xlfn.IFS(OR($G129="",$G129=0),0, AND(NOT(ISNUMBER($G129)),LOWER($G129)&lt;&gt;"dnf"),"Not a valid time",OR(LOWER($G129)="dnf",$G129&gt;ScoringTable!$N$161),1,RIGHT($E129,1)="B",_xlfn.XLOOKUP($G129,ScoringTable!$N$2:$N$161,ScoringTable!$L$2:$L$161,,1),TRUE,_xlfn.XLOOKUP($G129,ScoringTable!$T$2:$T$161,ScoringTable!$R$2:$R$161,,1))</f>
        <v>0</v>
      </c>
      <c r="Q129" s="125">
        <f t="shared" si="5"/>
        <v>0</v>
      </c>
      <c r="R129" s="126">
        <f t="shared" si="6"/>
        <v>0</v>
      </c>
      <c r="S129" s="127">
        <f t="shared" si="7"/>
        <v>0</v>
      </c>
      <c r="T129" s="126">
        <f t="shared" si="8"/>
        <v>0</v>
      </c>
      <c r="U129" s="128">
        <f t="shared" si="9"/>
        <v>0</v>
      </c>
    </row>
    <row r="130" spans="1:21" s="7" customFormat="1" ht="16" customHeight="1">
      <c r="A130" s="121" t="s">
        <v>3</v>
      </c>
      <c r="B130" s="122" t="str">
        <f>IF(ISNA(VLOOKUP($F130,Declarations!B$6:C$293,2,FALSE)),"",IF(VLOOKUP($F130,Declarations!B$6:C$293,2,FALSE)="","NOT DECLARED",IF(ISNA(_xlfn.TEXTBEFORE(VLOOKUP($F130,Declarations!B$6:C$293,2,FALSE)," ")),VLOOKUP($F130,Declarations!B$6:C$293,2,FALSE),_xlfn.TEXTBEFORE(VLOOKUP($F130,Declarations!B$6:C$293,2,FALSE)," "))))</f>
        <v/>
      </c>
      <c r="C130" s="122" t="str">
        <f>IF(ISNA(VLOOKUP($F130,Declarations!B$6:C$293,2,FALSE)),"",IF(VLOOKUP($F130,Declarations!B$6:C$293,2,FALSE)="","NOT DECLARED",IF(ISNA(_xlfn.TEXTAFTER(VLOOKUP($F130,Declarations!B$6:C$293,2,FALSE)," ")),VLOOKUP($F130,Declarations!B$6:C$293,2,FALSE),_xlfn.TEXTAFTER(VLOOKUP($F130,Declarations!B$6:C$293,2,FALSE)," "))))</f>
        <v/>
      </c>
      <c r="D130" s="122" t="str">
        <f>IF(ISNA(VLOOKUP($F130,Declarations!$B$6:$F$293,5,FALSE)),"",IF(VLOOKUP($F130,Declarations!$B$6:$F$293,5,FALSE)="","NOT DECLARED",VLOOKUP($F130,Declarations!$B$6:$F$293,5,FALSE)))</f>
        <v/>
      </c>
      <c r="E130" s="120" t="str">
        <f>IF(ISNA(VLOOKUP($F130,Declarations!$B$6:$D$293,3,FALSE)),"",IF(VLOOKUP($F130,Declarations!$B$6:$D$293,3,FALSE)="","NOT DECLARED",VLOOKUP($F130,Declarations!$B$6:$D$293,3,FALSE)&amp;LEFT(VLOOKUP($F130,Declarations!$B$6:$E$293,4,FALSE))))</f>
        <v/>
      </c>
      <c r="F130" s="59"/>
      <c r="G130" s="123">
        <v>0</v>
      </c>
      <c r="H130" s="322"/>
      <c r="I130" s="122" t="str">
        <f>IF(ISNA(VLOOKUP(F130,Declarations!B$6:C$293,2,FALSE)),"",IF(VLOOKUP(F130,Declarations!B$6:C$293,2,FALSE)="","NOTDECLARED",VLOOKUP(F130,Declarations!B$6:C$293,2,FALSE)))</f>
        <v/>
      </c>
      <c r="J130" s="124">
        <f>IF(LOWER(G130)="dnf",1,IF(U130&lt;ScoringTable!C$3,ScoringTable!I$2,VLOOKUP((1000-U130),ScoringTable!H$2:I$95,2)))</f>
        <v>0</v>
      </c>
      <c r="K130" s="120" t="str" cm="1">
        <f t="array" ref="K130">IF(OR(E130="",G130=""),"",_xlfn.IFS(E130="U10B",_xlfn.XLOOKUP(G130,Data!$D$3:$L$3,Data!$D$1:$L$1,"",1,1),E130="U12B",_xlfn.XLOOKUP(G130,Data!$D$9:$L$9,Data!$D$1:$L$1,"",1,1),E130="U10G",_xlfn.XLOOKUP(G130,Data!$D$16:$L$16,Data!$D$1:$L$1,"",1,1),E130="U12G",_xlfn.XLOOKUP(G130,Data!$D$22:$L$22,Data!$D$1:$L$1,"",1,1)))</f>
        <v/>
      </c>
      <c r="L130" s="184" t="str" cm="1">
        <f t="array" ref="L130">IFERROR(_xlfn.IFNA(
                      _xlfn.IFS(
                      G130="", "",
                      G130=0, "",
                      AND(E130="U10B",G130&lt;=Data!$M$3), "U10 Boys record",
                      AND(E130="U12B",G130&lt;=Data!$M$9), "U12 Boys record",
                      AND(E130="U10G",G130&lt;=Data!$M$16), "U10 Girls record",
                      AND(E130="U12G",G130&lt;=Data!$M$22), "U12 Girls record"
                       ),""), "")</f>
        <v/>
      </c>
      <c r="M130" s="19" cm="1">
        <f t="array" ref="M130">_xlfn.IFS(OR($G130="",$G130=0),0, AND(NOT(ISNUMBER($G130)),LOWER($G130)&lt;&gt;"dnf"),"Not a valid time",OR(LOWER($G130)="dnf",$G130&gt;ScoringTable!$N$161),1,RIGHT($E130,1)="B",_xlfn.XLOOKUP($G130,ScoringTable!$N$2:$N$161,ScoringTable!$L$2:$L$161,,1),TRUE,_xlfn.XLOOKUP($G130,ScoringTable!$T$2:$T$161,ScoringTable!$R$2:$R$161,,1))</f>
        <v>0</v>
      </c>
      <c r="Q130" s="125">
        <f t="shared" si="5"/>
        <v>0</v>
      </c>
      <c r="R130" s="126">
        <f t="shared" si="6"/>
        <v>0</v>
      </c>
      <c r="S130" s="127">
        <f t="shared" si="7"/>
        <v>0</v>
      </c>
      <c r="T130" s="126">
        <f t="shared" si="8"/>
        <v>0</v>
      </c>
      <c r="U130" s="128">
        <f t="shared" si="9"/>
        <v>0</v>
      </c>
    </row>
    <row r="131" spans="1:21" s="7" customFormat="1" ht="16" customHeight="1">
      <c r="A131" s="121" t="s">
        <v>3</v>
      </c>
      <c r="B131" s="122" t="str">
        <f>IF(ISNA(VLOOKUP($F131,Declarations!B$6:C$293,2,FALSE)),"",IF(VLOOKUP($F131,Declarations!B$6:C$293,2,FALSE)="","NOT DECLARED",IF(ISNA(_xlfn.TEXTBEFORE(VLOOKUP($F131,Declarations!B$6:C$293,2,FALSE)," ")),VLOOKUP($F131,Declarations!B$6:C$293,2,FALSE),_xlfn.TEXTBEFORE(VLOOKUP($F131,Declarations!B$6:C$293,2,FALSE)," "))))</f>
        <v/>
      </c>
      <c r="C131" s="122" t="str">
        <f>IF(ISNA(VLOOKUP($F131,Declarations!B$6:C$293,2,FALSE)),"",IF(VLOOKUP($F131,Declarations!B$6:C$293,2,FALSE)="","NOT DECLARED",IF(ISNA(_xlfn.TEXTAFTER(VLOOKUP($F131,Declarations!B$6:C$293,2,FALSE)," ")),VLOOKUP($F131,Declarations!B$6:C$293,2,FALSE),_xlfn.TEXTAFTER(VLOOKUP($F131,Declarations!B$6:C$293,2,FALSE)," "))))</f>
        <v/>
      </c>
      <c r="D131" s="122" t="str">
        <f>IF(ISNA(VLOOKUP($F131,Declarations!$B$6:$F$293,5,FALSE)),"",IF(VLOOKUP($F131,Declarations!$B$6:$F$293,5,FALSE)="","NOT DECLARED",VLOOKUP($F131,Declarations!$B$6:$F$293,5,FALSE)))</f>
        <v/>
      </c>
      <c r="E131" s="120" t="str">
        <f>IF(ISNA(VLOOKUP($F131,Declarations!$B$6:$D$293,3,FALSE)),"",IF(VLOOKUP($F131,Declarations!$B$6:$D$293,3,FALSE)="","NOT DECLARED",VLOOKUP($F131,Declarations!$B$6:$D$293,3,FALSE)&amp;LEFT(VLOOKUP($F131,Declarations!$B$6:$E$293,4,FALSE))))</f>
        <v/>
      </c>
      <c r="F131" s="59"/>
      <c r="G131" s="123">
        <v>0</v>
      </c>
      <c r="H131" s="322"/>
      <c r="I131" s="122" t="str">
        <f>IF(ISNA(VLOOKUP(F131,Declarations!B$6:C$293,2,FALSE)),"",IF(VLOOKUP(F131,Declarations!B$6:C$293,2,FALSE)="","NOTDECLARED",VLOOKUP(F131,Declarations!B$6:C$293,2,FALSE)))</f>
        <v/>
      </c>
      <c r="J131" s="124">
        <f>IF(LOWER(G131)="dnf",1,IF(U131&lt;ScoringTable!C$3,ScoringTable!I$2,VLOOKUP((1000-U131),ScoringTable!H$2:I$95,2)))</f>
        <v>0</v>
      </c>
      <c r="K131" s="120" t="str" cm="1">
        <f t="array" ref="K131">IF(OR(E131="",G131=""),"",_xlfn.IFS(E131="U10B",_xlfn.XLOOKUP(G131,Data!$D$3:$L$3,Data!$D$1:$L$1,"",1,1),E131="U12B",_xlfn.XLOOKUP(G131,Data!$D$9:$L$9,Data!$D$1:$L$1,"",1,1),E131="U10G",_xlfn.XLOOKUP(G131,Data!$D$16:$L$16,Data!$D$1:$L$1,"",1,1),E131="U12G",_xlfn.XLOOKUP(G131,Data!$D$22:$L$22,Data!$D$1:$L$1,"",1,1)))</f>
        <v/>
      </c>
      <c r="L131" s="184" t="str" cm="1">
        <f t="array" ref="L131">IFERROR(_xlfn.IFNA(
                      _xlfn.IFS(
                      G131="", "",
                      G131=0, "",
                      AND(E131="U10B",G131&lt;=Data!$M$3), "U10 Boys record",
                      AND(E131="U12B",G131&lt;=Data!$M$9), "U12 Boys record",
                      AND(E131="U10G",G131&lt;=Data!$M$16), "U10 Girls record",
                      AND(E131="U12G",G131&lt;=Data!$M$22), "U12 Girls record"
                       ),""), "")</f>
        <v/>
      </c>
      <c r="M131" s="19" cm="1">
        <f t="array" ref="M131">_xlfn.IFS(OR($G131="",$G131=0),0, AND(NOT(ISNUMBER($G131)),LOWER($G131)&lt;&gt;"dnf"),"Not a valid time",OR(LOWER($G131)="dnf",$G131&gt;ScoringTable!$N$161),1,RIGHT($E131,1)="B",_xlfn.XLOOKUP($G131,ScoringTable!$N$2:$N$161,ScoringTable!$L$2:$L$161,,1),TRUE,_xlfn.XLOOKUP($G131,ScoringTable!$T$2:$T$161,ScoringTable!$R$2:$R$161,,1))</f>
        <v>0</v>
      </c>
      <c r="Q131" s="125">
        <f t="shared" si="5"/>
        <v>0</v>
      </c>
      <c r="R131" s="126">
        <f t="shared" si="6"/>
        <v>0</v>
      </c>
      <c r="S131" s="127">
        <f t="shared" si="7"/>
        <v>0</v>
      </c>
      <c r="T131" s="126">
        <f t="shared" si="8"/>
        <v>0</v>
      </c>
      <c r="U131" s="128">
        <f t="shared" si="9"/>
        <v>0</v>
      </c>
    </row>
    <row r="132" spans="1:21" s="7" customFormat="1" ht="16" customHeight="1">
      <c r="A132" s="121" t="s">
        <v>3</v>
      </c>
      <c r="B132" s="122" t="str">
        <f>IF(ISNA(VLOOKUP($F132,Declarations!B$6:C$293,2,FALSE)),"",IF(VLOOKUP($F132,Declarations!B$6:C$293,2,FALSE)="","NOT DECLARED",IF(ISNA(_xlfn.TEXTBEFORE(VLOOKUP($F132,Declarations!B$6:C$293,2,FALSE)," ")),VLOOKUP($F132,Declarations!B$6:C$293,2,FALSE),_xlfn.TEXTBEFORE(VLOOKUP($F132,Declarations!B$6:C$293,2,FALSE)," "))))</f>
        <v/>
      </c>
      <c r="C132" s="122" t="str">
        <f>IF(ISNA(VLOOKUP($F132,Declarations!B$6:C$293,2,FALSE)),"",IF(VLOOKUP($F132,Declarations!B$6:C$293,2,FALSE)="","NOT DECLARED",IF(ISNA(_xlfn.TEXTAFTER(VLOOKUP($F132,Declarations!B$6:C$293,2,FALSE)," ")),VLOOKUP($F132,Declarations!B$6:C$293,2,FALSE),_xlfn.TEXTAFTER(VLOOKUP($F132,Declarations!B$6:C$293,2,FALSE)," "))))</f>
        <v/>
      </c>
      <c r="D132" s="122" t="str">
        <f>IF(ISNA(VLOOKUP($F132,Declarations!$B$6:$F$293,5,FALSE)),"",IF(VLOOKUP($F132,Declarations!$B$6:$F$293,5,FALSE)="","NOT DECLARED",VLOOKUP($F132,Declarations!$B$6:$F$293,5,FALSE)))</f>
        <v/>
      </c>
      <c r="E132" s="120" t="str">
        <f>IF(ISNA(VLOOKUP($F132,Declarations!$B$6:$D$293,3,FALSE)),"",IF(VLOOKUP($F132,Declarations!$B$6:$D$293,3,FALSE)="","NOT DECLARED",VLOOKUP($F132,Declarations!$B$6:$D$293,3,FALSE)&amp;LEFT(VLOOKUP($F132,Declarations!$B$6:$E$293,4,FALSE))))</f>
        <v/>
      </c>
      <c r="F132" s="59"/>
      <c r="G132" s="123">
        <v>0</v>
      </c>
      <c r="H132" s="322"/>
      <c r="I132" s="122" t="str">
        <f>IF(ISNA(VLOOKUP(F132,Declarations!B$6:C$293,2,FALSE)),"",IF(VLOOKUP(F132,Declarations!B$6:C$293,2,FALSE)="","NOTDECLARED",VLOOKUP(F132,Declarations!B$6:C$293,2,FALSE)))</f>
        <v/>
      </c>
      <c r="J132" s="124">
        <f>IF(LOWER(G132)="dnf",1,IF(U132&lt;ScoringTable!C$3,ScoringTable!I$2,VLOOKUP((1000-U132),ScoringTable!H$2:I$95,2)))</f>
        <v>0</v>
      </c>
      <c r="K132" s="120" t="str" cm="1">
        <f t="array" ref="K132">IF(OR(E132="",G132=""),"",_xlfn.IFS(E132="U10B",_xlfn.XLOOKUP(G132,Data!$D$3:$L$3,Data!$D$1:$L$1,"",1,1),E132="U12B",_xlfn.XLOOKUP(G132,Data!$D$9:$L$9,Data!$D$1:$L$1,"",1,1),E132="U10G",_xlfn.XLOOKUP(G132,Data!$D$16:$L$16,Data!$D$1:$L$1,"",1,1),E132="U12G",_xlfn.XLOOKUP(G132,Data!$D$22:$L$22,Data!$D$1:$L$1,"",1,1)))</f>
        <v/>
      </c>
      <c r="L132" s="184" t="str" cm="1">
        <f t="array" ref="L132">IFERROR(_xlfn.IFNA(
                      _xlfn.IFS(
                      G132="", "",
                      G132=0, "",
                      AND(E132="U10B",G132&lt;=Data!$M$3), "U10 Boys record",
                      AND(E132="U12B",G132&lt;=Data!$M$9), "U12 Boys record",
                      AND(E132="U10G",G132&lt;=Data!$M$16), "U10 Girls record",
                      AND(E132="U12G",G132&lt;=Data!$M$22), "U12 Girls record"
                       ),""), "")</f>
        <v/>
      </c>
      <c r="M132" s="19" cm="1">
        <f t="array" ref="M132">_xlfn.IFS(OR($G132="",$G132=0),0, AND(NOT(ISNUMBER($G132)),LOWER($G132)&lt;&gt;"dnf"),"Not a valid time",OR(LOWER($G132)="dnf",$G132&gt;ScoringTable!$N$161),1,RIGHT($E132,1)="B",_xlfn.XLOOKUP($G132,ScoringTable!$N$2:$N$161,ScoringTable!$L$2:$L$161,,1),TRUE,_xlfn.XLOOKUP($G132,ScoringTable!$T$2:$T$161,ScoringTable!$R$2:$R$161,,1))</f>
        <v>0</v>
      </c>
      <c r="Q132" s="125">
        <f t="shared" si="5"/>
        <v>0</v>
      </c>
      <c r="R132" s="126">
        <f t="shared" si="6"/>
        <v>0</v>
      </c>
      <c r="S132" s="127">
        <f t="shared" si="7"/>
        <v>0</v>
      </c>
      <c r="T132" s="126">
        <f t="shared" si="8"/>
        <v>0</v>
      </c>
      <c r="U132" s="128">
        <f t="shared" si="9"/>
        <v>0</v>
      </c>
    </row>
    <row r="133" spans="1:21" s="7" customFormat="1" ht="16" customHeight="1">
      <c r="A133" s="121" t="s">
        <v>3</v>
      </c>
      <c r="B133" s="122" t="str">
        <f>IF(ISNA(VLOOKUP($F133,Declarations!B$6:C$293,2,FALSE)),"",IF(VLOOKUP($F133,Declarations!B$6:C$293,2,FALSE)="","NOT DECLARED",IF(ISNA(_xlfn.TEXTBEFORE(VLOOKUP($F133,Declarations!B$6:C$293,2,FALSE)," ")),VLOOKUP($F133,Declarations!B$6:C$293,2,FALSE),_xlfn.TEXTBEFORE(VLOOKUP($F133,Declarations!B$6:C$293,2,FALSE)," "))))</f>
        <v/>
      </c>
      <c r="C133" s="122" t="str">
        <f>IF(ISNA(VLOOKUP($F133,Declarations!B$6:C$293,2,FALSE)),"",IF(VLOOKUP($F133,Declarations!B$6:C$293,2,FALSE)="","NOT DECLARED",IF(ISNA(_xlfn.TEXTAFTER(VLOOKUP($F133,Declarations!B$6:C$293,2,FALSE)," ")),VLOOKUP($F133,Declarations!B$6:C$293,2,FALSE),_xlfn.TEXTAFTER(VLOOKUP($F133,Declarations!B$6:C$293,2,FALSE)," "))))</f>
        <v/>
      </c>
      <c r="D133" s="122" t="str">
        <f>IF(ISNA(VLOOKUP($F133,Declarations!$B$6:$F$293,5,FALSE)),"",IF(VLOOKUP($F133,Declarations!$B$6:$F$293,5,FALSE)="","NOT DECLARED",VLOOKUP($F133,Declarations!$B$6:$F$293,5,FALSE)))</f>
        <v/>
      </c>
      <c r="E133" s="120" t="str">
        <f>IF(ISNA(VLOOKUP($F133,Declarations!$B$6:$D$293,3,FALSE)),"",IF(VLOOKUP($F133,Declarations!$B$6:$D$293,3,FALSE)="","NOT DECLARED",VLOOKUP($F133,Declarations!$B$6:$D$293,3,FALSE)&amp;LEFT(VLOOKUP($F133,Declarations!$B$6:$E$293,4,FALSE))))</f>
        <v/>
      </c>
      <c r="F133" s="59"/>
      <c r="G133" s="123">
        <v>0</v>
      </c>
      <c r="H133" s="322"/>
      <c r="I133" s="122" t="str">
        <f>IF(ISNA(VLOOKUP(F133,Declarations!B$6:C$293,2,FALSE)),"",IF(VLOOKUP(F133,Declarations!B$6:C$293,2,FALSE)="","NOTDECLARED",VLOOKUP(F133,Declarations!B$6:C$293,2,FALSE)))</f>
        <v/>
      </c>
      <c r="J133" s="124">
        <f>IF(LOWER(G133)="dnf",1,IF(U133&lt;ScoringTable!C$3,ScoringTable!I$2,VLOOKUP((1000-U133),ScoringTable!H$2:I$95,2)))</f>
        <v>0</v>
      </c>
      <c r="K133" s="120" t="str" cm="1">
        <f t="array" ref="K133">IF(OR(E133="",G133=""),"",_xlfn.IFS(E133="U10B",_xlfn.XLOOKUP(G133,Data!$D$3:$L$3,Data!$D$1:$L$1,"",1,1),E133="U12B",_xlfn.XLOOKUP(G133,Data!$D$9:$L$9,Data!$D$1:$L$1,"",1,1),E133="U10G",_xlfn.XLOOKUP(G133,Data!$D$16:$L$16,Data!$D$1:$L$1,"",1,1),E133="U12G",_xlfn.XLOOKUP(G133,Data!$D$22:$L$22,Data!$D$1:$L$1,"",1,1)))</f>
        <v/>
      </c>
      <c r="L133" s="184" t="str" cm="1">
        <f t="array" ref="L133">IFERROR(_xlfn.IFNA(
                      _xlfn.IFS(
                      G133="", "",
                      G133=0, "",
                      AND(E133="U10B",G133&lt;=Data!$M$3), "U10 Boys record",
                      AND(E133="U12B",G133&lt;=Data!$M$9), "U12 Boys record",
                      AND(E133="U10G",G133&lt;=Data!$M$16), "U10 Girls record",
                      AND(E133="U12G",G133&lt;=Data!$M$22), "U12 Girls record"
                       ),""), "")</f>
        <v/>
      </c>
      <c r="M133" s="19" cm="1">
        <f t="array" ref="M133">_xlfn.IFS(OR($G133="",$G133=0),0, AND(NOT(ISNUMBER($G133)),LOWER($G133)&lt;&gt;"dnf"),"Not a valid time",OR(LOWER($G133)="dnf",$G133&gt;ScoringTable!$N$161),1,RIGHT($E133,1)="B",_xlfn.XLOOKUP($G133,ScoringTable!$N$2:$N$161,ScoringTable!$L$2:$L$161,,1),TRUE,_xlfn.XLOOKUP($G133,ScoringTable!$T$2:$T$161,ScoringTable!$R$2:$R$161,,1))</f>
        <v>0</v>
      </c>
      <c r="Q133" s="125">
        <f t="shared" si="5"/>
        <v>0</v>
      </c>
      <c r="R133" s="126">
        <f t="shared" si="6"/>
        <v>0</v>
      </c>
      <c r="S133" s="127">
        <f t="shared" si="7"/>
        <v>0</v>
      </c>
      <c r="T133" s="126">
        <f t="shared" si="8"/>
        <v>0</v>
      </c>
      <c r="U133" s="128">
        <f t="shared" si="9"/>
        <v>0</v>
      </c>
    </row>
    <row r="134" spans="1:21" s="7" customFormat="1" ht="16" customHeight="1">
      <c r="A134" s="121" t="s">
        <v>3</v>
      </c>
      <c r="B134" s="122" t="str">
        <f>IF(ISNA(VLOOKUP($F134,Declarations!B$6:C$293,2,FALSE)),"",IF(VLOOKUP($F134,Declarations!B$6:C$293,2,FALSE)="","NOT DECLARED",IF(ISNA(_xlfn.TEXTBEFORE(VLOOKUP($F134,Declarations!B$6:C$293,2,FALSE)," ")),VLOOKUP($F134,Declarations!B$6:C$293,2,FALSE),_xlfn.TEXTBEFORE(VLOOKUP($F134,Declarations!B$6:C$293,2,FALSE)," "))))</f>
        <v/>
      </c>
      <c r="C134" s="122" t="str">
        <f>IF(ISNA(VLOOKUP($F134,Declarations!B$6:C$293,2,FALSE)),"",IF(VLOOKUP($F134,Declarations!B$6:C$293,2,FALSE)="","NOT DECLARED",IF(ISNA(_xlfn.TEXTAFTER(VLOOKUP($F134,Declarations!B$6:C$293,2,FALSE)," ")),VLOOKUP($F134,Declarations!B$6:C$293,2,FALSE),_xlfn.TEXTAFTER(VLOOKUP($F134,Declarations!B$6:C$293,2,FALSE)," "))))</f>
        <v/>
      </c>
      <c r="D134" s="122" t="str">
        <f>IF(ISNA(VLOOKUP($F134,Declarations!$B$6:$F$293,5,FALSE)),"",IF(VLOOKUP($F134,Declarations!$B$6:$F$293,5,FALSE)="","NOT DECLARED",VLOOKUP($F134,Declarations!$B$6:$F$293,5,FALSE)))</f>
        <v/>
      </c>
      <c r="E134" s="120" t="str">
        <f>IF(ISNA(VLOOKUP($F134,Declarations!$B$6:$D$293,3,FALSE)),"",IF(VLOOKUP($F134,Declarations!$B$6:$D$293,3,FALSE)="","NOT DECLARED",VLOOKUP($F134,Declarations!$B$6:$D$293,3,FALSE)&amp;LEFT(VLOOKUP($F134,Declarations!$B$6:$E$293,4,FALSE))))</f>
        <v/>
      </c>
      <c r="F134" s="59"/>
      <c r="G134" s="123">
        <v>0</v>
      </c>
      <c r="H134" s="322"/>
      <c r="I134" s="122" t="str">
        <f>IF(ISNA(VLOOKUP(F134,Declarations!B$6:C$293,2,FALSE)),"",IF(VLOOKUP(F134,Declarations!B$6:C$293,2,FALSE)="","NOTDECLARED",VLOOKUP(F134,Declarations!B$6:C$293,2,FALSE)))</f>
        <v/>
      </c>
      <c r="J134" s="124">
        <f>IF(LOWER(G134)="dnf",1,IF(U134&lt;ScoringTable!C$3,ScoringTable!I$2,VLOOKUP((1000-U134),ScoringTable!H$2:I$95,2)))</f>
        <v>0</v>
      </c>
      <c r="K134" s="120" t="str" cm="1">
        <f t="array" ref="K134">IF(OR(E134="",G134=""),"",_xlfn.IFS(E134="U10B",_xlfn.XLOOKUP(G134,Data!$D$3:$L$3,Data!$D$1:$L$1,"",1,1),E134="U12B",_xlfn.XLOOKUP(G134,Data!$D$9:$L$9,Data!$D$1:$L$1,"",1,1),E134="U10G",_xlfn.XLOOKUP(G134,Data!$D$16:$L$16,Data!$D$1:$L$1,"",1,1),E134="U12G",_xlfn.XLOOKUP(G134,Data!$D$22:$L$22,Data!$D$1:$L$1,"",1,1)))</f>
        <v/>
      </c>
      <c r="L134" s="184" t="str" cm="1">
        <f t="array" ref="L134">IFERROR(_xlfn.IFNA(
                      _xlfn.IFS(
                      G134="", "",
                      G134=0, "",
                      AND(E134="U10B",G134&lt;=Data!$M$3), "U10 Boys record",
                      AND(E134="U12B",G134&lt;=Data!$M$9), "U12 Boys record",
                      AND(E134="U10G",G134&lt;=Data!$M$16), "U10 Girls record",
                      AND(E134="U12G",G134&lt;=Data!$M$22), "U12 Girls record"
                       ),""), "")</f>
        <v/>
      </c>
      <c r="M134" s="19" cm="1">
        <f t="array" ref="M134">_xlfn.IFS(OR($G134="",$G134=0),0, AND(NOT(ISNUMBER($G134)),LOWER($G134)&lt;&gt;"dnf"),"Not a valid time",OR(LOWER($G134)="dnf",$G134&gt;ScoringTable!$N$161),1,RIGHT($E134,1)="B",_xlfn.XLOOKUP($G134,ScoringTable!$N$2:$N$161,ScoringTable!$L$2:$L$161,,1),TRUE,_xlfn.XLOOKUP($G134,ScoringTable!$T$2:$T$161,ScoringTable!$R$2:$R$161,,1))</f>
        <v>0</v>
      </c>
      <c r="Q134" s="125">
        <f t="shared" si="5"/>
        <v>0</v>
      </c>
      <c r="R134" s="126">
        <f t="shared" si="6"/>
        <v>0</v>
      </c>
      <c r="S134" s="127">
        <f t="shared" si="7"/>
        <v>0</v>
      </c>
      <c r="T134" s="126">
        <f t="shared" si="8"/>
        <v>0</v>
      </c>
      <c r="U134" s="128">
        <f t="shared" si="9"/>
        <v>0</v>
      </c>
    </row>
    <row r="135" spans="1:21" s="7" customFormat="1" ht="16" customHeight="1">
      <c r="A135" s="121" t="s">
        <v>3</v>
      </c>
      <c r="B135" s="122" t="str">
        <f>IF(ISNA(VLOOKUP($F135,Declarations!B$6:C$293,2,FALSE)),"",IF(VLOOKUP($F135,Declarations!B$6:C$293,2,FALSE)="","NOT DECLARED",IF(ISNA(_xlfn.TEXTBEFORE(VLOOKUP($F135,Declarations!B$6:C$293,2,FALSE)," ")),VLOOKUP($F135,Declarations!B$6:C$293,2,FALSE),_xlfn.TEXTBEFORE(VLOOKUP($F135,Declarations!B$6:C$293,2,FALSE)," "))))</f>
        <v/>
      </c>
      <c r="C135" s="122" t="str">
        <f>IF(ISNA(VLOOKUP($F135,Declarations!B$6:C$293,2,FALSE)),"",IF(VLOOKUP($F135,Declarations!B$6:C$293,2,FALSE)="","NOT DECLARED",IF(ISNA(_xlfn.TEXTAFTER(VLOOKUP($F135,Declarations!B$6:C$293,2,FALSE)," ")),VLOOKUP($F135,Declarations!B$6:C$293,2,FALSE),_xlfn.TEXTAFTER(VLOOKUP($F135,Declarations!B$6:C$293,2,FALSE)," "))))</f>
        <v/>
      </c>
      <c r="D135" s="122" t="str">
        <f>IF(ISNA(VLOOKUP($F135,Declarations!$B$6:$F$293,5,FALSE)),"",IF(VLOOKUP($F135,Declarations!$B$6:$F$293,5,FALSE)="","NOT DECLARED",VLOOKUP($F135,Declarations!$B$6:$F$293,5,FALSE)))</f>
        <v/>
      </c>
      <c r="E135" s="120" t="str">
        <f>IF(ISNA(VLOOKUP($F135,Declarations!$B$6:$D$293,3,FALSE)),"",IF(VLOOKUP($F135,Declarations!$B$6:$D$293,3,FALSE)="","NOT DECLARED",VLOOKUP($F135,Declarations!$B$6:$D$293,3,FALSE)&amp;LEFT(VLOOKUP($F135,Declarations!$B$6:$E$293,4,FALSE))))</f>
        <v/>
      </c>
      <c r="F135" s="59"/>
      <c r="G135" s="123">
        <v>0</v>
      </c>
      <c r="H135" s="322"/>
      <c r="I135" s="122" t="str">
        <f>IF(ISNA(VLOOKUP(F135,Declarations!B$6:C$293,2,FALSE)),"",IF(VLOOKUP(F135,Declarations!B$6:C$293,2,FALSE)="","NOTDECLARED",VLOOKUP(F135,Declarations!B$6:C$293,2,FALSE)))</f>
        <v/>
      </c>
      <c r="J135" s="124">
        <f>IF(LOWER(G135)="dnf",1,IF(U135&lt;ScoringTable!C$3,ScoringTable!I$2,VLOOKUP((1000-U135),ScoringTable!H$2:I$95,2)))</f>
        <v>0</v>
      </c>
      <c r="K135" s="120" t="str" cm="1">
        <f t="array" ref="K135">IF(OR(E135="",G135=""),"",_xlfn.IFS(E135="U10B",_xlfn.XLOOKUP(G135,Data!$D$3:$L$3,Data!$D$1:$L$1,"",1,1),E135="U12B",_xlfn.XLOOKUP(G135,Data!$D$9:$L$9,Data!$D$1:$L$1,"",1,1),E135="U10G",_xlfn.XLOOKUP(G135,Data!$D$16:$L$16,Data!$D$1:$L$1,"",1,1),E135="U12G",_xlfn.XLOOKUP(G135,Data!$D$22:$L$22,Data!$D$1:$L$1,"",1,1)))</f>
        <v/>
      </c>
      <c r="L135" s="184" t="str" cm="1">
        <f t="array" ref="L135">IFERROR(_xlfn.IFNA(
                      _xlfn.IFS(
                      G135="", "",
                      G135=0, "",
                      AND(E135="U10B",G135&lt;=Data!$M$3), "U10 Boys record",
                      AND(E135="U12B",G135&lt;=Data!$M$9), "U12 Boys record",
                      AND(E135="U10G",G135&lt;=Data!$M$16), "U10 Girls record",
                      AND(E135="U12G",G135&lt;=Data!$M$22), "U12 Girls record"
                       ),""), "")</f>
        <v/>
      </c>
      <c r="M135" s="19" cm="1">
        <f t="array" ref="M135">_xlfn.IFS(OR($G135="",$G135=0),0, AND(NOT(ISNUMBER($G135)),LOWER($G135)&lt;&gt;"dnf"),"Not a valid time",OR(LOWER($G135)="dnf",$G135&gt;ScoringTable!$N$161),1,RIGHT($E135,1)="B",_xlfn.XLOOKUP($G135,ScoringTable!$N$2:$N$161,ScoringTable!$L$2:$L$161,,1),TRUE,_xlfn.XLOOKUP($G135,ScoringTable!$T$2:$T$161,ScoringTable!$R$2:$R$161,,1))</f>
        <v>0</v>
      </c>
      <c r="Q135" s="125">
        <f t="shared" ref="Q135:Q198" si="10">G135*86400</f>
        <v>0</v>
      </c>
      <c r="R135" s="126">
        <f t="shared" ref="R135:R198" si="11">Q135/60</f>
        <v>0</v>
      </c>
      <c r="S135" s="127">
        <f t="shared" ref="S135:S198" si="12">(ROUNDDOWN(R135,0))</f>
        <v>0</v>
      </c>
      <c r="T135" s="126">
        <f t="shared" ref="T135:T198" si="13">Q135-((S135*60))</f>
        <v>0</v>
      </c>
      <c r="U135" s="128">
        <f t="shared" ref="U135:U198" si="14">+(S135)+(T135/100)</f>
        <v>0</v>
      </c>
    </row>
    <row r="136" spans="1:21" s="7" customFormat="1" ht="16" customHeight="1">
      <c r="A136" s="121" t="s">
        <v>3</v>
      </c>
      <c r="B136" s="122" t="str">
        <f>IF(ISNA(VLOOKUP($F136,Declarations!B$6:C$293,2,FALSE)),"",IF(VLOOKUP($F136,Declarations!B$6:C$293,2,FALSE)="","NOT DECLARED",IF(ISNA(_xlfn.TEXTBEFORE(VLOOKUP($F136,Declarations!B$6:C$293,2,FALSE)," ")),VLOOKUP($F136,Declarations!B$6:C$293,2,FALSE),_xlfn.TEXTBEFORE(VLOOKUP($F136,Declarations!B$6:C$293,2,FALSE)," "))))</f>
        <v/>
      </c>
      <c r="C136" s="122" t="str">
        <f>IF(ISNA(VLOOKUP($F136,Declarations!B$6:C$293,2,FALSE)),"",IF(VLOOKUP($F136,Declarations!B$6:C$293,2,FALSE)="","NOT DECLARED",IF(ISNA(_xlfn.TEXTAFTER(VLOOKUP($F136,Declarations!B$6:C$293,2,FALSE)," ")),VLOOKUP($F136,Declarations!B$6:C$293,2,FALSE),_xlfn.TEXTAFTER(VLOOKUP($F136,Declarations!B$6:C$293,2,FALSE)," "))))</f>
        <v/>
      </c>
      <c r="D136" s="122" t="str">
        <f>IF(ISNA(VLOOKUP($F136,Declarations!$B$6:$F$293,5,FALSE)),"",IF(VLOOKUP($F136,Declarations!$B$6:$F$293,5,FALSE)="","NOT DECLARED",VLOOKUP($F136,Declarations!$B$6:$F$293,5,FALSE)))</f>
        <v/>
      </c>
      <c r="E136" s="120" t="str">
        <f>IF(ISNA(VLOOKUP($F136,Declarations!$B$6:$D$293,3,FALSE)),"",IF(VLOOKUP($F136,Declarations!$B$6:$D$293,3,FALSE)="","NOT DECLARED",VLOOKUP($F136,Declarations!$B$6:$D$293,3,FALSE)&amp;LEFT(VLOOKUP($F136,Declarations!$B$6:$E$293,4,FALSE))))</f>
        <v/>
      </c>
      <c r="F136" s="59"/>
      <c r="G136" s="123">
        <v>0</v>
      </c>
      <c r="H136" s="322"/>
      <c r="I136" s="122" t="str">
        <f>IF(ISNA(VLOOKUP(F136,Declarations!B$6:C$293,2,FALSE)),"",IF(VLOOKUP(F136,Declarations!B$6:C$293,2,FALSE)="","NOTDECLARED",VLOOKUP(F136,Declarations!B$6:C$293,2,FALSE)))</f>
        <v/>
      </c>
      <c r="J136" s="124">
        <f>IF(LOWER(G136)="dnf",1,IF(U136&lt;ScoringTable!C$3,ScoringTable!I$2,VLOOKUP((1000-U136),ScoringTable!H$2:I$95,2)))</f>
        <v>0</v>
      </c>
      <c r="K136" s="120" t="str" cm="1">
        <f t="array" ref="K136">IF(OR(E136="",G136=""),"",_xlfn.IFS(E136="U10B",_xlfn.XLOOKUP(G136,Data!$D$3:$L$3,Data!$D$1:$L$1,"",1,1),E136="U12B",_xlfn.XLOOKUP(G136,Data!$D$9:$L$9,Data!$D$1:$L$1,"",1,1),E136="U10G",_xlfn.XLOOKUP(G136,Data!$D$16:$L$16,Data!$D$1:$L$1,"",1,1),E136="U12G",_xlfn.XLOOKUP(G136,Data!$D$22:$L$22,Data!$D$1:$L$1,"",1,1)))</f>
        <v/>
      </c>
      <c r="L136" s="184" t="str" cm="1">
        <f t="array" ref="L136">IFERROR(_xlfn.IFNA(
                      _xlfn.IFS(
                      G136="", "",
                      G136=0, "",
                      AND(E136="U10B",G136&lt;=Data!$M$3), "U10 Boys record",
                      AND(E136="U12B",G136&lt;=Data!$M$9), "U12 Boys record",
                      AND(E136="U10G",G136&lt;=Data!$M$16), "U10 Girls record",
                      AND(E136="U12G",G136&lt;=Data!$M$22), "U12 Girls record"
                       ),""), "")</f>
        <v/>
      </c>
      <c r="M136" s="19" cm="1">
        <f t="array" ref="M136">_xlfn.IFS(OR($G136="",$G136=0),0, AND(NOT(ISNUMBER($G136)),LOWER($G136)&lt;&gt;"dnf"),"Not a valid time",OR(LOWER($G136)="dnf",$G136&gt;ScoringTable!$N$161),1,RIGHT($E136,1)="B",_xlfn.XLOOKUP($G136,ScoringTable!$N$2:$N$161,ScoringTable!$L$2:$L$161,,1),TRUE,_xlfn.XLOOKUP($G136,ScoringTable!$T$2:$T$161,ScoringTable!$R$2:$R$161,,1))</f>
        <v>0</v>
      </c>
      <c r="Q136" s="125">
        <f t="shared" si="10"/>
        <v>0</v>
      </c>
      <c r="R136" s="126">
        <f t="shared" si="11"/>
        <v>0</v>
      </c>
      <c r="S136" s="127">
        <f t="shared" si="12"/>
        <v>0</v>
      </c>
      <c r="T136" s="126">
        <f t="shared" si="13"/>
        <v>0</v>
      </c>
      <c r="U136" s="128">
        <f t="shared" si="14"/>
        <v>0</v>
      </c>
    </row>
    <row r="137" spans="1:21" s="7" customFormat="1" ht="16" customHeight="1">
      <c r="A137" s="121" t="s">
        <v>3</v>
      </c>
      <c r="B137" s="122" t="str">
        <f>IF(ISNA(VLOOKUP($F137,Declarations!B$6:C$293,2,FALSE)),"",IF(VLOOKUP($F137,Declarations!B$6:C$293,2,FALSE)="","NOT DECLARED",IF(ISNA(_xlfn.TEXTBEFORE(VLOOKUP($F137,Declarations!B$6:C$293,2,FALSE)," ")),VLOOKUP($F137,Declarations!B$6:C$293,2,FALSE),_xlfn.TEXTBEFORE(VLOOKUP($F137,Declarations!B$6:C$293,2,FALSE)," "))))</f>
        <v/>
      </c>
      <c r="C137" s="122" t="str">
        <f>IF(ISNA(VLOOKUP($F137,Declarations!B$6:C$293,2,FALSE)),"",IF(VLOOKUP($F137,Declarations!B$6:C$293,2,FALSE)="","NOT DECLARED",IF(ISNA(_xlfn.TEXTAFTER(VLOOKUP($F137,Declarations!B$6:C$293,2,FALSE)," ")),VLOOKUP($F137,Declarations!B$6:C$293,2,FALSE),_xlfn.TEXTAFTER(VLOOKUP($F137,Declarations!B$6:C$293,2,FALSE)," "))))</f>
        <v/>
      </c>
      <c r="D137" s="122" t="str">
        <f>IF(ISNA(VLOOKUP($F137,Declarations!$B$6:$F$293,5,FALSE)),"",IF(VLOOKUP($F137,Declarations!$B$6:$F$293,5,FALSE)="","NOT DECLARED",VLOOKUP($F137,Declarations!$B$6:$F$293,5,FALSE)))</f>
        <v/>
      </c>
      <c r="E137" s="120" t="str">
        <f>IF(ISNA(VLOOKUP($F137,Declarations!$B$6:$D$293,3,FALSE)),"",IF(VLOOKUP($F137,Declarations!$B$6:$D$293,3,FALSE)="","NOT DECLARED",VLOOKUP($F137,Declarations!$B$6:$D$293,3,FALSE)&amp;LEFT(VLOOKUP($F137,Declarations!$B$6:$E$293,4,FALSE))))</f>
        <v/>
      </c>
      <c r="F137" s="59"/>
      <c r="G137" s="123">
        <v>0</v>
      </c>
      <c r="H137" s="322"/>
      <c r="I137" s="122" t="str">
        <f>IF(ISNA(VLOOKUP(F137,Declarations!B$6:C$293,2,FALSE)),"",IF(VLOOKUP(F137,Declarations!B$6:C$293,2,FALSE)="","NOTDECLARED",VLOOKUP(F137,Declarations!B$6:C$293,2,FALSE)))</f>
        <v/>
      </c>
      <c r="J137" s="124">
        <f>IF(LOWER(G137)="dnf",1,IF(U137&lt;ScoringTable!C$3,ScoringTable!I$2,VLOOKUP((1000-U137),ScoringTable!H$2:I$95,2)))</f>
        <v>0</v>
      </c>
      <c r="K137" s="120" t="str" cm="1">
        <f t="array" ref="K137">IF(OR(E137="",G137=""),"",_xlfn.IFS(E137="U10B",_xlfn.XLOOKUP(G137,Data!$D$3:$L$3,Data!$D$1:$L$1,"",1,1),E137="U12B",_xlfn.XLOOKUP(G137,Data!$D$9:$L$9,Data!$D$1:$L$1,"",1,1),E137="U10G",_xlfn.XLOOKUP(G137,Data!$D$16:$L$16,Data!$D$1:$L$1,"",1,1),E137="U12G",_xlfn.XLOOKUP(G137,Data!$D$22:$L$22,Data!$D$1:$L$1,"",1,1)))</f>
        <v/>
      </c>
      <c r="L137" s="184" t="str" cm="1">
        <f t="array" ref="L137">IFERROR(_xlfn.IFNA(
                      _xlfn.IFS(
                      G137="", "",
                      G137=0, "",
                      AND(E137="U10B",G137&lt;=Data!$M$3), "U10 Boys record",
                      AND(E137="U12B",G137&lt;=Data!$M$9), "U12 Boys record",
                      AND(E137="U10G",G137&lt;=Data!$M$16), "U10 Girls record",
                      AND(E137="U12G",G137&lt;=Data!$M$22), "U12 Girls record"
                       ),""), "")</f>
        <v/>
      </c>
      <c r="M137" s="19" cm="1">
        <f t="array" ref="M137">_xlfn.IFS(OR($G137="",$G137=0),0, AND(NOT(ISNUMBER($G137)),LOWER($G137)&lt;&gt;"dnf"),"Not a valid time",OR(LOWER($G137)="dnf",$G137&gt;ScoringTable!$N$161),1,RIGHT($E137,1)="B",_xlfn.XLOOKUP($G137,ScoringTable!$N$2:$N$161,ScoringTable!$L$2:$L$161,,1),TRUE,_xlfn.XLOOKUP($G137,ScoringTable!$T$2:$T$161,ScoringTable!$R$2:$R$161,,1))</f>
        <v>0</v>
      </c>
      <c r="Q137" s="125">
        <f t="shared" si="10"/>
        <v>0</v>
      </c>
      <c r="R137" s="126">
        <f t="shared" si="11"/>
        <v>0</v>
      </c>
      <c r="S137" s="127">
        <f t="shared" si="12"/>
        <v>0</v>
      </c>
      <c r="T137" s="126">
        <f t="shared" si="13"/>
        <v>0</v>
      </c>
      <c r="U137" s="128">
        <f t="shared" si="14"/>
        <v>0</v>
      </c>
    </row>
    <row r="138" spans="1:21" s="7" customFormat="1" ht="16" customHeight="1">
      <c r="A138" s="121" t="s">
        <v>3</v>
      </c>
      <c r="B138" s="122" t="str">
        <f>IF(ISNA(VLOOKUP($F138,Declarations!B$6:C$293,2,FALSE)),"",IF(VLOOKUP($F138,Declarations!B$6:C$293,2,FALSE)="","NOT DECLARED",IF(ISNA(_xlfn.TEXTBEFORE(VLOOKUP($F138,Declarations!B$6:C$293,2,FALSE)," ")),VLOOKUP($F138,Declarations!B$6:C$293,2,FALSE),_xlfn.TEXTBEFORE(VLOOKUP($F138,Declarations!B$6:C$293,2,FALSE)," "))))</f>
        <v/>
      </c>
      <c r="C138" s="122" t="str">
        <f>IF(ISNA(VLOOKUP($F138,Declarations!B$6:C$293,2,FALSE)),"",IF(VLOOKUP($F138,Declarations!B$6:C$293,2,FALSE)="","NOT DECLARED",IF(ISNA(_xlfn.TEXTAFTER(VLOOKUP($F138,Declarations!B$6:C$293,2,FALSE)," ")),VLOOKUP($F138,Declarations!B$6:C$293,2,FALSE),_xlfn.TEXTAFTER(VLOOKUP($F138,Declarations!B$6:C$293,2,FALSE)," "))))</f>
        <v/>
      </c>
      <c r="D138" s="122" t="str">
        <f>IF(ISNA(VLOOKUP($F138,Declarations!$B$6:$F$293,5,FALSE)),"",IF(VLOOKUP($F138,Declarations!$B$6:$F$293,5,FALSE)="","NOT DECLARED",VLOOKUP($F138,Declarations!$B$6:$F$293,5,FALSE)))</f>
        <v/>
      </c>
      <c r="E138" s="120" t="str">
        <f>IF(ISNA(VLOOKUP($F138,Declarations!$B$6:$D$293,3,FALSE)),"",IF(VLOOKUP($F138,Declarations!$B$6:$D$293,3,FALSE)="","NOT DECLARED",VLOOKUP($F138,Declarations!$B$6:$D$293,3,FALSE)&amp;LEFT(VLOOKUP($F138,Declarations!$B$6:$E$293,4,FALSE))))</f>
        <v/>
      </c>
      <c r="F138" s="59"/>
      <c r="G138" s="123">
        <v>0</v>
      </c>
      <c r="H138" s="322"/>
      <c r="I138" s="122" t="str">
        <f>IF(ISNA(VLOOKUP(F138,Declarations!B$6:C$293,2,FALSE)),"",IF(VLOOKUP(F138,Declarations!B$6:C$293,2,FALSE)="","NOTDECLARED",VLOOKUP(F138,Declarations!B$6:C$293,2,FALSE)))</f>
        <v/>
      </c>
      <c r="J138" s="124">
        <f>IF(LOWER(G138)="dnf",1,IF(U138&lt;ScoringTable!C$3,ScoringTable!I$2,VLOOKUP((1000-U138),ScoringTable!H$2:I$95,2)))</f>
        <v>0</v>
      </c>
      <c r="K138" s="120" t="str" cm="1">
        <f t="array" ref="K138">IF(OR(E138="",G138=""),"",_xlfn.IFS(E138="U10B",_xlfn.XLOOKUP(G138,Data!$D$3:$L$3,Data!$D$1:$L$1,"",1,1),E138="U12B",_xlfn.XLOOKUP(G138,Data!$D$9:$L$9,Data!$D$1:$L$1,"",1,1),E138="U10G",_xlfn.XLOOKUP(G138,Data!$D$16:$L$16,Data!$D$1:$L$1,"",1,1),E138="U12G",_xlfn.XLOOKUP(G138,Data!$D$22:$L$22,Data!$D$1:$L$1,"",1,1)))</f>
        <v/>
      </c>
      <c r="L138" s="184" t="str" cm="1">
        <f t="array" ref="L138">IFERROR(_xlfn.IFNA(
                      _xlfn.IFS(
                      G138="", "",
                      G138=0, "",
                      AND(E138="U10B",G138&lt;=Data!$M$3), "U10 Boys record",
                      AND(E138="U12B",G138&lt;=Data!$M$9), "U12 Boys record",
                      AND(E138="U10G",G138&lt;=Data!$M$16), "U10 Girls record",
                      AND(E138="U12G",G138&lt;=Data!$M$22), "U12 Girls record"
                       ),""), "")</f>
        <v/>
      </c>
      <c r="M138" s="19" cm="1">
        <f t="array" ref="M138">_xlfn.IFS(OR($G138="",$G138=0),0, AND(NOT(ISNUMBER($G138)),LOWER($G138)&lt;&gt;"dnf"),"Not a valid time",OR(LOWER($G138)="dnf",$G138&gt;ScoringTable!$N$161),1,RIGHT($E138,1)="B",_xlfn.XLOOKUP($G138,ScoringTable!$N$2:$N$161,ScoringTable!$L$2:$L$161,,1),TRUE,_xlfn.XLOOKUP($G138,ScoringTable!$T$2:$T$161,ScoringTable!$R$2:$R$161,,1))</f>
        <v>0</v>
      </c>
      <c r="Q138" s="125">
        <f t="shared" si="10"/>
        <v>0</v>
      </c>
      <c r="R138" s="126">
        <f t="shared" si="11"/>
        <v>0</v>
      </c>
      <c r="S138" s="127">
        <f t="shared" si="12"/>
        <v>0</v>
      </c>
      <c r="T138" s="126">
        <f t="shared" si="13"/>
        <v>0</v>
      </c>
      <c r="U138" s="128">
        <f t="shared" si="14"/>
        <v>0</v>
      </c>
    </row>
    <row r="139" spans="1:21" s="7" customFormat="1" ht="16" customHeight="1">
      <c r="A139" s="121" t="s">
        <v>3</v>
      </c>
      <c r="B139" s="122" t="str">
        <f>IF(ISNA(VLOOKUP($F139,Declarations!B$6:C$293,2,FALSE)),"",IF(VLOOKUP($F139,Declarations!B$6:C$293,2,FALSE)="","NOT DECLARED",IF(ISNA(_xlfn.TEXTBEFORE(VLOOKUP($F139,Declarations!B$6:C$293,2,FALSE)," ")),VLOOKUP($F139,Declarations!B$6:C$293,2,FALSE),_xlfn.TEXTBEFORE(VLOOKUP($F139,Declarations!B$6:C$293,2,FALSE)," "))))</f>
        <v/>
      </c>
      <c r="C139" s="122" t="str">
        <f>IF(ISNA(VLOOKUP($F139,Declarations!B$6:C$293,2,FALSE)),"",IF(VLOOKUP($F139,Declarations!B$6:C$293,2,FALSE)="","NOT DECLARED",IF(ISNA(_xlfn.TEXTAFTER(VLOOKUP($F139,Declarations!B$6:C$293,2,FALSE)," ")),VLOOKUP($F139,Declarations!B$6:C$293,2,FALSE),_xlfn.TEXTAFTER(VLOOKUP($F139,Declarations!B$6:C$293,2,FALSE)," "))))</f>
        <v/>
      </c>
      <c r="D139" s="122" t="str">
        <f>IF(ISNA(VLOOKUP($F139,Declarations!$B$6:$F$293,5,FALSE)),"",IF(VLOOKUP($F139,Declarations!$B$6:$F$293,5,FALSE)="","NOT DECLARED",VLOOKUP($F139,Declarations!$B$6:$F$293,5,FALSE)))</f>
        <v/>
      </c>
      <c r="E139" s="120" t="str">
        <f>IF(ISNA(VLOOKUP($F139,Declarations!$B$6:$D$293,3,FALSE)),"",IF(VLOOKUP($F139,Declarations!$B$6:$D$293,3,FALSE)="","NOT DECLARED",VLOOKUP($F139,Declarations!$B$6:$D$293,3,FALSE)&amp;LEFT(VLOOKUP($F139,Declarations!$B$6:$E$293,4,FALSE))))</f>
        <v/>
      </c>
      <c r="F139" s="59"/>
      <c r="G139" s="123">
        <v>0</v>
      </c>
      <c r="H139" s="322"/>
      <c r="I139" s="122" t="str">
        <f>IF(ISNA(VLOOKUP(F139,Declarations!B$6:C$293,2,FALSE)),"",IF(VLOOKUP(F139,Declarations!B$6:C$293,2,FALSE)="","NOTDECLARED",VLOOKUP(F139,Declarations!B$6:C$293,2,FALSE)))</f>
        <v/>
      </c>
      <c r="J139" s="124">
        <f>IF(LOWER(G139)="dnf",1,IF(U139&lt;ScoringTable!C$3,ScoringTable!I$2,VLOOKUP((1000-U139),ScoringTable!H$2:I$95,2)))</f>
        <v>0</v>
      </c>
      <c r="K139" s="120" t="str" cm="1">
        <f t="array" ref="K139">IF(OR(E139="",G139=""),"",_xlfn.IFS(E139="U10B",_xlfn.XLOOKUP(G139,Data!$D$3:$L$3,Data!$D$1:$L$1,"",1,1),E139="U12B",_xlfn.XLOOKUP(G139,Data!$D$9:$L$9,Data!$D$1:$L$1,"",1,1),E139="U10G",_xlfn.XLOOKUP(G139,Data!$D$16:$L$16,Data!$D$1:$L$1,"",1,1),E139="U12G",_xlfn.XLOOKUP(G139,Data!$D$22:$L$22,Data!$D$1:$L$1,"",1,1)))</f>
        <v/>
      </c>
      <c r="L139" s="184" t="str" cm="1">
        <f t="array" ref="L139">IFERROR(_xlfn.IFNA(
                      _xlfn.IFS(
                      G139="", "",
                      G139=0, "",
                      AND(E139="U10B",G139&lt;=Data!$M$3), "U10 Boys record",
                      AND(E139="U12B",G139&lt;=Data!$M$9), "U12 Boys record",
                      AND(E139="U10G",G139&lt;=Data!$M$16), "U10 Girls record",
                      AND(E139="U12G",G139&lt;=Data!$M$22), "U12 Girls record"
                       ),""), "")</f>
        <v/>
      </c>
      <c r="M139" s="19" cm="1">
        <f t="array" ref="M139">_xlfn.IFS(OR($G139="",$G139=0),0, AND(NOT(ISNUMBER($G139)),LOWER($G139)&lt;&gt;"dnf"),"Not a valid time",OR(LOWER($G139)="dnf",$G139&gt;ScoringTable!$N$161),1,RIGHT($E139,1)="B",_xlfn.XLOOKUP($G139,ScoringTable!$N$2:$N$161,ScoringTable!$L$2:$L$161,,1),TRUE,_xlfn.XLOOKUP($G139,ScoringTable!$T$2:$T$161,ScoringTable!$R$2:$R$161,,1))</f>
        <v>0</v>
      </c>
      <c r="Q139" s="125">
        <f t="shared" si="10"/>
        <v>0</v>
      </c>
      <c r="R139" s="126">
        <f t="shared" si="11"/>
        <v>0</v>
      </c>
      <c r="S139" s="127">
        <f t="shared" si="12"/>
        <v>0</v>
      </c>
      <c r="T139" s="126">
        <f t="shared" si="13"/>
        <v>0</v>
      </c>
      <c r="U139" s="128">
        <f t="shared" si="14"/>
        <v>0</v>
      </c>
    </row>
    <row r="140" spans="1:21" s="7" customFormat="1" ht="16" customHeight="1">
      <c r="A140" s="121" t="s">
        <v>3</v>
      </c>
      <c r="B140" s="122" t="str">
        <f>IF(ISNA(VLOOKUP($F140,Declarations!B$6:C$293,2,FALSE)),"",IF(VLOOKUP($F140,Declarations!B$6:C$293,2,FALSE)="","NOT DECLARED",IF(ISNA(_xlfn.TEXTBEFORE(VLOOKUP($F140,Declarations!B$6:C$293,2,FALSE)," ")),VLOOKUP($F140,Declarations!B$6:C$293,2,FALSE),_xlfn.TEXTBEFORE(VLOOKUP($F140,Declarations!B$6:C$293,2,FALSE)," "))))</f>
        <v/>
      </c>
      <c r="C140" s="122" t="str">
        <f>IF(ISNA(VLOOKUP($F140,Declarations!B$6:C$293,2,FALSE)),"",IF(VLOOKUP($F140,Declarations!B$6:C$293,2,FALSE)="","NOT DECLARED",IF(ISNA(_xlfn.TEXTAFTER(VLOOKUP($F140,Declarations!B$6:C$293,2,FALSE)," ")),VLOOKUP($F140,Declarations!B$6:C$293,2,FALSE),_xlfn.TEXTAFTER(VLOOKUP($F140,Declarations!B$6:C$293,2,FALSE)," "))))</f>
        <v/>
      </c>
      <c r="D140" s="122" t="str">
        <f>IF(ISNA(VLOOKUP($F140,Declarations!$B$6:$F$293,5,FALSE)),"",IF(VLOOKUP($F140,Declarations!$B$6:$F$293,5,FALSE)="","NOT DECLARED",VLOOKUP($F140,Declarations!$B$6:$F$293,5,FALSE)))</f>
        <v/>
      </c>
      <c r="E140" s="120" t="str">
        <f>IF(ISNA(VLOOKUP($F140,Declarations!$B$6:$D$293,3,FALSE)),"",IF(VLOOKUP($F140,Declarations!$B$6:$D$293,3,FALSE)="","NOT DECLARED",VLOOKUP($F140,Declarations!$B$6:$D$293,3,FALSE)&amp;LEFT(VLOOKUP($F140,Declarations!$B$6:$E$293,4,FALSE))))</f>
        <v/>
      </c>
      <c r="F140" s="59"/>
      <c r="G140" s="123">
        <v>0</v>
      </c>
      <c r="H140" s="322"/>
      <c r="I140" s="122" t="str">
        <f>IF(ISNA(VLOOKUP(F140,Declarations!B$6:C$293,2,FALSE)),"",IF(VLOOKUP(F140,Declarations!B$6:C$293,2,FALSE)="","NOTDECLARED",VLOOKUP(F140,Declarations!B$6:C$293,2,FALSE)))</f>
        <v/>
      </c>
      <c r="J140" s="124">
        <f>IF(LOWER(G140)="dnf",1,IF(U140&lt;ScoringTable!C$3,ScoringTable!I$2,VLOOKUP((1000-U140),ScoringTable!H$2:I$95,2)))</f>
        <v>0</v>
      </c>
      <c r="K140" s="120" t="str" cm="1">
        <f t="array" ref="K140">IF(OR(E140="",G140=""),"",_xlfn.IFS(E140="U10B",_xlfn.XLOOKUP(G140,Data!$D$3:$L$3,Data!$D$1:$L$1,"",1,1),E140="U12B",_xlfn.XLOOKUP(G140,Data!$D$9:$L$9,Data!$D$1:$L$1,"",1,1),E140="U10G",_xlfn.XLOOKUP(G140,Data!$D$16:$L$16,Data!$D$1:$L$1,"",1,1),E140="U12G",_xlfn.XLOOKUP(G140,Data!$D$22:$L$22,Data!$D$1:$L$1,"",1,1)))</f>
        <v/>
      </c>
      <c r="L140" s="184" t="str" cm="1">
        <f t="array" ref="L140">IFERROR(_xlfn.IFNA(
                      _xlfn.IFS(
                      G140="", "",
                      G140=0, "",
                      AND(E140="U10B",G140&lt;=Data!$M$3), "U10 Boys record",
                      AND(E140="U12B",G140&lt;=Data!$M$9), "U12 Boys record",
                      AND(E140="U10G",G140&lt;=Data!$M$16), "U10 Girls record",
                      AND(E140="U12G",G140&lt;=Data!$M$22), "U12 Girls record"
                       ),""), "")</f>
        <v/>
      </c>
      <c r="M140" s="19" cm="1">
        <f t="array" ref="M140">_xlfn.IFS(OR($G140="",$G140=0),0, AND(NOT(ISNUMBER($G140)),LOWER($G140)&lt;&gt;"dnf"),"Not a valid time",OR(LOWER($G140)="dnf",$G140&gt;ScoringTable!$N$161),1,RIGHT($E140,1)="B",_xlfn.XLOOKUP($G140,ScoringTable!$N$2:$N$161,ScoringTable!$L$2:$L$161,,1),TRUE,_xlfn.XLOOKUP($G140,ScoringTable!$T$2:$T$161,ScoringTable!$R$2:$R$161,,1))</f>
        <v>0</v>
      </c>
      <c r="Q140" s="125">
        <f t="shared" si="10"/>
        <v>0</v>
      </c>
      <c r="R140" s="126">
        <f t="shared" si="11"/>
        <v>0</v>
      </c>
      <c r="S140" s="127">
        <f t="shared" si="12"/>
        <v>0</v>
      </c>
      <c r="T140" s="126">
        <f t="shared" si="13"/>
        <v>0</v>
      </c>
      <c r="U140" s="128">
        <f t="shared" si="14"/>
        <v>0</v>
      </c>
    </row>
    <row r="141" spans="1:21" s="7" customFormat="1" ht="16" customHeight="1">
      <c r="A141" s="121" t="s">
        <v>3</v>
      </c>
      <c r="B141" s="122" t="str">
        <f>IF(ISNA(VLOOKUP($F141,Declarations!B$6:C$293,2,FALSE)),"",IF(VLOOKUP($F141,Declarations!B$6:C$293,2,FALSE)="","NOT DECLARED",IF(ISNA(_xlfn.TEXTBEFORE(VLOOKUP($F141,Declarations!B$6:C$293,2,FALSE)," ")),VLOOKUP($F141,Declarations!B$6:C$293,2,FALSE),_xlfn.TEXTBEFORE(VLOOKUP($F141,Declarations!B$6:C$293,2,FALSE)," "))))</f>
        <v/>
      </c>
      <c r="C141" s="122" t="str">
        <f>IF(ISNA(VLOOKUP($F141,Declarations!B$6:C$293,2,FALSE)),"",IF(VLOOKUP($F141,Declarations!B$6:C$293,2,FALSE)="","NOT DECLARED",IF(ISNA(_xlfn.TEXTAFTER(VLOOKUP($F141,Declarations!B$6:C$293,2,FALSE)," ")),VLOOKUP($F141,Declarations!B$6:C$293,2,FALSE),_xlfn.TEXTAFTER(VLOOKUP($F141,Declarations!B$6:C$293,2,FALSE)," "))))</f>
        <v/>
      </c>
      <c r="D141" s="122" t="str">
        <f>IF(ISNA(VLOOKUP($F141,Declarations!$B$6:$F$293,5,FALSE)),"",IF(VLOOKUP($F141,Declarations!$B$6:$F$293,5,FALSE)="","NOT DECLARED",VLOOKUP($F141,Declarations!$B$6:$F$293,5,FALSE)))</f>
        <v/>
      </c>
      <c r="E141" s="120" t="str">
        <f>IF(ISNA(VLOOKUP($F141,Declarations!$B$6:$D$293,3,FALSE)),"",IF(VLOOKUP($F141,Declarations!$B$6:$D$293,3,FALSE)="","NOT DECLARED",VLOOKUP($F141,Declarations!$B$6:$D$293,3,FALSE)&amp;LEFT(VLOOKUP($F141,Declarations!$B$6:$E$293,4,FALSE))))</f>
        <v/>
      </c>
      <c r="F141" s="59"/>
      <c r="G141" s="123">
        <v>0</v>
      </c>
      <c r="H141" s="322"/>
      <c r="I141" s="122" t="str">
        <f>IF(ISNA(VLOOKUP(F141,Declarations!B$6:C$293,2,FALSE)),"",IF(VLOOKUP(F141,Declarations!B$6:C$293,2,FALSE)="","NOTDECLARED",VLOOKUP(F141,Declarations!B$6:C$293,2,FALSE)))</f>
        <v/>
      </c>
      <c r="J141" s="124">
        <f>IF(LOWER(G141)="dnf",1,IF(U141&lt;ScoringTable!C$3,ScoringTable!I$2,VLOOKUP((1000-U141),ScoringTable!H$2:I$95,2)))</f>
        <v>0</v>
      </c>
      <c r="K141" s="120" t="str" cm="1">
        <f t="array" ref="K141">IF(OR(E141="",G141=""),"",_xlfn.IFS(E141="U10B",_xlfn.XLOOKUP(G141,Data!$D$3:$L$3,Data!$D$1:$L$1,"",1,1),E141="U12B",_xlfn.XLOOKUP(G141,Data!$D$9:$L$9,Data!$D$1:$L$1,"",1,1),E141="U10G",_xlfn.XLOOKUP(G141,Data!$D$16:$L$16,Data!$D$1:$L$1,"",1,1),E141="U12G",_xlfn.XLOOKUP(G141,Data!$D$22:$L$22,Data!$D$1:$L$1,"",1,1)))</f>
        <v/>
      </c>
      <c r="L141" s="184" t="str" cm="1">
        <f t="array" ref="L141">IFERROR(_xlfn.IFNA(
                      _xlfn.IFS(
                      G141="", "",
                      G141=0, "",
                      AND(E141="U10B",G141&lt;=Data!$M$3), "U10 Boys record",
                      AND(E141="U12B",G141&lt;=Data!$M$9), "U12 Boys record",
                      AND(E141="U10G",G141&lt;=Data!$M$16), "U10 Girls record",
                      AND(E141="U12G",G141&lt;=Data!$M$22), "U12 Girls record"
                       ),""), "")</f>
        <v/>
      </c>
      <c r="M141" s="19" cm="1">
        <f t="array" ref="M141">_xlfn.IFS(OR($G141="",$G141=0),0, AND(NOT(ISNUMBER($G141)),LOWER($G141)&lt;&gt;"dnf"),"Not a valid time",OR(LOWER($G141)="dnf",$G141&gt;ScoringTable!$N$161),1,RIGHT($E141,1)="B",_xlfn.XLOOKUP($G141,ScoringTable!$N$2:$N$161,ScoringTable!$L$2:$L$161,,1),TRUE,_xlfn.XLOOKUP($G141,ScoringTable!$T$2:$T$161,ScoringTable!$R$2:$R$161,,1))</f>
        <v>0</v>
      </c>
      <c r="Q141" s="125">
        <f t="shared" si="10"/>
        <v>0</v>
      </c>
      <c r="R141" s="126">
        <f t="shared" si="11"/>
        <v>0</v>
      </c>
      <c r="S141" s="127">
        <f t="shared" si="12"/>
        <v>0</v>
      </c>
      <c r="T141" s="126">
        <f t="shared" si="13"/>
        <v>0</v>
      </c>
      <c r="U141" s="128">
        <f t="shared" si="14"/>
        <v>0</v>
      </c>
    </row>
    <row r="142" spans="1:21" s="7" customFormat="1" ht="16" customHeight="1">
      <c r="A142" s="121" t="s">
        <v>3</v>
      </c>
      <c r="B142" s="122" t="str">
        <f>IF(ISNA(VLOOKUP($F142,Declarations!B$6:C$293,2,FALSE)),"",IF(VLOOKUP($F142,Declarations!B$6:C$293,2,FALSE)="","NOT DECLARED",IF(ISNA(_xlfn.TEXTBEFORE(VLOOKUP($F142,Declarations!B$6:C$293,2,FALSE)," ")),VLOOKUP($F142,Declarations!B$6:C$293,2,FALSE),_xlfn.TEXTBEFORE(VLOOKUP($F142,Declarations!B$6:C$293,2,FALSE)," "))))</f>
        <v/>
      </c>
      <c r="C142" s="122" t="str">
        <f>IF(ISNA(VLOOKUP($F142,Declarations!B$6:C$293,2,FALSE)),"",IF(VLOOKUP($F142,Declarations!B$6:C$293,2,FALSE)="","NOT DECLARED",IF(ISNA(_xlfn.TEXTAFTER(VLOOKUP($F142,Declarations!B$6:C$293,2,FALSE)," ")),VLOOKUP($F142,Declarations!B$6:C$293,2,FALSE),_xlfn.TEXTAFTER(VLOOKUP($F142,Declarations!B$6:C$293,2,FALSE)," "))))</f>
        <v/>
      </c>
      <c r="D142" s="122" t="str">
        <f>IF(ISNA(VLOOKUP($F142,Declarations!$B$6:$F$293,5,FALSE)),"",IF(VLOOKUP($F142,Declarations!$B$6:$F$293,5,FALSE)="","NOT DECLARED",VLOOKUP($F142,Declarations!$B$6:$F$293,5,FALSE)))</f>
        <v/>
      </c>
      <c r="E142" s="120" t="str">
        <f>IF(ISNA(VLOOKUP($F142,Declarations!$B$6:$D$293,3,FALSE)),"",IF(VLOOKUP($F142,Declarations!$B$6:$D$293,3,FALSE)="","NOT DECLARED",VLOOKUP($F142,Declarations!$B$6:$D$293,3,FALSE)&amp;LEFT(VLOOKUP($F142,Declarations!$B$6:$E$293,4,FALSE))))</f>
        <v/>
      </c>
      <c r="F142" s="59"/>
      <c r="G142" s="123">
        <v>0</v>
      </c>
      <c r="H142" s="322"/>
      <c r="I142" s="122" t="str">
        <f>IF(ISNA(VLOOKUP(F142,Declarations!B$6:C$293,2,FALSE)),"",IF(VLOOKUP(F142,Declarations!B$6:C$293,2,FALSE)="","NOTDECLARED",VLOOKUP(F142,Declarations!B$6:C$293,2,FALSE)))</f>
        <v/>
      </c>
      <c r="J142" s="124">
        <f>IF(LOWER(G142)="dnf",1,IF(U142&lt;ScoringTable!C$3,ScoringTable!I$2,VLOOKUP((1000-U142),ScoringTable!H$2:I$95,2)))</f>
        <v>0</v>
      </c>
      <c r="K142" s="120" t="str" cm="1">
        <f t="array" ref="K142">IF(OR(E142="",G142=""),"",_xlfn.IFS(E142="U10B",_xlfn.XLOOKUP(G142,Data!$D$3:$L$3,Data!$D$1:$L$1,"",1,1),E142="U12B",_xlfn.XLOOKUP(G142,Data!$D$9:$L$9,Data!$D$1:$L$1,"",1,1),E142="U10G",_xlfn.XLOOKUP(G142,Data!$D$16:$L$16,Data!$D$1:$L$1,"",1,1),E142="U12G",_xlfn.XLOOKUP(G142,Data!$D$22:$L$22,Data!$D$1:$L$1,"",1,1)))</f>
        <v/>
      </c>
      <c r="L142" s="184" t="str" cm="1">
        <f t="array" ref="L142">IFERROR(_xlfn.IFNA(
                      _xlfn.IFS(
                      G142="", "",
                      G142=0, "",
                      AND(E142="U10B",G142&lt;=Data!$M$3), "U10 Boys record",
                      AND(E142="U12B",G142&lt;=Data!$M$9), "U12 Boys record",
                      AND(E142="U10G",G142&lt;=Data!$M$16), "U10 Girls record",
                      AND(E142="U12G",G142&lt;=Data!$M$22), "U12 Girls record"
                       ),""), "")</f>
        <v/>
      </c>
      <c r="M142" s="19" cm="1">
        <f t="array" ref="M142">_xlfn.IFS(OR($G142="",$G142=0),0, AND(NOT(ISNUMBER($G142)),LOWER($G142)&lt;&gt;"dnf"),"Not a valid time",OR(LOWER($G142)="dnf",$G142&gt;ScoringTable!$N$161),1,RIGHT($E142,1)="B",_xlfn.XLOOKUP($G142,ScoringTable!$N$2:$N$161,ScoringTable!$L$2:$L$161,,1),TRUE,_xlfn.XLOOKUP($G142,ScoringTable!$T$2:$T$161,ScoringTable!$R$2:$R$161,,1))</f>
        <v>0</v>
      </c>
      <c r="Q142" s="125">
        <f t="shared" si="10"/>
        <v>0</v>
      </c>
      <c r="R142" s="126">
        <f t="shared" si="11"/>
        <v>0</v>
      </c>
      <c r="S142" s="127">
        <f t="shared" si="12"/>
        <v>0</v>
      </c>
      <c r="T142" s="126">
        <f t="shared" si="13"/>
        <v>0</v>
      </c>
      <c r="U142" s="128">
        <f t="shared" si="14"/>
        <v>0</v>
      </c>
    </row>
    <row r="143" spans="1:21" s="7" customFormat="1" ht="16" customHeight="1">
      <c r="A143" s="121" t="s">
        <v>3</v>
      </c>
      <c r="B143" s="122" t="str">
        <f>IF(ISNA(VLOOKUP($F143,Declarations!B$6:C$293,2,FALSE)),"",IF(VLOOKUP($F143,Declarations!B$6:C$293,2,FALSE)="","NOT DECLARED",IF(ISNA(_xlfn.TEXTBEFORE(VLOOKUP($F143,Declarations!B$6:C$293,2,FALSE)," ")),VLOOKUP($F143,Declarations!B$6:C$293,2,FALSE),_xlfn.TEXTBEFORE(VLOOKUP($F143,Declarations!B$6:C$293,2,FALSE)," "))))</f>
        <v/>
      </c>
      <c r="C143" s="122" t="str">
        <f>IF(ISNA(VLOOKUP($F143,Declarations!B$6:C$293,2,FALSE)),"",IF(VLOOKUP($F143,Declarations!B$6:C$293,2,FALSE)="","NOT DECLARED",IF(ISNA(_xlfn.TEXTAFTER(VLOOKUP($F143,Declarations!B$6:C$293,2,FALSE)," ")),VLOOKUP($F143,Declarations!B$6:C$293,2,FALSE),_xlfn.TEXTAFTER(VLOOKUP($F143,Declarations!B$6:C$293,2,FALSE)," "))))</f>
        <v/>
      </c>
      <c r="D143" s="122" t="str">
        <f>IF(ISNA(VLOOKUP($F143,Declarations!$B$6:$F$293,5,FALSE)),"",IF(VLOOKUP($F143,Declarations!$B$6:$F$293,5,FALSE)="","NOT DECLARED",VLOOKUP($F143,Declarations!$B$6:$F$293,5,FALSE)))</f>
        <v/>
      </c>
      <c r="E143" s="120" t="str">
        <f>IF(ISNA(VLOOKUP($F143,Declarations!$B$6:$D$293,3,FALSE)),"",IF(VLOOKUP($F143,Declarations!$B$6:$D$293,3,FALSE)="","NOT DECLARED",VLOOKUP($F143,Declarations!$B$6:$D$293,3,FALSE)&amp;LEFT(VLOOKUP($F143,Declarations!$B$6:$E$293,4,FALSE))))</f>
        <v/>
      </c>
      <c r="F143" s="59"/>
      <c r="G143" s="123">
        <v>0</v>
      </c>
      <c r="H143" s="322"/>
      <c r="I143" s="122" t="str">
        <f>IF(ISNA(VLOOKUP(F143,Declarations!B$6:C$293,2,FALSE)),"",IF(VLOOKUP(F143,Declarations!B$6:C$293,2,FALSE)="","NOTDECLARED",VLOOKUP(F143,Declarations!B$6:C$293,2,FALSE)))</f>
        <v/>
      </c>
      <c r="J143" s="124">
        <f>IF(LOWER(G143)="dnf",1,IF(U143&lt;ScoringTable!C$3,ScoringTable!I$2,VLOOKUP((1000-U143),ScoringTable!H$2:I$95,2)))</f>
        <v>0</v>
      </c>
      <c r="K143" s="120" t="str" cm="1">
        <f t="array" ref="K143">IF(OR(E143="",G143=""),"",_xlfn.IFS(E143="U10B",_xlfn.XLOOKUP(G143,Data!$D$3:$L$3,Data!$D$1:$L$1,"",1,1),E143="U12B",_xlfn.XLOOKUP(G143,Data!$D$9:$L$9,Data!$D$1:$L$1,"",1,1),E143="U10G",_xlfn.XLOOKUP(G143,Data!$D$16:$L$16,Data!$D$1:$L$1,"",1,1),E143="U12G",_xlfn.XLOOKUP(G143,Data!$D$22:$L$22,Data!$D$1:$L$1,"",1,1)))</f>
        <v/>
      </c>
      <c r="L143" s="184" t="str" cm="1">
        <f t="array" ref="L143">IFERROR(_xlfn.IFNA(
                      _xlfn.IFS(
                      G143="", "",
                      G143=0, "",
                      AND(E143="U10B",G143&lt;=Data!$M$3), "U10 Boys record",
                      AND(E143="U12B",G143&lt;=Data!$M$9), "U12 Boys record",
                      AND(E143="U10G",G143&lt;=Data!$M$16), "U10 Girls record",
                      AND(E143="U12G",G143&lt;=Data!$M$22), "U12 Girls record"
                       ),""), "")</f>
        <v/>
      </c>
      <c r="M143" s="19" cm="1">
        <f t="array" ref="M143">_xlfn.IFS(OR($G143="",$G143=0),0, AND(NOT(ISNUMBER($G143)),LOWER($G143)&lt;&gt;"dnf"),"Not a valid time",OR(LOWER($G143)="dnf",$G143&gt;ScoringTable!$N$161),1,RIGHT($E143,1)="B",_xlfn.XLOOKUP($G143,ScoringTable!$N$2:$N$161,ScoringTable!$L$2:$L$161,,1),TRUE,_xlfn.XLOOKUP($G143,ScoringTable!$T$2:$T$161,ScoringTable!$R$2:$R$161,,1))</f>
        <v>0</v>
      </c>
      <c r="Q143" s="125">
        <f t="shared" si="10"/>
        <v>0</v>
      </c>
      <c r="R143" s="126">
        <f t="shared" si="11"/>
        <v>0</v>
      </c>
      <c r="S143" s="127">
        <f t="shared" si="12"/>
        <v>0</v>
      </c>
      <c r="T143" s="126">
        <f t="shared" si="13"/>
        <v>0</v>
      </c>
      <c r="U143" s="128">
        <f t="shared" si="14"/>
        <v>0</v>
      </c>
    </row>
    <row r="144" spans="1:21" s="7" customFormat="1" ht="16" customHeight="1">
      <c r="A144" s="121" t="s">
        <v>3</v>
      </c>
      <c r="B144" s="122" t="str">
        <f>IF(ISNA(VLOOKUP($F144,Declarations!B$6:C$293,2,FALSE)),"",IF(VLOOKUP($F144,Declarations!B$6:C$293,2,FALSE)="","NOT DECLARED",IF(ISNA(_xlfn.TEXTBEFORE(VLOOKUP($F144,Declarations!B$6:C$293,2,FALSE)," ")),VLOOKUP($F144,Declarations!B$6:C$293,2,FALSE),_xlfn.TEXTBEFORE(VLOOKUP($F144,Declarations!B$6:C$293,2,FALSE)," "))))</f>
        <v/>
      </c>
      <c r="C144" s="122" t="str">
        <f>IF(ISNA(VLOOKUP($F144,Declarations!B$6:C$293,2,FALSE)),"",IF(VLOOKUP($F144,Declarations!B$6:C$293,2,FALSE)="","NOT DECLARED",IF(ISNA(_xlfn.TEXTAFTER(VLOOKUP($F144,Declarations!B$6:C$293,2,FALSE)," ")),VLOOKUP($F144,Declarations!B$6:C$293,2,FALSE),_xlfn.TEXTAFTER(VLOOKUP($F144,Declarations!B$6:C$293,2,FALSE)," "))))</f>
        <v/>
      </c>
      <c r="D144" s="122" t="str">
        <f>IF(ISNA(VLOOKUP($F144,Declarations!$B$6:$F$293,5,FALSE)),"",IF(VLOOKUP($F144,Declarations!$B$6:$F$293,5,FALSE)="","NOT DECLARED",VLOOKUP($F144,Declarations!$B$6:$F$293,5,FALSE)))</f>
        <v/>
      </c>
      <c r="E144" s="120" t="str">
        <f>IF(ISNA(VLOOKUP($F144,Declarations!$B$6:$D$293,3,FALSE)),"",IF(VLOOKUP($F144,Declarations!$B$6:$D$293,3,FALSE)="","NOT DECLARED",VLOOKUP($F144,Declarations!$B$6:$D$293,3,FALSE)&amp;LEFT(VLOOKUP($F144,Declarations!$B$6:$E$293,4,FALSE))))</f>
        <v/>
      </c>
      <c r="F144" s="59"/>
      <c r="G144" s="123">
        <v>0</v>
      </c>
      <c r="H144" s="322"/>
      <c r="I144" s="122" t="str">
        <f>IF(ISNA(VLOOKUP(F144,Declarations!B$6:C$293,2,FALSE)),"",IF(VLOOKUP(F144,Declarations!B$6:C$293,2,FALSE)="","NOTDECLARED",VLOOKUP(F144,Declarations!B$6:C$293,2,FALSE)))</f>
        <v/>
      </c>
      <c r="J144" s="124">
        <f>IF(LOWER(G144)="dnf",1,IF(U144&lt;ScoringTable!C$3,ScoringTable!I$2,VLOOKUP((1000-U144),ScoringTable!H$2:I$95,2)))</f>
        <v>0</v>
      </c>
      <c r="K144" s="120" t="str" cm="1">
        <f t="array" ref="K144">IF(OR(E144="",G144=""),"",_xlfn.IFS(E144="U10B",_xlfn.XLOOKUP(G144,Data!$D$3:$L$3,Data!$D$1:$L$1,"",1,1),E144="U12B",_xlfn.XLOOKUP(G144,Data!$D$9:$L$9,Data!$D$1:$L$1,"",1,1),E144="U10G",_xlfn.XLOOKUP(G144,Data!$D$16:$L$16,Data!$D$1:$L$1,"",1,1),E144="U12G",_xlfn.XLOOKUP(G144,Data!$D$22:$L$22,Data!$D$1:$L$1,"",1,1)))</f>
        <v/>
      </c>
      <c r="L144" s="184" t="str" cm="1">
        <f t="array" ref="L144">IFERROR(_xlfn.IFNA(
                      _xlfn.IFS(
                      G144="", "",
                      G144=0, "",
                      AND(E144="U10B",G144&lt;=Data!$M$3), "U10 Boys record",
                      AND(E144="U12B",G144&lt;=Data!$M$9), "U12 Boys record",
                      AND(E144="U10G",G144&lt;=Data!$M$16), "U10 Girls record",
                      AND(E144="U12G",G144&lt;=Data!$M$22), "U12 Girls record"
                       ),""), "")</f>
        <v/>
      </c>
      <c r="M144" s="19" cm="1">
        <f t="array" ref="M144">_xlfn.IFS(OR($G144="",$G144=0),0, AND(NOT(ISNUMBER($G144)),LOWER($G144)&lt;&gt;"dnf"),"Not a valid time",OR(LOWER($G144)="dnf",$G144&gt;ScoringTable!$N$161),1,RIGHT($E144,1)="B",_xlfn.XLOOKUP($G144,ScoringTable!$N$2:$N$161,ScoringTable!$L$2:$L$161,,1),TRUE,_xlfn.XLOOKUP($G144,ScoringTable!$T$2:$T$161,ScoringTable!$R$2:$R$161,,1))</f>
        <v>0</v>
      </c>
      <c r="Q144" s="125">
        <f t="shared" si="10"/>
        <v>0</v>
      </c>
      <c r="R144" s="126">
        <f t="shared" si="11"/>
        <v>0</v>
      </c>
      <c r="S144" s="127">
        <f t="shared" si="12"/>
        <v>0</v>
      </c>
      <c r="T144" s="126">
        <f t="shared" si="13"/>
        <v>0</v>
      </c>
      <c r="U144" s="128">
        <f t="shared" si="14"/>
        <v>0</v>
      </c>
    </row>
    <row r="145" spans="1:21" s="7" customFormat="1" ht="16" customHeight="1">
      <c r="A145" s="121" t="s">
        <v>3</v>
      </c>
      <c r="B145" s="122" t="str">
        <f>IF(ISNA(VLOOKUP($F145,Declarations!B$6:C$293,2,FALSE)),"",IF(VLOOKUP($F145,Declarations!B$6:C$293,2,FALSE)="","NOT DECLARED",IF(ISNA(_xlfn.TEXTBEFORE(VLOOKUP($F145,Declarations!B$6:C$293,2,FALSE)," ")),VLOOKUP($F145,Declarations!B$6:C$293,2,FALSE),_xlfn.TEXTBEFORE(VLOOKUP($F145,Declarations!B$6:C$293,2,FALSE)," "))))</f>
        <v/>
      </c>
      <c r="C145" s="122" t="str">
        <f>IF(ISNA(VLOOKUP($F145,Declarations!B$6:C$293,2,FALSE)),"",IF(VLOOKUP($F145,Declarations!B$6:C$293,2,FALSE)="","NOT DECLARED",IF(ISNA(_xlfn.TEXTAFTER(VLOOKUP($F145,Declarations!B$6:C$293,2,FALSE)," ")),VLOOKUP($F145,Declarations!B$6:C$293,2,FALSE),_xlfn.TEXTAFTER(VLOOKUP($F145,Declarations!B$6:C$293,2,FALSE)," "))))</f>
        <v/>
      </c>
      <c r="D145" s="122" t="str">
        <f>IF(ISNA(VLOOKUP($F145,Declarations!$B$6:$F$293,5,FALSE)),"",IF(VLOOKUP($F145,Declarations!$B$6:$F$293,5,FALSE)="","NOT DECLARED",VLOOKUP($F145,Declarations!$B$6:$F$293,5,FALSE)))</f>
        <v/>
      </c>
      <c r="E145" s="120" t="str">
        <f>IF(ISNA(VLOOKUP($F145,Declarations!$B$6:$D$293,3,FALSE)),"",IF(VLOOKUP($F145,Declarations!$B$6:$D$293,3,FALSE)="","NOT DECLARED",VLOOKUP($F145,Declarations!$B$6:$D$293,3,FALSE)&amp;LEFT(VLOOKUP($F145,Declarations!$B$6:$E$293,4,FALSE))))</f>
        <v/>
      </c>
      <c r="F145" s="59"/>
      <c r="G145" s="123">
        <v>0</v>
      </c>
      <c r="H145" s="322"/>
      <c r="I145" s="122" t="str">
        <f>IF(ISNA(VLOOKUP(F145,Declarations!B$6:C$293,2,FALSE)),"",IF(VLOOKUP(F145,Declarations!B$6:C$293,2,FALSE)="","NOTDECLARED",VLOOKUP(F145,Declarations!B$6:C$293,2,FALSE)))</f>
        <v/>
      </c>
      <c r="J145" s="124">
        <f>IF(LOWER(G145)="dnf",1,IF(U145&lt;ScoringTable!C$3,ScoringTable!I$2,VLOOKUP((1000-U145),ScoringTable!H$2:I$95,2)))</f>
        <v>0</v>
      </c>
      <c r="K145" s="120" t="str" cm="1">
        <f t="array" ref="K145">IF(OR(E145="",G145=""),"",_xlfn.IFS(E145="U10B",_xlfn.XLOOKUP(G145,Data!$D$3:$L$3,Data!$D$1:$L$1,"",1,1),E145="U12B",_xlfn.XLOOKUP(G145,Data!$D$9:$L$9,Data!$D$1:$L$1,"",1,1),E145="U10G",_xlfn.XLOOKUP(G145,Data!$D$16:$L$16,Data!$D$1:$L$1,"",1,1),E145="U12G",_xlfn.XLOOKUP(G145,Data!$D$22:$L$22,Data!$D$1:$L$1,"",1,1)))</f>
        <v/>
      </c>
      <c r="L145" s="184" t="str" cm="1">
        <f t="array" ref="L145">IFERROR(_xlfn.IFNA(
                      _xlfn.IFS(
                      G145="", "",
                      G145=0, "",
                      AND(E145="U10B",G145&lt;=Data!$M$3), "U10 Boys record",
                      AND(E145="U12B",G145&lt;=Data!$M$9), "U12 Boys record",
                      AND(E145="U10G",G145&lt;=Data!$M$16), "U10 Girls record",
                      AND(E145="U12G",G145&lt;=Data!$M$22), "U12 Girls record"
                       ),""), "")</f>
        <v/>
      </c>
      <c r="M145" s="19" cm="1">
        <f t="array" ref="M145">_xlfn.IFS(OR($G145="",$G145=0),0, AND(NOT(ISNUMBER($G145)),LOWER($G145)&lt;&gt;"dnf"),"Not a valid time",OR(LOWER($G145)="dnf",$G145&gt;ScoringTable!$N$161),1,RIGHT($E145,1)="B",_xlfn.XLOOKUP($G145,ScoringTable!$N$2:$N$161,ScoringTable!$L$2:$L$161,,1),TRUE,_xlfn.XLOOKUP($G145,ScoringTable!$T$2:$T$161,ScoringTable!$R$2:$R$161,,1))</f>
        <v>0</v>
      </c>
      <c r="Q145" s="125">
        <f t="shared" si="10"/>
        <v>0</v>
      </c>
      <c r="R145" s="126">
        <f t="shared" si="11"/>
        <v>0</v>
      </c>
      <c r="S145" s="127">
        <f t="shared" si="12"/>
        <v>0</v>
      </c>
      <c r="T145" s="126">
        <f t="shared" si="13"/>
        <v>0</v>
      </c>
      <c r="U145" s="128">
        <f t="shared" si="14"/>
        <v>0</v>
      </c>
    </row>
    <row r="146" spans="1:21" s="7" customFormat="1" ht="16" customHeight="1">
      <c r="A146" s="121" t="s">
        <v>3</v>
      </c>
      <c r="B146" s="122" t="str">
        <f>IF(ISNA(VLOOKUP($F146,Declarations!B$6:C$293,2,FALSE)),"",IF(VLOOKUP($F146,Declarations!B$6:C$293,2,FALSE)="","NOT DECLARED",IF(ISNA(_xlfn.TEXTBEFORE(VLOOKUP($F146,Declarations!B$6:C$293,2,FALSE)," ")),VLOOKUP($F146,Declarations!B$6:C$293,2,FALSE),_xlfn.TEXTBEFORE(VLOOKUP($F146,Declarations!B$6:C$293,2,FALSE)," "))))</f>
        <v/>
      </c>
      <c r="C146" s="122" t="str">
        <f>IF(ISNA(VLOOKUP($F146,Declarations!B$6:C$293,2,FALSE)),"",IF(VLOOKUP($F146,Declarations!B$6:C$293,2,FALSE)="","NOT DECLARED",IF(ISNA(_xlfn.TEXTAFTER(VLOOKUP($F146,Declarations!B$6:C$293,2,FALSE)," ")),VLOOKUP($F146,Declarations!B$6:C$293,2,FALSE),_xlfn.TEXTAFTER(VLOOKUP($F146,Declarations!B$6:C$293,2,FALSE)," "))))</f>
        <v/>
      </c>
      <c r="D146" s="122" t="str">
        <f>IF(ISNA(VLOOKUP($F146,Declarations!$B$6:$F$293,5,FALSE)),"",IF(VLOOKUP($F146,Declarations!$B$6:$F$293,5,FALSE)="","NOT DECLARED",VLOOKUP($F146,Declarations!$B$6:$F$293,5,FALSE)))</f>
        <v/>
      </c>
      <c r="E146" s="120" t="str">
        <f>IF(ISNA(VLOOKUP($F146,Declarations!$B$6:$D$293,3,FALSE)),"",IF(VLOOKUP($F146,Declarations!$B$6:$D$293,3,FALSE)="","NOT DECLARED",VLOOKUP($F146,Declarations!$B$6:$D$293,3,FALSE)&amp;LEFT(VLOOKUP($F146,Declarations!$B$6:$E$293,4,FALSE))))</f>
        <v/>
      </c>
      <c r="F146" s="59"/>
      <c r="G146" s="123">
        <v>0</v>
      </c>
      <c r="H146" s="322"/>
      <c r="I146" s="122" t="str">
        <f>IF(ISNA(VLOOKUP(F146,Declarations!B$6:C$293,2,FALSE)),"",IF(VLOOKUP(F146,Declarations!B$6:C$293,2,FALSE)="","NOTDECLARED",VLOOKUP(F146,Declarations!B$6:C$293,2,FALSE)))</f>
        <v/>
      </c>
      <c r="J146" s="124">
        <f>IF(LOWER(G146)="dnf",1,IF(U146&lt;ScoringTable!C$3,ScoringTable!I$2,VLOOKUP((1000-U146),ScoringTable!H$2:I$95,2)))</f>
        <v>0</v>
      </c>
      <c r="K146" s="120" t="str" cm="1">
        <f t="array" ref="K146">IF(OR(E146="",G146=""),"",_xlfn.IFS(E146="U10B",_xlfn.XLOOKUP(G146,Data!$D$3:$L$3,Data!$D$1:$L$1,"",1,1),E146="U12B",_xlfn.XLOOKUP(G146,Data!$D$9:$L$9,Data!$D$1:$L$1,"",1,1),E146="U10G",_xlfn.XLOOKUP(G146,Data!$D$16:$L$16,Data!$D$1:$L$1,"",1,1),E146="U12G",_xlfn.XLOOKUP(G146,Data!$D$22:$L$22,Data!$D$1:$L$1,"",1,1)))</f>
        <v/>
      </c>
      <c r="L146" s="184" t="str" cm="1">
        <f t="array" ref="L146">IFERROR(_xlfn.IFNA(
                      _xlfn.IFS(
                      G146="", "",
                      G146=0, "",
                      AND(E146="U10B",G146&lt;=Data!$M$3), "U10 Boys record",
                      AND(E146="U12B",G146&lt;=Data!$M$9), "U12 Boys record",
                      AND(E146="U10G",G146&lt;=Data!$M$16), "U10 Girls record",
                      AND(E146="U12G",G146&lt;=Data!$M$22), "U12 Girls record"
                       ),""), "")</f>
        <v/>
      </c>
      <c r="M146" s="19" cm="1">
        <f t="array" ref="M146">_xlfn.IFS(OR($G146="",$G146=0),0, AND(NOT(ISNUMBER($G146)),LOWER($G146)&lt;&gt;"dnf"),"Not a valid time",OR(LOWER($G146)="dnf",$G146&gt;ScoringTable!$N$161),1,RIGHT($E146,1)="B",_xlfn.XLOOKUP($G146,ScoringTable!$N$2:$N$161,ScoringTable!$L$2:$L$161,,1),TRUE,_xlfn.XLOOKUP($G146,ScoringTable!$T$2:$T$161,ScoringTable!$R$2:$R$161,,1))</f>
        <v>0</v>
      </c>
      <c r="Q146" s="125">
        <f t="shared" si="10"/>
        <v>0</v>
      </c>
      <c r="R146" s="126">
        <f t="shared" si="11"/>
        <v>0</v>
      </c>
      <c r="S146" s="127">
        <f t="shared" si="12"/>
        <v>0</v>
      </c>
      <c r="T146" s="126">
        <f t="shared" si="13"/>
        <v>0</v>
      </c>
      <c r="U146" s="128">
        <f t="shared" si="14"/>
        <v>0</v>
      </c>
    </row>
    <row r="147" spans="1:21" s="7" customFormat="1" ht="16" customHeight="1">
      <c r="A147" s="121" t="s">
        <v>3</v>
      </c>
      <c r="B147" s="122" t="str">
        <f>IF(ISNA(VLOOKUP($F147,Declarations!B$6:C$293,2,FALSE)),"",IF(VLOOKUP($F147,Declarations!B$6:C$293,2,FALSE)="","NOT DECLARED",IF(ISNA(_xlfn.TEXTBEFORE(VLOOKUP($F147,Declarations!B$6:C$293,2,FALSE)," ")),VLOOKUP($F147,Declarations!B$6:C$293,2,FALSE),_xlfn.TEXTBEFORE(VLOOKUP($F147,Declarations!B$6:C$293,2,FALSE)," "))))</f>
        <v/>
      </c>
      <c r="C147" s="122" t="str">
        <f>IF(ISNA(VLOOKUP($F147,Declarations!B$6:C$293,2,FALSE)),"",IF(VLOOKUP($F147,Declarations!B$6:C$293,2,FALSE)="","NOT DECLARED",IF(ISNA(_xlfn.TEXTAFTER(VLOOKUP($F147,Declarations!B$6:C$293,2,FALSE)," ")),VLOOKUP($F147,Declarations!B$6:C$293,2,FALSE),_xlfn.TEXTAFTER(VLOOKUP($F147,Declarations!B$6:C$293,2,FALSE)," "))))</f>
        <v/>
      </c>
      <c r="D147" s="122" t="str">
        <f>IF(ISNA(VLOOKUP($F147,Declarations!$B$6:$F$293,5,FALSE)),"",IF(VLOOKUP($F147,Declarations!$B$6:$F$293,5,FALSE)="","NOT DECLARED",VLOOKUP($F147,Declarations!$B$6:$F$293,5,FALSE)))</f>
        <v/>
      </c>
      <c r="E147" s="120" t="str">
        <f>IF(ISNA(VLOOKUP($F147,Declarations!$B$6:$D$293,3,FALSE)),"",IF(VLOOKUP($F147,Declarations!$B$6:$D$293,3,FALSE)="","NOT DECLARED",VLOOKUP($F147,Declarations!$B$6:$D$293,3,FALSE)&amp;LEFT(VLOOKUP($F147,Declarations!$B$6:$E$293,4,FALSE))))</f>
        <v/>
      </c>
      <c r="F147" s="59"/>
      <c r="G147" s="123">
        <v>0</v>
      </c>
      <c r="H147" s="322"/>
      <c r="I147" s="122" t="str">
        <f>IF(ISNA(VLOOKUP(F147,Declarations!B$6:C$293,2,FALSE)),"",IF(VLOOKUP(F147,Declarations!B$6:C$293,2,FALSE)="","NOTDECLARED",VLOOKUP(F147,Declarations!B$6:C$293,2,FALSE)))</f>
        <v/>
      </c>
      <c r="J147" s="124">
        <f>IF(LOWER(G147)="dnf",1,IF(U147&lt;ScoringTable!C$3,ScoringTable!I$2,VLOOKUP((1000-U147),ScoringTable!H$2:I$95,2)))</f>
        <v>0</v>
      </c>
      <c r="K147" s="120" t="str" cm="1">
        <f t="array" ref="K147">IF(OR(E147="",G147=""),"",_xlfn.IFS(E147="U10B",_xlfn.XLOOKUP(G147,Data!$D$3:$L$3,Data!$D$1:$L$1,"",1,1),E147="U12B",_xlfn.XLOOKUP(G147,Data!$D$9:$L$9,Data!$D$1:$L$1,"",1,1),E147="U10G",_xlfn.XLOOKUP(G147,Data!$D$16:$L$16,Data!$D$1:$L$1,"",1,1),E147="U12G",_xlfn.XLOOKUP(G147,Data!$D$22:$L$22,Data!$D$1:$L$1,"",1,1)))</f>
        <v/>
      </c>
      <c r="L147" s="184" t="str" cm="1">
        <f t="array" ref="L147">IFERROR(_xlfn.IFNA(
                      _xlfn.IFS(
                      G147="", "",
                      G147=0, "",
                      AND(E147="U10B",G147&lt;=Data!$M$3), "U10 Boys record",
                      AND(E147="U12B",G147&lt;=Data!$M$9), "U12 Boys record",
                      AND(E147="U10G",G147&lt;=Data!$M$16), "U10 Girls record",
                      AND(E147="U12G",G147&lt;=Data!$M$22), "U12 Girls record"
                       ),""), "")</f>
        <v/>
      </c>
      <c r="M147" s="19" cm="1">
        <f t="array" ref="M147">_xlfn.IFS(OR($G147="",$G147=0),0, AND(NOT(ISNUMBER($G147)),LOWER($G147)&lt;&gt;"dnf"),"Not a valid time",OR(LOWER($G147)="dnf",$G147&gt;ScoringTable!$N$161),1,RIGHT($E147,1)="B",_xlfn.XLOOKUP($G147,ScoringTable!$N$2:$N$161,ScoringTable!$L$2:$L$161,,1),TRUE,_xlfn.XLOOKUP($G147,ScoringTable!$T$2:$T$161,ScoringTable!$R$2:$R$161,,1))</f>
        <v>0</v>
      </c>
      <c r="Q147" s="125">
        <f t="shared" si="10"/>
        <v>0</v>
      </c>
      <c r="R147" s="126">
        <f t="shared" si="11"/>
        <v>0</v>
      </c>
      <c r="S147" s="127">
        <f t="shared" si="12"/>
        <v>0</v>
      </c>
      <c r="T147" s="126">
        <f t="shared" si="13"/>
        <v>0</v>
      </c>
      <c r="U147" s="128">
        <f t="shared" si="14"/>
        <v>0</v>
      </c>
    </row>
    <row r="148" spans="1:21" s="7" customFormat="1" ht="16" customHeight="1">
      <c r="A148" s="121" t="s">
        <v>3</v>
      </c>
      <c r="B148" s="122" t="str">
        <f>IF(ISNA(VLOOKUP($F148,Declarations!B$6:C$293,2,FALSE)),"",IF(VLOOKUP($F148,Declarations!B$6:C$293,2,FALSE)="","NOT DECLARED",IF(ISNA(_xlfn.TEXTBEFORE(VLOOKUP($F148,Declarations!B$6:C$293,2,FALSE)," ")),VLOOKUP($F148,Declarations!B$6:C$293,2,FALSE),_xlfn.TEXTBEFORE(VLOOKUP($F148,Declarations!B$6:C$293,2,FALSE)," "))))</f>
        <v/>
      </c>
      <c r="C148" s="122" t="str">
        <f>IF(ISNA(VLOOKUP($F148,Declarations!B$6:C$293,2,FALSE)),"",IF(VLOOKUP($F148,Declarations!B$6:C$293,2,FALSE)="","NOT DECLARED",IF(ISNA(_xlfn.TEXTAFTER(VLOOKUP($F148,Declarations!B$6:C$293,2,FALSE)," ")),VLOOKUP($F148,Declarations!B$6:C$293,2,FALSE),_xlfn.TEXTAFTER(VLOOKUP($F148,Declarations!B$6:C$293,2,FALSE)," "))))</f>
        <v/>
      </c>
      <c r="D148" s="122" t="str">
        <f>IF(ISNA(VLOOKUP($F148,Declarations!$B$6:$F$293,5,FALSE)),"",IF(VLOOKUP($F148,Declarations!$B$6:$F$293,5,FALSE)="","NOT DECLARED",VLOOKUP($F148,Declarations!$B$6:$F$293,5,FALSE)))</f>
        <v/>
      </c>
      <c r="E148" s="120" t="str">
        <f>IF(ISNA(VLOOKUP($F148,Declarations!$B$6:$D$293,3,FALSE)),"",IF(VLOOKUP($F148,Declarations!$B$6:$D$293,3,FALSE)="","NOT DECLARED",VLOOKUP($F148,Declarations!$B$6:$D$293,3,FALSE)&amp;LEFT(VLOOKUP($F148,Declarations!$B$6:$E$293,4,FALSE))))</f>
        <v/>
      </c>
      <c r="F148" s="59"/>
      <c r="G148" s="123">
        <v>0</v>
      </c>
      <c r="H148" s="322"/>
      <c r="I148" s="122" t="str">
        <f>IF(ISNA(VLOOKUP(F148,Declarations!B$6:C$293,2,FALSE)),"",IF(VLOOKUP(F148,Declarations!B$6:C$293,2,FALSE)="","NOTDECLARED",VLOOKUP(F148,Declarations!B$6:C$293,2,FALSE)))</f>
        <v/>
      </c>
      <c r="J148" s="124">
        <f>IF(LOWER(G148)="dnf",1,IF(U148&lt;ScoringTable!C$3,ScoringTable!I$2,VLOOKUP((1000-U148),ScoringTable!H$2:I$95,2)))</f>
        <v>0</v>
      </c>
      <c r="K148" s="120" t="str" cm="1">
        <f t="array" ref="K148">IF(OR(E148="",G148=""),"",_xlfn.IFS(E148="U10B",_xlfn.XLOOKUP(G148,Data!$D$3:$L$3,Data!$D$1:$L$1,"",1,1),E148="U12B",_xlfn.XLOOKUP(G148,Data!$D$9:$L$9,Data!$D$1:$L$1,"",1,1),E148="U10G",_xlfn.XLOOKUP(G148,Data!$D$16:$L$16,Data!$D$1:$L$1,"",1,1),E148="U12G",_xlfn.XLOOKUP(G148,Data!$D$22:$L$22,Data!$D$1:$L$1,"",1,1)))</f>
        <v/>
      </c>
      <c r="L148" s="184" t="str" cm="1">
        <f t="array" ref="L148">IFERROR(_xlfn.IFNA(
                      _xlfn.IFS(
                      G148="", "",
                      G148=0, "",
                      AND(E148="U10B",G148&lt;=Data!$M$3), "U10 Boys record",
                      AND(E148="U12B",G148&lt;=Data!$M$9), "U12 Boys record",
                      AND(E148="U10G",G148&lt;=Data!$M$16), "U10 Girls record",
                      AND(E148="U12G",G148&lt;=Data!$M$22), "U12 Girls record"
                       ),""), "")</f>
        <v/>
      </c>
      <c r="M148" s="19" cm="1">
        <f t="array" ref="M148">_xlfn.IFS(OR($G148="",$G148=0),0, AND(NOT(ISNUMBER($G148)),LOWER($G148)&lt;&gt;"dnf"),"Not a valid time",OR(LOWER($G148)="dnf",$G148&gt;ScoringTable!$N$161),1,RIGHT($E148,1)="B",_xlfn.XLOOKUP($G148,ScoringTable!$N$2:$N$161,ScoringTable!$L$2:$L$161,,1),TRUE,_xlfn.XLOOKUP($G148,ScoringTable!$T$2:$T$161,ScoringTable!$R$2:$R$161,,1))</f>
        <v>0</v>
      </c>
      <c r="Q148" s="125">
        <f t="shared" si="10"/>
        <v>0</v>
      </c>
      <c r="R148" s="126">
        <f t="shared" si="11"/>
        <v>0</v>
      </c>
      <c r="S148" s="127">
        <f t="shared" si="12"/>
        <v>0</v>
      </c>
      <c r="T148" s="126">
        <f t="shared" si="13"/>
        <v>0</v>
      </c>
      <c r="U148" s="128">
        <f t="shared" si="14"/>
        <v>0</v>
      </c>
    </row>
    <row r="149" spans="1:21" s="7" customFormat="1" ht="16" customHeight="1">
      <c r="A149" s="121" t="s">
        <v>3</v>
      </c>
      <c r="B149" s="122" t="str">
        <f>IF(ISNA(VLOOKUP($F149,Declarations!B$6:C$293,2,FALSE)),"",IF(VLOOKUP($F149,Declarations!B$6:C$293,2,FALSE)="","NOT DECLARED",IF(ISNA(_xlfn.TEXTBEFORE(VLOOKUP($F149,Declarations!B$6:C$293,2,FALSE)," ")),VLOOKUP($F149,Declarations!B$6:C$293,2,FALSE),_xlfn.TEXTBEFORE(VLOOKUP($F149,Declarations!B$6:C$293,2,FALSE)," "))))</f>
        <v/>
      </c>
      <c r="C149" s="122" t="str">
        <f>IF(ISNA(VLOOKUP($F149,Declarations!B$6:C$293,2,FALSE)),"",IF(VLOOKUP($F149,Declarations!B$6:C$293,2,FALSE)="","NOT DECLARED",IF(ISNA(_xlfn.TEXTAFTER(VLOOKUP($F149,Declarations!B$6:C$293,2,FALSE)," ")),VLOOKUP($F149,Declarations!B$6:C$293,2,FALSE),_xlfn.TEXTAFTER(VLOOKUP($F149,Declarations!B$6:C$293,2,FALSE)," "))))</f>
        <v/>
      </c>
      <c r="D149" s="122" t="str">
        <f>IF(ISNA(VLOOKUP($F149,Declarations!$B$6:$F$293,5,FALSE)),"",IF(VLOOKUP($F149,Declarations!$B$6:$F$293,5,FALSE)="","NOT DECLARED",VLOOKUP($F149,Declarations!$B$6:$F$293,5,FALSE)))</f>
        <v/>
      </c>
      <c r="E149" s="120" t="str">
        <f>IF(ISNA(VLOOKUP($F149,Declarations!$B$6:$D$293,3,FALSE)),"",IF(VLOOKUP($F149,Declarations!$B$6:$D$293,3,FALSE)="","NOT DECLARED",VLOOKUP($F149,Declarations!$B$6:$D$293,3,FALSE)&amp;LEFT(VLOOKUP($F149,Declarations!$B$6:$E$293,4,FALSE))))</f>
        <v/>
      </c>
      <c r="F149" s="59"/>
      <c r="G149" s="123">
        <v>0</v>
      </c>
      <c r="H149" s="322"/>
      <c r="I149" s="122" t="str">
        <f>IF(ISNA(VLOOKUP(F149,Declarations!B$6:C$293,2,FALSE)),"",IF(VLOOKUP(F149,Declarations!B$6:C$293,2,FALSE)="","NOTDECLARED",VLOOKUP(F149,Declarations!B$6:C$293,2,FALSE)))</f>
        <v/>
      </c>
      <c r="J149" s="124">
        <f>IF(LOWER(G149)="dnf",1,IF(U149&lt;ScoringTable!C$3,ScoringTable!I$2,VLOOKUP((1000-U149),ScoringTable!H$2:I$95,2)))</f>
        <v>0</v>
      </c>
      <c r="K149" s="120" t="str" cm="1">
        <f t="array" ref="K149">IF(OR(E149="",G149=""),"",_xlfn.IFS(E149="U10B",_xlfn.XLOOKUP(G149,Data!$D$3:$L$3,Data!$D$1:$L$1,"",1,1),E149="U12B",_xlfn.XLOOKUP(G149,Data!$D$9:$L$9,Data!$D$1:$L$1,"",1,1),E149="U10G",_xlfn.XLOOKUP(G149,Data!$D$16:$L$16,Data!$D$1:$L$1,"",1,1),E149="U12G",_xlfn.XLOOKUP(G149,Data!$D$22:$L$22,Data!$D$1:$L$1,"",1,1)))</f>
        <v/>
      </c>
      <c r="L149" s="184" t="str" cm="1">
        <f t="array" ref="L149">IFERROR(_xlfn.IFNA(
                      _xlfn.IFS(
                      G149="", "",
                      G149=0, "",
                      AND(E149="U10B",G149&lt;=Data!$M$3), "U10 Boys record",
                      AND(E149="U12B",G149&lt;=Data!$M$9), "U12 Boys record",
                      AND(E149="U10G",G149&lt;=Data!$M$16), "U10 Girls record",
                      AND(E149="U12G",G149&lt;=Data!$M$22), "U12 Girls record"
                       ),""), "")</f>
        <v/>
      </c>
      <c r="M149" s="19" cm="1">
        <f t="array" ref="M149">_xlfn.IFS(OR($G149="",$G149=0),0, AND(NOT(ISNUMBER($G149)),LOWER($G149)&lt;&gt;"dnf"),"Not a valid time",OR(LOWER($G149)="dnf",$G149&gt;ScoringTable!$N$161),1,RIGHT($E149,1)="B",_xlfn.XLOOKUP($G149,ScoringTable!$N$2:$N$161,ScoringTable!$L$2:$L$161,,1),TRUE,_xlfn.XLOOKUP($G149,ScoringTable!$T$2:$T$161,ScoringTable!$R$2:$R$161,,1))</f>
        <v>0</v>
      </c>
      <c r="Q149" s="125">
        <f t="shared" si="10"/>
        <v>0</v>
      </c>
      <c r="R149" s="126">
        <f t="shared" si="11"/>
        <v>0</v>
      </c>
      <c r="S149" s="127">
        <f t="shared" si="12"/>
        <v>0</v>
      </c>
      <c r="T149" s="126">
        <f t="shared" si="13"/>
        <v>0</v>
      </c>
      <c r="U149" s="128">
        <f t="shared" si="14"/>
        <v>0</v>
      </c>
    </row>
    <row r="150" spans="1:21" s="7" customFormat="1" ht="16" customHeight="1">
      <c r="A150" s="121" t="s">
        <v>3</v>
      </c>
      <c r="B150" s="122" t="str">
        <f>IF(ISNA(VLOOKUP($F150,Declarations!B$6:C$293,2,FALSE)),"",IF(VLOOKUP($F150,Declarations!B$6:C$293,2,FALSE)="","NOT DECLARED",IF(ISNA(_xlfn.TEXTBEFORE(VLOOKUP($F150,Declarations!B$6:C$293,2,FALSE)," ")),VLOOKUP($F150,Declarations!B$6:C$293,2,FALSE),_xlfn.TEXTBEFORE(VLOOKUP($F150,Declarations!B$6:C$293,2,FALSE)," "))))</f>
        <v/>
      </c>
      <c r="C150" s="122" t="str">
        <f>IF(ISNA(VLOOKUP($F150,Declarations!B$6:C$293,2,FALSE)),"",IF(VLOOKUP($F150,Declarations!B$6:C$293,2,FALSE)="","NOT DECLARED",IF(ISNA(_xlfn.TEXTAFTER(VLOOKUP($F150,Declarations!B$6:C$293,2,FALSE)," ")),VLOOKUP($F150,Declarations!B$6:C$293,2,FALSE),_xlfn.TEXTAFTER(VLOOKUP($F150,Declarations!B$6:C$293,2,FALSE)," "))))</f>
        <v/>
      </c>
      <c r="D150" s="122" t="str">
        <f>IF(ISNA(VLOOKUP($F150,Declarations!$B$6:$F$293,5,FALSE)),"",IF(VLOOKUP($F150,Declarations!$B$6:$F$293,5,FALSE)="","NOT DECLARED",VLOOKUP($F150,Declarations!$B$6:$F$293,5,FALSE)))</f>
        <v/>
      </c>
      <c r="E150" s="120" t="str">
        <f>IF(ISNA(VLOOKUP($F150,Declarations!$B$6:$D$293,3,FALSE)),"",IF(VLOOKUP($F150,Declarations!$B$6:$D$293,3,FALSE)="","NOT DECLARED",VLOOKUP($F150,Declarations!$B$6:$D$293,3,FALSE)&amp;LEFT(VLOOKUP($F150,Declarations!$B$6:$E$293,4,FALSE))))</f>
        <v/>
      </c>
      <c r="F150" s="59"/>
      <c r="G150" s="123">
        <v>0</v>
      </c>
      <c r="H150" s="322"/>
      <c r="I150" s="122" t="str">
        <f>IF(ISNA(VLOOKUP(F150,Declarations!B$6:C$293,2,FALSE)),"",IF(VLOOKUP(F150,Declarations!B$6:C$293,2,FALSE)="","NOTDECLARED",VLOOKUP(F150,Declarations!B$6:C$293,2,FALSE)))</f>
        <v/>
      </c>
      <c r="J150" s="124">
        <f>IF(LOWER(G150)="dnf",1,IF(U150&lt;ScoringTable!C$3,ScoringTable!I$2,VLOOKUP((1000-U150),ScoringTable!H$2:I$95,2)))</f>
        <v>0</v>
      </c>
      <c r="K150" s="120" t="str" cm="1">
        <f t="array" ref="K150">IF(OR(E150="",G150=""),"",_xlfn.IFS(E150="U10B",_xlfn.XLOOKUP(G150,Data!$D$3:$L$3,Data!$D$1:$L$1,"",1,1),E150="U12B",_xlfn.XLOOKUP(G150,Data!$D$9:$L$9,Data!$D$1:$L$1,"",1,1),E150="U10G",_xlfn.XLOOKUP(G150,Data!$D$16:$L$16,Data!$D$1:$L$1,"",1,1),E150="U12G",_xlfn.XLOOKUP(G150,Data!$D$22:$L$22,Data!$D$1:$L$1,"",1,1)))</f>
        <v/>
      </c>
      <c r="L150" s="184" t="str" cm="1">
        <f t="array" ref="L150">IFERROR(_xlfn.IFNA(
                      _xlfn.IFS(
                      G150="", "",
                      G150=0, "",
                      AND(E150="U10B",G150&lt;=Data!$M$3), "U10 Boys record",
                      AND(E150="U12B",G150&lt;=Data!$M$9), "U12 Boys record",
                      AND(E150="U10G",G150&lt;=Data!$M$16), "U10 Girls record",
                      AND(E150="U12G",G150&lt;=Data!$M$22), "U12 Girls record"
                       ),""), "")</f>
        <v/>
      </c>
      <c r="M150" s="19" cm="1">
        <f t="array" ref="M150">_xlfn.IFS(OR($G150="",$G150=0),0, AND(NOT(ISNUMBER($G150)),LOWER($G150)&lt;&gt;"dnf"),"Not a valid time",OR(LOWER($G150)="dnf",$G150&gt;ScoringTable!$N$161),1,RIGHT($E150,1)="B",_xlfn.XLOOKUP($G150,ScoringTable!$N$2:$N$161,ScoringTable!$L$2:$L$161,,1),TRUE,_xlfn.XLOOKUP($G150,ScoringTable!$T$2:$T$161,ScoringTable!$R$2:$R$161,,1))</f>
        <v>0</v>
      </c>
      <c r="Q150" s="125">
        <f t="shared" si="10"/>
        <v>0</v>
      </c>
      <c r="R150" s="126">
        <f t="shared" si="11"/>
        <v>0</v>
      </c>
      <c r="S150" s="127">
        <f t="shared" si="12"/>
        <v>0</v>
      </c>
      <c r="T150" s="126">
        <f t="shared" si="13"/>
        <v>0</v>
      </c>
      <c r="U150" s="128">
        <f t="shared" si="14"/>
        <v>0</v>
      </c>
    </row>
    <row r="151" spans="1:21" s="7" customFormat="1" ht="16" customHeight="1">
      <c r="A151" s="121" t="s">
        <v>3</v>
      </c>
      <c r="B151" s="122" t="str">
        <f>IF(ISNA(VLOOKUP($F151,Declarations!B$6:C$293,2,FALSE)),"",IF(VLOOKUP($F151,Declarations!B$6:C$293,2,FALSE)="","NOT DECLARED",IF(ISNA(_xlfn.TEXTBEFORE(VLOOKUP($F151,Declarations!B$6:C$293,2,FALSE)," ")),VLOOKUP($F151,Declarations!B$6:C$293,2,FALSE),_xlfn.TEXTBEFORE(VLOOKUP($F151,Declarations!B$6:C$293,2,FALSE)," "))))</f>
        <v/>
      </c>
      <c r="C151" s="122" t="str">
        <f>IF(ISNA(VLOOKUP($F151,Declarations!B$6:C$293,2,FALSE)),"",IF(VLOOKUP($F151,Declarations!B$6:C$293,2,FALSE)="","NOT DECLARED",IF(ISNA(_xlfn.TEXTAFTER(VLOOKUP($F151,Declarations!B$6:C$293,2,FALSE)," ")),VLOOKUP($F151,Declarations!B$6:C$293,2,FALSE),_xlfn.TEXTAFTER(VLOOKUP($F151,Declarations!B$6:C$293,2,FALSE)," "))))</f>
        <v/>
      </c>
      <c r="D151" s="122" t="str">
        <f>IF(ISNA(VLOOKUP($F151,Declarations!$B$6:$F$293,5,FALSE)),"",IF(VLOOKUP($F151,Declarations!$B$6:$F$293,5,FALSE)="","NOT DECLARED",VLOOKUP($F151,Declarations!$B$6:$F$293,5,FALSE)))</f>
        <v/>
      </c>
      <c r="E151" s="120" t="str">
        <f>IF(ISNA(VLOOKUP($F151,Declarations!$B$6:$D$293,3,FALSE)),"",IF(VLOOKUP($F151,Declarations!$B$6:$D$293,3,FALSE)="","NOT DECLARED",VLOOKUP($F151,Declarations!$B$6:$D$293,3,FALSE)&amp;LEFT(VLOOKUP($F151,Declarations!$B$6:$E$293,4,FALSE))))</f>
        <v/>
      </c>
      <c r="F151" s="59"/>
      <c r="G151" s="123">
        <v>0</v>
      </c>
      <c r="H151" s="322"/>
      <c r="I151" s="122" t="str">
        <f>IF(ISNA(VLOOKUP(F151,Declarations!B$6:C$293,2,FALSE)),"",IF(VLOOKUP(F151,Declarations!B$6:C$293,2,FALSE)="","NOTDECLARED",VLOOKUP(F151,Declarations!B$6:C$293,2,FALSE)))</f>
        <v/>
      </c>
      <c r="J151" s="124">
        <f>IF(LOWER(G151)="dnf",1,IF(U151&lt;ScoringTable!C$3,ScoringTable!I$2,VLOOKUP((1000-U151),ScoringTable!H$2:I$95,2)))</f>
        <v>0</v>
      </c>
      <c r="K151" s="120" t="str" cm="1">
        <f t="array" ref="K151">IF(OR(E151="",G151=""),"",_xlfn.IFS(E151="U10B",_xlfn.XLOOKUP(G151,Data!$D$3:$L$3,Data!$D$1:$L$1,"",1,1),E151="U12B",_xlfn.XLOOKUP(G151,Data!$D$9:$L$9,Data!$D$1:$L$1,"",1,1),E151="U10G",_xlfn.XLOOKUP(G151,Data!$D$16:$L$16,Data!$D$1:$L$1,"",1,1),E151="U12G",_xlfn.XLOOKUP(G151,Data!$D$22:$L$22,Data!$D$1:$L$1,"",1,1)))</f>
        <v/>
      </c>
      <c r="L151" s="184" t="str" cm="1">
        <f t="array" ref="L151">IFERROR(_xlfn.IFNA(
                      _xlfn.IFS(
                      G151="", "",
                      G151=0, "",
                      AND(E151="U10B",G151&lt;=Data!$M$3), "U10 Boys record",
                      AND(E151="U12B",G151&lt;=Data!$M$9), "U12 Boys record",
                      AND(E151="U10G",G151&lt;=Data!$M$16), "U10 Girls record",
                      AND(E151="U12G",G151&lt;=Data!$M$22), "U12 Girls record"
                       ),""), "")</f>
        <v/>
      </c>
      <c r="M151" s="19" cm="1">
        <f t="array" ref="M151">_xlfn.IFS(OR($G151="",$G151=0),0, AND(NOT(ISNUMBER($G151)),LOWER($G151)&lt;&gt;"dnf"),"Not a valid time",OR(LOWER($G151)="dnf",$G151&gt;ScoringTable!$N$161),1,RIGHT($E151,1)="B",_xlfn.XLOOKUP($G151,ScoringTable!$N$2:$N$161,ScoringTable!$L$2:$L$161,,1),TRUE,_xlfn.XLOOKUP($G151,ScoringTable!$T$2:$T$161,ScoringTable!$R$2:$R$161,,1))</f>
        <v>0</v>
      </c>
      <c r="Q151" s="125">
        <f t="shared" si="10"/>
        <v>0</v>
      </c>
      <c r="R151" s="126">
        <f t="shared" si="11"/>
        <v>0</v>
      </c>
      <c r="S151" s="127">
        <f t="shared" si="12"/>
        <v>0</v>
      </c>
      <c r="T151" s="126">
        <f t="shared" si="13"/>
        <v>0</v>
      </c>
      <c r="U151" s="128">
        <f t="shared" si="14"/>
        <v>0</v>
      </c>
    </row>
    <row r="152" spans="1:21" s="7" customFormat="1" ht="16" customHeight="1">
      <c r="A152" s="121" t="s">
        <v>3</v>
      </c>
      <c r="B152" s="122" t="str">
        <f>IF(ISNA(VLOOKUP($F152,Declarations!B$6:C$293,2,FALSE)),"",IF(VLOOKUP($F152,Declarations!B$6:C$293,2,FALSE)="","NOT DECLARED",IF(ISNA(_xlfn.TEXTBEFORE(VLOOKUP($F152,Declarations!B$6:C$293,2,FALSE)," ")),VLOOKUP($F152,Declarations!B$6:C$293,2,FALSE),_xlfn.TEXTBEFORE(VLOOKUP($F152,Declarations!B$6:C$293,2,FALSE)," "))))</f>
        <v/>
      </c>
      <c r="C152" s="122" t="str">
        <f>IF(ISNA(VLOOKUP($F152,Declarations!B$6:C$293,2,FALSE)),"",IF(VLOOKUP($F152,Declarations!B$6:C$293,2,FALSE)="","NOT DECLARED",IF(ISNA(_xlfn.TEXTAFTER(VLOOKUP($F152,Declarations!B$6:C$293,2,FALSE)," ")),VLOOKUP($F152,Declarations!B$6:C$293,2,FALSE),_xlfn.TEXTAFTER(VLOOKUP($F152,Declarations!B$6:C$293,2,FALSE)," "))))</f>
        <v/>
      </c>
      <c r="D152" s="122" t="str">
        <f>IF(ISNA(VLOOKUP($F152,Declarations!$B$6:$F$293,5,FALSE)),"",IF(VLOOKUP($F152,Declarations!$B$6:$F$293,5,FALSE)="","NOT DECLARED",VLOOKUP($F152,Declarations!$B$6:$F$293,5,FALSE)))</f>
        <v/>
      </c>
      <c r="E152" s="120" t="str">
        <f>IF(ISNA(VLOOKUP($F152,Declarations!$B$6:$D$293,3,FALSE)),"",IF(VLOOKUP($F152,Declarations!$B$6:$D$293,3,FALSE)="","NOT DECLARED",VLOOKUP($F152,Declarations!$B$6:$D$293,3,FALSE)&amp;LEFT(VLOOKUP($F152,Declarations!$B$6:$E$293,4,FALSE))))</f>
        <v/>
      </c>
      <c r="F152" s="59"/>
      <c r="G152" s="123">
        <v>0</v>
      </c>
      <c r="H152" s="322"/>
      <c r="I152" s="122" t="str">
        <f>IF(ISNA(VLOOKUP(F152,Declarations!B$6:C$293,2,FALSE)),"",IF(VLOOKUP(F152,Declarations!B$6:C$293,2,FALSE)="","NOTDECLARED",VLOOKUP(F152,Declarations!B$6:C$293,2,FALSE)))</f>
        <v/>
      </c>
      <c r="J152" s="124">
        <f>IF(LOWER(G152)="dnf",1,IF(U152&lt;ScoringTable!C$3,ScoringTable!I$2,VLOOKUP((1000-U152),ScoringTable!H$2:I$95,2)))</f>
        <v>0</v>
      </c>
      <c r="K152" s="120" t="str" cm="1">
        <f t="array" ref="K152">IF(OR(E152="",G152=""),"",_xlfn.IFS(E152="U10B",_xlfn.XLOOKUP(G152,Data!$D$3:$L$3,Data!$D$1:$L$1,"",1,1),E152="U12B",_xlfn.XLOOKUP(G152,Data!$D$9:$L$9,Data!$D$1:$L$1,"",1,1),E152="U10G",_xlfn.XLOOKUP(G152,Data!$D$16:$L$16,Data!$D$1:$L$1,"",1,1),E152="U12G",_xlfn.XLOOKUP(G152,Data!$D$22:$L$22,Data!$D$1:$L$1,"",1,1)))</f>
        <v/>
      </c>
      <c r="L152" s="184" t="str" cm="1">
        <f t="array" ref="L152">IFERROR(_xlfn.IFNA(
                      _xlfn.IFS(
                      G152="", "",
                      G152=0, "",
                      AND(E152="U10B",G152&lt;=Data!$M$3), "U10 Boys record",
                      AND(E152="U12B",G152&lt;=Data!$M$9), "U12 Boys record",
                      AND(E152="U10G",G152&lt;=Data!$M$16), "U10 Girls record",
                      AND(E152="U12G",G152&lt;=Data!$M$22), "U12 Girls record"
                       ),""), "")</f>
        <v/>
      </c>
      <c r="M152" s="19" cm="1">
        <f t="array" ref="M152">_xlfn.IFS(OR($G152="",$G152=0),0, AND(NOT(ISNUMBER($G152)),LOWER($G152)&lt;&gt;"dnf"),"Not a valid time",OR(LOWER($G152)="dnf",$G152&gt;ScoringTable!$N$161),1,RIGHT($E152,1)="B",_xlfn.XLOOKUP($G152,ScoringTable!$N$2:$N$161,ScoringTable!$L$2:$L$161,,1),TRUE,_xlfn.XLOOKUP($G152,ScoringTable!$T$2:$T$161,ScoringTable!$R$2:$R$161,,1))</f>
        <v>0</v>
      </c>
      <c r="Q152" s="125">
        <f t="shared" si="10"/>
        <v>0</v>
      </c>
      <c r="R152" s="126">
        <f t="shared" si="11"/>
        <v>0</v>
      </c>
      <c r="S152" s="127">
        <f t="shared" si="12"/>
        <v>0</v>
      </c>
      <c r="T152" s="126">
        <f t="shared" si="13"/>
        <v>0</v>
      </c>
      <c r="U152" s="128">
        <f t="shared" si="14"/>
        <v>0</v>
      </c>
    </row>
    <row r="153" spans="1:21" s="7" customFormat="1" ht="16" customHeight="1">
      <c r="A153" s="121" t="s">
        <v>3</v>
      </c>
      <c r="B153" s="122" t="str">
        <f>IF(ISNA(VLOOKUP($F153,Declarations!B$6:C$293,2,FALSE)),"",IF(VLOOKUP($F153,Declarations!B$6:C$293,2,FALSE)="","NOT DECLARED",IF(ISNA(_xlfn.TEXTBEFORE(VLOOKUP($F153,Declarations!B$6:C$293,2,FALSE)," ")),VLOOKUP($F153,Declarations!B$6:C$293,2,FALSE),_xlfn.TEXTBEFORE(VLOOKUP($F153,Declarations!B$6:C$293,2,FALSE)," "))))</f>
        <v/>
      </c>
      <c r="C153" s="122" t="str">
        <f>IF(ISNA(VLOOKUP($F153,Declarations!B$6:C$293,2,FALSE)),"",IF(VLOOKUP($F153,Declarations!B$6:C$293,2,FALSE)="","NOT DECLARED",IF(ISNA(_xlfn.TEXTAFTER(VLOOKUP($F153,Declarations!B$6:C$293,2,FALSE)," ")),VLOOKUP($F153,Declarations!B$6:C$293,2,FALSE),_xlfn.TEXTAFTER(VLOOKUP($F153,Declarations!B$6:C$293,2,FALSE)," "))))</f>
        <v/>
      </c>
      <c r="D153" s="122" t="str">
        <f>IF(ISNA(VLOOKUP($F153,Declarations!$B$6:$F$293,5,FALSE)),"",IF(VLOOKUP($F153,Declarations!$B$6:$F$293,5,FALSE)="","NOT DECLARED",VLOOKUP($F153,Declarations!$B$6:$F$293,5,FALSE)))</f>
        <v/>
      </c>
      <c r="E153" s="120" t="str">
        <f>IF(ISNA(VLOOKUP($F153,Declarations!$B$6:$D$293,3,FALSE)),"",IF(VLOOKUP($F153,Declarations!$B$6:$D$293,3,FALSE)="","NOT DECLARED",VLOOKUP($F153,Declarations!$B$6:$D$293,3,FALSE)&amp;LEFT(VLOOKUP($F153,Declarations!$B$6:$E$293,4,FALSE))))</f>
        <v/>
      </c>
      <c r="F153" s="59"/>
      <c r="G153" s="123">
        <v>0</v>
      </c>
      <c r="H153" s="322"/>
      <c r="I153" s="122" t="str">
        <f>IF(ISNA(VLOOKUP(F153,Declarations!B$6:C$293,2,FALSE)),"",IF(VLOOKUP(F153,Declarations!B$6:C$293,2,FALSE)="","NOTDECLARED",VLOOKUP(F153,Declarations!B$6:C$293,2,FALSE)))</f>
        <v/>
      </c>
      <c r="J153" s="124">
        <f>IF(LOWER(G153)="dnf",1,IF(U153&lt;ScoringTable!C$3,ScoringTable!I$2,VLOOKUP((1000-U153),ScoringTable!H$2:I$95,2)))</f>
        <v>0</v>
      </c>
      <c r="K153" s="120" t="str" cm="1">
        <f t="array" ref="K153">IF(OR(E153="",G153=""),"",_xlfn.IFS(E153="U10B",_xlfn.XLOOKUP(G153,Data!$D$3:$L$3,Data!$D$1:$L$1,"",1,1),E153="U12B",_xlfn.XLOOKUP(G153,Data!$D$9:$L$9,Data!$D$1:$L$1,"",1,1),E153="U10G",_xlfn.XLOOKUP(G153,Data!$D$16:$L$16,Data!$D$1:$L$1,"",1,1),E153="U12G",_xlfn.XLOOKUP(G153,Data!$D$22:$L$22,Data!$D$1:$L$1,"",1,1)))</f>
        <v/>
      </c>
      <c r="L153" s="184" t="str" cm="1">
        <f t="array" ref="L153">IFERROR(_xlfn.IFNA(
                      _xlfn.IFS(
                      G153="", "",
                      G153=0, "",
                      AND(E153="U10B",G153&lt;=Data!$M$3), "U10 Boys record",
                      AND(E153="U12B",G153&lt;=Data!$M$9), "U12 Boys record",
                      AND(E153="U10G",G153&lt;=Data!$M$16), "U10 Girls record",
                      AND(E153="U12G",G153&lt;=Data!$M$22), "U12 Girls record"
                       ),""), "")</f>
        <v/>
      </c>
      <c r="M153" s="19" cm="1">
        <f t="array" ref="M153">_xlfn.IFS(OR($G153="",$G153=0),0, AND(NOT(ISNUMBER($G153)),LOWER($G153)&lt;&gt;"dnf"),"Not a valid time",OR(LOWER($G153)="dnf",$G153&gt;ScoringTable!$N$161),1,RIGHT($E153,1)="B",_xlfn.XLOOKUP($G153,ScoringTable!$N$2:$N$161,ScoringTable!$L$2:$L$161,,1),TRUE,_xlfn.XLOOKUP($G153,ScoringTable!$T$2:$T$161,ScoringTable!$R$2:$R$161,,1))</f>
        <v>0</v>
      </c>
      <c r="Q153" s="125">
        <f t="shared" si="10"/>
        <v>0</v>
      </c>
      <c r="R153" s="126">
        <f t="shared" si="11"/>
        <v>0</v>
      </c>
      <c r="S153" s="127">
        <f t="shared" si="12"/>
        <v>0</v>
      </c>
      <c r="T153" s="126">
        <f t="shared" si="13"/>
        <v>0</v>
      </c>
      <c r="U153" s="128">
        <f t="shared" si="14"/>
        <v>0</v>
      </c>
    </row>
    <row r="154" spans="1:21" s="7" customFormat="1" ht="16" customHeight="1">
      <c r="A154" s="121" t="s">
        <v>3</v>
      </c>
      <c r="B154" s="122" t="str">
        <f>IF(ISNA(VLOOKUP($F154,Declarations!B$6:C$293,2,FALSE)),"",IF(VLOOKUP($F154,Declarations!B$6:C$293,2,FALSE)="","NOT DECLARED",IF(ISNA(_xlfn.TEXTBEFORE(VLOOKUP($F154,Declarations!B$6:C$293,2,FALSE)," ")),VLOOKUP($F154,Declarations!B$6:C$293,2,FALSE),_xlfn.TEXTBEFORE(VLOOKUP($F154,Declarations!B$6:C$293,2,FALSE)," "))))</f>
        <v/>
      </c>
      <c r="C154" s="122" t="str">
        <f>IF(ISNA(VLOOKUP($F154,Declarations!B$6:C$293,2,FALSE)),"",IF(VLOOKUP($F154,Declarations!B$6:C$293,2,FALSE)="","NOT DECLARED",IF(ISNA(_xlfn.TEXTAFTER(VLOOKUP($F154,Declarations!B$6:C$293,2,FALSE)," ")),VLOOKUP($F154,Declarations!B$6:C$293,2,FALSE),_xlfn.TEXTAFTER(VLOOKUP($F154,Declarations!B$6:C$293,2,FALSE)," "))))</f>
        <v/>
      </c>
      <c r="D154" s="122" t="str">
        <f>IF(ISNA(VLOOKUP($F154,Declarations!$B$6:$F$293,5,FALSE)),"",IF(VLOOKUP($F154,Declarations!$B$6:$F$293,5,FALSE)="","NOT DECLARED",VLOOKUP($F154,Declarations!$B$6:$F$293,5,FALSE)))</f>
        <v/>
      </c>
      <c r="E154" s="120" t="str">
        <f>IF(ISNA(VLOOKUP($F154,Declarations!$B$6:$D$293,3,FALSE)),"",IF(VLOOKUP($F154,Declarations!$B$6:$D$293,3,FALSE)="","NOT DECLARED",VLOOKUP($F154,Declarations!$B$6:$D$293,3,FALSE)&amp;LEFT(VLOOKUP($F154,Declarations!$B$6:$E$293,4,FALSE))))</f>
        <v/>
      </c>
      <c r="F154" s="59"/>
      <c r="G154" s="123">
        <v>0</v>
      </c>
      <c r="H154" s="322"/>
      <c r="I154" s="122" t="str">
        <f>IF(ISNA(VLOOKUP(F154,Declarations!B$6:C$293,2,FALSE)),"",IF(VLOOKUP(F154,Declarations!B$6:C$293,2,FALSE)="","NOTDECLARED",VLOOKUP(F154,Declarations!B$6:C$293,2,FALSE)))</f>
        <v/>
      </c>
      <c r="J154" s="124">
        <f>IF(LOWER(G154)="dnf",1,IF(U154&lt;ScoringTable!C$3,ScoringTable!I$2,VLOOKUP((1000-U154),ScoringTable!H$2:I$95,2)))</f>
        <v>0</v>
      </c>
      <c r="K154" s="120" t="str" cm="1">
        <f t="array" ref="K154">IF(OR(E154="",G154=""),"",_xlfn.IFS(E154="U10B",_xlfn.XLOOKUP(G154,Data!$D$3:$L$3,Data!$D$1:$L$1,"",1,1),E154="U12B",_xlfn.XLOOKUP(G154,Data!$D$9:$L$9,Data!$D$1:$L$1,"",1,1),E154="U10G",_xlfn.XLOOKUP(G154,Data!$D$16:$L$16,Data!$D$1:$L$1,"",1,1),E154="U12G",_xlfn.XLOOKUP(G154,Data!$D$22:$L$22,Data!$D$1:$L$1,"",1,1)))</f>
        <v/>
      </c>
      <c r="L154" s="184" t="str" cm="1">
        <f t="array" ref="L154">IFERROR(_xlfn.IFNA(
                      _xlfn.IFS(
                      G154="", "",
                      G154=0, "",
                      AND(E154="U10B",G154&lt;=Data!$M$3), "U10 Boys record",
                      AND(E154="U12B",G154&lt;=Data!$M$9), "U12 Boys record",
                      AND(E154="U10G",G154&lt;=Data!$M$16), "U10 Girls record",
                      AND(E154="U12G",G154&lt;=Data!$M$22), "U12 Girls record"
                       ),""), "")</f>
        <v/>
      </c>
      <c r="M154" s="19" cm="1">
        <f t="array" ref="M154">_xlfn.IFS(OR($G154="",$G154=0),0, AND(NOT(ISNUMBER($G154)),LOWER($G154)&lt;&gt;"dnf"),"Not a valid time",OR(LOWER($G154)="dnf",$G154&gt;ScoringTable!$N$161),1,RIGHT($E154,1)="B",_xlfn.XLOOKUP($G154,ScoringTable!$N$2:$N$161,ScoringTable!$L$2:$L$161,,1),TRUE,_xlfn.XLOOKUP($G154,ScoringTable!$T$2:$T$161,ScoringTable!$R$2:$R$161,,1))</f>
        <v>0</v>
      </c>
      <c r="Q154" s="125">
        <f t="shared" si="10"/>
        <v>0</v>
      </c>
      <c r="R154" s="126">
        <f t="shared" si="11"/>
        <v>0</v>
      </c>
      <c r="S154" s="127">
        <f t="shared" si="12"/>
        <v>0</v>
      </c>
      <c r="T154" s="126">
        <f t="shared" si="13"/>
        <v>0</v>
      </c>
      <c r="U154" s="128">
        <f t="shared" si="14"/>
        <v>0</v>
      </c>
    </row>
    <row r="155" spans="1:21" s="7" customFormat="1" ht="16" customHeight="1">
      <c r="A155" s="121" t="s">
        <v>3</v>
      </c>
      <c r="B155" s="122" t="str">
        <f>IF(ISNA(VLOOKUP($F155,Declarations!B$6:C$293,2,FALSE)),"",IF(VLOOKUP($F155,Declarations!B$6:C$293,2,FALSE)="","NOT DECLARED",IF(ISNA(_xlfn.TEXTBEFORE(VLOOKUP($F155,Declarations!B$6:C$293,2,FALSE)," ")),VLOOKUP($F155,Declarations!B$6:C$293,2,FALSE),_xlfn.TEXTBEFORE(VLOOKUP($F155,Declarations!B$6:C$293,2,FALSE)," "))))</f>
        <v/>
      </c>
      <c r="C155" s="122" t="str">
        <f>IF(ISNA(VLOOKUP($F155,Declarations!B$6:C$293,2,FALSE)),"",IF(VLOOKUP($F155,Declarations!B$6:C$293,2,FALSE)="","NOT DECLARED",IF(ISNA(_xlfn.TEXTAFTER(VLOOKUP($F155,Declarations!B$6:C$293,2,FALSE)," ")),VLOOKUP($F155,Declarations!B$6:C$293,2,FALSE),_xlfn.TEXTAFTER(VLOOKUP($F155,Declarations!B$6:C$293,2,FALSE)," "))))</f>
        <v/>
      </c>
      <c r="D155" s="122" t="str">
        <f>IF(ISNA(VLOOKUP($F155,Declarations!$B$6:$F$293,5,FALSE)),"",IF(VLOOKUP($F155,Declarations!$B$6:$F$293,5,FALSE)="","NOT DECLARED",VLOOKUP($F155,Declarations!$B$6:$F$293,5,FALSE)))</f>
        <v/>
      </c>
      <c r="E155" s="120" t="str">
        <f>IF(ISNA(VLOOKUP($F155,Declarations!$B$6:$D$293,3,FALSE)),"",IF(VLOOKUP($F155,Declarations!$B$6:$D$293,3,FALSE)="","NOT DECLARED",VLOOKUP($F155,Declarations!$B$6:$D$293,3,FALSE)&amp;LEFT(VLOOKUP($F155,Declarations!$B$6:$E$293,4,FALSE))))</f>
        <v/>
      </c>
      <c r="F155" s="59"/>
      <c r="G155" s="123">
        <v>0</v>
      </c>
      <c r="H155" s="322"/>
      <c r="I155" s="122" t="str">
        <f>IF(ISNA(VLOOKUP(F155,Declarations!B$6:C$293,2,FALSE)),"",IF(VLOOKUP(F155,Declarations!B$6:C$293,2,FALSE)="","NOTDECLARED",VLOOKUP(F155,Declarations!B$6:C$293,2,FALSE)))</f>
        <v/>
      </c>
      <c r="J155" s="124">
        <f>IF(LOWER(G155)="dnf",1,IF(U155&lt;ScoringTable!C$3,ScoringTable!I$2,VLOOKUP((1000-U155),ScoringTable!H$2:I$95,2)))</f>
        <v>0</v>
      </c>
      <c r="K155" s="120" t="str" cm="1">
        <f t="array" ref="K155">IF(OR(E155="",G155=""),"",_xlfn.IFS(E155="U10B",_xlfn.XLOOKUP(G155,Data!$D$3:$L$3,Data!$D$1:$L$1,"",1,1),E155="U12B",_xlfn.XLOOKUP(G155,Data!$D$9:$L$9,Data!$D$1:$L$1,"",1,1),E155="U10G",_xlfn.XLOOKUP(G155,Data!$D$16:$L$16,Data!$D$1:$L$1,"",1,1),E155="U12G",_xlfn.XLOOKUP(G155,Data!$D$22:$L$22,Data!$D$1:$L$1,"",1,1)))</f>
        <v/>
      </c>
      <c r="L155" s="184" t="str" cm="1">
        <f t="array" ref="L155">IFERROR(_xlfn.IFNA(
                      _xlfn.IFS(
                      G155="", "",
                      G155=0, "",
                      AND(E155="U10B",G155&lt;=Data!$M$3), "U10 Boys record",
                      AND(E155="U12B",G155&lt;=Data!$M$9), "U12 Boys record",
                      AND(E155="U10G",G155&lt;=Data!$M$16), "U10 Girls record",
                      AND(E155="U12G",G155&lt;=Data!$M$22), "U12 Girls record"
                       ),""), "")</f>
        <v/>
      </c>
      <c r="M155" s="19" cm="1">
        <f t="array" ref="M155">_xlfn.IFS(OR($G155="",$G155=0),0, AND(NOT(ISNUMBER($G155)),LOWER($G155)&lt;&gt;"dnf"),"Not a valid time",OR(LOWER($G155)="dnf",$G155&gt;ScoringTable!$N$161),1,RIGHT($E155,1)="B",_xlfn.XLOOKUP($G155,ScoringTable!$N$2:$N$161,ScoringTable!$L$2:$L$161,,1),TRUE,_xlfn.XLOOKUP($G155,ScoringTable!$T$2:$T$161,ScoringTable!$R$2:$R$161,,1))</f>
        <v>0</v>
      </c>
      <c r="Q155" s="125">
        <f t="shared" si="10"/>
        <v>0</v>
      </c>
      <c r="R155" s="126">
        <f t="shared" si="11"/>
        <v>0</v>
      </c>
      <c r="S155" s="127">
        <f t="shared" si="12"/>
        <v>0</v>
      </c>
      <c r="T155" s="126">
        <f t="shared" si="13"/>
        <v>0</v>
      </c>
      <c r="U155" s="128">
        <f t="shared" si="14"/>
        <v>0</v>
      </c>
    </row>
    <row r="156" spans="1:21" s="7" customFormat="1" ht="16" customHeight="1">
      <c r="A156" s="121" t="s">
        <v>3</v>
      </c>
      <c r="B156" s="122" t="str">
        <f>IF(ISNA(VLOOKUP($F156,Declarations!B$6:C$293,2,FALSE)),"",IF(VLOOKUP($F156,Declarations!B$6:C$293,2,FALSE)="","NOT DECLARED",IF(ISNA(_xlfn.TEXTBEFORE(VLOOKUP($F156,Declarations!B$6:C$293,2,FALSE)," ")),VLOOKUP($F156,Declarations!B$6:C$293,2,FALSE),_xlfn.TEXTBEFORE(VLOOKUP($F156,Declarations!B$6:C$293,2,FALSE)," "))))</f>
        <v/>
      </c>
      <c r="C156" s="122" t="str">
        <f>IF(ISNA(VLOOKUP($F156,Declarations!B$6:C$293,2,FALSE)),"",IF(VLOOKUP($F156,Declarations!B$6:C$293,2,FALSE)="","NOT DECLARED",IF(ISNA(_xlfn.TEXTAFTER(VLOOKUP($F156,Declarations!B$6:C$293,2,FALSE)," ")),VLOOKUP($F156,Declarations!B$6:C$293,2,FALSE),_xlfn.TEXTAFTER(VLOOKUP($F156,Declarations!B$6:C$293,2,FALSE)," "))))</f>
        <v/>
      </c>
      <c r="D156" s="122" t="str">
        <f>IF(ISNA(VLOOKUP($F156,Declarations!$B$6:$F$293,5,FALSE)),"",IF(VLOOKUP($F156,Declarations!$B$6:$F$293,5,FALSE)="","NOT DECLARED",VLOOKUP($F156,Declarations!$B$6:$F$293,5,FALSE)))</f>
        <v/>
      </c>
      <c r="E156" s="120" t="str">
        <f>IF(ISNA(VLOOKUP($F156,Declarations!$B$6:$D$293,3,FALSE)),"",IF(VLOOKUP($F156,Declarations!$B$6:$D$293,3,FALSE)="","NOT DECLARED",VLOOKUP($F156,Declarations!$B$6:$D$293,3,FALSE)&amp;LEFT(VLOOKUP($F156,Declarations!$B$6:$E$293,4,FALSE))))</f>
        <v/>
      </c>
      <c r="F156" s="59"/>
      <c r="G156" s="123">
        <v>0</v>
      </c>
      <c r="H156" s="322"/>
      <c r="I156" s="122" t="str">
        <f>IF(ISNA(VLOOKUP(F156,Declarations!B$6:C$293,2,FALSE)),"",IF(VLOOKUP(F156,Declarations!B$6:C$293,2,FALSE)="","NOTDECLARED",VLOOKUP(F156,Declarations!B$6:C$293,2,FALSE)))</f>
        <v/>
      </c>
      <c r="J156" s="124">
        <f>IF(LOWER(G156)="dnf",1,IF(U156&lt;ScoringTable!C$3,ScoringTable!I$2,VLOOKUP((1000-U156),ScoringTable!H$2:I$95,2)))</f>
        <v>0</v>
      </c>
      <c r="K156" s="120" t="str" cm="1">
        <f t="array" ref="K156">IF(OR(E156="",G156=""),"",_xlfn.IFS(E156="U10B",_xlfn.XLOOKUP(G156,Data!$D$3:$L$3,Data!$D$1:$L$1,"",1,1),E156="U12B",_xlfn.XLOOKUP(G156,Data!$D$9:$L$9,Data!$D$1:$L$1,"",1,1),E156="U10G",_xlfn.XLOOKUP(G156,Data!$D$16:$L$16,Data!$D$1:$L$1,"",1,1),E156="U12G",_xlfn.XLOOKUP(G156,Data!$D$22:$L$22,Data!$D$1:$L$1,"",1,1)))</f>
        <v/>
      </c>
      <c r="L156" s="184" t="str" cm="1">
        <f t="array" ref="L156">IFERROR(_xlfn.IFNA(
                      _xlfn.IFS(
                      G156="", "",
                      G156=0, "",
                      AND(E156="U10B",G156&lt;=Data!$M$3), "U10 Boys record",
                      AND(E156="U12B",G156&lt;=Data!$M$9), "U12 Boys record",
                      AND(E156="U10G",G156&lt;=Data!$M$16), "U10 Girls record",
                      AND(E156="U12G",G156&lt;=Data!$M$22), "U12 Girls record"
                       ),""), "")</f>
        <v/>
      </c>
      <c r="M156" s="19" cm="1">
        <f t="array" ref="M156">_xlfn.IFS(OR($G156="",$G156=0),0, AND(NOT(ISNUMBER($G156)),LOWER($G156)&lt;&gt;"dnf"),"Not a valid time",OR(LOWER($G156)="dnf",$G156&gt;ScoringTable!$N$161),1,RIGHT($E156,1)="B",_xlfn.XLOOKUP($G156,ScoringTable!$N$2:$N$161,ScoringTable!$L$2:$L$161,,1),TRUE,_xlfn.XLOOKUP($G156,ScoringTable!$T$2:$T$161,ScoringTable!$R$2:$R$161,,1))</f>
        <v>0</v>
      </c>
      <c r="Q156" s="125">
        <f t="shared" si="10"/>
        <v>0</v>
      </c>
      <c r="R156" s="126">
        <f t="shared" si="11"/>
        <v>0</v>
      </c>
      <c r="S156" s="127">
        <f t="shared" si="12"/>
        <v>0</v>
      </c>
      <c r="T156" s="126">
        <f t="shared" si="13"/>
        <v>0</v>
      </c>
      <c r="U156" s="128">
        <f t="shared" si="14"/>
        <v>0</v>
      </c>
    </row>
    <row r="157" spans="1:21" s="7" customFormat="1" ht="16" customHeight="1">
      <c r="A157" s="121" t="s">
        <v>3</v>
      </c>
      <c r="B157" s="122" t="str">
        <f>IF(ISNA(VLOOKUP($F157,Declarations!B$6:C$293,2,FALSE)),"",IF(VLOOKUP($F157,Declarations!B$6:C$293,2,FALSE)="","NOT DECLARED",IF(ISNA(_xlfn.TEXTBEFORE(VLOOKUP($F157,Declarations!B$6:C$293,2,FALSE)," ")),VLOOKUP($F157,Declarations!B$6:C$293,2,FALSE),_xlfn.TEXTBEFORE(VLOOKUP($F157,Declarations!B$6:C$293,2,FALSE)," "))))</f>
        <v/>
      </c>
      <c r="C157" s="122" t="str">
        <f>IF(ISNA(VLOOKUP($F157,Declarations!B$6:C$293,2,FALSE)),"",IF(VLOOKUP($F157,Declarations!B$6:C$293,2,FALSE)="","NOT DECLARED",IF(ISNA(_xlfn.TEXTAFTER(VLOOKUP($F157,Declarations!B$6:C$293,2,FALSE)," ")),VLOOKUP($F157,Declarations!B$6:C$293,2,FALSE),_xlfn.TEXTAFTER(VLOOKUP($F157,Declarations!B$6:C$293,2,FALSE)," "))))</f>
        <v/>
      </c>
      <c r="D157" s="122" t="str">
        <f>IF(ISNA(VLOOKUP($F157,Declarations!$B$6:$F$293,5,FALSE)),"",IF(VLOOKUP($F157,Declarations!$B$6:$F$293,5,FALSE)="","NOT DECLARED",VLOOKUP($F157,Declarations!$B$6:$F$293,5,FALSE)))</f>
        <v/>
      </c>
      <c r="E157" s="120" t="str">
        <f>IF(ISNA(VLOOKUP($F157,Declarations!$B$6:$D$293,3,FALSE)),"",IF(VLOOKUP($F157,Declarations!$B$6:$D$293,3,FALSE)="","NOT DECLARED",VLOOKUP($F157,Declarations!$B$6:$D$293,3,FALSE)&amp;LEFT(VLOOKUP($F157,Declarations!$B$6:$E$293,4,FALSE))))</f>
        <v/>
      </c>
      <c r="F157" s="59"/>
      <c r="G157" s="123">
        <v>0</v>
      </c>
      <c r="H157" s="322"/>
      <c r="I157" s="122" t="str">
        <f>IF(ISNA(VLOOKUP(F157,Declarations!B$6:C$293,2,FALSE)),"",IF(VLOOKUP(F157,Declarations!B$6:C$293,2,FALSE)="","NOTDECLARED",VLOOKUP(F157,Declarations!B$6:C$293,2,FALSE)))</f>
        <v/>
      </c>
      <c r="J157" s="124">
        <f>IF(LOWER(G157)="dnf",1,IF(U157&lt;ScoringTable!C$3,ScoringTable!I$2,VLOOKUP((1000-U157),ScoringTable!H$2:I$95,2)))</f>
        <v>0</v>
      </c>
      <c r="K157" s="120" t="str" cm="1">
        <f t="array" ref="K157">IF(OR(E157="",G157=""),"",_xlfn.IFS(E157="U10B",_xlfn.XLOOKUP(G157,Data!$D$3:$L$3,Data!$D$1:$L$1,"",1,1),E157="U12B",_xlfn.XLOOKUP(G157,Data!$D$9:$L$9,Data!$D$1:$L$1,"",1,1),E157="U10G",_xlfn.XLOOKUP(G157,Data!$D$16:$L$16,Data!$D$1:$L$1,"",1,1),E157="U12G",_xlfn.XLOOKUP(G157,Data!$D$22:$L$22,Data!$D$1:$L$1,"",1,1)))</f>
        <v/>
      </c>
      <c r="L157" s="184" t="str" cm="1">
        <f t="array" ref="L157">IFERROR(_xlfn.IFNA(
                      _xlfn.IFS(
                      G157="", "",
                      G157=0, "",
                      AND(E157="U10B",G157&lt;=Data!$M$3), "U10 Boys record",
                      AND(E157="U12B",G157&lt;=Data!$M$9), "U12 Boys record",
                      AND(E157="U10G",G157&lt;=Data!$M$16), "U10 Girls record",
                      AND(E157="U12G",G157&lt;=Data!$M$22), "U12 Girls record"
                       ),""), "")</f>
        <v/>
      </c>
      <c r="M157" s="19" cm="1">
        <f t="array" ref="M157">_xlfn.IFS(OR($G157="",$G157=0),0, AND(NOT(ISNUMBER($G157)),LOWER($G157)&lt;&gt;"dnf"),"Not a valid time",OR(LOWER($G157)="dnf",$G157&gt;ScoringTable!$N$161),1,RIGHT($E157,1)="B",_xlfn.XLOOKUP($G157,ScoringTable!$N$2:$N$161,ScoringTable!$L$2:$L$161,,1),TRUE,_xlfn.XLOOKUP($G157,ScoringTable!$T$2:$T$161,ScoringTable!$R$2:$R$161,,1))</f>
        <v>0</v>
      </c>
      <c r="Q157" s="125">
        <f t="shared" si="10"/>
        <v>0</v>
      </c>
      <c r="R157" s="126">
        <f t="shared" si="11"/>
        <v>0</v>
      </c>
      <c r="S157" s="127">
        <f t="shared" si="12"/>
        <v>0</v>
      </c>
      <c r="T157" s="126">
        <f t="shared" si="13"/>
        <v>0</v>
      </c>
      <c r="U157" s="128">
        <f t="shared" si="14"/>
        <v>0</v>
      </c>
    </row>
    <row r="158" spans="1:21" s="7" customFormat="1" ht="16" customHeight="1">
      <c r="A158" s="121" t="s">
        <v>3</v>
      </c>
      <c r="B158" s="122" t="str">
        <f>IF(ISNA(VLOOKUP($F158,Declarations!B$6:C$293,2,FALSE)),"",IF(VLOOKUP($F158,Declarations!B$6:C$293,2,FALSE)="","NOT DECLARED",IF(ISNA(_xlfn.TEXTBEFORE(VLOOKUP($F158,Declarations!B$6:C$293,2,FALSE)," ")),VLOOKUP($F158,Declarations!B$6:C$293,2,FALSE),_xlfn.TEXTBEFORE(VLOOKUP($F158,Declarations!B$6:C$293,2,FALSE)," "))))</f>
        <v/>
      </c>
      <c r="C158" s="122" t="str">
        <f>IF(ISNA(VLOOKUP($F158,Declarations!B$6:C$293,2,FALSE)),"",IF(VLOOKUP($F158,Declarations!B$6:C$293,2,FALSE)="","NOT DECLARED",IF(ISNA(_xlfn.TEXTAFTER(VLOOKUP($F158,Declarations!B$6:C$293,2,FALSE)," ")),VLOOKUP($F158,Declarations!B$6:C$293,2,FALSE),_xlfn.TEXTAFTER(VLOOKUP($F158,Declarations!B$6:C$293,2,FALSE)," "))))</f>
        <v/>
      </c>
      <c r="D158" s="122" t="str">
        <f>IF(ISNA(VLOOKUP($F158,Declarations!$B$6:$F$293,5,FALSE)),"",IF(VLOOKUP($F158,Declarations!$B$6:$F$293,5,FALSE)="","NOT DECLARED",VLOOKUP($F158,Declarations!$B$6:$F$293,5,FALSE)))</f>
        <v/>
      </c>
      <c r="E158" s="120" t="str">
        <f>IF(ISNA(VLOOKUP($F158,Declarations!$B$6:$D$293,3,FALSE)),"",IF(VLOOKUP($F158,Declarations!$B$6:$D$293,3,FALSE)="","NOT DECLARED",VLOOKUP($F158,Declarations!$B$6:$D$293,3,FALSE)&amp;LEFT(VLOOKUP($F158,Declarations!$B$6:$E$293,4,FALSE))))</f>
        <v/>
      </c>
      <c r="F158" s="59"/>
      <c r="G158" s="123">
        <v>0</v>
      </c>
      <c r="H158" s="322"/>
      <c r="I158" s="122" t="str">
        <f>IF(ISNA(VLOOKUP(F158,Declarations!B$6:C$293,2,FALSE)),"",IF(VLOOKUP(F158,Declarations!B$6:C$293,2,FALSE)="","NOTDECLARED",VLOOKUP(F158,Declarations!B$6:C$293,2,FALSE)))</f>
        <v/>
      </c>
      <c r="J158" s="124">
        <f>IF(LOWER(G158)="dnf",1,IF(U158&lt;ScoringTable!C$3,ScoringTable!I$2,VLOOKUP((1000-U158),ScoringTable!H$2:I$95,2)))</f>
        <v>0</v>
      </c>
      <c r="K158" s="120" t="str" cm="1">
        <f t="array" ref="K158">IF(OR(E158="",G158=""),"",_xlfn.IFS(E158="U10B",_xlfn.XLOOKUP(G158,Data!$D$3:$L$3,Data!$D$1:$L$1,"",1,1),E158="U12B",_xlfn.XLOOKUP(G158,Data!$D$9:$L$9,Data!$D$1:$L$1,"",1,1),E158="U10G",_xlfn.XLOOKUP(G158,Data!$D$16:$L$16,Data!$D$1:$L$1,"",1,1),E158="U12G",_xlfn.XLOOKUP(G158,Data!$D$22:$L$22,Data!$D$1:$L$1,"",1,1)))</f>
        <v/>
      </c>
      <c r="L158" s="184" t="str" cm="1">
        <f t="array" ref="L158">IFERROR(_xlfn.IFNA(
                      _xlfn.IFS(
                      G158="", "",
                      G158=0, "",
                      AND(E158="U10B",G158&lt;=Data!$M$3), "U10 Boys record",
                      AND(E158="U12B",G158&lt;=Data!$M$9), "U12 Boys record",
                      AND(E158="U10G",G158&lt;=Data!$M$16), "U10 Girls record",
                      AND(E158="U12G",G158&lt;=Data!$M$22), "U12 Girls record"
                       ),""), "")</f>
        <v/>
      </c>
      <c r="M158" s="19" cm="1">
        <f t="array" ref="M158">_xlfn.IFS(OR($G158="",$G158=0),0, AND(NOT(ISNUMBER($G158)),LOWER($G158)&lt;&gt;"dnf"),"Not a valid time",OR(LOWER($G158)="dnf",$G158&gt;ScoringTable!$N$161),1,RIGHT($E158,1)="B",_xlfn.XLOOKUP($G158,ScoringTable!$N$2:$N$161,ScoringTable!$L$2:$L$161,,1),TRUE,_xlfn.XLOOKUP($G158,ScoringTable!$T$2:$T$161,ScoringTable!$R$2:$R$161,,1))</f>
        <v>0</v>
      </c>
      <c r="Q158" s="125">
        <f t="shared" si="10"/>
        <v>0</v>
      </c>
      <c r="R158" s="126">
        <f t="shared" si="11"/>
        <v>0</v>
      </c>
      <c r="S158" s="127">
        <f t="shared" si="12"/>
        <v>0</v>
      </c>
      <c r="T158" s="126">
        <f t="shared" si="13"/>
        <v>0</v>
      </c>
      <c r="U158" s="128">
        <f t="shared" si="14"/>
        <v>0</v>
      </c>
    </row>
    <row r="159" spans="1:21" s="7" customFormat="1" ht="16" customHeight="1">
      <c r="A159" s="121" t="s">
        <v>3</v>
      </c>
      <c r="B159" s="122" t="str">
        <f>IF(ISNA(VLOOKUP($F159,Declarations!B$6:C$293,2,FALSE)),"",IF(VLOOKUP($F159,Declarations!B$6:C$293,2,FALSE)="","NOT DECLARED",IF(ISNA(_xlfn.TEXTBEFORE(VLOOKUP($F159,Declarations!B$6:C$293,2,FALSE)," ")),VLOOKUP($F159,Declarations!B$6:C$293,2,FALSE),_xlfn.TEXTBEFORE(VLOOKUP($F159,Declarations!B$6:C$293,2,FALSE)," "))))</f>
        <v/>
      </c>
      <c r="C159" s="122" t="str">
        <f>IF(ISNA(VLOOKUP($F159,Declarations!B$6:C$293,2,FALSE)),"",IF(VLOOKUP($F159,Declarations!B$6:C$293,2,FALSE)="","NOT DECLARED",IF(ISNA(_xlfn.TEXTAFTER(VLOOKUP($F159,Declarations!B$6:C$293,2,FALSE)," ")),VLOOKUP($F159,Declarations!B$6:C$293,2,FALSE),_xlfn.TEXTAFTER(VLOOKUP($F159,Declarations!B$6:C$293,2,FALSE)," "))))</f>
        <v/>
      </c>
      <c r="D159" s="122" t="str">
        <f>IF(ISNA(VLOOKUP($F159,Declarations!$B$6:$F$293,5,FALSE)),"",IF(VLOOKUP($F159,Declarations!$B$6:$F$293,5,FALSE)="","NOT DECLARED",VLOOKUP($F159,Declarations!$B$6:$F$293,5,FALSE)))</f>
        <v/>
      </c>
      <c r="E159" s="120" t="str">
        <f>IF(ISNA(VLOOKUP($F159,Declarations!$B$6:$D$293,3,FALSE)),"",IF(VLOOKUP($F159,Declarations!$B$6:$D$293,3,FALSE)="","NOT DECLARED",VLOOKUP($F159,Declarations!$B$6:$D$293,3,FALSE)&amp;LEFT(VLOOKUP($F159,Declarations!$B$6:$E$293,4,FALSE))))</f>
        <v/>
      </c>
      <c r="F159" s="59"/>
      <c r="G159" s="123">
        <v>0</v>
      </c>
      <c r="H159" s="322"/>
      <c r="I159" s="122" t="str">
        <f>IF(ISNA(VLOOKUP(F159,Declarations!B$6:C$293,2,FALSE)),"",IF(VLOOKUP(F159,Declarations!B$6:C$293,2,FALSE)="","NOTDECLARED",VLOOKUP(F159,Declarations!B$6:C$293,2,FALSE)))</f>
        <v/>
      </c>
      <c r="J159" s="124">
        <f>IF(LOWER(G159)="dnf",1,IF(U159&lt;ScoringTable!C$3,ScoringTable!I$2,VLOOKUP((1000-U159),ScoringTable!H$2:I$95,2)))</f>
        <v>0</v>
      </c>
      <c r="K159" s="120" t="str" cm="1">
        <f t="array" ref="K159">IF(OR(E159="",G159=""),"",_xlfn.IFS(E159="U10B",_xlfn.XLOOKUP(G159,Data!$D$3:$L$3,Data!$D$1:$L$1,"",1,1),E159="U12B",_xlfn.XLOOKUP(G159,Data!$D$9:$L$9,Data!$D$1:$L$1,"",1,1),E159="U10G",_xlfn.XLOOKUP(G159,Data!$D$16:$L$16,Data!$D$1:$L$1,"",1,1),E159="U12G",_xlfn.XLOOKUP(G159,Data!$D$22:$L$22,Data!$D$1:$L$1,"",1,1)))</f>
        <v/>
      </c>
      <c r="L159" s="184" t="str" cm="1">
        <f t="array" ref="L159">IFERROR(_xlfn.IFNA(
                      _xlfn.IFS(
                      G159="", "",
                      G159=0, "",
                      AND(E159="U10B",G159&lt;=Data!$M$3), "U10 Boys record",
                      AND(E159="U12B",G159&lt;=Data!$M$9), "U12 Boys record",
                      AND(E159="U10G",G159&lt;=Data!$M$16), "U10 Girls record",
                      AND(E159="U12G",G159&lt;=Data!$M$22), "U12 Girls record"
                       ),""), "")</f>
        <v/>
      </c>
      <c r="M159" s="19" cm="1">
        <f t="array" ref="M159">_xlfn.IFS(OR($G159="",$G159=0),0, AND(NOT(ISNUMBER($G159)),LOWER($G159)&lt;&gt;"dnf"),"Not a valid time",OR(LOWER($G159)="dnf",$G159&gt;ScoringTable!$N$161),1,RIGHT($E159,1)="B",_xlfn.XLOOKUP($G159,ScoringTable!$N$2:$N$161,ScoringTable!$L$2:$L$161,,1),TRUE,_xlfn.XLOOKUP($G159,ScoringTable!$T$2:$T$161,ScoringTable!$R$2:$R$161,,1))</f>
        <v>0</v>
      </c>
      <c r="Q159" s="125">
        <f t="shared" si="10"/>
        <v>0</v>
      </c>
      <c r="R159" s="126">
        <f t="shared" si="11"/>
        <v>0</v>
      </c>
      <c r="S159" s="127">
        <f t="shared" si="12"/>
        <v>0</v>
      </c>
      <c r="T159" s="126">
        <f t="shared" si="13"/>
        <v>0</v>
      </c>
      <c r="U159" s="128">
        <f t="shared" si="14"/>
        <v>0</v>
      </c>
    </row>
    <row r="160" spans="1:21" s="7" customFormat="1" ht="16" customHeight="1">
      <c r="A160" s="121" t="s">
        <v>3</v>
      </c>
      <c r="B160" s="122" t="str">
        <f>IF(ISNA(VLOOKUP($F160,Declarations!B$6:C$293,2,FALSE)),"",IF(VLOOKUP($F160,Declarations!B$6:C$293,2,FALSE)="","NOT DECLARED",IF(ISNA(_xlfn.TEXTBEFORE(VLOOKUP($F160,Declarations!B$6:C$293,2,FALSE)," ")),VLOOKUP($F160,Declarations!B$6:C$293,2,FALSE),_xlfn.TEXTBEFORE(VLOOKUP($F160,Declarations!B$6:C$293,2,FALSE)," "))))</f>
        <v/>
      </c>
      <c r="C160" s="122" t="str">
        <f>IF(ISNA(VLOOKUP($F160,Declarations!B$6:C$293,2,FALSE)),"",IF(VLOOKUP($F160,Declarations!B$6:C$293,2,FALSE)="","NOT DECLARED",IF(ISNA(_xlfn.TEXTAFTER(VLOOKUP($F160,Declarations!B$6:C$293,2,FALSE)," ")),VLOOKUP($F160,Declarations!B$6:C$293,2,FALSE),_xlfn.TEXTAFTER(VLOOKUP($F160,Declarations!B$6:C$293,2,FALSE)," "))))</f>
        <v/>
      </c>
      <c r="D160" s="122" t="str">
        <f>IF(ISNA(VLOOKUP($F160,Declarations!$B$6:$F$293,5,FALSE)),"",IF(VLOOKUP($F160,Declarations!$B$6:$F$293,5,FALSE)="","NOT DECLARED",VLOOKUP($F160,Declarations!$B$6:$F$293,5,FALSE)))</f>
        <v/>
      </c>
      <c r="E160" s="120" t="str">
        <f>IF(ISNA(VLOOKUP($F160,Declarations!$B$6:$D$293,3,FALSE)),"",IF(VLOOKUP($F160,Declarations!$B$6:$D$293,3,FALSE)="","NOT DECLARED",VLOOKUP($F160,Declarations!$B$6:$D$293,3,FALSE)&amp;LEFT(VLOOKUP($F160,Declarations!$B$6:$E$293,4,FALSE))))</f>
        <v/>
      </c>
      <c r="F160" s="59"/>
      <c r="G160" s="123">
        <v>0</v>
      </c>
      <c r="H160" s="322"/>
      <c r="I160" s="122" t="str">
        <f>IF(ISNA(VLOOKUP(F160,Declarations!B$6:C$293,2,FALSE)),"",IF(VLOOKUP(F160,Declarations!B$6:C$293,2,FALSE)="","NOTDECLARED",VLOOKUP(F160,Declarations!B$6:C$293,2,FALSE)))</f>
        <v/>
      </c>
      <c r="J160" s="124">
        <f>IF(LOWER(G160)="dnf",1,IF(U160&lt;ScoringTable!C$3,ScoringTable!I$2,VLOOKUP((1000-U160),ScoringTable!H$2:I$95,2)))</f>
        <v>0</v>
      </c>
      <c r="K160" s="120" t="str" cm="1">
        <f t="array" ref="K160">IF(OR(E160="",G160=""),"",_xlfn.IFS(E160="U10B",_xlfn.XLOOKUP(G160,Data!$D$3:$L$3,Data!$D$1:$L$1,"",1,1),E160="U12B",_xlfn.XLOOKUP(G160,Data!$D$9:$L$9,Data!$D$1:$L$1,"",1,1),E160="U10G",_xlfn.XLOOKUP(G160,Data!$D$16:$L$16,Data!$D$1:$L$1,"",1,1),E160="U12G",_xlfn.XLOOKUP(G160,Data!$D$22:$L$22,Data!$D$1:$L$1,"",1,1)))</f>
        <v/>
      </c>
      <c r="L160" s="184" t="str" cm="1">
        <f t="array" ref="L160">IFERROR(_xlfn.IFNA(
                      _xlfn.IFS(
                      G160="", "",
                      G160=0, "",
                      AND(E160="U10B",G160&lt;=Data!$M$3), "U10 Boys record",
                      AND(E160="U12B",G160&lt;=Data!$M$9), "U12 Boys record",
                      AND(E160="U10G",G160&lt;=Data!$M$16), "U10 Girls record",
                      AND(E160="U12G",G160&lt;=Data!$M$22), "U12 Girls record"
                       ),""), "")</f>
        <v/>
      </c>
      <c r="M160" s="19" cm="1">
        <f t="array" ref="M160">_xlfn.IFS(OR($G160="",$G160=0),0, AND(NOT(ISNUMBER($G160)),LOWER($G160)&lt;&gt;"dnf"),"Not a valid time",OR(LOWER($G160)="dnf",$G160&gt;ScoringTable!$N$161),1,RIGHT($E160,1)="B",_xlfn.XLOOKUP($G160,ScoringTable!$N$2:$N$161,ScoringTable!$L$2:$L$161,,1),TRUE,_xlfn.XLOOKUP($G160,ScoringTable!$T$2:$T$161,ScoringTable!$R$2:$R$161,,1))</f>
        <v>0</v>
      </c>
      <c r="Q160" s="125">
        <f t="shared" si="10"/>
        <v>0</v>
      </c>
      <c r="R160" s="126">
        <f t="shared" si="11"/>
        <v>0</v>
      </c>
      <c r="S160" s="127">
        <f t="shared" si="12"/>
        <v>0</v>
      </c>
      <c r="T160" s="126">
        <f t="shared" si="13"/>
        <v>0</v>
      </c>
      <c r="U160" s="128">
        <f t="shared" si="14"/>
        <v>0</v>
      </c>
    </row>
    <row r="161" spans="1:21" s="7" customFormat="1" ht="16" customHeight="1">
      <c r="A161" s="121" t="s">
        <v>3</v>
      </c>
      <c r="B161" s="122" t="str">
        <f>IF(ISNA(VLOOKUP($F161,Declarations!B$6:C$293,2,FALSE)),"",IF(VLOOKUP($F161,Declarations!B$6:C$293,2,FALSE)="","NOT DECLARED",IF(ISNA(_xlfn.TEXTBEFORE(VLOOKUP($F161,Declarations!B$6:C$293,2,FALSE)," ")),VLOOKUP($F161,Declarations!B$6:C$293,2,FALSE),_xlfn.TEXTBEFORE(VLOOKUP($F161,Declarations!B$6:C$293,2,FALSE)," "))))</f>
        <v/>
      </c>
      <c r="C161" s="122" t="str">
        <f>IF(ISNA(VLOOKUP($F161,Declarations!B$6:C$293,2,FALSE)),"",IF(VLOOKUP($F161,Declarations!B$6:C$293,2,FALSE)="","NOT DECLARED",IF(ISNA(_xlfn.TEXTAFTER(VLOOKUP($F161,Declarations!B$6:C$293,2,FALSE)," ")),VLOOKUP($F161,Declarations!B$6:C$293,2,FALSE),_xlfn.TEXTAFTER(VLOOKUP($F161,Declarations!B$6:C$293,2,FALSE)," "))))</f>
        <v/>
      </c>
      <c r="D161" s="122" t="str">
        <f>IF(ISNA(VLOOKUP($F161,Declarations!$B$6:$F$293,5,FALSE)),"",IF(VLOOKUP($F161,Declarations!$B$6:$F$293,5,FALSE)="","NOT DECLARED",VLOOKUP($F161,Declarations!$B$6:$F$293,5,FALSE)))</f>
        <v/>
      </c>
      <c r="E161" s="120" t="str">
        <f>IF(ISNA(VLOOKUP($F161,Declarations!$B$6:$D$293,3,FALSE)),"",IF(VLOOKUP($F161,Declarations!$B$6:$D$293,3,FALSE)="","NOT DECLARED",VLOOKUP($F161,Declarations!$B$6:$D$293,3,FALSE)&amp;LEFT(VLOOKUP($F161,Declarations!$B$6:$E$293,4,FALSE))))</f>
        <v/>
      </c>
      <c r="F161" s="59"/>
      <c r="G161" s="123">
        <v>0</v>
      </c>
      <c r="H161" s="322"/>
      <c r="I161" s="122" t="str">
        <f>IF(ISNA(VLOOKUP(F161,Declarations!B$6:C$293,2,FALSE)),"",IF(VLOOKUP(F161,Declarations!B$6:C$293,2,FALSE)="","NOTDECLARED",VLOOKUP(F161,Declarations!B$6:C$293,2,FALSE)))</f>
        <v/>
      </c>
      <c r="J161" s="124">
        <f>IF(LOWER(G161)="dnf",1,IF(U161&lt;ScoringTable!C$3,ScoringTable!I$2,VLOOKUP((1000-U161),ScoringTable!H$2:I$95,2)))</f>
        <v>0</v>
      </c>
      <c r="K161" s="120" t="str" cm="1">
        <f t="array" ref="K161">IF(OR(E161="",G161=""),"",_xlfn.IFS(E161="U10B",_xlfn.XLOOKUP(G161,Data!$D$3:$L$3,Data!$D$1:$L$1,"",1,1),E161="U12B",_xlfn.XLOOKUP(G161,Data!$D$9:$L$9,Data!$D$1:$L$1,"",1,1),E161="U10G",_xlfn.XLOOKUP(G161,Data!$D$16:$L$16,Data!$D$1:$L$1,"",1,1),E161="U12G",_xlfn.XLOOKUP(G161,Data!$D$22:$L$22,Data!$D$1:$L$1,"",1,1)))</f>
        <v/>
      </c>
      <c r="L161" s="184" t="str" cm="1">
        <f t="array" ref="L161">IFERROR(_xlfn.IFNA(
                      _xlfn.IFS(
                      G161="", "",
                      G161=0, "",
                      AND(E161="U10B",G161&lt;=Data!$M$3), "U10 Boys record",
                      AND(E161="U12B",G161&lt;=Data!$M$9), "U12 Boys record",
                      AND(E161="U10G",G161&lt;=Data!$M$16), "U10 Girls record",
                      AND(E161="U12G",G161&lt;=Data!$M$22), "U12 Girls record"
                       ),""), "")</f>
        <v/>
      </c>
      <c r="M161" s="19" cm="1">
        <f t="array" ref="M161">_xlfn.IFS(OR($G161="",$G161=0),0, AND(NOT(ISNUMBER($G161)),LOWER($G161)&lt;&gt;"dnf"),"Not a valid time",OR(LOWER($G161)="dnf",$G161&gt;ScoringTable!$N$161),1,RIGHT($E161,1)="B",_xlfn.XLOOKUP($G161,ScoringTable!$N$2:$N$161,ScoringTable!$L$2:$L$161,,1),TRUE,_xlfn.XLOOKUP($G161,ScoringTable!$T$2:$T$161,ScoringTable!$R$2:$R$161,,1))</f>
        <v>0</v>
      </c>
      <c r="Q161" s="125">
        <f t="shared" si="10"/>
        <v>0</v>
      </c>
      <c r="R161" s="126">
        <f t="shared" si="11"/>
        <v>0</v>
      </c>
      <c r="S161" s="127">
        <f t="shared" si="12"/>
        <v>0</v>
      </c>
      <c r="T161" s="126">
        <f t="shared" si="13"/>
        <v>0</v>
      </c>
      <c r="U161" s="128">
        <f t="shared" si="14"/>
        <v>0</v>
      </c>
    </row>
    <row r="162" spans="1:21" s="7" customFormat="1" ht="16" customHeight="1">
      <c r="A162" s="121" t="s">
        <v>3</v>
      </c>
      <c r="B162" s="122" t="str">
        <f>IF(ISNA(VLOOKUP($F162,Declarations!B$6:C$293,2,FALSE)),"",IF(VLOOKUP($F162,Declarations!B$6:C$293,2,FALSE)="","NOT DECLARED",IF(ISNA(_xlfn.TEXTBEFORE(VLOOKUP($F162,Declarations!B$6:C$293,2,FALSE)," ")),VLOOKUP($F162,Declarations!B$6:C$293,2,FALSE),_xlfn.TEXTBEFORE(VLOOKUP($F162,Declarations!B$6:C$293,2,FALSE)," "))))</f>
        <v/>
      </c>
      <c r="C162" s="122" t="str">
        <f>IF(ISNA(VLOOKUP($F162,Declarations!B$6:C$293,2,FALSE)),"",IF(VLOOKUP($F162,Declarations!B$6:C$293,2,FALSE)="","NOT DECLARED",IF(ISNA(_xlfn.TEXTAFTER(VLOOKUP($F162,Declarations!B$6:C$293,2,FALSE)," ")),VLOOKUP($F162,Declarations!B$6:C$293,2,FALSE),_xlfn.TEXTAFTER(VLOOKUP($F162,Declarations!B$6:C$293,2,FALSE)," "))))</f>
        <v/>
      </c>
      <c r="D162" s="122" t="str">
        <f>IF(ISNA(VLOOKUP($F162,Declarations!$B$6:$F$293,5,FALSE)),"",IF(VLOOKUP($F162,Declarations!$B$6:$F$293,5,FALSE)="","NOT DECLARED",VLOOKUP($F162,Declarations!$B$6:$F$293,5,FALSE)))</f>
        <v/>
      </c>
      <c r="E162" s="120" t="str">
        <f>IF(ISNA(VLOOKUP($F162,Declarations!$B$6:$D$293,3,FALSE)),"",IF(VLOOKUP($F162,Declarations!$B$6:$D$293,3,FALSE)="","NOT DECLARED",VLOOKUP($F162,Declarations!$B$6:$D$293,3,FALSE)&amp;LEFT(VLOOKUP($F162,Declarations!$B$6:$E$293,4,FALSE))))</f>
        <v/>
      </c>
      <c r="F162" s="59"/>
      <c r="G162" s="123">
        <v>0</v>
      </c>
      <c r="H162" s="322"/>
      <c r="I162" s="122" t="str">
        <f>IF(ISNA(VLOOKUP(F162,Declarations!B$6:C$293,2,FALSE)),"",IF(VLOOKUP(F162,Declarations!B$6:C$293,2,FALSE)="","NOTDECLARED",VLOOKUP(F162,Declarations!B$6:C$293,2,FALSE)))</f>
        <v/>
      </c>
      <c r="J162" s="124">
        <f>IF(LOWER(G162)="dnf",1,IF(U162&lt;ScoringTable!C$3,ScoringTable!I$2,VLOOKUP((1000-U162),ScoringTable!H$2:I$95,2)))</f>
        <v>0</v>
      </c>
      <c r="K162" s="120" t="str" cm="1">
        <f t="array" ref="K162">IF(OR(E162="",G162=""),"",_xlfn.IFS(E162="U10B",_xlfn.XLOOKUP(G162,Data!$D$3:$L$3,Data!$D$1:$L$1,"",1,1),E162="U12B",_xlfn.XLOOKUP(G162,Data!$D$9:$L$9,Data!$D$1:$L$1,"",1,1),E162="U10G",_xlfn.XLOOKUP(G162,Data!$D$16:$L$16,Data!$D$1:$L$1,"",1,1),E162="U12G",_xlfn.XLOOKUP(G162,Data!$D$22:$L$22,Data!$D$1:$L$1,"",1,1)))</f>
        <v/>
      </c>
      <c r="L162" s="184" t="str" cm="1">
        <f t="array" ref="L162">IFERROR(_xlfn.IFNA(
                      _xlfn.IFS(
                      G162="", "",
                      G162=0, "",
                      AND(E162="U10B",G162&lt;=Data!$M$3), "U10 Boys record",
                      AND(E162="U12B",G162&lt;=Data!$M$9), "U12 Boys record",
                      AND(E162="U10G",G162&lt;=Data!$M$16), "U10 Girls record",
                      AND(E162="U12G",G162&lt;=Data!$M$22), "U12 Girls record"
                       ),""), "")</f>
        <v/>
      </c>
      <c r="M162" s="19" cm="1">
        <f t="array" ref="M162">_xlfn.IFS(OR($G162="",$G162=0),0, AND(NOT(ISNUMBER($G162)),LOWER($G162)&lt;&gt;"dnf"),"Not a valid time",OR(LOWER($G162)="dnf",$G162&gt;ScoringTable!$N$161),1,RIGHT($E162,1)="B",_xlfn.XLOOKUP($G162,ScoringTable!$N$2:$N$161,ScoringTable!$L$2:$L$161,,1),TRUE,_xlfn.XLOOKUP($G162,ScoringTable!$T$2:$T$161,ScoringTable!$R$2:$R$161,,1))</f>
        <v>0</v>
      </c>
      <c r="Q162" s="125">
        <f t="shared" si="10"/>
        <v>0</v>
      </c>
      <c r="R162" s="126">
        <f t="shared" si="11"/>
        <v>0</v>
      </c>
      <c r="S162" s="127">
        <f t="shared" si="12"/>
        <v>0</v>
      </c>
      <c r="T162" s="126">
        <f t="shared" si="13"/>
        <v>0</v>
      </c>
      <c r="U162" s="128">
        <f t="shared" si="14"/>
        <v>0</v>
      </c>
    </row>
    <row r="163" spans="1:21" s="7" customFormat="1" ht="16" customHeight="1">
      <c r="A163" s="121" t="s">
        <v>3</v>
      </c>
      <c r="B163" s="122" t="str">
        <f>IF(ISNA(VLOOKUP($F163,Declarations!B$6:C$293,2,FALSE)),"",IF(VLOOKUP($F163,Declarations!B$6:C$293,2,FALSE)="","NOT DECLARED",IF(ISNA(_xlfn.TEXTBEFORE(VLOOKUP($F163,Declarations!B$6:C$293,2,FALSE)," ")),VLOOKUP($F163,Declarations!B$6:C$293,2,FALSE),_xlfn.TEXTBEFORE(VLOOKUP($F163,Declarations!B$6:C$293,2,FALSE)," "))))</f>
        <v/>
      </c>
      <c r="C163" s="122" t="str">
        <f>IF(ISNA(VLOOKUP($F163,Declarations!B$6:C$293,2,FALSE)),"",IF(VLOOKUP($F163,Declarations!B$6:C$293,2,FALSE)="","NOT DECLARED",IF(ISNA(_xlfn.TEXTAFTER(VLOOKUP($F163,Declarations!B$6:C$293,2,FALSE)," ")),VLOOKUP($F163,Declarations!B$6:C$293,2,FALSE),_xlfn.TEXTAFTER(VLOOKUP($F163,Declarations!B$6:C$293,2,FALSE)," "))))</f>
        <v/>
      </c>
      <c r="D163" s="122" t="str">
        <f>IF(ISNA(VLOOKUP($F163,Declarations!$B$6:$F$293,5,FALSE)),"",IF(VLOOKUP($F163,Declarations!$B$6:$F$293,5,FALSE)="","NOT DECLARED",VLOOKUP($F163,Declarations!$B$6:$F$293,5,FALSE)))</f>
        <v/>
      </c>
      <c r="E163" s="120" t="str">
        <f>IF(ISNA(VLOOKUP($F163,Declarations!$B$6:$D$293,3,FALSE)),"",IF(VLOOKUP($F163,Declarations!$B$6:$D$293,3,FALSE)="","NOT DECLARED",VLOOKUP($F163,Declarations!$B$6:$D$293,3,FALSE)&amp;LEFT(VLOOKUP($F163,Declarations!$B$6:$E$293,4,FALSE))))</f>
        <v/>
      </c>
      <c r="F163" s="59"/>
      <c r="G163" s="123">
        <v>0</v>
      </c>
      <c r="H163" s="322"/>
      <c r="I163" s="122" t="str">
        <f>IF(ISNA(VLOOKUP(F163,Declarations!B$6:C$293,2,FALSE)),"",IF(VLOOKUP(F163,Declarations!B$6:C$293,2,FALSE)="","NOTDECLARED",VLOOKUP(F163,Declarations!B$6:C$293,2,FALSE)))</f>
        <v/>
      </c>
      <c r="J163" s="124">
        <f>IF(LOWER(G163)="dnf",1,IF(U163&lt;ScoringTable!C$3,ScoringTable!I$2,VLOOKUP((1000-U163),ScoringTable!H$2:I$95,2)))</f>
        <v>0</v>
      </c>
      <c r="K163" s="120" t="str" cm="1">
        <f t="array" ref="K163">IF(OR(E163="",G163=""),"",_xlfn.IFS(E163="U10B",_xlfn.XLOOKUP(G163,Data!$D$3:$L$3,Data!$D$1:$L$1,"",1,1),E163="U12B",_xlfn.XLOOKUP(G163,Data!$D$9:$L$9,Data!$D$1:$L$1,"",1,1),E163="U10G",_xlfn.XLOOKUP(G163,Data!$D$16:$L$16,Data!$D$1:$L$1,"",1,1),E163="U12G",_xlfn.XLOOKUP(G163,Data!$D$22:$L$22,Data!$D$1:$L$1,"",1,1)))</f>
        <v/>
      </c>
      <c r="L163" s="184" t="str" cm="1">
        <f t="array" ref="L163">IFERROR(_xlfn.IFNA(
                      _xlfn.IFS(
                      G163="", "",
                      G163=0, "",
                      AND(E163="U10B",G163&lt;=Data!$M$3), "U10 Boys record",
                      AND(E163="U12B",G163&lt;=Data!$M$9), "U12 Boys record",
                      AND(E163="U10G",G163&lt;=Data!$M$16), "U10 Girls record",
                      AND(E163="U12G",G163&lt;=Data!$M$22), "U12 Girls record"
                       ),""), "")</f>
        <v/>
      </c>
      <c r="M163" s="19" cm="1">
        <f t="array" ref="M163">_xlfn.IFS(OR($G163="",$G163=0),0, AND(NOT(ISNUMBER($G163)),LOWER($G163)&lt;&gt;"dnf"),"Not a valid time",OR(LOWER($G163)="dnf",$G163&gt;ScoringTable!$N$161),1,RIGHT($E163,1)="B",_xlfn.XLOOKUP($G163,ScoringTable!$N$2:$N$161,ScoringTable!$L$2:$L$161,,1),TRUE,_xlfn.XLOOKUP($G163,ScoringTable!$T$2:$T$161,ScoringTable!$R$2:$R$161,,1))</f>
        <v>0</v>
      </c>
      <c r="Q163" s="125">
        <f t="shared" si="10"/>
        <v>0</v>
      </c>
      <c r="R163" s="126">
        <f t="shared" si="11"/>
        <v>0</v>
      </c>
      <c r="S163" s="127">
        <f t="shared" si="12"/>
        <v>0</v>
      </c>
      <c r="T163" s="126">
        <f t="shared" si="13"/>
        <v>0</v>
      </c>
      <c r="U163" s="128">
        <f t="shared" si="14"/>
        <v>0</v>
      </c>
    </row>
    <row r="164" spans="1:21" s="7" customFormat="1" ht="16" customHeight="1">
      <c r="A164" s="121" t="s">
        <v>3</v>
      </c>
      <c r="B164" s="122" t="str">
        <f>IF(ISNA(VLOOKUP($F164,Declarations!B$6:C$293,2,FALSE)),"",IF(VLOOKUP($F164,Declarations!B$6:C$293,2,FALSE)="","NOT DECLARED",IF(ISNA(_xlfn.TEXTBEFORE(VLOOKUP($F164,Declarations!B$6:C$293,2,FALSE)," ")),VLOOKUP($F164,Declarations!B$6:C$293,2,FALSE),_xlfn.TEXTBEFORE(VLOOKUP($F164,Declarations!B$6:C$293,2,FALSE)," "))))</f>
        <v/>
      </c>
      <c r="C164" s="122" t="str">
        <f>IF(ISNA(VLOOKUP($F164,Declarations!B$6:C$293,2,FALSE)),"",IF(VLOOKUP($F164,Declarations!B$6:C$293,2,FALSE)="","NOT DECLARED",IF(ISNA(_xlfn.TEXTAFTER(VLOOKUP($F164,Declarations!B$6:C$293,2,FALSE)," ")),VLOOKUP($F164,Declarations!B$6:C$293,2,FALSE),_xlfn.TEXTAFTER(VLOOKUP($F164,Declarations!B$6:C$293,2,FALSE)," "))))</f>
        <v/>
      </c>
      <c r="D164" s="122" t="str">
        <f>IF(ISNA(VLOOKUP($F164,Declarations!$B$6:$F$293,5,FALSE)),"",IF(VLOOKUP($F164,Declarations!$B$6:$F$293,5,FALSE)="","NOT DECLARED",VLOOKUP($F164,Declarations!$B$6:$F$293,5,FALSE)))</f>
        <v/>
      </c>
      <c r="E164" s="120" t="str">
        <f>IF(ISNA(VLOOKUP($F164,Declarations!$B$6:$D$293,3,FALSE)),"",IF(VLOOKUP($F164,Declarations!$B$6:$D$293,3,FALSE)="","NOT DECLARED",VLOOKUP($F164,Declarations!$B$6:$D$293,3,FALSE)&amp;LEFT(VLOOKUP($F164,Declarations!$B$6:$E$293,4,FALSE))))</f>
        <v/>
      </c>
      <c r="F164" s="59"/>
      <c r="G164" s="123">
        <v>0</v>
      </c>
      <c r="H164" s="322"/>
      <c r="I164" s="122" t="str">
        <f>IF(ISNA(VLOOKUP(F164,Declarations!B$6:C$293,2,FALSE)),"",IF(VLOOKUP(F164,Declarations!B$6:C$293,2,FALSE)="","NOTDECLARED",VLOOKUP(F164,Declarations!B$6:C$293,2,FALSE)))</f>
        <v/>
      </c>
      <c r="J164" s="124">
        <f>IF(LOWER(G164)="dnf",1,IF(U164&lt;ScoringTable!C$3,ScoringTable!I$2,VLOOKUP((1000-U164),ScoringTable!H$2:I$95,2)))</f>
        <v>0</v>
      </c>
      <c r="K164" s="120" t="str" cm="1">
        <f t="array" ref="K164">IF(OR(E164="",G164=""),"",_xlfn.IFS(E164="U10B",_xlfn.XLOOKUP(G164,Data!$D$3:$L$3,Data!$D$1:$L$1,"",1,1),E164="U12B",_xlfn.XLOOKUP(G164,Data!$D$9:$L$9,Data!$D$1:$L$1,"",1,1),E164="U10G",_xlfn.XLOOKUP(G164,Data!$D$16:$L$16,Data!$D$1:$L$1,"",1,1),E164="U12G",_xlfn.XLOOKUP(G164,Data!$D$22:$L$22,Data!$D$1:$L$1,"",1,1)))</f>
        <v/>
      </c>
      <c r="L164" s="184" t="str" cm="1">
        <f t="array" ref="L164">IFERROR(_xlfn.IFNA(
                      _xlfn.IFS(
                      G164="", "",
                      G164=0, "",
                      AND(E164="U10B",G164&lt;=Data!$M$3), "U10 Boys record",
                      AND(E164="U12B",G164&lt;=Data!$M$9), "U12 Boys record",
                      AND(E164="U10G",G164&lt;=Data!$M$16), "U10 Girls record",
                      AND(E164="U12G",G164&lt;=Data!$M$22), "U12 Girls record"
                       ),""), "")</f>
        <v/>
      </c>
      <c r="M164" s="19" cm="1">
        <f t="array" ref="M164">_xlfn.IFS(OR($G164="",$G164=0),0, AND(NOT(ISNUMBER($G164)),LOWER($G164)&lt;&gt;"dnf"),"Not a valid time",OR(LOWER($G164)="dnf",$G164&gt;ScoringTable!$N$161),1,RIGHT($E164,1)="B",_xlfn.XLOOKUP($G164,ScoringTable!$N$2:$N$161,ScoringTable!$L$2:$L$161,,1),TRUE,_xlfn.XLOOKUP($G164,ScoringTable!$T$2:$T$161,ScoringTable!$R$2:$R$161,,1))</f>
        <v>0</v>
      </c>
      <c r="Q164" s="125">
        <f t="shared" si="10"/>
        <v>0</v>
      </c>
      <c r="R164" s="126">
        <f t="shared" si="11"/>
        <v>0</v>
      </c>
      <c r="S164" s="127">
        <f t="shared" si="12"/>
        <v>0</v>
      </c>
      <c r="T164" s="126">
        <f t="shared" si="13"/>
        <v>0</v>
      </c>
      <c r="U164" s="128">
        <f t="shared" si="14"/>
        <v>0</v>
      </c>
    </row>
    <row r="165" spans="1:21" s="7" customFormat="1" ht="16" customHeight="1">
      <c r="A165" s="121" t="s">
        <v>3</v>
      </c>
      <c r="B165" s="122" t="str">
        <f>IF(ISNA(VLOOKUP($F165,Declarations!B$6:C$293,2,FALSE)),"",IF(VLOOKUP($F165,Declarations!B$6:C$293,2,FALSE)="","NOT DECLARED",IF(ISNA(_xlfn.TEXTBEFORE(VLOOKUP($F165,Declarations!B$6:C$293,2,FALSE)," ")),VLOOKUP($F165,Declarations!B$6:C$293,2,FALSE),_xlfn.TEXTBEFORE(VLOOKUP($F165,Declarations!B$6:C$293,2,FALSE)," "))))</f>
        <v/>
      </c>
      <c r="C165" s="122" t="str">
        <f>IF(ISNA(VLOOKUP($F165,Declarations!B$6:C$293,2,FALSE)),"",IF(VLOOKUP($F165,Declarations!B$6:C$293,2,FALSE)="","NOT DECLARED",IF(ISNA(_xlfn.TEXTAFTER(VLOOKUP($F165,Declarations!B$6:C$293,2,FALSE)," ")),VLOOKUP($F165,Declarations!B$6:C$293,2,FALSE),_xlfn.TEXTAFTER(VLOOKUP($F165,Declarations!B$6:C$293,2,FALSE)," "))))</f>
        <v/>
      </c>
      <c r="D165" s="122" t="str">
        <f>IF(ISNA(VLOOKUP($F165,Declarations!$B$6:$F$293,5,FALSE)),"",IF(VLOOKUP($F165,Declarations!$B$6:$F$293,5,FALSE)="","NOT DECLARED",VLOOKUP($F165,Declarations!$B$6:$F$293,5,FALSE)))</f>
        <v/>
      </c>
      <c r="E165" s="120" t="str">
        <f>IF(ISNA(VLOOKUP($F165,Declarations!$B$6:$D$293,3,FALSE)),"",IF(VLOOKUP($F165,Declarations!$B$6:$D$293,3,FALSE)="","NOT DECLARED",VLOOKUP($F165,Declarations!$B$6:$D$293,3,FALSE)&amp;LEFT(VLOOKUP($F165,Declarations!$B$6:$E$293,4,FALSE))))</f>
        <v/>
      </c>
      <c r="F165" s="59"/>
      <c r="G165" s="123">
        <v>0</v>
      </c>
      <c r="H165" s="322"/>
      <c r="I165" s="122" t="str">
        <f>IF(ISNA(VLOOKUP(F165,Declarations!B$6:C$293,2,FALSE)),"",IF(VLOOKUP(F165,Declarations!B$6:C$293,2,FALSE)="","NOTDECLARED",VLOOKUP(F165,Declarations!B$6:C$293,2,FALSE)))</f>
        <v/>
      </c>
      <c r="J165" s="124">
        <f>IF(LOWER(G165)="dnf",1,IF(U165&lt;ScoringTable!C$3,ScoringTable!I$2,VLOOKUP((1000-U165),ScoringTable!H$2:I$95,2)))</f>
        <v>0</v>
      </c>
      <c r="K165" s="120" t="str" cm="1">
        <f t="array" ref="K165">IF(OR(E165="",G165=""),"",_xlfn.IFS(E165="U10B",_xlfn.XLOOKUP(G165,Data!$D$3:$L$3,Data!$D$1:$L$1,"",1,1),E165="U12B",_xlfn.XLOOKUP(G165,Data!$D$9:$L$9,Data!$D$1:$L$1,"",1,1),E165="U10G",_xlfn.XLOOKUP(G165,Data!$D$16:$L$16,Data!$D$1:$L$1,"",1,1),E165="U12G",_xlfn.XLOOKUP(G165,Data!$D$22:$L$22,Data!$D$1:$L$1,"",1,1)))</f>
        <v/>
      </c>
      <c r="L165" s="184" t="str" cm="1">
        <f t="array" ref="L165">IFERROR(_xlfn.IFNA(
                      _xlfn.IFS(
                      G165="", "",
                      G165=0, "",
                      AND(E165="U10B",G165&lt;=Data!$M$3), "U10 Boys record",
                      AND(E165="U12B",G165&lt;=Data!$M$9), "U12 Boys record",
                      AND(E165="U10G",G165&lt;=Data!$M$16), "U10 Girls record",
                      AND(E165="U12G",G165&lt;=Data!$M$22), "U12 Girls record"
                       ),""), "")</f>
        <v/>
      </c>
      <c r="M165" s="19" cm="1">
        <f t="array" ref="M165">_xlfn.IFS(OR($G165="",$G165=0),0, AND(NOT(ISNUMBER($G165)),LOWER($G165)&lt;&gt;"dnf"),"Not a valid time",OR(LOWER($G165)="dnf",$G165&gt;ScoringTable!$N$161),1,RIGHT($E165,1)="B",_xlfn.XLOOKUP($G165,ScoringTable!$N$2:$N$161,ScoringTable!$L$2:$L$161,,1),TRUE,_xlfn.XLOOKUP($G165,ScoringTable!$T$2:$T$161,ScoringTable!$R$2:$R$161,,1))</f>
        <v>0</v>
      </c>
      <c r="Q165" s="125">
        <f t="shared" si="10"/>
        <v>0</v>
      </c>
      <c r="R165" s="126">
        <f t="shared" si="11"/>
        <v>0</v>
      </c>
      <c r="S165" s="127">
        <f t="shared" si="12"/>
        <v>0</v>
      </c>
      <c r="T165" s="126">
        <f t="shared" si="13"/>
        <v>0</v>
      </c>
      <c r="U165" s="128">
        <f t="shared" si="14"/>
        <v>0</v>
      </c>
    </row>
    <row r="166" spans="1:21" s="7" customFormat="1" ht="16" customHeight="1">
      <c r="A166" s="121" t="s">
        <v>3</v>
      </c>
      <c r="B166" s="122" t="str">
        <f>IF(ISNA(VLOOKUP($F166,Declarations!B$6:C$293,2,FALSE)),"",IF(VLOOKUP($F166,Declarations!B$6:C$293,2,FALSE)="","NOT DECLARED",IF(ISNA(_xlfn.TEXTBEFORE(VLOOKUP($F166,Declarations!B$6:C$293,2,FALSE)," ")),VLOOKUP($F166,Declarations!B$6:C$293,2,FALSE),_xlfn.TEXTBEFORE(VLOOKUP($F166,Declarations!B$6:C$293,2,FALSE)," "))))</f>
        <v/>
      </c>
      <c r="C166" s="122" t="str">
        <f>IF(ISNA(VLOOKUP($F166,Declarations!B$6:C$293,2,FALSE)),"",IF(VLOOKUP($F166,Declarations!B$6:C$293,2,FALSE)="","NOT DECLARED",IF(ISNA(_xlfn.TEXTAFTER(VLOOKUP($F166,Declarations!B$6:C$293,2,FALSE)," ")),VLOOKUP($F166,Declarations!B$6:C$293,2,FALSE),_xlfn.TEXTAFTER(VLOOKUP($F166,Declarations!B$6:C$293,2,FALSE)," "))))</f>
        <v/>
      </c>
      <c r="D166" s="122" t="str">
        <f>IF(ISNA(VLOOKUP($F166,Declarations!$B$6:$F$293,5,FALSE)),"",IF(VLOOKUP($F166,Declarations!$B$6:$F$293,5,FALSE)="","NOT DECLARED",VLOOKUP($F166,Declarations!$B$6:$F$293,5,FALSE)))</f>
        <v/>
      </c>
      <c r="E166" s="120" t="str">
        <f>IF(ISNA(VLOOKUP($F166,Declarations!$B$6:$D$293,3,FALSE)),"",IF(VLOOKUP($F166,Declarations!$B$6:$D$293,3,FALSE)="","NOT DECLARED",VLOOKUP($F166,Declarations!$B$6:$D$293,3,FALSE)&amp;LEFT(VLOOKUP($F166,Declarations!$B$6:$E$293,4,FALSE))))</f>
        <v/>
      </c>
      <c r="F166" s="59"/>
      <c r="G166" s="123">
        <v>0</v>
      </c>
      <c r="H166" s="322"/>
      <c r="I166" s="122" t="str">
        <f>IF(ISNA(VLOOKUP(F166,Declarations!B$6:C$293,2,FALSE)),"",IF(VLOOKUP(F166,Declarations!B$6:C$293,2,FALSE)="","NOTDECLARED",VLOOKUP(F166,Declarations!B$6:C$293,2,FALSE)))</f>
        <v/>
      </c>
      <c r="J166" s="124">
        <f>IF(LOWER(G166)="dnf",1,IF(U166&lt;ScoringTable!C$3,ScoringTable!I$2,VLOOKUP((1000-U166),ScoringTable!H$2:I$95,2)))</f>
        <v>0</v>
      </c>
      <c r="K166" s="120" t="str" cm="1">
        <f t="array" ref="K166">IF(OR(E166="",G166=""),"",_xlfn.IFS(E166="U10B",_xlfn.XLOOKUP(G166,Data!$D$3:$L$3,Data!$D$1:$L$1,"",1,1),E166="U12B",_xlfn.XLOOKUP(G166,Data!$D$9:$L$9,Data!$D$1:$L$1,"",1,1),E166="U10G",_xlfn.XLOOKUP(G166,Data!$D$16:$L$16,Data!$D$1:$L$1,"",1,1),E166="U12G",_xlfn.XLOOKUP(G166,Data!$D$22:$L$22,Data!$D$1:$L$1,"",1,1)))</f>
        <v/>
      </c>
      <c r="L166" s="184" t="str" cm="1">
        <f t="array" ref="L166">IFERROR(_xlfn.IFNA(
                      _xlfn.IFS(
                      G166="", "",
                      G166=0, "",
                      AND(E166="U10B",G166&lt;=Data!$M$3), "U10 Boys record",
                      AND(E166="U12B",G166&lt;=Data!$M$9), "U12 Boys record",
                      AND(E166="U10G",G166&lt;=Data!$M$16), "U10 Girls record",
                      AND(E166="U12G",G166&lt;=Data!$M$22), "U12 Girls record"
                       ),""), "")</f>
        <v/>
      </c>
      <c r="M166" s="19" cm="1">
        <f t="array" ref="M166">_xlfn.IFS(OR($G166="",$G166=0),0, AND(NOT(ISNUMBER($G166)),LOWER($G166)&lt;&gt;"dnf"),"Not a valid time",OR(LOWER($G166)="dnf",$G166&gt;ScoringTable!$N$161),1,RIGHT($E166,1)="B",_xlfn.XLOOKUP($G166,ScoringTable!$N$2:$N$161,ScoringTable!$L$2:$L$161,,1),TRUE,_xlfn.XLOOKUP($G166,ScoringTable!$T$2:$T$161,ScoringTable!$R$2:$R$161,,1))</f>
        <v>0</v>
      </c>
      <c r="Q166" s="125">
        <f t="shared" si="10"/>
        <v>0</v>
      </c>
      <c r="R166" s="126">
        <f t="shared" si="11"/>
        <v>0</v>
      </c>
      <c r="S166" s="127">
        <f t="shared" si="12"/>
        <v>0</v>
      </c>
      <c r="T166" s="126">
        <f t="shared" si="13"/>
        <v>0</v>
      </c>
      <c r="U166" s="128">
        <f t="shared" si="14"/>
        <v>0</v>
      </c>
    </row>
    <row r="167" spans="1:21" s="7" customFormat="1" ht="16" customHeight="1">
      <c r="A167" s="121" t="s">
        <v>3</v>
      </c>
      <c r="B167" s="122" t="str">
        <f>IF(ISNA(VLOOKUP($F167,Declarations!B$6:C$293,2,FALSE)),"",IF(VLOOKUP($F167,Declarations!B$6:C$293,2,FALSE)="","NOT DECLARED",IF(ISNA(_xlfn.TEXTBEFORE(VLOOKUP($F167,Declarations!B$6:C$293,2,FALSE)," ")),VLOOKUP($F167,Declarations!B$6:C$293,2,FALSE),_xlfn.TEXTBEFORE(VLOOKUP($F167,Declarations!B$6:C$293,2,FALSE)," "))))</f>
        <v/>
      </c>
      <c r="C167" s="122" t="str">
        <f>IF(ISNA(VLOOKUP($F167,Declarations!B$6:C$293,2,FALSE)),"",IF(VLOOKUP($F167,Declarations!B$6:C$293,2,FALSE)="","NOT DECLARED",IF(ISNA(_xlfn.TEXTAFTER(VLOOKUP($F167,Declarations!B$6:C$293,2,FALSE)," ")),VLOOKUP($F167,Declarations!B$6:C$293,2,FALSE),_xlfn.TEXTAFTER(VLOOKUP($F167,Declarations!B$6:C$293,2,FALSE)," "))))</f>
        <v/>
      </c>
      <c r="D167" s="122" t="str">
        <f>IF(ISNA(VLOOKUP($F167,Declarations!$B$6:$F$293,5,FALSE)),"",IF(VLOOKUP($F167,Declarations!$B$6:$F$293,5,FALSE)="","NOT DECLARED",VLOOKUP($F167,Declarations!$B$6:$F$293,5,FALSE)))</f>
        <v/>
      </c>
      <c r="E167" s="120" t="str">
        <f>IF(ISNA(VLOOKUP($F167,Declarations!$B$6:$D$293,3,FALSE)),"",IF(VLOOKUP($F167,Declarations!$B$6:$D$293,3,FALSE)="","NOT DECLARED",VLOOKUP($F167,Declarations!$B$6:$D$293,3,FALSE)&amp;LEFT(VLOOKUP($F167,Declarations!$B$6:$E$293,4,FALSE))))</f>
        <v/>
      </c>
      <c r="F167" s="59"/>
      <c r="G167" s="123">
        <v>0</v>
      </c>
      <c r="H167" s="322"/>
      <c r="I167" s="122" t="str">
        <f>IF(ISNA(VLOOKUP(F167,Declarations!B$6:C$293,2,FALSE)),"",IF(VLOOKUP(F167,Declarations!B$6:C$293,2,FALSE)="","NOTDECLARED",VLOOKUP(F167,Declarations!B$6:C$293,2,FALSE)))</f>
        <v/>
      </c>
      <c r="J167" s="124">
        <f>IF(LOWER(G167)="dnf",1,IF(U167&lt;ScoringTable!C$3,ScoringTable!I$2,VLOOKUP((1000-U167),ScoringTable!H$2:I$95,2)))</f>
        <v>0</v>
      </c>
      <c r="K167" s="120" t="str" cm="1">
        <f t="array" ref="K167">IF(OR(E167="",G167=""),"",_xlfn.IFS(E167="U10B",_xlfn.XLOOKUP(G167,Data!$D$3:$L$3,Data!$D$1:$L$1,"",1,1),E167="U12B",_xlfn.XLOOKUP(G167,Data!$D$9:$L$9,Data!$D$1:$L$1,"",1,1),E167="U10G",_xlfn.XLOOKUP(G167,Data!$D$16:$L$16,Data!$D$1:$L$1,"",1,1),E167="U12G",_xlfn.XLOOKUP(G167,Data!$D$22:$L$22,Data!$D$1:$L$1,"",1,1)))</f>
        <v/>
      </c>
      <c r="L167" s="184" t="str" cm="1">
        <f t="array" ref="L167">IFERROR(_xlfn.IFNA(
                      _xlfn.IFS(
                      G167="", "",
                      G167=0, "",
                      AND(E167="U10B",G167&lt;=Data!$M$3), "U10 Boys record",
                      AND(E167="U12B",G167&lt;=Data!$M$9), "U12 Boys record",
                      AND(E167="U10G",G167&lt;=Data!$M$16), "U10 Girls record",
                      AND(E167="U12G",G167&lt;=Data!$M$22), "U12 Girls record"
                       ),""), "")</f>
        <v/>
      </c>
      <c r="M167" s="19" cm="1">
        <f t="array" ref="M167">_xlfn.IFS(OR($G167="",$G167=0),0, AND(NOT(ISNUMBER($G167)),LOWER($G167)&lt;&gt;"dnf"),"Not a valid time",OR(LOWER($G167)="dnf",$G167&gt;ScoringTable!$N$161),1,RIGHT($E167,1)="B",_xlfn.XLOOKUP($G167,ScoringTable!$N$2:$N$161,ScoringTable!$L$2:$L$161,,1),TRUE,_xlfn.XLOOKUP($G167,ScoringTable!$T$2:$T$161,ScoringTable!$R$2:$R$161,,1))</f>
        <v>0</v>
      </c>
      <c r="Q167" s="125">
        <f t="shared" si="10"/>
        <v>0</v>
      </c>
      <c r="R167" s="126">
        <f t="shared" si="11"/>
        <v>0</v>
      </c>
      <c r="S167" s="127">
        <f t="shared" si="12"/>
        <v>0</v>
      </c>
      <c r="T167" s="126">
        <f t="shared" si="13"/>
        <v>0</v>
      </c>
      <c r="U167" s="128">
        <f t="shared" si="14"/>
        <v>0</v>
      </c>
    </row>
    <row r="168" spans="1:21" s="7" customFormat="1" ht="16" customHeight="1">
      <c r="A168" s="121" t="s">
        <v>3</v>
      </c>
      <c r="B168" s="122" t="str">
        <f>IF(ISNA(VLOOKUP($F168,Declarations!B$6:C$293,2,FALSE)),"",IF(VLOOKUP($F168,Declarations!B$6:C$293,2,FALSE)="","NOT DECLARED",IF(ISNA(_xlfn.TEXTBEFORE(VLOOKUP($F168,Declarations!B$6:C$293,2,FALSE)," ")),VLOOKUP($F168,Declarations!B$6:C$293,2,FALSE),_xlfn.TEXTBEFORE(VLOOKUP($F168,Declarations!B$6:C$293,2,FALSE)," "))))</f>
        <v/>
      </c>
      <c r="C168" s="122" t="str">
        <f>IF(ISNA(VLOOKUP($F168,Declarations!B$6:C$293,2,FALSE)),"",IF(VLOOKUP($F168,Declarations!B$6:C$293,2,FALSE)="","NOT DECLARED",IF(ISNA(_xlfn.TEXTAFTER(VLOOKUP($F168,Declarations!B$6:C$293,2,FALSE)," ")),VLOOKUP($F168,Declarations!B$6:C$293,2,FALSE),_xlfn.TEXTAFTER(VLOOKUP($F168,Declarations!B$6:C$293,2,FALSE)," "))))</f>
        <v/>
      </c>
      <c r="D168" s="122" t="str">
        <f>IF(ISNA(VLOOKUP($F168,Declarations!$B$6:$F$293,5,FALSE)),"",IF(VLOOKUP($F168,Declarations!$B$6:$F$293,5,FALSE)="","NOT DECLARED",VLOOKUP($F168,Declarations!$B$6:$F$293,5,FALSE)))</f>
        <v/>
      </c>
      <c r="E168" s="120" t="str">
        <f>IF(ISNA(VLOOKUP($F168,Declarations!$B$6:$D$293,3,FALSE)),"",IF(VLOOKUP($F168,Declarations!$B$6:$D$293,3,FALSE)="","NOT DECLARED",VLOOKUP($F168,Declarations!$B$6:$D$293,3,FALSE)&amp;LEFT(VLOOKUP($F168,Declarations!$B$6:$E$293,4,FALSE))))</f>
        <v/>
      </c>
      <c r="F168" s="59"/>
      <c r="G168" s="123">
        <v>0</v>
      </c>
      <c r="H168" s="322"/>
      <c r="I168" s="122" t="str">
        <f>IF(ISNA(VLOOKUP(F168,Declarations!B$6:C$293,2,FALSE)),"",IF(VLOOKUP(F168,Declarations!B$6:C$293,2,FALSE)="","NOTDECLARED",VLOOKUP(F168,Declarations!B$6:C$293,2,FALSE)))</f>
        <v/>
      </c>
      <c r="J168" s="124">
        <f>IF(LOWER(G168)="dnf",1,IF(U168&lt;ScoringTable!C$3,ScoringTable!I$2,VLOOKUP((1000-U168),ScoringTable!H$2:I$95,2)))</f>
        <v>0</v>
      </c>
      <c r="K168" s="120" t="str" cm="1">
        <f t="array" ref="K168">IF(OR(E168="",G168=""),"",_xlfn.IFS(E168="U10B",_xlfn.XLOOKUP(G168,Data!$D$3:$L$3,Data!$D$1:$L$1,"",1,1),E168="U12B",_xlfn.XLOOKUP(G168,Data!$D$9:$L$9,Data!$D$1:$L$1,"",1,1),E168="U10G",_xlfn.XLOOKUP(G168,Data!$D$16:$L$16,Data!$D$1:$L$1,"",1,1),E168="U12G",_xlfn.XLOOKUP(G168,Data!$D$22:$L$22,Data!$D$1:$L$1,"",1,1)))</f>
        <v/>
      </c>
      <c r="L168" s="184" t="str" cm="1">
        <f t="array" ref="L168">IFERROR(_xlfn.IFNA(
                      _xlfn.IFS(
                      G168="", "",
                      G168=0, "",
                      AND(E168="U10B",G168&lt;=Data!$M$3), "U10 Boys record",
                      AND(E168="U12B",G168&lt;=Data!$M$9), "U12 Boys record",
                      AND(E168="U10G",G168&lt;=Data!$M$16), "U10 Girls record",
                      AND(E168="U12G",G168&lt;=Data!$M$22), "U12 Girls record"
                       ),""), "")</f>
        <v/>
      </c>
      <c r="M168" s="19" cm="1">
        <f t="array" ref="M168">_xlfn.IFS(OR($G168="",$G168=0),0, AND(NOT(ISNUMBER($G168)),LOWER($G168)&lt;&gt;"dnf"),"Not a valid time",OR(LOWER($G168)="dnf",$G168&gt;ScoringTable!$N$161),1,RIGHT($E168,1)="B",_xlfn.XLOOKUP($G168,ScoringTable!$N$2:$N$161,ScoringTable!$L$2:$L$161,,1),TRUE,_xlfn.XLOOKUP($G168,ScoringTable!$T$2:$T$161,ScoringTable!$R$2:$R$161,,1))</f>
        <v>0</v>
      </c>
      <c r="Q168" s="125">
        <f t="shared" si="10"/>
        <v>0</v>
      </c>
      <c r="R168" s="126">
        <f t="shared" si="11"/>
        <v>0</v>
      </c>
      <c r="S168" s="127">
        <f t="shared" si="12"/>
        <v>0</v>
      </c>
      <c r="T168" s="126">
        <f t="shared" si="13"/>
        <v>0</v>
      </c>
      <c r="U168" s="128">
        <f t="shared" si="14"/>
        <v>0</v>
      </c>
    </row>
    <row r="169" spans="1:21" s="7" customFormat="1" ht="16" customHeight="1">
      <c r="A169" s="121" t="s">
        <v>3</v>
      </c>
      <c r="B169" s="122" t="str">
        <f>IF(ISNA(VLOOKUP($F169,Declarations!B$6:C$293,2,FALSE)),"",IF(VLOOKUP($F169,Declarations!B$6:C$293,2,FALSE)="","NOT DECLARED",IF(ISNA(_xlfn.TEXTBEFORE(VLOOKUP($F169,Declarations!B$6:C$293,2,FALSE)," ")),VLOOKUP($F169,Declarations!B$6:C$293,2,FALSE),_xlfn.TEXTBEFORE(VLOOKUP($F169,Declarations!B$6:C$293,2,FALSE)," "))))</f>
        <v/>
      </c>
      <c r="C169" s="122" t="str">
        <f>IF(ISNA(VLOOKUP($F169,Declarations!B$6:C$293,2,FALSE)),"",IF(VLOOKUP($F169,Declarations!B$6:C$293,2,FALSE)="","NOT DECLARED",IF(ISNA(_xlfn.TEXTAFTER(VLOOKUP($F169,Declarations!B$6:C$293,2,FALSE)," ")),VLOOKUP($F169,Declarations!B$6:C$293,2,FALSE),_xlfn.TEXTAFTER(VLOOKUP($F169,Declarations!B$6:C$293,2,FALSE)," "))))</f>
        <v/>
      </c>
      <c r="D169" s="122" t="str">
        <f>IF(ISNA(VLOOKUP($F169,Declarations!$B$6:$F$293,5,FALSE)),"",IF(VLOOKUP($F169,Declarations!$B$6:$F$293,5,FALSE)="","NOT DECLARED",VLOOKUP($F169,Declarations!$B$6:$F$293,5,FALSE)))</f>
        <v/>
      </c>
      <c r="E169" s="120" t="str">
        <f>IF(ISNA(VLOOKUP($F169,Declarations!$B$6:$D$293,3,FALSE)),"",IF(VLOOKUP($F169,Declarations!$B$6:$D$293,3,FALSE)="","NOT DECLARED",VLOOKUP($F169,Declarations!$B$6:$D$293,3,FALSE)&amp;LEFT(VLOOKUP($F169,Declarations!$B$6:$E$293,4,FALSE))))</f>
        <v/>
      </c>
      <c r="F169" s="59"/>
      <c r="G169" s="123">
        <v>0</v>
      </c>
      <c r="H169" s="322"/>
      <c r="I169" s="122" t="str">
        <f>IF(ISNA(VLOOKUP(F169,Declarations!B$6:C$293,2,FALSE)),"",IF(VLOOKUP(F169,Declarations!B$6:C$293,2,FALSE)="","NOTDECLARED",VLOOKUP(F169,Declarations!B$6:C$293,2,FALSE)))</f>
        <v/>
      </c>
      <c r="J169" s="124">
        <f>IF(LOWER(G169)="dnf",1,IF(U169&lt;ScoringTable!C$3,ScoringTable!I$2,VLOOKUP((1000-U169),ScoringTable!H$2:I$95,2)))</f>
        <v>0</v>
      </c>
      <c r="K169" s="120" t="str" cm="1">
        <f t="array" ref="K169">IF(OR(E169="",G169=""),"",_xlfn.IFS(E169="U10B",_xlfn.XLOOKUP(G169,Data!$D$3:$L$3,Data!$D$1:$L$1,"",1,1),E169="U12B",_xlfn.XLOOKUP(G169,Data!$D$9:$L$9,Data!$D$1:$L$1,"",1,1),E169="U10G",_xlfn.XLOOKUP(G169,Data!$D$16:$L$16,Data!$D$1:$L$1,"",1,1),E169="U12G",_xlfn.XLOOKUP(G169,Data!$D$22:$L$22,Data!$D$1:$L$1,"",1,1)))</f>
        <v/>
      </c>
      <c r="L169" s="184" t="str" cm="1">
        <f t="array" ref="L169">IFERROR(_xlfn.IFNA(
                      _xlfn.IFS(
                      G169="", "",
                      G169=0, "",
                      AND(E169="U10B",G169&lt;=Data!$M$3), "U10 Boys record",
                      AND(E169="U12B",G169&lt;=Data!$M$9), "U12 Boys record",
                      AND(E169="U10G",G169&lt;=Data!$M$16), "U10 Girls record",
                      AND(E169="U12G",G169&lt;=Data!$M$22), "U12 Girls record"
                       ),""), "")</f>
        <v/>
      </c>
      <c r="M169" s="19" cm="1">
        <f t="array" ref="M169">_xlfn.IFS(OR($G169="",$G169=0),0, AND(NOT(ISNUMBER($G169)),LOWER($G169)&lt;&gt;"dnf"),"Not a valid time",OR(LOWER($G169)="dnf",$G169&gt;ScoringTable!$N$161),1,RIGHT($E169,1)="B",_xlfn.XLOOKUP($G169,ScoringTable!$N$2:$N$161,ScoringTable!$L$2:$L$161,,1),TRUE,_xlfn.XLOOKUP($G169,ScoringTable!$T$2:$T$161,ScoringTable!$R$2:$R$161,,1))</f>
        <v>0</v>
      </c>
      <c r="Q169" s="125">
        <f t="shared" si="10"/>
        <v>0</v>
      </c>
      <c r="R169" s="126">
        <f t="shared" si="11"/>
        <v>0</v>
      </c>
      <c r="S169" s="127">
        <f t="shared" si="12"/>
        <v>0</v>
      </c>
      <c r="T169" s="126">
        <f t="shared" si="13"/>
        <v>0</v>
      </c>
      <c r="U169" s="128">
        <f t="shared" si="14"/>
        <v>0</v>
      </c>
    </row>
    <row r="170" spans="1:21" s="7" customFormat="1" ht="16" customHeight="1">
      <c r="A170" s="121" t="s">
        <v>3</v>
      </c>
      <c r="B170" s="122" t="str">
        <f>IF(ISNA(VLOOKUP($F170,Declarations!B$6:C$293,2,FALSE)),"",IF(VLOOKUP($F170,Declarations!B$6:C$293,2,FALSE)="","NOT DECLARED",IF(ISNA(_xlfn.TEXTBEFORE(VLOOKUP($F170,Declarations!B$6:C$293,2,FALSE)," ")),VLOOKUP($F170,Declarations!B$6:C$293,2,FALSE),_xlfn.TEXTBEFORE(VLOOKUP($F170,Declarations!B$6:C$293,2,FALSE)," "))))</f>
        <v/>
      </c>
      <c r="C170" s="122" t="str">
        <f>IF(ISNA(VLOOKUP($F170,Declarations!B$6:C$293,2,FALSE)),"",IF(VLOOKUP($F170,Declarations!B$6:C$293,2,FALSE)="","NOT DECLARED",IF(ISNA(_xlfn.TEXTAFTER(VLOOKUP($F170,Declarations!B$6:C$293,2,FALSE)," ")),VLOOKUP($F170,Declarations!B$6:C$293,2,FALSE),_xlfn.TEXTAFTER(VLOOKUP($F170,Declarations!B$6:C$293,2,FALSE)," "))))</f>
        <v/>
      </c>
      <c r="D170" s="122" t="str">
        <f>IF(ISNA(VLOOKUP($F170,Declarations!$B$6:$F$293,5,FALSE)),"",IF(VLOOKUP($F170,Declarations!$B$6:$F$293,5,FALSE)="","NOT DECLARED",VLOOKUP($F170,Declarations!$B$6:$F$293,5,FALSE)))</f>
        <v/>
      </c>
      <c r="E170" s="120" t="str">
        <f>IF(ISNA(VLOOKUP($F170,Declarations!$B$6:$D$293,3,FALSE)),"",IF(VLOOKUP($F170,Declarations!$B$6:$D$293,3,FALSE)="","NOT DECLARED",VLOOKUP($F170,Declarations!$B$6:$D$293,3,FALSE)&amp;LEFT(VLOOKUP($F170,Declarations!$B$6:$E$293,4,FALSE))))</f>
        <v/>
      </c>
      <c r="F170" s="59"/>
      <c r="G170" s="123">
        <v>0</v>
      </c>
      <c r="H170" s="322"/>
      <c r="I170" s="122" t="str">
        <f>IF(ISNA(VLOOKUP(F170,Declarations!B$6:C$293,2,FALSE)),"",IF(VLOOKUP(F170,Declarations!B$6:C$293,2,FALSE)="","NOTDECLARED",VLOOKUP(F170,Declarations!B$6:C$293,2,FALSE)))</f>
        <v/>
      </c>
      <c r="J170" s="124">
        <f>IF(LOWER(G170)="dnf",1,IF(U170&lt;ScoringTable!C$3,ScoringTable!I$2,VLOOKUP((1000-U170),ScoringTable!H$2:I$95,2)))</f>
        <v>0</v>
      </c>
      <c r="K170" s="120" t="str" cm="1">
        <f t="array" ref="K170">IF(OR(E170="",G170=""),"",_xlfn.IFS(E170="U10B",_xlfn.XLOOKUP(G170,Data!$D$3:$L$3,Data!$D$1:$L$1,"",1,1),E170="U12B",_xlfn.XLOOKUP(G170,Data!$D$9:$L$9,Data!$D$1:$L$1,"",1,1),E170="U10G",_xlfn.XLOOKUP(G170,Data!$D$16:$L$16,Data!$D$1:$L$1,"",1,1),E170="U12G",_xlfn.XLOOKUP(G170,Data!$D$22:$L$22,Data!$D$1:$L$1,"",1,1)))</f>
        <v/>
      </c>
      <c r="L170" s="184" t="str" cm="1">
        <f t="array" ref="L170">IFERROR(_xlfn.IFNA(
                      _xlfn.IFS(
                      G170="", "",
                      G170=0, "",
                      AND(E170="U10B",G170&lt;=Data!$M$3), "U10 Boys record",
                      AND(E170="U12B",G170&lt;=Data!$M$9), "U12 Boys record",
                      AND(E170="U10G",G170&lt;=Data!$M$16), "U10 Girls record",
                      AND(E170="U12G",G170&lt;=Data!$M$22), "U12 Girls record"
                       ),""), "")</f>
        <v/>
      </c>
      <c r="M170" s="19" cm="1">
        <f t="array" ref="M170">_xlfn.IFS(OR($G170="",$G170=0),0, AND(NOT(ISNUMBER($G170)),LOWER($G170)&lt;&gt;"dnf"),"Not a valid time",OR(LOWER($G170)="dnf",$G170&gt;ScoringTable!$N$161),1,RIGHT($E170,1)="B",_xlfn.XLOOKUP($G170,ScoringTable!$N$2:$N$161,ScoringTable!$L$2:$L$161,,1),TRUE,_xlfn.XLOOKUP($G170,ScoringTable!$T$2:$T$161,ScoringTable!$R$2:$R$161,,1))</f>
        <v>0</v>
      </c>
      <c r="Q170" s="125">
        <f t="shared" si="10"/>
        <v>0</v>
      </c>
      <c r="R170" s="126">
        <f t="shared" si="11"/>
        <v>0</v>
      </c>
      <c r="S170" s="127">
        <f t="shared" si="12"/>
        <v>0</v>
      </c>
      <c r="T170" s="126">
        <f t="shared" si="13"/>
        <v>0</v>
      </c>
      <c r="U170" s="128">
        <f t="shared" si="14"/>
        <v>0</v>
      </c>
    </row>
    <row r="171" spans="1:21" s="7" customFormat="1" ht="16" customHeight="1">
      <c r="A171" s="121" t="s">
        <v>3</v>
      </c>
      <c r="B171" s="122" t="str">
        <f>IF(ISNA(VLOOKUP($F171,Declarations!B$6:C$293,2,FALSE)),"",IF(VLOOKUP($F171,Declarations!B$6:C$293,2,FALSE)="","NOT DECLARED",IF(ISNA(_xlfn.TEXTBEFORE(VLOOKUP($F171,Declarations!B$6:C$293,2,FALSE)," ")),VLOOKUP($F171,Declarations!B$6:C$293,2,FALSE),_xlfn.TEXTBEFORE(VLOOKUP($F171,Declarations!B$6:C$293,2,FALSE)," "))))</f>
        <v/>
      </c>
      <c r="C171" s="122" t="str">
        <f>IF(ISNA(VLOOKUP($F171,Declarations!B$6:C$293,2,FALSE)),"",IF(VLOOKUP($F171,Declarations!B$6:C$293,2,FALSE)="","NOT DECLARED",IF(ISNA(_xlfn.TEXTAFTER(VLOOKUP($F171,Declarations!B$6:C$293,2,FALSE)," ")),VLOOKUP($F171,Declarations!B$6:C$293,2,FALSE),_xlfn.TEXTAFTER(VLOOKUP($F171,Declarations!B$6:C$293,2,FALSE)," "))))</f>
        <v/>
      </c>
      <c r="D171" s="122" t="str">
        <f>IF(ISNA(VLOOKUP($F171,Declarations!$B$6:$F$293,5,FALSE)),"",IF(VLOOKUP($F171,Declarations!$B$6:$F$293,5,FALSE)="","NOT DECLARED",VLOOKUP($F171,Declarations!$B$6:$F$293,5,FALSE)))</f>
        <v/>
      </c>
      <c r="E171" s="120" t="str">
        <f>IF(ISNA(VLOOKUP($F171,Declarations!$B$6:$D$293,3,FALSE)),"",IF(VLOOKUP($F171,Declarations!$B$6:$D$293,3,FALSE)="","NOT DECLARED",VLOOKUP($F171,Declarations!$B$6:$D$293,3,FALSE)&amp;LEFT(VLOOKUP($F171,Declarations!$B$6:$E$293,4,FALSE))))</f>
        <v/>
      </c>
      <c r="F171" s="59"/>
      <c r="G171" s="123">
        <v>0</v>
      </c>
      <c r="H171" s="322"/>
      <c r="I171" s="122" t="str">
        <f>IF(ISNA(VLOOKUP(F171,Declarations!B$6:C$293,2,FALSE)),"",IF(VLOOKUP(F171,Declarations!B$6:C$293,2,FALSE)="","NOTDECLARED",VLOOKUP(F171,Declarations!B$6:C$293,2,FALSE)))</f>
        <v/>
      </c>
      <c r="J171" s="124">
        <f>IF(LOWER(G171)="dnf",1,IF(U171&lt;ScoringTable!C$3,ScoringTable!I$2,VLOOKUP((1000-U171),ScoringTable!H$2:I$95,2)))</f>
        <v>0</v>
      </c>
      <c r="K171" s="120" t="str" cm="1">
        <f t="array" ref="K171">IF(OR(E171="",G171=""),"",_xlfn.IFS(E171="U10B",_xlfn.XLOOKUP(G171,Data!$D$3:$L$3,Data!$D$1:$L$1,"",1,1),E171="U12B",_xlfn.XLOOKUP(G171,Data!$D$9:$L$9,Data!$D$1:$L$1,"",1,1),E171="U10G",_xlfn.XLOOKUP(G171,Data!$D$16:$L$16,Data!$D$1:$L$1,"",1,1),E171="U12G",_xlfn.XLOOKUP(G171,Data!$D$22:$L$22,Data!$D$1:$L$1,"",1,1)))</f>
        <v/>
      </c>
      <c r="L171" s="184" t="str" cm="1">
        <f t="array" ref="L171">IFERROR(_xlfn.IFNA(
                      _xlfn.IFS(
                      G171="", "",
                      G171=0, "",
                      AND(E171="U10B",G171&lt;=Data!$M$3), "U10 Boys record",
                      AND(E171="U12B",G171&lt;=Data!$M$9), "U12 Boys record",
                      AND(E171="U10G",G171&lt;=Data!$M$16), "U10 Girls record",
                      AND(E171="U12G",G171&lt;=Data!$M$22), "U12 Girls record"
                       ),""), "")</f>
        <v/>
      </c>
      <c r="M171" s="19" cm="1">
        <f t="array" ref="M171">_xlfn.IFS(OR($G171="",$G171=0),0, AND(NOT(ISNUMBER($G171)),LOWER($G171)&lt;&gt;"dnf"),"Not a valid time",OR(LOWER($G171)="dnf",$G171&gt;ScoringTable!$N$161),1,RIGHT($E171,1)="B",_xlfn.XLOOKUP($G171,ScoringTable!$N$2:$N$161,ScoringTable!$L$2:$L$161,,1),TRUE,_xlfn.XLOOKUP($G171,ScoringTable!$T$2:$T$161,ScoringTable!$R$2:$R$161,,1))</f>
        <v>0</v>
      </c>
      <c r="Q171" s="125">
        <f t="shared" si="10"/>
        <v>0</v>
      </c>
      <c r="R171" s="126">
        <f t="shared" si="11"/>
        <v>0</v>
      </c>
      <c r="S171" s="127">
        <f t="shared" si="12"/>
        <v>0</v>
      </c>
      <c r="T171" s="126">
        <f t="shared" si="13"/>
        <v>0</v>
      </c>
      <c r="U171" s="128">
        <f t="shared" si="14"/>
        <v>0</v>
      </c>
    </row>
    <row r="172" spans="1:21" s="7" customFormat="1" ht="16" customHeight="1">
      <c r="A172" s="121" t="s">
        <v>3</v>
      </c>
      <c r="B172" s="122" t="str">
        <f>IF(ISNA(VLOOKUP($F172,Declarations!B$6:C$293,2,FALSE)),"",IF(VLOOKUP($F172,Declarations!B$6:C$293,2,FALSE)="","NOT DECLARED",IF(ISNA(_xlfn.TEXTBEFORE(VLOOKUP($F172,Declarations!B$6:C$293,2,FALSE)," ")),VLOOKUP($F172,Declarations!B$6:C$293,2,FALSE),_xlfn.TEXTBEFORE(VLOOKUP($F172,Declarations!B$6:C$293,2,FALSE)," "))))</f>
        <v/>
      </c>
      <c r="C172" s="122" t="str">
        <f>IF(ISNA(VLOOKUP($F172,Declarations!B$6:C$293,2,FALSE)),"",IF(VLOOKUP($F172,Declarations!B$6:C$293,2,FALSE)="","NOT DECLARED",IF(ISNA(_xlfn.TEXTAFTER(VLOOKUP($F172,Declarations!B$6:C$293,2,FALSE)," ")),VLOOKUP($F172,Declarations!B$6:C$293,2,FALSE),_xlfn.TEXTAFTER(VLOOKUP($F172,Declarations!B$6:C$293,2,FALSE)," "))))</f>
        <v/>
      </c>
      <c r="D172" s="122" t="str">
        <f>IF(ISNA(VLOOKUP($F172,Declarations!$B$6:$F$293,5,FALSE)),"",IF(VLOOKUP($F172,Declarations!$B$6:$F$293,5,FALSE)="","NOT DECLARED",VLOOKUP($F172,Declarations!$B$6:$F$293,5,FALSE)))</f>
        <v/>
      </c>
      <c r="E172" s="120" t="str">
        <f>IF(ISNA(VLOOKUP($F172,Declarations!$B$6:$D$293,3,FALSE)),"",IF(VLOOKUP($F172,Declarations!$B$6:$D$293,3,FALSE)="","NOT DECLARED",VLOOKUP($F172,Declarations!$B$6:$D$293,3,FALSE)&amp;LEFT(VLOOKUP($F172,Declarations!$B$6:$E$293,4,FALSE))))</f>
        <v/>
      </c>
      <c r="F172" s="59"/>
      <c r="G172" s="123">
        <v>0</v>
      </c>
      <c r="H172" s="322"/>
      <c r="I172" s="122" t="str">
        <f>IF(ISNA(VLOOKUP(F172,Declarations!B$6:C$293,2,FALSE)),"",IF(VLOOKUP(F172,Declarations!B$6:C$293,2,FALSE)="","NOTDECLARED",VLOOKUP(F172,Declarations!B$6:C$293,2,FALSE)))</f>
        <v/>
      </c>
      <c r="J172" s="124">
        <f>IF(LOWER(G172)="dnf",1,IF(U172&lt;ScoringTable!C$3,ScoringTable!I$2,VLOOKUP((1000-U172),ScoringTable!H$2:I$95,2)))</f>
        <v>0</v>
      </c>
      <c r="K172" s="120" t="str" cm="1">
        <f t="array" ref="K172">IF(OR(E172="",G172=""),"",_xlfn.IFS(E172="U10B",_xlfn.XLOOKUP(G172,Data!$D$3:$L$3,Data!$D$1:$L$1,"",1,1),E172="U12B",_xlfn.XLOOKUP(G172,Data!$D$9:$L$9,Data!$D$1:$L$1,"",1,1),E172="U10G",_xlfn.XLOOKUP(G172,Data!$D$16:$L$16,Data!$D$1:$L$1,"",1,1),E172="U12G",_xlfn.XLOOKUP(G172,Data!$D$22:$L$22,Data!$D$1:$L$1,"",1,1)))</f>
        <v/>
      </c>
      <c r="L172" s="184" t="str" cm="1">
        <f t="array" ref="L172">IFERROR(_xlfn.IFNA(
                      _xlfn.IFS(
                      G172="", "",
                      G172=0, "",
                      AND(E172="U10B",G172&lt;=Data!$M$3), "U10 Boys record",
                      AND(E172="U12B",G172&lt;=Data!$M$9), "U12 Boys record",
                      AND(E172="U10G",G172&lt;=Data!$M$16), "U10 Girls record",
                      AND(E172="U12G",G172&lt;=Data!$M$22), "U12 Girls record"
                       ),""), "")</f>
        <v/>
      </c>
      <c r="M172" s="19" cm="1">
        <f t="array" ref="M172">_xlfn.IFS(OR($G172="",$G172=0),0, AND(NOT(ISNUMBER($G172)),LOWER($G172)&lt;&gt;"dnf"),"Not a valid time",OR(LOWER($G172)="dnf",$G172&gt;ScoringTable!$N$161),1,RIGHT($E172,1)="B",_xlfn.XLOOKUP($G172,ScoringTable!$N$2:$N$161,ScoringTable!$L$2:$L$161,,1),TRUE,_xlfn.XLOOKUP($G172,ScoringTable!$T$2:$T$161,ScoringTable!$R$2:$R$161,,1))</f>
        <v>0</v>
      </c>
      <c r="Q172" s="125">
        <f t="shared" si="10"/>
        <v>0</v>
      </c>
      <c r="R172" s="126">
        <f t="shared" si="11"/>
        <v>0</v>
      </c>
      <c r="S172" s="127">
        <f t="shared" si="12"/>
        <v>0</v>
      </c>
      <c r="T172" s="126">
        <f t="shared" si="13"/>
        <v>0</v>
      </c>
      <c r="U172" s="128">
        <f t="shared" si="14"/>
        <v>0</v>
      </c>
    </row>
    <row r="173" spans="1:21" s="7" customFormat="1" ht="16" customHeight="1">
      <c r="A173" s="121" t="s">
        <v>3</v>
      </c>
      <c r="B173" s="122" t="str">
        <f>IF(ISNA(VLOOKUP($F173,Declarations!B$6:C$293,2,FALSE)),"",IF(VLOOKUP($F173,Declarations!B$6:C$293,2,FALSE)="","NOT DECLARED",IF(ISNA(_xlfn.TEXTBEFORE(VLOOKUP($F173,Declarations!B$6:C$293,2,FALSE)," ")),VLOOKUP($F173,Declarations!B$6:C$293,2,FALSE),_xlfn.TEXTBEFORE(VLOOKUP($F173,Declarations!B$6:C$293,2,FALSE)," "))))</f>
        <v/>
      </c>
      <c r="C173" s="122" t="str">
        <f>IF(ISNA(VLOOKUP($F173,Declarations!B$6:C$293,2,FALSE)),"",IF(VLOOKUP($F173,Declarations!B$6:C$293,2,FALSE)="","NOT DECLARED",IF(ISNA(_xlfn.TEXTAFTER(VLOOKUP($F173,Declarations!B$6:C$293,2,FALSE)," ")),VLOOKUP($F173,Declarations!B$6:C$293,2,FALSE),_xlfn.TEXTAFTER(VLOOKUP($F173,Declarations!B$6:C$293,2,FALSE)," "))))</f>
        <v/>
      </c>
      <c r="D173" s="122" t="str">
        <f>IF(ISNA(VLOOKUP($F173,Declarations!$B$6:$F$293,5,FALSE)),"",IF(VLOOKUP($F173,Declarations!$B$6:$F$293,5,FALSE)="","NOT DECLARED",VLOOKUP($F173,Declarations!$B$6:$F$293,5,FALSE)))</f>
        <v/>
      </c>
      <c r="E173" s="120" t="str">
        <f>IF(ISNA(VLOOKUP($F173,Declarations!$B$6:$D$293,3,FALSE)),"",IF(VLOOKUP($F173,Declarations!$B$6:$D$293,3,FALSE)="","NOT DECLARED",VLOOKUP($F173,Declarations!$B$6:$D$293,3,FALSE)&amp;LEFT(VLOOKUP($F173,Declarations!$B$6:$E$293,4,FALSE))))</f>
        <v/>
      </c>
      <c r="F173" s="59"/>
      <c r="G173" s="123">
        <v>0</v>
      </c>
      <c r="H173" s="322"/>
      <c r="I173" s="122" t="str">
        <f>IF(ISNA(VLOOKUP(F173,Declarations!B$6:C$293,2,FALSE)),"",IF(VLOOKUP(F173,Declarations!B$6:C$293,2,FALSE)="","NOTDECLARED",VLOOKUP(F173,Declarations!B$6:C$293,2,FALSE)))</f>
        <v/>
      </c>
      <c r="J173" s="124">
        <f>IF(LOWER(G173)="dnf",1,IF(U173&lt;ScoringTable!C$3,ScoringTable!I$2,VLOOKUP((1000-U173),ScoringTable!H$2:I$95,2)))</f>
        <v>0</v>
      </c>
      <c r="K173" s="120" t="str" cm="1">
        <f t="array" ref="K173">IF(OR(E173="",G173=""),"",_xlfn.IFS(E173="U10B",_xlfn.XLOOKUP(G173,Data!$D$3:$L$3,Data!$D$1:$L$1,"",1,1),E173="U12B",_xlfn.XLOOKUP(G173,Data!$D$9:$L$9,Data!$D$1:$L$1,"",1,1),E173="U10G",_xlfn.XLOOKUP(G173,Data!$D$16:$L$16,Data!$D$1:$L$1,"",1,1),E173="U12G",_xlfn.XLOOKUP(G173,Data!$D$22:$L$22,Data!$D$1:$L$1,"",1,1)))</f>
        <v/>
      </c>
      <c r="L173" s="184" t="str" cm="1">
        <f t="array" ref="L173">IFERROR(_xlfn.IFNA(
                      _xlfn.IFS(
                      G173="", "",
                      G173=0, "",
                      AND(E173="U10B",G173&lt;=Data!$M$3), "U10 Boys record",
                      AND(E173="U12B",G173&lt;=Data!$M$9), "U12 Boys record",
                      AND(E173="U10G",G173&lt;=Data!$M$16), "U10 Girls record",
                      AND(E173="U12G",G173&lt;=Data!$M$22), "U12 Girls record"
                       ),""), "")</f>
        <v/>
      </c>
      <c r="M173" s="19" cm="1">
        <f t="array" ref="M173">_xlfn.IFS(OR($G173="",$G173=0),0, AND(NOT(ISNUMBER($G173)),LOWER($G173)&lt;&gt;"dnf"),"Not a valid time",OR(LOWER($G173)="dnf",$G173&gt;ScoringTable!$N$161),1,RIGHT($E173,1)="B",_xlfn.XLOOKUP($G173,ScoringTable!$N$2:$N$161,ScoringTable!$L$2:$L$161,,1),TRUE,_xlfn.XLOOKUP($G173,ScoringTable!$T$2:$T$161,ScoringTable!$R$2:$R$161,,1))</f>
        <v>0</v>
      </c>
      <c r="Q173" s="125">
        <f t="shared" si="10"/>
        <v>0</v>
      </c>
      <c r="R173" s="126">
        <f t="shared" si="11"/>
        <v>0</v>
      </c>
      <c r="S173" s="127">
        <f t="shared" si="12"/>
        <v>0</v>
      </c>
      <c r="T173" s="126">
        <f t="shared" si="13"/>
        <v>0</v>
      </c>
      <c r="U173" s="128">
        <f t="shared" si="14"/>
        <v>0</v>
      </c>
    </row>
    <row r="174" spans="1:21" s="7" customFormat="1" ht="16" customHeight="1">
      <c r="A174" s="121" t="s">
        <v>3</v>
      </c>
      <c r="B174" s="122" t="str">
        <f>IF(ISNA(VLOOKUP($F174,Declarations!B$6:C$293,2,FALSE)),"",IF(VLOOKUP($F174,Declarations!B$6:C$293,2,FALSE)="","NOT DECLARED",IF(ISNA(_xlfn.TEXTBEFORE(VLOOKUP($F174,Declarations!B$6:C$293,2,FALSE)," ")),VLOOKUP($F174,Declarations!B$6:C$293,2,FALSE),_xlfn.TEXTBEFORE(VLOOKUP($F174,Declarations!B$6:C$293,2,FALSE)," "))))</f>
        <v/>
      </c>
      <c r="C174" s="122" t="str">
        <f>IF(ISNA(VLOOKUP($F174,Declarations!B$6:C$293,2,FALSE)),"",IF(VLOOKUP($F174,Declarations!B$6:C$293,2,FALSE)="","NOT DECLARED",IF(ISNA(_xlfn.TEXTAFTER(VLOOKUP($F174,Declarations!B$6:C$293,2,FALSE)," ")),VLOOKUP($F174,Declarations!B$6:C$293,2,FALSE),_xlfn.TEXTAFTER(VLOOKUP($F174,Declarations!B$6:C$293,2,FALSE)," "))))</f>
        <v/>
      </c>
      <c r="D174" s="122" t="str">
        <f>IF(ISNA(VLOOKUP($F174,Declarations!$B$6:$F$293,5,FALSE)),"",IF(VLOOKUP($F174,Declarations!$B$6:$F$293,5,FALSE)="","NOT DECLARED",VLOOKUP($F174,Declarations!$B$6:$F$293,5,FALSE)))</f>
        <v/>
      </c>
      <c r="E174" s="120" t="str">
        <f>IF(ISNA(VLOOKUP($F174,Declarations!$B$6:$D$293,3,FALSE)),"",IF(VLOOKUP($F174,Declarations!$B$6:$D$293,3,FALSE)="","NOT DECLARED",VLOOKUP($F174,Declarations!$B$6:$D$293,3,FALSE)&amp;LEFT(VLOOKUP($F174,Declarations!$B$6:$E$293,4,FALSE))))</f>
        <v/>
      </c>
      <c r="F174" s="59"/>
      <c r="G174" s="123">
        <v>0</v>
      </c>
      <c r="H174" s="322"/>
      <c r="I174" s="122" t="str">
        <f>IF(ISNA(VLOOKUP(F174,Declarations!B$6:C$293,2,FALSE)),"",IF(VLOOKUP(F174,Declarations!B$6:C$293,2,FALSE)="","NOTDECLARED",VLOOKUP(F174,Declarations!B$6:C$293,2,FALSE)))</f>
        <v/>
      </c>
      <c r="J174" s="124">
        <f>IF(LOWER(G174)="dnf",1,IF(U174&lt;ScoringTable!C$3,ScoringTable!I$2,VLOOKUP((1000-U174),ScoringTable!H$2:I$95,2)))</f>
        <v>0</v>
      </c>
      <c r="K174" s="120" t="str" cm="1">
        <f t="array" ref="K174">IF(OR(E174="",G174=""),"",_xlfn.IFS(E174="U10B",_xlfn.XLOOKUP(G174,Data!$D$3:$L$3,Data!$D$1:$L$1,"",1,1),E174="U12B",_xlfn.XLOOKUP(G174,Data!$D$9:$L$9,Data!$D$1:$L$1,"",1,1),E174="U10G",_xlfn.XLOOKUP(G174,Data!$D$16:$L$16,Data!$D$1:$L$1,"",1,1),E174="U12G",_xlfn.XLOOKUP(G174,Data!$D$22:$L$22,Data!$D$1:$L$1,"",1,1)))</f>
        <v/>
      </c>
      <c r="L174" s="184" t="str" cm="1">
        <f t="array" ref="L174">IFERROR(_xlfn.IFNA(
                      _xlfn.IFS(
                      G174="", "",
                      G174=0, "",
                      AND(E174="U10B",G174&lt;=Data!$M$3), "U10 Boys record",
                      AND(E174="U12B",G174&lt;=Data!$M$9), "U12 Boys record",
                      AND(E174="U10G",G174&lt;=Data!$M$16), "U10 Girls record",
                      AND(E174="U12G",G174&lt;=Data!$M$22), "U12 Girls record"
                       ),""), "")</f>
        <v/>
      </c>
      <c r="M174" s="19" cm="1">
        <f t="array" ref="M174">_xlfn.IFS(OR($G174="",$G174=0),0, AND(NOT(ISNUMBER($G174)),LOWER($G174)&lt;&gt;"dnf"),"Not a valid time",OR(LOWER($G174)="dnf",$G174&gt;ScoringTable!$N$161),1,RIGHT($E174,1)="B",_xlfn.XLOOKUP($G174,ScoringTable!$N$2:$N$161,ScoringTable!$L$2:$L$161,,1),TRUE,_xlfn.XLOOKUP($G174,ScoringTable!$T$2:$T$161,ScoringTable!$R$2:$R$161,,1))</f>
        <v>0</v>
      </c>
      <c r="Q174" s="125">
        <f t="shared" si="10"/>
        <v>0</v>
      </c>
      <c r="R174" s="126">
        <f t="shared" si="11"/>
        <v>0</v>
      </c>
      <c r="S174" s="127">
        <f t="shared" si="12"/>
        <v>0</v>
      </c>
      <c r="T174" s="126">
        <f t="shared" si="13"/>
        <v>0</v>
      </c>
      <c r="U174" s="128">
        <f t="shared" si="14"/>
        <v>0</v>
      </c>
    </row>
    <row r="175" spans="1:21" s="7" customFormat="1" ht="16" customHeight="1">
      <c r="A175" s="121" t="s">
        <v>3</v>
      </c>
      <c r="B175" s="122" t="str">
        <f>IF(ISNA(VLOOKUP($F175,Declarations!B$6:C$293,2,FALSE)),"",IF(VLOOKUP($F175,Declarations!B$6:C$293,2,FALSE)="","NOT DECLARED",IF(ISNA(_xlfn.TEXTBEFORE(VLOOKUP($F175,Declarations!B$6:C$293,2,FALSE)," ")),VLOOKUP($F175,Declarations!B$6:C$293,2,FALSE),_xlfn.TEXTBEFORE(VLOOKUP($F175,Declarations!B$6:C$293,2,FALSE)," "))))</f>
        <v/>
      </c>
      <c r="C175" s="122" t="str">
        <f>IF(ISNA(VLOOKUP($F175,Declarations!B$6:C$293,2,FALSE)),"",IF(VLOOKUP($F175,Declarations!B$6:C$293,2,FALSE)="","NOT DECLARED",IF(ISNA(_xlfn.TEXTAFTER(VLOOKUP($F175,Declarations!B$6:C$293,2,FALSE)," ")),VLOOKUP($F175,Declarations!B$6:C$293,2,FALSE),_xlfn.TEXTAFTER(VLOOKUP($F175,Declarations!B$6:C$293,2,FALSE)," "))))</f>
        <v/>
      </c>
      <c r="D175" s="122" t="str">
        <f>IF(ISNA(VLOOKUP($F175,Declarations!$B$6:$F$293,5,FALSE)),"",IF(VLOOKUP($F175,Declarations!$B$6:$F$293,5,FALSE)="","NOT DECLARED",VLOOKUP($F175,Declarations!$B$6:$F$293,5,FALSE)))</f>
        <v/>
      </c>
      <c r="E175" s="120" t="str">
        <f>IF(ISNA(VLOOKUP($F175,Declarations!$B$6:$D$293,3,FALSE)),"",IF(VLOOKUP($F175,Declarations!$B$6:$D$293,3,FALSE)="","NOT DECLARED",VLOOKUP($F175,Declarations!$B$6:$D$293,3,FALSE)&amp;LEFT(VLOOKUP($F175,Declarations!$B$6:$E$293,4,FALSE))))</f>
        <v/>
      </c>
      <c r="F175" s="59"/>
      <c r="G175" s="123">
        <v>0</v>
      </c>
      <c r="H175" s="322"/>
      <c r="I175" s="122" t="str">
        <f>IF(ISNA(VLOOKUP(F175,Declarations!B$6:C$293,2,FALSE)),"",IF(VLOOKUP(F175,Declarations!B$6:C$293,2,FALSE)="","NOTDECLARED",VLOOKUP(F175,Declarations!B$6:C$293,2,FALSE)))</f>
        <v/>
      </c>
      <c r="J175" s="124">
        <f>IF(LOWER(G175)="dnf",1,IF(U175&lt;ScoringTable!C$3,ScoringTable!I$2,VLOOKUP((1000-U175),ScoringTable!H$2:I$95,2)))</f>
        <v>0</v>
      </c>
      <c r="K175" s="120" t="str" cm="1">
        <f t="array" ref="K175">IF(OR(E175="",G175=""),"",_xlfn.IFS(E175="U10B",_xlfn.XLOOKUP(G175,Data!$D$3:$L$3,Data!$D$1:$L$1,"",1,1),E175="U12B",_xlfn.XLOOKUP(G175,Data!$D$9:$L$9,Data!$D$1:$L$1,"",1,1),E175="U10G",_xlfn.XLOOKUP(G175,Data!$D$16:$L$16,Data!$D$1:$L$1,"",1,1),E175="U12G",_xlfn.XLOOKUP(G175,Data!$D$22:$L$22,Data!$D$1:$L$1,"",1,1)))</f>
        <v/>
      </c>
      <c r="L175" s="184" t="str" cm="1">
        <f t="array" ref="L175">IFERROR(_xlfn.IFNA(
                      _xlfn.IFS(
                      G175="", "",
                      G175=0, "",
                      AND(E175="U10B",G175&lt;=Data!$M$3), "U10 Boys record",
                      AND(E175="U12B",G175&lt;=Data!$M$9), "U12 Boys record",
                      AND(E175="U10G",G175&lt;=Data!$M$16), "U10 Girls record",
                      AND(E175="U12G",G175&lt;=Data!$M$22), "U12 Girls record"
                       ),""), "")</f>
        <v/>
      </c>
      <c r="M175" s="19" cm="1">
        <f t="array" ref="M175">_xlfn.IFS(OR($G175="",$G175=0),0, AND(NOT(ISNUMBER($G175)),LOWER($G175)&lt;&gt;"dnf"),"Not a valid time",OR(LOWER($G175)="dnf",$G175&gt;ScoringTable!$N$161),1,RIGHT($E175,1)="B",_xlfn.XLOOKUP($G175,ScoringTable!$N$2:$N$161,ScoringTable!$L$2:$L$161,,1),TRUE,_xlfn.XLOOKUP($G175,ScoringTable!$T$2:$T$161,ScoringTable!$R$2:$R$161,,1))</f>
        <v>0</v>
      </c>
      <c r="Q175" s="125">
        <f t="shared" si="10"/>
        <v>0</v>
      </c>
      <c r="R175" s="126">
        <f t="shared" si="11"/>
        <v>0</v>
      </c>
      <c r="S175" s="127">
        <f t="shared" si="12"/>
        <v>0</v>
      </c>
      <c r="T175" s="126">
        <f t="shared" si="13"/>
        <v>0</v>
      </c>
      <c r="U175" s="128">
        <f t="shared" si="14"/>
        <v>0</v>
      </c>
    </row>
    <row r="176" spans="1:21" s="7" customFormat="1" ht="16" customHeight="1">
      <c r="A176" s="121" t="s">
        <v>3</v>
      </c>
      <c r="B176" s="122" t="str">
        <f>IF(ISNA(VLOOKUP($F176,Declarations!B$6:C$293,2,FALSE)),"",IF(VLOOKUP($F176,Declarations!B$6:C$293,2,FALSE)="","NOT DECLARED",IF(ISNA(_xlfn.TEXTBEFORE(VLOOKUP($F176,Declarations!B$6:C$293,2,FALSE)," ")),VLOOKUP($F176,Declarations!B$6:C$293,2,FALSE),_xlfn.TEXTBEFORE(VLOOKUP($F176,Declarations!B$6:C$293,2,FALSE)," "))))</f>
        <v/>
      </c>
      <c r="C176" s="122" t="str">
        <f>IF(ISNA(VLOOKUP($F176,Declarations!B$6:C$293,2,FALSE)),"",IF(VLOOKUP($F176,Declarations!B$6:C$293,2,FALSE)="","NOT DECLARED",IF(ISNA(_xlfn.TEXTAFTER(VLOOKUP($F176,Declarations!B$6:C$293,2,FALSE)," ")),VLOOKUP($F176,Declarations!B$6:C$293,2,FALSE),_xlfn.TEXTAFTER(VLOOKUP($F176,Declarations!B$6:C$293,2,FALSE)," "))))</f>
        <v/>
      </c>
      <c r="D176" s="122" t="str">
        <f>IF(ISNA(VLOOKUP($F176,Declarations!$B$6:$F$293,5,FALSE)),"",IF(VLOOKUP($F176,Declarations!$B$6:$F$293,5,FALSE)="","NOT DECLARED",VLOOKUP($F176,Declarations!$B$6:$F$293,5,FALSE)))</f>
        <v/>
      </c>
      <c r="E176" s="120" t="str">
        <f>IF(ISNA(VLOOKUP($F176,Declarations!$B$6:$D$293,3,FALSE)),"",IF(VLOOKUP($F176,Declarations!$B$6:$D$293,3,FALSE)="","NOT DECLARED",VLOOKUP($F176,Declarations!$B$6:$D$293,3,FALSE)&amp;LEFT(VLOOKUP($F176,Declarations!$B$6:$E$293,4,FALSE))))</f>
        <v/>
      </c>
      <c r="F176" s="59"/>
      <c r="G176" s="123">
        <v>0</v>
      </c>
      <c r="H176" s="322"/>
      <c r="I176" s="122" t="str">
        <f>IF(ISNA(VLOOKUP(F176,Declarations!B$6:C$293,2,FALSE)),"",IF(VLOOKUP(F176,Declarations!B$6:C$293,2,FALSE)="","NOTDECLARED",VLOOKUP(F176,Declarations!B$6:C$293,2,FALSE)))</f>
        <v/>
      </c>
      <c r="J176" s="124">
        <f>IF(LOWER(G176)="dnf",1,IF(U176&lt;ScoringTable!C$3,ScoringTable!I$2,VLOOKUP((1000-U176),ScoringTable!H$2:I$95,2)))</f>
        <v>0</v>
      </c>
      <c r="K176" s="120" t="str" cm="1">
        <f t="array" ref="K176">IF(OR(E176="",G176=""),"",_xlfn.IFS(E176="U10B",_xlfn.XLOOKUP(G176,Data!$D$3:$L$3,Data!$D$1:$L$1,"",1,1),E176="U12B",_xlfn.XLOOKUP(G176,Data!$D$9:$L$9,Data!$D$1:$L$1,"",1,1),E176="U10G",_xlfn.XLOOKUP(G176,Data!$D$16:$L$16,Data!$D$1:$L$1,"",1,1),E176="U12G",_xlfn.XLOOKUP(G176,Data!$D$22:$L$22,Data!$D$1:$L$1,"",1,1)))</f>
        <v/>
      </c>
      <c r="L176" s="184" t="str" cm="1">
        <f t="array" ref="L176">IFERROR(_xlfn.IFNA(
                      _xlfn.IFS(
                      G176="", "",
                      G176=0, "",
                      AND(E176="U10B",G176&lt;=Data!$M$3), "U10 Boys record",
                      AND(E176="U12B",G176&lt;=Data!$M$9), "U12 Boys record",
                      AND(E176="U10G",G176&lt;=Data!$M$16), "U10 Girls record",
                      AND(E176="U12G",G176&lt;=Data!$M$22), "U12 Girls record"
                       ),""), "")</f>
        <v/>
      </c>
      <c r="M176" s="19" cm="1">
        <f t="array" ref="M176">_xlfn.IFS(OR($G176="",$G176=0),0, AND(NOT(ISNUMBER($G176)),LOWER($G176)&lt;&gt;"dnf"),"Not a valid time",OR(LOWER($G176)="dnf",$G176&gt;ScoringTable!$N$161),1,RIGHT($E176,1)="B",_xlfn.XLOOKUP($G176,ScoringTable!$N$2:$N$161,ScoringTable!$L$2:$L$161,,1),TRUE,_xlfn.XLOOKUP($G176,ScoringTable!$T$2:$T$161,ScoringTable!$R$2:$R$161,,1))</f>
        <v>0</v>
      </c>
      <c r="Q176" s="125">
        <f t="shared" si="10"/>
        <v>0</v>
      </c>
      <c r="R176" s="126">
        <f t="shared" si="11"/>
        <v>0</v>
      </c>
      <c r="S176" s="127">
        <f t="shared" si="12"/>
        <v>0</v>
      </c>
      <c r="T176" s="126">
        <f t="shared" si="13"/>
        <v>0</v>
      </c>
      <c r="U176" s="128">
        <f t="shared" si="14"/>
        <v>0</v>
      </c>
    </row>
    <row r="177" spans="1:21" s="7" customFormat="1" ht="16" customHeight="1">
      <c r="A177" s="121" t="s">
        <v>3</v>
      </c>
      <c r="B177" s="122" t="str">
        <f>IF(ISNA(VLOOKUP($F177,Declarations!B$6:C$293,2,FALSE)),"",IF(VLOOKUP($F177,Declarations!B$6:C$293,2,FALSE)="","NOT DECLARED",IF(ISNA(_xlfn.TEXTBEFORE(VLOOKUP($F177,Declarations!B$6:C$293,2,FALSE)," ")),VLOOKUP($F177,Declarations!B$6:C$293,2,FALSE),_xlfn.TEXTBEFORE(VLOOKUP($F177,Declarations!B$6:C$293,2,FALSE)," "))))</f>
        <v/>
      </c>
      <c r="C177" s="122" t="str">
        <f>IF(ISNA(VLOOKUP($F177,Declarations!B$6:C$293,2,FALSE)),"",IF(VLOOKUP($F177,Declarations!B$6:C$293,2,FALSE)="","NOT DECLARED",IF(ISNA(_xlfn.TEXTAFTER(VLOOKUP($F177,Declarations!B$6:C$293,2,FALSE)," ")),VLOOKUP($F177,Declarations!B$6:C$293,2,FALSE),_xlfn.TEXTAFTER(VLOOKUP($F177,Declarations!B$6:C$293,2,FALSE)," "))))</f>
        <v/>
      </c>
      <c r="D177" s="122" t="str">
        <f>IF(ISNA(VLOOKUP($F177,Declarations!$B$6:$F$293,5,FALSE)),"",IF(VLOOKUP($F177,Declarations!$B$6:$F$293,5,FALSE)="","NOT DECLARED",VLOOKUP($F177,Declarations!$B$6:$F$293,5,FALSE)))</f>
        <v/>
      </c>
      <c r="E177" s="120" t="str">
        <f>IF(ISNA(VLOOKUP($F177,Declarations!$B$6:$D$293,3,FALSE)),"",IF(VLOOKUP($F177,Declarations!$B$6:$D$293,3,FALSE)="","NOT DECLARED",VLOOKUP($F177,Declarations!$B$6:$D$293,3,FALSE)&amp;LEFT(VLOOKUP($F177,Declarations!$B$6:$E$293,4,FALSE))))</f>
        <v/>
      </c>
      <c r="F177" s="59"/>
      <c r="G177" s="123">
        <v>0</v>
      </c>
      <c r="H177" s="322"/>
      <c r="I177" s="122" t="str">
        <f>IF(ISNA(VLOOKUP(F177,Declarations!B$6:C$293,2,FALSE)),"",IF(VLOOKUP(F177,Declarations!B$6:C$293,2,FALSE)="","NOTDECLARED",VLOOKUP(F177,Declarations!B$6:C$293,2,FALSE)))</f>
        <v/>
      </c>
      <c r="J177" s="124">
        <f>IF(LOWER(G177)="dnf",1,IF(U177&lt;ScoringTable!C$3,ScoringTable!I$2,VLOOKUP((1000-U177),ScoringTable!H$2:I$95,2)))</f>
        <v>0</v>
      </c>
      <c r="K177" s="120" t="str" cm="1">
        <f t="array" ref="K177">IF(OR(E177="",G177=""),"",_xlfn.IFS(E177="U10B",_xlfn.XLOOKUP(G177,Data!$D$3:$L$3,Data!$D$1:$L$1,"",1,1),E177="U12B",_xlfn.XLOOKUP(G177,Data!$D$9:$L$9,Data!$D$1:$L$1,"",1,1),E177="U10G",_xlfn.XLOOKUP(G177,Data!$D$16:$L$16,Data!$D$1:$L$1,"",1,1),E177="U12G",_xlfn.XLOOKUP(G177,Data!$D$22:$L$22,Data!$D$1:$L$1,"",1,1)))</f>
        <v/>
      </c>
      <c r="L177" s="184" t="str" cm="1">
        <f t="array" ref="L177">IFERROR(_xlfn.IFNA(
                      _xlfn.IFS(
                      G177="", "",
                      G177=0, "",
                      AND(E177="U10B",G177&lt;=Data!$M$3), "U10 Boys record",
                      AND(E177="U12B",G177&lt;=Data!$M$9), "U12 Boys record",
                      AND(E177="U10G",G177&lt;=Data!$M$16), "U10 Girls record",
                      AND(E177="U12G",G177&lt;=Data!$M$22), "U12 Girls record"
                       ),""), "")</f>
        <v/>
      </c>
      <c r="M177" s="19" cm="1">
        <f t="array" ref="M177">_xlfn.IFS(OR($G177="",$G177=0),0, AND(NOT(ISNUMBER($G177)),LOWER($G177)&lt;&gt;"dnf"),"Not a valid time",OR(LOWER($G177)="dnf",$G177&gt;ScoringTable!$N$161),1,RIGHT($E177,1)="B",_xlfn.XLOOKUP($G177,ScoringTable!$N$2:$N$161,ScoringTable!$L$2:$L$161,,1),TRUE,_xlfn.XLOOKUP($G177,ScoringTable!$T$2:$T$161,ScoringTable!$R$2:$R$161,,1))</f>
        <v>0</v>
      </c>
      <c r="Q177" s="125">
        <f t="shared" si="10"/>
        <v>0</v>
      </c>
      <c r="R177" s="126">
        <f t="shared" si="11"/>
        <v>0</v>
      </c>
      <c r="S177" s="127">
        <f t="shared" si="12"/>
        <v>0</v>
      </c>
      <c r="T177" s="126">
        <f t="shared" si="13"/>
        <v>0</v>
      </c>
      <c r="U177" s="128">
        <f t="shared" si="14"/>
        <v>0</v>
      </c>
    </row>
    <row r="178" spans="1:21" s="7" customFormat="1" ht="16" customHeight="1">
      <c r="A178" s="121" t="s">
        <v>3</v>
      </c>
      <c r="B178" s="122" t="str">
        <f>IF(ISNA(VLOOKUP($F178,Declarations!B$6:C$293,2,FALSE)),"",IF(VLOOKUP($F178,Declarations!B$6:C$293,2,FALSE)="","NOT DECLARED",IF(ISNA(_xlfn.TEXTBEFORE(VLOOKUP($F178,Declarations!B$6:C$293,2,FALSE)," ")),VLOOKUP($F178,Declarations!B$6:C$293,2,FALSE),_xlfn.TEXTBEFORE(VLOOKUP($F178,Declarations!B$6:C$293,2,FALSE)," "))))</f>
        <v/>
      </c>
      <c r="C178" s="122" t="str">
        <f>IF(ISNA(VLOOKUP($F178,Declarations!B$6:C$293,2,FALSE)),"",IF(VLOOKUP($F178,Declarations!B$6:C$293,2,FALSE)="","NOT DECLARED",IF(ISNA(_xlfn.TEXTAFTER(VLOOKUP($F178,Declarations!B$6:C$293,2,FALSE)," ")),VLOOKUP($F178,Declarations!B$6:C$293,2,FALSE),_xlfn.TEXTAFTER(VLOOKUP($F178,Declarations!B$6:C$293,2,FALSE)," "))))</f>
        <v/>
      </c>
      <c r="D178" s="122" t="str">
        <f>IF(ISNA(VLOOKUP($F178,Declarations!$B$6:$F$293,5,FALSE)),"",IF(VLOOKUP($F178,Declarations!$B$6:$F$293,5,FALSE)="","NOT DECLARED",VLOOKUP($F178,Declarations!$B$6:$F$293,5,FALSE)))</f>
        <v/>
      </c>
      <c r="E178" s="120" t="str">
        <f>IF(ISNA(VLOOKUP($F178,Declarations!$B$6:$D$293,3,FALSE)),"",IF(VLOOKUP($F178,Declarations!$B$6:$D$293,3,FALSE)="","NOT DECLARED",VLOOKUP($F178,Declarations!$B$6:$D$293,3,FALSE)&amp;LEFT(VLOOKUP($F178,Declarations!$B$6:$E$293,4,FALSE))))</f>
        <v/>
      </c>
      <c r="F178" s="59"/>
      <c r="G178" s="123">
        <v>0</v>
      </c>
      <c r="H178" s="322"/>
      <c r="I178" s="122" t="str">
        <f>IF(ISNA(VLOOKUP(F178,Declarations!B$6:C$293,2,FALSE)),"",IF(VLOOKUP(F178,Declarations!B$6:C$293,2,FALSE)="","NOTDECLARED",VLOOKUP(F178,Declarations!B$6:C$293,2,FALSE)))</f>
        <v/>
      </c>
      <c r="J178" s="124">
        <f>IF(LOWER(G178)="dnf",1,IF(U178&lt;ScoringTable!C$3,ScoringTable!I$2,VLOOKUP((1000-U178),ScoringTable!H$2:I$95,2)))</f>
        <v>0</v>
      </c>
      <c r="K178" s="120" t="str" cm="1">
        <f t="array" ref="K178">IF(OR(E178="",G178=""),"",_xlfn.IFS(E178="U10B",_xlfn.XLOOKUP(G178,Data!$D$3:$L$3,Data!$D$1:$L$1,"",1,1),E178="U12B",_xlfn.XLOOKUP(G178,Data!$D$9:$L$9,Data!$D$1:$L$1,"",1,1),E178="U10G",_xlfn.XLOOKUP(G178,Data!$D$16:$L$16,Data!$D$1:$L$1,"",1,1),E178="U12G",_xlfn.XLOOKUP(G178,Data!$D$22:$L$22,Data!$D$1:$L$1,"",1,1)))</f>
        <v/>
      </c>
      <c r="L178" s="184" t="str" cm="1">
        <f t="array" ref="L178">IFERROR(_xlfn.IFNA(
                      _xlfn.IFS(
                      G178="", "",
                      G178=0, "",
                      AND(E178="U10B",G178&lt;=Data!$M$3), "U10 Boys record",
                      AND(E178="U12B",G178&lt;=Data!$M$9), "U12 Boys record",
                      AND(E178="U10G",G178&lt;=Data!$M$16), "U10 Girls record",
                      AND(E178="U12G",G178&lt;=Data!$M$22), "U12 Girls record"
                       ),""), "")</f>
        <v/>
      </c>
      <c r="M178" s="19" cm="1">
        <f t="array" ref="M178">_xlfn.IFS(OR($G178="",$G178=0),0, AND(NOT(ISNUMBER($G178)),LOWER($G178)&lt;&gt;"dnf"),"Not a valid time",OR(LOWER($G178)="dnf",$G178&gt;ScoringTable!$N$161),1,RIGHT($E178,1)="B",_xlfn.XLOOKUP($G178,ScoringTable!$N$2:$N$161,ScoringTable!$L$2:$L$161,,1),TRUE,_xlfn.XLOOKUP($G178,ScoringTable!$T$2:$T$161,ScoringTable!$R$2:$R$161,,1))</f>
        <v>0</v>
      </c>
      <c r="Q178" s="125">
        <f t="shared" si="10"/>
        <v>0</v>
      </c>
      <c r="R178" s="126">
        <f t="shared" si="11"/>
        <v>0</v>
      </c>
      <c r="S178" s="127">
        <f t="shared" si="12"/>
        <v>0</v>
      </c>
      <c r="T178" s="126">
        <f t="shared" si="13"/>
        <v>0</v>
      </c>
      <c r="U178" s="128">
        <f t="shared" si="14"/>
        <v>0</v>
      </c>
    </row>
    <row r="179" spans="1:21" s="7" customFormat="1" ht="16" customHeight="1">
      <c r="A179" s="121" t="s">
        <v>3</v>
      </c>
      <c r="B179" s="122" t="str">
        <f>IF(ISNA(VLOOKUP($F179,Declarations!B$6:C$293,2,FALSE)),"",IF(VLOOKUP($F179,Declarations!B$6:C$293,2,FALSE)="","NOT DECLARED",IF(ISNA(_xlfn.TEXTBEFORE(VLOOKUP($F179,Declarations!B$6:C$293,2,FALSE)," ")),VLOOKUP($F179,Declarations!B$6:C$293,2,FALSE),_xlfn.TEXTBEFORE(VLOOKUP($F179,Declarations!B$6:C$293,2,FALSE)," "))))</f>
        <v/>
      </c>
      <c r="C179" s="122" t="str">
        <f>IF(ISNA(VLOOKUP($F179,Declarations!B$6:C$293,2,FALSE)),"",IF(VLOOKUP($F179,Declarations!B$6:C$293,2,FALSE)="","NOT DECLARED",IF(ISNA(_xlfn.TEXTAFTER(VLOOKUP($F179,Declarations!B$6:C$293,2,FALSE)," ")),VLOOKUP($F179,Declarations!B$6:C$293,2,FALSE),_xlfn.TEXTAFTER(VLOOKUP($F179,Declarations!B$6:C$293,2,FALSE)," "))))</f>
        <v/>
      </c>
      <c r="D179" s="122" t="str">
        <f>IF(ISNA(VLOOKUP($F179,Declarations!$B$6:$F$293,5,FALSE)),"",IF(VLOOKUP($F179,Declarations!$B$6:$F$293,5,FALSE)="","NOT DECLARED",VLOOKUP($F179,Declarations!$B$6:$F$293,5,FALSE)))</f>
        <v/>
      </c>
      <c r="E179" s="120" t="str">
        <f>IF(ISNA(VLOOKUP($F179,Declarations!$B$6:$D$293,3,FALSE)),"",IF(VLOOKUP($F179,Declarations!$B$6:$D$293,3,FALSE)="","NOT DECLARED",VLOOKUP($F179,Declarations!$B$6:$D$293,3,FALSE)&amp;LEFT(VLOOKUP($F179,Declarations!$B$6:$E$293,4,FALSE))))</f>
        <v/>
      </c>
      <c r="F179" s="59"/>
      <c r="G179" s="123">
        <v>0</v>
      </c>
      <c r="H179" s="322"/>
      <c r="I179" s="122" t="str">
        <f>IF(ISNA(VLOOKUP(F179,Declarations!B$6:C$293,2,FALSE)),"",IF(VLOOKUP(F179,Declarations!B$6:C$293,2,FALSE)="","NOTDECLARED",VLOOKUP(F179,Declarations!B$6:C$293,2,FALSE)))</f>
        <v/>
      </c>
      <c r="J179" s="124">
        <f>IF(LOWER(G179)="dnf",1,IF(U179&lt;ScoringTable!C$3,ScoringTable!I$2,VLOOKUP((1000-U179),ScoringTable!H$2:I$95,2)))</f>
        <v>0</v>
      </c>
      <c r="K179" s="120" t="str" cm="1">
        <f t="array" ref="K179">IF(OR(E179="",G179=""),"",_xlfn.IFS(E179="U10B",_xlfn.XLOOKUP(G179,Data!$D$3:$L$3,Data!$D$1:$L$1,"",1,1),E179="U12B",_xlfn.XLOOKUP(G179,Data!$D$9:$L$9,Data!$D$1:$L$1,"",1,1),E179="U10G",_xlfn.XLOOKUP(G179,Data!$D$16:$L$16,Data!$D$1:$L$1,"",1,1),E179="U12G",_xlfn.XLOOKUP(G179,Data!$D$22:$L$22,Data!$D$1:$L$1,"",1,1)))</f>
        <v/>
      </c>
      <c r="L179" s="184" t="str" cm="1">
        <f t="array" ref="L179">IFERROR(_xlfn.IFNA(
                      _xlfn.IFS(
                      G179="", "",
                      G179=0, "",
                      AND(E179="U10B",G179&lt;=Data!$M$3), "U10 Boys record",
                      AND(E179="U12B",G179&lt;=Data!$M$9), "U12 Boys record",
                      AND(E179="U10G",G179&lt;=Data!$M$16), "U10 Girls record",
                      AND(E179="U12G",G179&lt;=Data!$M$22), "U12 Girls record"
                       ),""), "")</f>
        <v/>
      </c>
      <c r="M179" s="19" cm="1">
        <f t="array" ref="M179">_xlfn.IFS(OR($G179="",$G179=0),0, AND(NOT(ISNUMBER($G179)),LOWER($G179)&lt;&gt;"dnf"),"Not a valid time",OR(LOWER($G179)="dnf",$G179&gt;ScoringTable!$N$161),1,RIGHT($E179,1)="B",_xlfn.XLOOKUP($G179,ScoringTable!$N$2:$N$161,ScoringTable!$L$2:$L$161,,1),TRUE,_xlfn.XLOOKUP($G179,ScoringTable!$T$2:$T$161,ScoringTable!$R$2:$R$161,,1))</f>
        <v>0</v>
      </c>
      <c r="Q179" s="125">
        <f t="shared" si="10"/>
        <v>0</v>
      </c>
      <c r="R179" s="126">
        <f t="shared" si="11"/>
        <v>0</v>
      </c>
      <c r="S179" s="127">
        <f t="shared" si="12"/>
        <v>0</v>
      </c>
      <c r="T179" s="126">
        <f t="shared" si="13"/>
        <v>0</v>
      </c>
      <c r="U179" s="128">
        <f t="shared" si="14"/>
        <v>0</v>
      </c>
    </row>
    <row r="180" spans="1:21" s="7" customFormat="1" ht="16" customHeight="1">
      <c r="A180" s="121" t="s">
        <v>3</v>
      </c>
      <c r="B180" s="122" t="str">
        <f>IF(ISNA(VLOOKUP($F180,Declarations!B$6:C$293,2,FALSE)),"",IF(VLOOKUP($F180,Declarations!B$6:C$293,2,FALSE)="","NOT DECLARED",IF(ISNA(_xlfn.TEXTBEFORE(VLOOKUP($F180,Declarations!B$6:C$293,2,FALSE)," ")),VLOOKUP($F180,Declarations!B$6:C$293,2,FALSE),_xlfn.TEXTBEFORE(VLOOKUP($F180,Declarations!B$6:C$293,2,FALSE)," "))))</f>
        <v/>
      </c>
      <c r="C180" s="122" t="str">
        <f>IF(ISNA(VLOOKUP($F180,Declarations!B$6:C$293,2,FALSE)),"",IF(VLOOKUP($F180,Declarations!B$6:C$293,2,FALSE)="","NOT DECLARED",IF(ISNA(_xlfn.TEXTAFTER(VLOOKUP($F180,Declarations!B$6:C$293,2,FALSE)," ")),VLOOKUP($F180,Declarations!B$6:C$293,2,FALSE),_xlfn.TEXTAFTER(VLOOKUP($F180,Declarations!B$6:C$293,2,FALSE)," "))))</f>
        <v/>
      </c>
      <c r="D180" s="122" t="str">
        <f>IF(ISNA(VLOOKUP($F180,Declarations!$B$6:$F$293,5,FALSE)),"",IF(VLOOKUP($F180,Declarations!$B$6:$F$293,5,FALSE)="","NOT DECLARED",VLOOKUP($F180,Declarations!$B$6:$F$293,5,FALSE)))</f>
        <v/>
      </c>
      <c r="E180" s="120" t="str">
        <f>IF(ISNA(VLOOKUP($F180,Declarations!$B$6:$D$293,3,FALSE)),"",IF(VLOOKUP($F180,Declarations!$B$6:$D$293,3,FALSE)="","NOT DECLARED",VLOOKUP($F180,Declarations!$B$6:$D$293,3,FALSE)&amp;LEFT(VLOOKUP($F180,Declarations!$B$6:$E$293,4,FALSE))))</f>
        <v/>
      </c>
      <c r="F180" s="59"/>
      <c r="G180" s="123">
        <v>0</v>
      </c>
      <c r="H180" s="322"/>
      <c r="I180" s="122" t="str">
        <f>IF(ISNA(VLOOKUP(F180,Declarations!B$6:C$293,2,FALSE)),"",IF(VLOOKUP(F180,Declarations!B$6:C$293,2,FALSE)="","NOTDECLARED",VLOOKUP(F180,Declarations!B$6:C$293,2,FALSE)))</f>
        <v/>
      </c>
      <c r="J180" s="124">
        <f>IF(LOWER(G180)="dnf",1,IF(U180&lt;ScoringTable!C$3,ScoringTable!I$2,VLOOKUP((1000-U180),ScoringTable!H$2:I$95,2)))</f>
        <v>0</v>
      </c>
      <c r="K180" s="120" t="str" cm="1">
        <f t="array" ref="K180">IF(OR(E180="",G180=""),"",_xlfn.IFS(E180="U10B",_xlfn.XLOOKUP(G180,Data!$D$3:$L$3,Data!$D$1:$L$1,"",1,1),E180="U12B",_xlfn.XLOOKUP(G180,Data!$D$9:$L$9,Data!$D$1:$L$1,"",1,1),E180="U10G",_xlfn.XLOOKUP(G180,Data!$D$16:$L$16,Data!$D$1:$L$1,"",1,1),E180="U12G",_xlfn.XLOOKUP(G180,Data!$D$22:$L$22,Data!$D$1:$L$1,"",1,1)))</f>
        <v/>
      </c>
      <c r="L180" s="184" t="str" cm="1">
        <f t="array" ref="L180">IFERROR(_xlfn.IFNA(
                      _xlfn.IFS(
                      G180="", "",
                      G180=0, "",
                      AND(E180="U10B",G180&lt;=Data!$M$3), "U10 Boys record",
                      AND(E180="U12B",G180&lt;=Data!$M$9), "U12 Boys record",
                      AND(E180="U10G",G180&lt;=Data!$M$16), "U10 Girls record",
                      AND(E180="U12G",G180&lt;=Data!$M$22), "U12 Girls record"
                       ),""), "")</f>
        <v/>
      </c>
      <c r="M180" s="19" cm="1">
        <f t="array" ref="M180">_xlfn.IFS(OR($G180="",$G180=0),0, AND(NOT(ISNUMBER($G180)),LOWER($G180)&lt;&gt;"dnf"),"Not a valid time",OR(LOWER($G180)="dnf",$G180&gt;ScoringTable!$N$161),1,RIGHT($E180,1)="B",_xlfn.XLOOKUP($G180,ScoringTable!$N$2:$N$161,ScoringTable!$L$2:$L$161,,1),TRUE,_xlfn.XLOOKUP($G180,ScoringTable!$T$2:$T$161,ScoringTable!$R$2:$R$161,,1))</f>
        <v>0</v>
      </c>
      <c r="Q180" s="125">
        <f t="shared" si="10"/>
        <v>0</v>
      </c>
      <c r="R180" s="126">
        <f t="shared" si="11"/>
        <v>0</v>
      </c>
      <c r="S180" s="127">
        <f t="shared" si="12"/>
        <v>0</v>
      </c>
      <c r="T180" s="126">
        <f t="shared" si="13"/>
        <v>0</v>
      </c>
      <c r="U180" s="128">
        <f t="shared" si="14"/>
        <v>0</v>
      </c>
    </row>
    <row r="181" spans="1:21" s="7" customFormat="1" ht="16" customHeight="1">
      <c r="A181" s="121" t="s">
        <v>3</v>
      </c>
      <c r="B181" s="122" t="str">
        <f>IF(ISNA(VLOOKUP($F181,Declarations!B$6:C$293,2,FALSE)),"",IF(VLOOKUP($F181,Declarations!B$6:C$293,2,FALSE)="","NOT DECLARED",IF(ISNA(_xlfn.TEXTBEFORE(VLOOKUP($F181,Declarations!B$6:C$293,2,FALSE)," ")),VLOOKUP($F181,Declarations!B$6:C$293,2,FALSE),_xlfn.TEXTBEFORE(VLOOKUP($F181,Declarations!B$6:C$293,2,FALSE)," "))))</f>
        <v/>
      </c>
      <c r="C181" s="122" t="str">
        <f>IF(ISNA(VLOOKUP($F181,Declarations!B$6:C$293,2,FALSE)),"",IF(VLOOKUP($F181,Declarations!B$6:C$293,2,FALSE)="","NOT DECLARED",IF(ISNA(_xlfn.TEXTAFTER(VLOOKUP($F181,Declarations!B$6:C$293,2,FALSE)," ")),VLOOKUP($F181,Declarations!B$6:C$293,2,FALSE),_xlfn.TEXTAFTER(VLOOKUP($F181,Declarations!B$6:C$293,2,FALSE)," "))))</f>
        <v/>
      </c>
      <c r="D181" s="122" t="str">
        <f>IF(ISNA(VLOOKUP($F181,Declarations!$B$6:$F$293,5,FALSE)),"",IF(VLOOKUP($F181,Declarations!$B$6:$F$293,5,FALSE)="","NOT DECLARED",VLOOKUP($F181,Declarations!$B$6:$F$293,5,FALSE)))</f>
        <v/>
      </c>
      <c r="E181" s="120" t="str">
        <f>IF(ISNA(VLOOKUP($F181,Declarations!$B$6:$D$293,3,FALSE)),"",IF(VLOOKUP($F181,Declarations!$B$6:$D$293,3,FALSE)="","NOT DECLARED",VLOOKUP($F181,Declarations!$B$6:$D$293,3,FALSE)&amp;LEFT(VLOOKUP($F181,Declarations!$B$6:$E$293,4,FALSE))))</f>
        <v/>
      </c>
      <c r="F181" s="59"/>
      <c r="G181" s="123">
        <v>0</v>
      </c>
      <c r="H181" s="322"/>
      <c r="I181" s="122" t="str">
        <f>IF(ISNA(VLOOKUP(F181,Declarations!B$6:C$293,2,FALSE)),"",IF(VLOOKUP(F181,Declarations!B$6:C$293,2,FALSE)="","NOTDECLARED",VLOOKUP(F181,Declarations!B$6:C$293,2,FALSE)))</f>
        <v/>
      </c>
      <c r="J181" s="124">
        <f>IF(LOWER(G181)="dnf",1,IF(U181&lt;ScoringTable!C$3,ScoringTable!I$2,VLOOKUP((1000-U181),ScoringTable!H$2:I$95,2)))</f>
        <v>0</v>
      </c>
      <c r="K181" s="120" t="str" cm="1">
        <f t="array" ref="K181">IF(OR(E181="",G181=""),"",_xlfn.IFS(E181="U10B",_xlfn.XLOOKUP(G181,Data!$D$3:$L$3,Data!$D$1:$L$1,"",1,1),E181="U12B",_xlfn.XLOOKUP(G181,Data!$D$9:$L$9,Data!$D$1:$L$1,"",1,1),E181="U10G",_xlfn.XLOOKUP(G181,Data!$D$16:$L$16,Data!$D$1:$L$1,"",1,1),E181="U12G",_xlfn.XLOOKUP(G181,Data!$D$22:$L$22,Data!$D$1:$L$1,"",1,1)))</f>
        <v/>
      </c>
      <c r="L181" s="184" t="str" cm="1">
        <f t="array" ref="L181">IFERROR(_xlfn.IFNA(
                      _xlfn.IFS(
                      G181="", "",
                      G181=0, "",
                      AND(E181="U10B",G181&lt;=Data!$M$3), "U10 Boys record",
                      AND(E181="U12B",G181&lt;=Data!$M$9), "U12 Boys record",
                      AND(E181="U10G",G181&lt;=Data!$M$16), "U10 Girls record",
                      AND(E181="U12G",G181&lt;=Data!$M$22), "U12 Girls record"
                       ),""), "")</f>
        <v/>
      </c>
      <c r="M181" s="19" cm="1">
        <f t="array" ref="M181">_xlfn.IFS(OR($G181="",$G181=0),0, AND(NOT(ISNUMBER($G181)),LOWER($G181)&lt;&gt;"dnf"),"Not a valid time",OR(LOWER($G181)="dnf",$G181&gt;ScoringTable!$N$161),1,RIGHT($E181,1)="B",_xlfn.XLOOKUP($G181,ScoringTable!$N$2:$N$161,ScoringTable!$L$2:$L$161,,1),TRUE,_xlfn.XLOOKUP($G181,ScoringTable!$T$2:$T$161,ScoringTable!$R$2:$R$161,,1))</f>
        <v>0</v>
      </c>
      <c r="Q181" s="125">
        <f t="shared" si="10"/>
        <v>0</v>
      </c>
      <c r="R181" s="126">
        <f t="shared" si="11"/>
        <v>0</v>
      </c>
      <c r="S181" s="127">
        <f t="shared" si="12"/>
        <v>0</v>
      </c>
      <c r="T181" s="126">
        <f t="shared" si="13"/>
        <v>0</v>
      </c>
      <c r="U181" s="128">
        <f t="shared" si="14"/>
        <v>0</v>
      </c>
    </row>
    <row r="182" spans="1:21" s="7" customFormat="1" ht="16" customHeight="1">
      <c r="A182" s="121" t="s">
        <v>3</v>
      </c>
      <c r="B182" s="122" t="str">
        <f>IF(ISNA(VLOOKUP($F182,Declarations!B$6:C$293,2,FALSE)),"",IF(VLOOKUP($F182,Declarations!B$6:C$293,2,FALSE)="","NOT DECLARED",IF(ISNA(_xlfn.TEXTBEFORE(VLOOKUP($F182,Declarations!B$6:C$293,2,FALSE)," ")),VLOOKUP($F182,Declarations!B$6:C$293,2,FALSE),_xlfn.TEXTBEFORE(VLOOKUP($F182,Declarations!B$6:C$293,2,FALSE)," "))))</f>
        <v/>
      </c>
      <c r="C182" s="122" t="str">
        <f>IF(ISNA(VLOOKUP($F182,Declarations!B$6:C$293,2,FALSE)),"",IF(VLOOKUP($F182,Declarations!B$6:C$293,2,FALSE)="","NOT DECLARED",IF(ISNA(_xlfn.TEXTAFTER(VLOOKUP($F182,Declarations!B$6:C$293,2,FALSE)," ")),VLOOKUP($F182,Declarations!B$6:C$293,2,FALSE),_xlfn.TEXTAFTER(VLOOKUP($F182,Declarations!B$6:C$293,2,FALSE)," "))))</f>
        <v/>
      </c>
      <c r="D182" s="122" t="str">
        <f>IF(ISNA(VLOOKUP($F182,Declarations!$B$6:$F$293,5,FALSE)),"",IF(VLOOKUP($F182,Declarations!$B$6:$F$293,5,FALSE)="","NOT DECLARED",VLOOKUP($F182,Declarations!$B$6:$F$293,5,FALSE)))</f>
        <v/>
      </c>
      <c r="E182" s="120" t="str">
        <f>IF(ISNA(VLOOKUP($F182,Declarations!$B$6:$D$293,3,FALSE)),"",IF(VLOOKUP($F182,Declarations!$B$6:$D$293,3,FALSE)="","NOT DECLARED",VLOOKUP($F182,Declarations!$B$6:$D$293,3,FALSE)&amp;LEFT(VLOOKUP($F182,Declarations!$B$6:$E$293,4,FALSE))))</f>
        <v/>
      </c>
      <c r="F182" s="59"/>
      <c r="G182" s="123">
        <v>0</v>
      </c>
      <c r="H182" s="322"/>
      <c r="I182" s="122" t="str">
        <f>IF(ISNA(VLOOKUP(F182,Declarations!B$6:C$293,2,FALSE)),"",IF(VLOOKUP(F182,Declarations!B$6:C$293,2,FALSE)="","NOTDECLARED",VLOOKUP(F182,Declarations!B$6:C$293,2,FALSE)))</f>
        <v/>
      </c>
      <c r="J182" s="124">
        <f>IF(LOWER(G182)="dnf",1,IF(U182&lt;ScoringTable!C$3,ScoringTable!I$2,VLOOKUP((1000-U182),ScoringTable!H$2:I$95,2)))</f>
        <v>0</v>
      </c>
      <c r="K182" s="120" t="str" cm="1">
        <f t="array" ref="K182">IF(OR(E182="",G182=""),"",_xlfn.IFS(E182="U10B",_xlfn.XLOOKUP(G182,Data!$D$3:$L$3,Data!$D$1:$L$1,"",1,1),E182="U12B",_xlfn.XLOOKUP(G182,Data!$D$9:$L$9,Data!$D$1:$L$1,"",1,1),E182="U10G",_xlfn.XLOOKUP(G182,Data!$D$16:$L$16,Data!$D$1:$L$1,"",1,1),E182="U12G",_xlfn.XLOOKUP(G182,Data!$D$22:$L$22,Data!$D$1:$L$1,"",1,1)))</f>
        <v/>
      </c>
      <c r="L182" s="184" t="str" cm="1">
        <f t="array" ref="L182">IFERROR(_xlfn.IFNA(
                      _xlfn.IFS(
                      G182="", "",
                      G182=0, "",
                      AND(E182="U10B",G182&lt;=Data!$M$3), "U10 Boys record",
                      AND(E182="U12B",G182&lt;=Data!$M$9), "U12 Boys record",
                      AND(E182="U10G",G182&lt;=Data!$M$16), "U10 Girls record",
                      AND(E182="U12G",G182&lt;=Data!$M$22), "U12 Girls record"
                       ),""), "")</f>
        <v/>
      </c>
      <c r="M182" s="19" cm="1">
        <f t="array" ref="M182">_xlfn.IFS(OR($G182="",$G182=0),0, AND(NOT(ISNUMBER($G182)),LOWER($G182)&lt;&gt;"dnf"),"Not a valid time",OR(LOWER($G182)="dnf",$G182&gt;ScoringTable!$N$161),1,RIGHT($E182,1)="B",_xlfn.XLOOKUP($G182,ScoringTable!$N$2:$N$161,ScoringTable!$L$2:$L$161,,1),TRUE,_xlfn.XLOOKUP($G182,ScoringTable!$T$2:$T$161,ScoringTable!$R$2:$R$161,,1))</f>
        <v>0</v>
      </c>
      <c r="Q182" s="125">
        <f t="shared" si="10"/>
        <v>0</v>
      </c>
      <c r="R182" s="126">
        <f t="shared" si="11"/>
        <v>0</v>
      </c>
      <c r="S182" s="127">
        <f t="shared" si="12"/>
        <v>0</v>
      </c>
      <c r="T182" s="126">
        <f t="shared" si="13"/>
        <v>0</v>
      </c>
      <c r="U182" s="128">
        <f t="shared" si="14"/>
        <v>0</v>
      </c>
    </row>
    <row r="183" spans="1:21" s="7" customFormat="1" ht="16" customHeight="1">
      <c r="A183" s="121" t="s">
        <v>3</v>
      </c>
      <c r="B183" s="122" t="str">
        <f>IF(ISNA(VLOOKUP($F183,Declarations!B$6:C$293,2,FALSE)),"",IF(VLOOKUP($F183,Declarations!B$6:C$293,2,FALSE)="","NOT DECLARED",IF(ISNA(_xlfn.TEXTBEFORE(VLOOKUP($F183,Declarations!B$6:C$293,2,FALSE)," ")),VLOOKUP($F183,Declarations!B$6:C$293,2,FALSE),_xlfn.TEXTBEFORE(VLOOKUP($F183,Declarations!B$6:C$293,2,FALSE)," "))))</f>
        <v/>
      </c>
      <c r="C183" s="122" t="str">
        <f>IF(ISNA(VLOOKUP($F183,Declarations!B$6:C$293,2,FALSE)),"",IF(VLOOKUP($F183,Declarations!B$6:C$293,2,FALSE)="","NOT DECLARED",IF(ISNA(_xlfn.TEXTAFTER(VLOOKUP($F183,Declarations!B$6:C$293,2,FALSE)," ")),VLOOKUP($F183,Declarations!B$6:C$293,2,FALSE),_xlfn.TEXTAFTER(VLOOKUP($F183,Declarations!B$6:C$293,2,FALSE)," "))))</f>
        <v/>
      </c>
      <c r="D183" s="122" t="str">
        <f>IF(ISNA(VLOOKUP($F183,Declarations!$B$6:$F$293,5,FALSE)),"",IF(VLOOKUP($F183,Declarations!$B$6:$F$293,5,FALSE)="","NOT DECLARED",VLOOKUP($F183,Declarations!$B$6:$F$293,5,FALSE)))</f>
        <v/>
      </c>
      <c r="E183" s="120" t="str">
        <f>IF(ISNA(VLOOKUP($F183,Declarations!$B$6:$D$293,3,FALSE)),"",IF(VLOOKUP($F183,Declarations!$B$6:$D$293,3,FALSE)="","NOT DECLARED",VLOOKUP($F183,Declarations!$B$6:$D$293,3,FALSE)&amp;LEFT(VLOOKUP($F183,Declarations!$B$6:$E$293,4,FALSE))))</f>
        <v/>
      </c>
      <c r="F183" s="59"/>
      <c r="G183" s="123">
        <v>0</v>
      </c>
      <c r="H183" s="322"/>
      <c r="I183" s="122" t="str">
        <f>IF(ISNA(VLOOKUP(F183,Declarations!B$6:C$293,2,FALSE)),"",IF(VLOOKUP(F183,Declarations!B$6:C$293,2,FALSE)="","NOTDECLARED",VLOOKUP(F183,Declarations!B$6:C$293,2,FALSE)))</f>
        <v/>
      </c>
      <c r="J183" s="124">
        <f>IF(LOWER(G183)="dnf",1,IF(U183&lt;ScoringTable!C$3,ScoringTable!I$2,VLOOKUP((1000-U183),ScoringTable!H$2:I$95,2)))</f>
        <v>0</v>
      </c>
      <c r="K183" s="120" t="str" cm="1">
        <f t="array" ref="K183">IF(OR(E183="",G183=""),"",_xlfn.IFS(E183="U10B",_xlfn.XLOOKUP(G183,Data!$D$3:$L$3,Data!$D$1:$L$1,"",1,1),E183="U12B",_xlfn.XLOOKUP(G183,Data!$D$9:$L$9,Data!$D$1:$L$1,"",1,1),E183="U10G",_xlfn.XLOOKUP(G183,Data!$D$16:$L$16,Data!$D$1:$L$1,"",1,1),E183="U12G",_xlfn.XLOOKUP(G183,Data!$D$22:$L$22,Data!$D$1:$L$1,"",1,1)))</f>
        <v/>
      </c>
      <c r="L183" s="184" t="str" cm="1">
        <f t="array" ref="L183">IFERROR(_xlfn.IFNA(
                      _xlfn.IFS(
                      G183="", "",
                      G183=0, "",
                      AND(E183="U10B",G183&lt;=Data!$M$3), "U10 Boys record",
                      AND(E183="U12B",G183&lt;=Data!$M$9), "U12 Boys record",
                      AND(E183="U10G",G183&lt;=Data!$M$16), "U10 Girls record",
                      AND(E183="U12G",G183&lt;=Data!$M$22), "U12 Girls record"
                       ),""), "")</f>
        <v/>
      </c>
      <c r="M183" s="19" cm="1">
        <f t="array" ref="M183">_xlfn.IFS(OR($G183="",$G183=0),0, AND(NOT(ISNUMBER($G183)),LOWER($G183)&lt;&gt;"dnf"),"Not a valid time",OR(LOWER($G183)="dnf",$G183&gt;ScoringTable!$N$161),1,RIGHT($E183,1)="B",_xlfn.XLOOKUP($G183,ScoringTable!$N$2:$N$161,ScoringTable!$L$2:$L$161,,1),TRUE,_xlfn.XLOOKUP($G183,ScoringTable!$T$2:$T$161,ScoringTable!$R$2:$R$161,,1))</f>
        <v>0</v>
      </c>
      <c r="Q183" s="125">
        <f t="shared" si="10"/>
        <v>0</v>
      </c>
      <c r="R183" s="126">
        <f t="shared" si="11"/>
        <v>0</v>
      </c>
      <c r="S183" s="127">
        <f t="shared" si="12"/>
        <v>0</v>
      </c>
      <c r="T183" s="126">
        <f t="shared" si="13"/>
        <v>0</v>
      </c>
      <c r="U183" s="128">
        <f t="shared" si="14"/>
        <v>0</v>
      </c>
    </row>
    <row r="184" spans="1:21" s="7" customFormat="1" ht="16" customHeight="1">
      <c r="A184" s="121" t="s">
        <v>3</v>
      </c>
      <c r="B184" s="122" t="str">
        <f>IF(ISNA(VLOOKUP($F184,Declarations!B$6:C$293,2,FALSE)),"",IF(VLOOKUP($F184,Declarations!B$6:C$293,2,FALSE)="","NOT DECLARED",IF(ISNA(_xlfn.TEXTBEFORE(VLOOKUP($F184,Declarations!B$6:C$293,2,FALSE)," ")),VLOOKUP($F184,Declarations!B$6:C$293,2,FALSE),_xlfn.TEXTBEFORE(VLOOKUP($F184,Declarations!B$6:C$293,2,FALSE)," "))))</f>
        <v/>
      </c>
      <c r="C184" s="122" t="str">
        <f>IF(ISNA(VLOOKUP($F184,Declarations!B$6:C$293,2,FALSE)),"",IF(VLOOKUP($F184,Declarations!B$6:C$293,2,FALSE)="","NOT DECLARED",IF(ISNA(_xlfn.TEXTAFTER(VLOOKUP($F184,Declarations!B$6:C$293,2,FALSE)," ")),VLOOKUP($F184,Declarations!B$6:C$293,2,FALSE),_xlfn.TEXTAFTER(VLOOKUP($F184,Declarations!B$6:C$293,2,FALSE)," "))))</f>
        <v/>
      </c>
      <c r="D184" s="122" t="str">
        <f>IF(ISNA(VLOOKUP($F184,Declarations!$B$6:$F$293,5,FALSE)),"",IF(VLOOKUP($F184,Declarations!$B$6:$F$293,5,FALSE)="","NOT DECLARED",VLOOKUP($F184,Declarations!$B$6:$F$293,5,FALSE)))</f>
        <v/>
      </c>
      <c r="E184" s="120" t="str">
        <f>IF(ISNA(VLOOKUP($F184,Declarations!$B$6:$D$293,3,FALSE)),"",IF(VLOOKUP($F184,Declarations!$B$6:$D$293,3,FALSE)="","NOT DECLARED",VLOOKUP($F184,Declarations!$B$6:$D$293,3,FALSE)&amp;LEFT(VLOOKUP($F184,Declarations!$B$6:$E$293,4,FALSE))))</f>
        <v/>
      </c>
      <c r="F184" s="59"/>
      <c r="G184" s="123">
        <v>0</v>
      </c>
      <c r="H184" s="322"/>
      <c r="I184" s="122" t="str">
        <f>IF(ISNA(VLOOKUP(F184,Declarations!B$6:C$293,2,FALSE)),"",IF(VLOOKUP(F184,Declarations!B$6:C$293,2,FALSE)="","NOTDECLARED",VLOOKUP(F184,Declarations!B$6:C$293,2,FALSE)))</f>
        <v/>
      </c>
      <c r="J184" s="124">
        <f>IF(LOWER(G184)="dnf",1,IF(U184&lt;ScoringTable!C$3,ScoringTable!I$2,VLOOKUP((1000-U184),ScoringTable!H$2:I$95,2)))</f>
        <v>0</v>
      </c>
      <c r="K184" s="120" t="str" cm="1">
        <f t="array" ref="K184">IF(OR(E184="",G184=""),"",_xlfn.IFS(E184="U10B",_xlfn.XLOOKUP(G184,Data!$D$3:$L$3,Data!$D$1:$L$1,"",1,1),E184="U12B",_xlfn.XLOOKUP(G184,Data!$D$9:$L$9,Data!$D$1:$L$1,"",1,1),E184="U10G",_xlfn.XLOOKUP(G184,Data!$D$16:$L$16,Data!$D$1:$L$1,"",1,1),E184="U12G",_xlfn.XLOOKUP(G184,Data!$D$22:$L$22,Data!$D$1:$L$1,"",1,1)))</f>
        <v/>
      </c>
      <c r="L184" s="184" t="str" cm="1">
        <f t="array" ref="L184">IFERROR(_xlfn.IFNA(
                      _xlfn.IFS(
                      G184="", "",
                      G184=0, "",
                      AND(E184="U10B",G184&lt;=Data!$M$3), "U10 Boys record",
                      AND(E184="U12B",G184&lt;=Data!$M$9), "U12 Boys record",
                      AND(E184="U10G",G184&lt;=Data!$M$16), "U10 Girls record",
                      AND(E184="U12G",G184&lt;=Data!$M$22), "U12 Girls record"
                       ),""), "")</f>
        <v/>
      </c>
      <c r="M184" s="19" cm="1">
        <f t="array" ref="M184">_xlfn.IFS(OR($G184="",$G184=0),0, AND(NOT(ISNUMBER($G184)),LOWER($G184)&lt;&gt;"dnf"),"Not a valid time",OR(LOWER($G184)="dnf",$G184&gt;ScoringTable!$N$161),1,RIGHT($E184,1)="B",_xlfn.XLOOKUP($G184,ScoringTable!$N$2:$N$161,ScoringTable!$L$2:$L$161,,1),TRUE,_xlfn.XLOOKUP($G184,ScoringTable!$T$2:$T$161,ScoringTable!$R$2:$R$161,,1))</f>
        <v>0</v>
      </c>
      <c r="Q184" s="125">
        <f t="shared" si="10"/>
        <v>0</v>
      </c>
      <c r="R184" s="126">
        <f t="shared" si="11"/>
        <v>0</v>
      </c>
      <c r="S184" s="127">
        <f t="shared" si="12"/>
        <v>0</v>
      </c>
      <c r="T184" s="126">
        <f t="shared" si="13"/>
        <v>0</v>
      </c>
      <c r="U184" s="128">
        <f t="shared" si="14"/>
        <v>0</v>
      </c>
    </row>
    <row r="185" spans="1:21" s="7" customFormat="1" ht="16" customHeight="1">
      <c r="A185" s="121" t="s">
        <v>3</v>
      </c>
      <c r="B185" s="122" t="str">
        <f>IF(ISNA(VLOOKUP($F185,Declarations!B$6:C$293,2,FALSE)),"",IF(VLOOKUP($F185,Declarations!B$6:C$293,2,FALSE)="","NOT DECLARED",IF(ISNA(_xlfn.TEXTBEFORE(VLOOKUP($F185,Declarations!B$6:C$293,2,FALSE)," ")),VLOOKUP($F185,Declarations!B$6:C$293,2,FALSE),_xlfn.TEXTBEFORE(VLOOKUP($F185,Declarations!B$6:C$293,2,FALSE)," "))))</f>
        <v/>
      </c>
      <c r="C185" s="122" t="str">
        <f>IF(ISNA(VLOOKUP($F185,Declarations!B$6:C$293,2,FALSE)),"",IF(VLOOKUP($F185,Declarations!B$6:C$293,2,FALSE)="","NOT DECLARED",IF(ISNA(_xlfn.TEXTAFTER(VLOOKUP($F185,Declarations!B$6:C$293,2,FALSE)," ")),VLOOKUP($F185,Declarations!B$6:C$293,2,FALSE),_xlfn.TEXTAFTER(VLOOKUP($F185,Declarations!B$6:C$293,2,FALSE)," "))))</f>
        <v/>
      </c>
      <c r="D185" s="122" t="str">
        <f>IF(ISNA(VLOOKUP($F185,Declarations!$B$6:$F$293,5,FALSE)),"",IF(VLOOKUP($F185,Declarations!$B$6:$F$293,5,FALSE)="","NOT DECLARED",VLOOKUP($F185,Declarations!$B$6:$F$293,5,FALSE)))</f>
        <v/>
      </c>
      <c r="E185" s="120" t="str">
        <f>IF(ISNA(VLOOKUP($F185,Declarations!$B$6:$D$293,3,FALSE)),"",IF(VLOOKUP($F185,Declarations!$B$6:$D$293,3,FALSE)="","NOT DECLARED",VLOOKUP($F185,Declarations!$B$6:$D$293,3,FALSE)&amp;LEFT(VLOOKUP($F185,Declarations!$B$6:$E$293,4,FALSE))))</f>
        <v/>
      </c>
      <c r="F185" s="59"/>
      <c r="G185" s="123">
        <v>0</v>
      </c>
      <c r="H185" s="322"/>
      <c r="I185" s="122" t="str">
        <f>IF(ISNA(VLOOKUP(F185,Declarations!B$6:C$293,2,FALSE)),"",IF(VLOOKUP(F185,Declarations!B$6:C$293,2,FALSE)="","NOTDECLARED",VLOOKUP(F185,Declarations!B$6:C$293,2,FALSE)))</f>
        <v/>
      </c>
      <c r="J185" s="124">
        <f>IF(LOWER(G185)="dnf",1,IF(U185&lt;ScoringTable!C$3,ScoringTable!I$2,VLOOKUP((1000-U185),ScoringTable!H$2:I$95,2)))</f>
        <v>0</v>
      </c>
      <c r="K185" s="120" t="str" cm="1">
        <f t="array" ref="K185">IF(OR(E185="",G185=""),"",_xlfn.IFS(E185="U10B",_xlfn.XLOOKUP(G185,Data!$D$3:$L$3,Data!$D$1:$L$1,"",1,1),E185="U12B",_xlfn.XLOOKUP(G185,Data!$D$9:$L$9,Data!$D$1:$L$1,"",1,1),E185="U10G",_xlfn.XLOOKUP(G185,Data!$D$16:$L$16,Data!$D$1:$L$1,"",1,1),E185="U12G",_xlfn.XLOOKUP(G185,Data!$D$22:$L$22,Data!$D$1:$L$1,"",1,1)))</f>
        <v/>
      </c>
      <c r="L185" s="184" t="str" cm="1">
        <f t="array" ref="L185">IFERROR(_xlfn.IFNA(
                      _xlfn.IFS(
                      G185="", "",
                      G185=0, "",
                      AND(E185="U10B",G185&lt;=Data!$M$3), "U10 Boys record",
                      AND(E185="U12B",G185&lt;=Data!$M$9), "U12 Boys record",
                      AND(E185="U10G",G185&lt;=Data!$M$16), "U10 Girls record",
                      AND(E185="U12G",G185&lt;=Data!$M$22), "U12 Girls record"
                       ),""), "")</f>
        <v/>
      </c>
      <c r="M185" s="19" cm="1">
        <f t="array" ref="M185">_xlfn.IFS(OR($G185="",$G185=0),0, AND(NOT(ISNUMBER($G185)),LOWER($G185)&lt;&gt;"dnf"),"Not a valid time",OR(LOWER($G185)="dnf",$G185&gt;ScoringTable!$N$161),1,RIGHT($E185,1)="B",_xlfn.XLOOKUP($G185,ScoringTable!$N$2:$N$161,ScoringTable!$L$2:$L$161,,1),TRUE,_xlfn.XLOOKUP($G185,ScoringTable!$T$2:$T$161,ScoringTable!$R$2:$R$161,,1))</f>
        <v>0</v>
      </c>
      <c r="Q185" s="125">
        <f t="shared" si="10"/>
        <v>0</v>
      </c>
      <c r="R185" s="126">
        <f t="shared" si="11"/>
        <v>0</v>
      </c>
      <c r="S185" s="127">
        <f t="shared" si="12"/>
        <v>0</v>
      </c>
      <c r="T185" s="126">
        <f t="shared" si="13"/>
        <v>0</v>
      </c>
      <c r="U185" s="128">
        <f t="shared" si="14"/>
        <v>0</v>
      </c>
    </row>
    <row r="186" spans="1:21" s="7" customFormat="1" ht="16" customHeight="1">
      <c r="A186" s="121" t="s">
        <v>3</v>
      </c>
      <c r="B186" s="122" t="str">
        <f>IF(ISNA(VLOOKUP($F186,Declarations!B$6:C$293,2,FALSE)),"",IF(VLOOKUP($F186,Declarations!B$6:C$293,2,FALSE)="","NOT DECLARED",IF(ISNA(_xlfn.TEXTBEFORE(VLOOKUP($F186,Declarations!B$6:C$293,2,FALSE)," ")),VLOOKUP($F186,Declarations!B$6:C$293,2,FALSE),_xlfn.TEXTBEFORE(VLOOKUP($F186,Declarations!B$6:C$293,2,FALSE)," "))))</f>
        <v/>
      </c>
      <c r="C186" s="122" t="str">
        <f>IF(ISNA(VLOOKUP($F186,Declarations!B$6:C$293,2,FALSE)),"",IF(VLOOKUP($F186,Declarations!B$6:C$293,2,FALSE)="","NOT DECLARED",IF(ISNA(_xlfn.TEXTAFTER(VLOOKUP($F186,Declarations!B$6:C$293,2,FALSE)," ")),VLOOKUP($F186,Declarations!B$6:C$293,2,FALSE),_xlfn.TEXTAFTER(VLOOKUP($F186,Declarations!B$6:C$293,2,FALSE)," "))))</f>
        <v/>
      </c>
      <c r="D186" s="122" t="str">
        <f>IF(ISNA(VLOOKUP($F186,Declarations!$B$6:$F$293,5,FALSE)),"",IF(VLOOKUP($F186,Declarations!$B$6:$F$293,5,FALSE)="","NOT DECLARED",VLOOKUP($F186,Declarations!$B$6:$F$293,5,FALSE)))</f>
        <v/>
      </c>
      <c r="E186" s="120" t="str">
        <f>IF(ISNA(VLOOKUP($F186,Declarations!$B$6:$D$293,3,FALSE)),"",IF(VLOOKUP($F186,Declarations!$B$6:$D$293,3,FALSE)="","NOT DECLARED",VLOOKUP($F186,Declarations!$B$6:$D$293,3,FALSE)&amp;LEFT(VLOOKUP($F186,Declarations!$B$6:$E$293,4,FALSE))))</f>
        <v/>
      </c>
      <c r="F186" s="59"/>
      <c r="G186" s="123">
        <v>0</v>
      </c>
      <c r="H186" s="322"/>
      <c r="I186" s="122" t="str">
        <f>IF(ISNA(VLOOKUP(F186,Declarations!B$6:C$293,2,FALSE)),"",IF(VLOOKUP(F186,Declarations!B$6:C$293,2,FALSE)="","NOTDECLARED",VLOOKUP(F186,Declarations!B$6:C$293,2,FALSE)))</f>
        <v/>
      </c>
      <c r="J186" s="124">
        <f>IF(LOWER(G186)="dnf",1,IF(U186&lt;ScoringTable!C$3,ScoringTable!I$2,VLOOKUP((1000-U186),ScoringTable!H$2:I$95,2)))</f>
        <v>0</v>
      </c>
      <c r="K186" s="120" t="str" cm="1">
        <f t="array" ref="K186">IF(OR(E186="",G186=""),"",_xlfn.IFS(E186="U10B",_xlfn.XLOOKUP(G186,Data!$D$3:$L$3,Data!$D$1:$L$1,"",1,1),E186="U12B",_xlfn.XLOOKUP(G186,Data!$D$9:$L$9,Data!$D$1:$L$1,"",1,1),E186="U10G",_xlfn.XLOOKUP(G186,Data!$D$16:$L$16,Data!$D$1:$L$1,"",1,1),E186="U12G",_xlfn.XLOOKUP(G186,Data!$D$22:$L$22,Data!$D$1:$L$1,"",1,1)))</f>
        <v/>
      </c>
      <c r="L186" s="184" t="str" cm="1">
        <f t="array" ref="L186">IFERROR(_xlfn.IFNA(
                      _xlfn.IFS(
                      G186="", "",
                      G186=0, "",
                      AND(E186="U10B",G186&lt;=Data!$M$3), "U10 Boys record",
                      AND(E186="U12B",G186&lt;=Data!$M$9), "U12 Boys record",
                      AND(E186="U10G",G186&lt;=Data!$M$16), "U10 Girls record",
                      AND(E186="U12G",G186&lt;=Data!$M$22), "U12 Girls record"
                       ),""), "")</f>
        <v/>
      </c>
      <c r="M186" s="19" cm="1">
        <f t="array" ref="M186">_xlfn.IFS(OR($G186="",$G186=0),0, AND(NOT(ISNUMBER($G186)),LOWER($G186)&lt;&gt;"dnf"),"Not a valid time",OR(LOWER($G186)="dnf",$G186&gt;ScoringTable!$N$161),1,RIGHT($E186,1)="B",_xlfn.XLOOKUP($G186,ScoringTable!$N$2:$N$161,ScoringTable!$L$2:$L$161,,1),TRUE,_xlfn.XLOOKUP($G186,ScoringTable!$T$2:$T$161,ScoringTable!$R$2:$R$161,,1))</f>
        <v>0</v>
      </c>
      <c r="Q186" s="125">
        <f t="shared" si="10"/>
        <v>0</v>
      </c>
      <c r="R186" s="126">
        <f t="shared" si="11"/>
        <v>0</v>
      </c>
      <c r="S186" s="127">
        <f t="shared" si="12"/>
        <v>0</v>
      </c>
      <c r="T186" s="126">
        <f t="shared" si="13"/>
        <v>0</v>
      </c>
      <c r="U186" s="128">
        <f t="shared" si="14"/>
        <v>0</v>
      </c>
    </row>
    <row r="187" spans="1:21" s="7" customFormat="1" ht="16" customHeight="1">
      <c r="A187" s="121" t="s">
        <v>3</v>
      </c>
      <c r="B187" s="122" t="str">
        <f>IF(ISNA(VLOOKUP($F187,Declarations!B$6:C$293,2,FALSE)),"",IF(VLOOKUP($F187,Declarations!B$6:C$293,2,FALSE)="","NOT DECLARED",IF(ISNA(_xlfn.TEXTBEFORE(VLOOKUP($F187,Declarations!B$6:C$293,2,FALSE)," ")),VLOOKUP($F187,Declarations!B$6:C$293,2,FALSE),_xlfn.TEXTBEFORE(VLOOKUP($F187,Declarations!B$6:C$293,2,FALSE)," "))))</f>
        <v/>
      </c>
      <c r="C187" s="122" t="str">
        <f>IF(ISNA(VLOOKUP($F187,Declarations!B$6:C$293,2,FALSE)),"",IF(VLOOKUP($F187,Declarations!B$6:C$293,2,FALSE)="","NOT DECLARED",IF(ISNA(_xlfn.TEXTAFTER(VLOOKUP($F187,Declarations!B$6:C$293,2,FALSE)," ")),VLOOKUP($F187,Declarations!B$6:C$293,2,FALSE),_xlfn.TEXTAFTER(VLOOKUP($F187,Declarations!B$6:C$293,2,FALSE)," "))))</f>
        <v/>
      </c>
      <c r="D187" s="122" t="str">
        <f>IF(ISNA(VLOOKUP($F187,Declarations!$B$6:$F$293,5,FALSE)),"",IF(VLOOKUP($F187,Declarations!$B$6:$F$293,5,FALSE)="","NOT DECLARED",VLOOKUP($F187,Declarations!$B$6:$F$293,5,FALSE)))</f>
        <v/>
      </c>
      <c r="E187" s="120" t="str">
        <f>IF(ISNA(VLOOKUP($F187,Declarations!$B$6:$D$293,3,FALSE)),"",IF(VLOOKUP($F187,Declarations!$B$6:$D$293,3,FALSE)="","NOT DECLARED",VLOOKUP($F187,Declarations!$B$6:$D$293,3,FALSE)&amp;LEFT(VLOOKUP($F187,Declarations!$B$6:$E$293,4,FALSE))))</f>
        <v/>
      </c>
      <c r="F187" s="59"/>
      <c r="G187" s="123">
        <v>0</v>
      </c>
      <c r="H187" s="322"/>
      <c r="I187" s="122" t="str">
        <f>IF(ISNA(VLOOKUP(F187,Declarations!B$6:C$293,2,FALSE)),"",IF(VLOOKUP(F187,Declarations!B$6:C$293,2,FALSE)="","NOTDECLARED",VLOOKUP(F187,Declarations!B$6:C$293,2,FALSE)))</f>
        <v/>
      </c>
      <c r="J187" s="124">
        <f>IF(LOWER(G187)="dnf",1,IF(U187&lt;ScoringTable!C$3,ScoringTable!I$2,VLOOKUP((1000-U187),ScoringTable!H$2:I$95,2)))</f>
        <v>0</v>
      </c>
      <c r="K187" s="120" t="str" cm="1">
        <f t="array" ref="K187">IF(OR(E187="",G187=""),"",_xlfn.IFS(E187="U10B",_xlfn.XLOOKUP(G187,Data!$D$3:$L$3,Data!$D$1:$L$1,"",1,1),E187="U12B",_xlfn.XLOOKUP(G187,Data!$D$9:$L$9,Data!$D$1:$L$1,"",1,1),E187="U10G",_xlfn.XLOOKUP(G187,Data!$D$16:$L$16,Data!$D$1:$L$1,"",1,1),E187="U12G",_xlfn.XLOOKUP(G187,Data!$D$22:$L$22,Data!$D$1:$L$1,"",1,1)))</f>
        <v/>
      </c>
      <c r="L187" s="184" t="str" cm="1">
        <f t="array" ref="L187">IFERROR(_xlfn.IFNA(
                      _xlfn.IFS(
                      G187="", "",
                      G187=0, "",
                      AND(E187="U10B",G187&lt;=Data!$M$3), "U10 Boys record",
                      AND(E187="U12B",G187&lt;=Data!$M$9), "U12 Boys record",
                      AND(E187="U10G",G187&lt;=Data!$M$16), "U10 Girls record",
                      AND(E187="U12G",G187&lt;=Data!$M$22), "U12 Girls record"
                       ),""), "")</f>
        <v/>
      </c>
      <c r="M187" s="19" cm="1">
        <f t="array" ref="M187">_xlfn.IFS(OR($G187="",$G187=0),0, AND(NOT(ISNUMBER($G187)),LOWER($G187)&lt;&gt;"dnf"),"Not a valid time",OR(LOWER($G187)="dnf",$G187&gt;ScoringTable!$N$161),1,RIGHT($E187,1)="B",_xlfn.XLOOKUP($G187,ScoringTable!$N$2:$N$161,ScoringTable!$L$2:$L$161,,1),TRUE,_xlfn.XLOOKUP($G187,ScoringTable!$T$2:$T$161,ScoringTable!$R$2:$R$161,,1))</f>
        <v>0</v>
      </c>
      <c r="Q187" s="125">
        <f t="shared" si="10"/>
        <v>0</v>
      </c>
      <c r="R187" s="126">
        <f t="shared" si="11"/>
        <v>0</v>
      </c>
      <c r="S187" s="127">
        <f t="shared" si="12"/>
        <v>0</v>
      </c>
      <c r="T187" s="126">
        <f t="shared" si="13"/>
        <v>0</v>
      </c>
      <c r="U187" s="128">
        <f t="shared" si="14"/>
        <v>0</v>
      </c>
    </row>
    <row r="188" spans="1:21" s="7" customFormat="1" ht="16" customHeight="1">
      <c r="A188" s="121" t="s">
        <v>3</v>
      </c>
      <c r="B188" s="122" t="str">
        <f>IF(ISNA(VLOOKUP($F188,Declarations!B$6:C$293,2,FALSE)),"",IF(VLOOKUP($F188,Declarations!B$6:C$293,2,FALSE)="","NOT DECLARED",IF(ISNA(_xlfn.TEXTBEFORE(VLOOKUP($F188,Declarations!B$6:C$293,2,FALSE)," ")),VLOOKUP($F188,Declarations!B$6:C$293,2,FALSE),_xlfn.TEXTBEFORE(VLOOKUP($F188,Declarations!B$6:C$293,2,FALSE)," "))))</f>
        <v/>
      </c>
      <c r="C188" s="122" t="str">
        <f>IF(ISNA(VLOOKUP($F188,Declarations!B$6:C$293,2,FALSE)),"",IF(VLOOKUP($F188,Declarations!B$6:C$293,2,FALSE)="","NOT DECLARED",IF(ISNA(_xlfn.TEXTAFTER(VLOOKUP($F188,Declarations!B$6:C$293,2,FALSE)," ")),VLOOKUP($F188,Declarations!B$6:C$293,2,FALSE),_xlfn.TEXTAFTER(VLOOKUP($F188,Declarations!B$6:C$293,2,FALSE)," "))))</f>
        <v/>
      </c>
      <c r="D188" s="122" t="str">
        <f>IF(ISNA(VLOOKUP($F188,Declarations!$B$6:$F$293,5,FALSE)),"",IF(VLOOKUP($F188,Declarations!$B$6:$F$293,5,FALSE)="","NOT DECLARED",VLOOKUP($F188,Declarations!$B$6:$F$293,5,FALSE)))</f>
        <v/>
      </c>
      <c r="E188" s="120" t="str">
        <f>IF(ISNA(VLOOKUP($F188,Declarations!$B$6:$D$293,3,FALSE)),"",IF(VLOOKUP($F188,Declarations!$B$6:$D$293,3,FALSE)="","NOT DECLARED",VLOOKUP($F188,Declarations!$B$6:$D$293,3,FALSE)&amp;LEFT(VLOOKUP($F188,Declarations!$B$6:$E$293,4,FALSE))))</f>
        <v/>
      </c>
      <c r="F188" s="59"/>
      <c r="G188" s="123">
        <v>0</v>
      </c>
      <c r="H188" s="322"/>
      <c r="I188" s="122" t="str">
        <f>IF(ISNA(VLOOKUP(F188,Declarations!B$6:C$293,2,FALSE)),"",IF(VLOOKUP(F188,Declarations!B$6:C$293,2,FALSE)="","NOTDECLARED",VLOOKUP(F188,Declarations!B$6:C$293,2,FALSE)))</f>
        <v/>
      </c>
      <c r="J188" s="124">
        <f>IF(LOWER(G188)="dnf",1,IF(U188&lt;ScoringTable!C$3,ScoringTable!I$2,VLOOKUP((1000-U188),ScoringTable!H$2:I$95,2)))</f>
        <v>0</v>
      </c>
      <c r="K188" s="120" t="str" cm="1">
        <f t="array" ref="K188">IF(OR(E188="",G188=""),"",_xlfn.IFS(E188="U10B",_xlfn.XLOOKUP(G188,Data!$D$3:$L$3,Data!$D$1:$L$1,"",1,1),E188="U12B",_xlfn.XLOOKUP(G188,Data!$D$9:$L$9,Data!$D$1:$L$1,"",1,1),E188="U10G",_xlfn.XLOOKUP(G188,Data!$D$16:$L$16,Data!$D$1:$L$1,"",1,1),E188="U12G",_xlfn.XLOOKUP(G188,Data!$D$22:$L$22,Data!$D$1:$L$1,"",1,1)))</f>
        <v/>
      </c>
      <c r="L188" s="184" t="str" cm="1">
        <f t="array" ref="L188">IFERROR(_xlfn.IFNA(
                      _xlfn.IFS(
                      G188="", "",
                      G188=0, "",
                      AND(E188="U10B",G188&lt;=Data!$M$3), "U10 Boys record",
                      AND(E188="U12B",G188&lt;=Data!$M$9), "U12 Boys record",
                      AND(E188="U10G",G188&lt;=Data!$M$16), "U10 Girls record",
                      AND(E188="U12G",G188&lt;=Data!$M$22), "U12 Girls record"
                       ),""), "")</f>
        <v/>
      </c>
      <c r="M188" s="19" cm="1">
        <f t="array" ref="M188">_xlfn.IFS(OR($G188="",$G188=0),0, AND(NOT(ISNUMBER($G188)),LOWER($G188)&lt;&gt;"dnf"),"Not a valid time",OR(LOWER($G188)="dnf",$G188&gt;ScoringTable!$N$161),1,RIGHT($E188,1)="B",_xlfn.XLOOKUP($G188,ScoringTable!$N$2:$N$161,ScoringTable!$L$2:$L$161,,1),TRUE,_xlfn.XLOOKUP($G188,ScoringTable!$T$2:$T$161,ScoringTable!$R$2:$R$161,,1))</f>
        <v>0</v>
      </c>
      <c r="Q188" s="125">
        <f t="shared" si="10"/>
        <v>0</v>
      </c>
      <c r="R188" s="126">
        <f t="shared" si="11"/>
        <v>0</v>
      </c>
      <c r="S188" s="127">
        <f t="shared" si="12"/>
        <v>0</v>
      </c>
      <c r="T188" s="126">
        <f t="shared" si="13"/>
        <v>0</v>
      </c>
      <c r="U188" s="128">
        <f t="shared" si="14"/>
        <v>0</v>
      </c>
    </row>
    <row r="189" spans="1:21" s="7" customFormat="1" ht="16" customHeight="1">
      <c r="A189" s="121" t="s">
        <v>3</v>
      </c>
      <c r="B189" s="122" t="str">
        <f>IF(ISNA(VLOOKUP($F189,Declarations!B$6:C$293,2,FALSE)),"",IF(VLOOKUP($F189,Declarations!B$6:C$293,2,FALSE)="","NOT DECLARED",IF(ISNA(_xlfn.TEXTBEFORE(VLOOKUP($F189,Declarations!B$6:C$293,2,FALSE)," ")),VLOOKUP($F189,Declarations!B$6:C$293,2,FALSE),_xlfn.TEXTBEFORE(VLOOKUP($F189,Declarations!B$6:C$293,2,FALSE)," "))))</f>
        <v/>
      </c>
      <c r="C189" s="122" t="str">
        <f>IF(ISNA(VLOOKUP($F189,Declarations!B$6:C$293,2,FALSE)),"",IF(VLOOKUP($F189,Declarations!B$6:C$293,2,FALSE)="","NOT DECLARED",IF(ISNA(_xlfn.TEXTAFTER(VLOOKUP($F189,Declarations!B$6:C$293,2,FALSE)," ")),VLOOKUP($F189,Declarations!B$6:C$293,2,FALSE),_xlfn.TEXTAFTER(VLOOKUP($F189,Declarations!B$6:C$293,2,FALSE)," "))))</f>
        <v/>
      </c>
      <c r="D189" s="122" t="str">
        <f>IF(ISNA(VLOOKUP($F189,Declarations!$B$6:$F$293,5,FALSE)),"",IF(VLOOKUP($F189,Declarations!$B$6:$F$293,5,FALSE)="","NOT DECLARED",VLOOKUP($F189,Declarations!$B$6:$F$293,5,FALSE)))</f>
        <v/>
      </c>
      <c r="E189" s="120" t="str">
        <f>IF(ISNA(VLOOKUP($F189,Declarations!$B$6:$D$293,3,FALSE)),"",IF(VLOOKUP($F189,Declarations!$B$6:$D$293,3,FALSE)="","NOT DECLARED",VLOOKUP($F189,Declarations!$B$6:$D$293,3,FALSE)&amp;LEFT(VLOOKUP($F189,Declarations!$B$6:$E$293,4,FALSE))))</f>
        <v/>
      </c>
      <c r="F189" s="59"/>
      <c r="G189" s="123">
        <v>0</v>
      </c>
      <c r="H189" s="322"/>
      <c r="I189" s="122" t="str">
        <f>IF(ISNA(VLOOKUP(F189,Declarations!B$6:C$293,2,FALSE)),"",IF(VLOOKUP(F189,Declarations!B$6:C$293,2,FALSE)="","NOTDECLARED",VLOOKUP(F189,Declarations!B$6:C$293,2,FALSE)))</f>
        <v/>
      </c>
      <c r="J189" s="124">
        <f>IF(LOWER(G189)="dnf",1,IF(U189&lt;ScoringTable!C$3,ScoringTable!I$2,VLOOKUP((1000-U189),ScoringTable!H$2:I$95,2)))</f>
        <v>0</v>
      </c>
      <c r="K189" s="120" t="str" cm="1">
        <f t="array" ref="K189">IF(OR(E189="",G189=""),"",_xlfn.IFS(E189="U10B",_xlfn.XLOOKUP(G189,Data!$D$3:$L$3,Data!$D$1:$L$1,"",1,1),E189="U12B",_xlfn.XLOOKUP(G189,Data!$D$9:$L$9,Data!$D$1:$L$1,"",1,1),E189="U10G",_xlfn.XLOOKUP(G189,Data!$D$16:$L$16,Data!$D$1:$L$1,"",1,1),E189="U12G",_xlfn.XLOOKUP(G189,Data!$D$22:$L$22,Data!$D$1:$L$1,"",1,1)))</f>
        <v/>
      </c>
      <c r="L189" s="184" t="str" cm="1">
        <f t="array" ref="L189">IFERROR(_xlfn.IFNA(
                      _xlfn.IFS(
                      G189="", "",
                      G189=0, "",
                      AND(E189="U10B",G189&lt;=Data!$M$3), "U10 Boys record",
                      AND(E189="U12B",G189&lt;=Data!$M$9), "U12 Boys record",
                      AND(E189="U10G",G189&lt;=Data!$M$16), "U10 Girls record",
                      AND(E189="U12G",G189&lt;=Data!$M$22), "U12 Girls record"
                       ),""), "")</f>
        <v/>
      </c>
      <c r="M189" s="19" cm="1">
        <f t="array" ref="M189">_xlfn.IFS(OR($G189="",$G189=0),0, AND(NOT(ISNUMBER($G189)),LOWER($G189)&lt;&gt;"dnf"),"Not a valid time",OR(LOWER($G189)="dnf",$G189&gt;ScoringTable!$N$161),1,RIGHT($E189,1)="B",_xlfn.XLOOKUP($G189,ScoringTable!$N$2:$N$161,ScoringTable!$L$2:$L$161,,1),TRUE,_xlfn.XLOOKUP($G189,ScoringTable!$T$2:$T$161,ScoringTable!$R$2:$R$161,,1))</f>
        <v>0</v>
      </c>
      <c r="Q189" s="125">
        <f t="shared" si="10"/>
        <v>0</v>
      </c>
      <c r="R189" s="126">
        <f t="shared" si="11"/>
        <v>0</v>
      </c>
      <c r="S189" s="127">
        <f t="shared" si="12"/>
        <v>0</v>
      </c>
      <c r="T189" s="126">
        <f t="shared" si="13"/>
        <v>0</v>
      </c>
      <c r="U189" s="128">
        <f t="shared" si="14"/>
        <v>0</v>
      </c>
    </row>
    <row r="190" spans="1:21" s="7" customFormat="1" ht="16" customHeight="1">
      <c r="A190" s="121" t="s">
        <v>3</v>
      </c>
      <c r="B190" s="122" t="str">
        <f>IF(ISNA(VLOOKUP($F190,Declarations!B$6:C$293,2,FALSE)),"",IF(VLOOKUP($F190,Declarations!B$6:C$293,2,FALSE)="","NOT DECLARED",IF(ISNA(_xlfn.TEXTBEFORE(VLOOKUP($F190,Declarations!B$6:C$293,2,FALSE)," ")),VLOOKUP($F190,Declarations!B$6:C$293,2,FALSE),_xlfn.TEXTBEFORE(VLOOKUP($F190,Declarations!B$6:C$293,2,FALSE)," "))))</f>
        <v/>
      </c>
      <c r="C190" s="122" t="str">
        <f>IF(ISNA(VLOOKUP($F190,Declarations!B$6:C$293,2,FALSE)),"",IF(VLOOKUP($F190,Declarations!B$6:C$293,2,FALSE)="","NOT DECLARED",IF(ISNA(_xlfn.TEXTAFTER(VLOOKUP($F190,Declarations!B$6:C$293,2,FALSE)," ")),VLOOKUP($F190,Declarations!B$6:C$293,2,FALSE),_xlfn.TEXTAFTER(VLOOKUP($F190,Declarations!B$6:C$293,2,FALSE)," "))))</f>
        <v/>
      </c>
      <c r="D190" s="122" t="str">
        <f>IF(ISNA(VLOOKUP($F190,Declarations!$B$6:$F$293,5,FALSE)),"",IF(VLOOKUP($F190,Declarations!$B$6:$F$293,5,FALSE)="","NOT DECLARED",VLOOKUP($F190,Declarations!$B$6:$F$293,5,FALSE)))</f>
        <v/>
      </c>
      <c r="E190" s="120" t="str">
        <f>IF(ISNA(VLOOKUP($F190,Declarations!$B$6:$D$293,3,FALSE)),"",IF(VLOOKUP($F190,Declarations!$B$6:$D$293,3,FALSE)="","NOT DECLARED",VLOOKUP($F190,Declarations!$B$6:$D$293,3,FALSE)&amp;LEFT(VLOOKUP($F190,Declarations!$B$6:$E$293,4,FALSE))))</f>
        <v/>
      </c>
      <c r="F190" s="59"/>
      <c r="G190" s="123">
        <v>0</v>
      </c>
      <c r="H190" s="322"/>
      <c r="I190" s="122" t="str">
        <f>IF(ISNA(VLOOKUP(F190,Declarations!B$6:C$293,2,FALSE)),"",IF(VLOOKUP(F190,Declarations!B$6:C$293,2,FALSE)="","NOTDECLARED",VLOOKUP(F190,Declarations!B$6:C$293,2,FALSE)))</f>
        <v/>
      </c>
      <c r="J190" s="124">
        <f>IF(LOWER(G190)="dnf",1,IF(U190&lt;ScoringTable!C$3,ScoringTable!I$2,VLOOKUP((1000-U190),ScoringTable!H$2:I$95,2)))</f>
        <v>0</v>
      </c>
      <c r="K190" s="120" t="str" cm="1">
        <f t="array" ref="K190">IF(OR(E190="",G190=""),"",_xlfn.IFS(E190="U10B",_xlfn.XLOOKUP(G190,Data!$D$3:$L$3,Data!$D$1:$L$1,"",1,1),E190="U12B",_xlfn.XLOOKUP(G190,Data!$D$9:$L$9,Data!$D$1:$L$1,"",1,1),E190="U10G",_xlfn.XLOOKUP(G190,Data!$D$16:$L$16,Data!$D$1:$L$1,"",1,1),E190="U12G",_xlfn.XLOOKUP(G190,Data!$D$22:$L$22,Data!$D$1:$L$1,"",1,1)))</f>
        <v/>
      </c>
      <c r="L190" s="184" t="str" cm="1">
        <f t="array" ref="L190">IFERROR(_xlfn.IFNA(
                      _xlfn.IFS(
                      G190="", "",
                      G190=0, "",
                      AND(E190="U10B",G190&lt;=Data!$M$3), "U10 Boys record",
                      AND(E190="U12B",G190&lt;=Data!$M$9), "U12 Boys record",
                      AND(E190="U10G",G190&lt;=Data!$M$16), "U10 Girls record",
                      AND(E190="U12G",G190&lt;=Data!$M$22), "U12 Girls record"
                       ),""), "")</f>
        <v/>
      </c>
      <c r="M190" s="19" cm="1">
        <f t="array" ref="M190">_xlfn.IFS(OR($G190="",$G190=0),0, AND(NOT(ISNUMBER($G190)),LOWER($G190)&lt;&gt;"dnf"),"Not a valid time",OR(LOWER($G190)="dnf",$G190&gt;ScoringTable!$N$161),1,RIGHT($E190,1)="B",_xlfn.XLOOKUP($G190,ScoringTable!$N$2:$N$161,ScoringTable!$L$2:$L$161,,1),TRUE,_xlfn.XLOOKUP($G190,ScoringTable!$T$2:$T$161,ScoringTable!$R$2:$R$161,,1))</f>
        <v>0</v>
      </c>
      <c r="Q190" s="125">
        <f t="shared" si="10"/>
        <v>0</v>
      </c>
      <c r="R190" s="126">
        <f t="shared" si="11"/>
        <v>0</v>
      </c>
      <c r="S190" s="127">
        <f t="shared" si="12"/>
        <v>0</v>
      </c>
      <c r="T190" s="126">
        <f t="shared" si="13"/>
        <v>0</v>
      </c>
      <c r="U190" s="128">
        <f t="shared" si="14"/>
        <v>0</v>
      </c>
    </row>
    <row r="191" spans="1:21" s="7" customFormat="1" ht="16" customHeight="1">
      <c r="A191" s="121" t="s">
        <v>3</v>
      </c>
      <c r="B191" s="122" t="str">
        <f>IF(ISNA(VLOOKUP($F191,Declarations!B$6:C$293,2,FALSE)),"",IF(VLOOKUP($F191,Declarations!B$6:C$293,2,FALSE)="","NOT DECLARED",IF(ISNA(_xlfn.TEXTBEFORE(VLOOKUP($F191,Declarations!B$6:C$293,2,FALSE)," ")),VLOOKUP($F191,Declarations!B$6:C$293,2,FALSE),_xlfn.TEXTBEFORE(VLOOKUP($F191,Declarations!B$6:C$293,2,FALSE)," "))))</f>
        <v/>
      </c>
      <c r="C191" s="122" t="str">
        <f>IF(ISNA(VLOOKUP($F191,Declarations!B$6:C$293,2,FALSE)),"",IF(VLOOKUP($F191,Declarations!B$6:C$293,2,FALSE)="","NOT DECLARED",IF(ISNA(_xlfn.TEXTAFTER(VLOOKUP($F191,Declarations!B$6:C$293,2,FALSE)," ")),VLOOKUP($F191,Declarations!B$6:C$293,2,FALSE),_xlfn.TEXTAFTER(VLOOKUP($F191,Declarations!B$6:C$293,2,FALSE)," "))))</f>
        <v/>
      </c>
      <c r="D191" s="122" t="str">
        <f>IF(ISNA(VLOOKUP($F191,Declarations!$B$6:$F$293,5,FALSE)),"",IF(VLOOKUP($F191,Declarations!$B$6:$F$293,5,FALSE)="","NOT DECLARED",VLOOKUP($F191,Declarations!$B$6:$F$293,5,FALSE)))</f>
        <v/>
      </c>
      <c r="E191" s="120" t="str">
        <f>IF(ISNA(VLOOKUP($F191,Declarations!$B$6:$D$293,3,FALSE)),"",IF(VLOOKUP($F191,Declarations!$B$6:$D$293,3,FALSE)="","NOT DECLARED",VLOOKUP($F191,Declarations!$B$6:$D$293,3,FALSE)&amp;LEFT(VLOOKUP($F191,Declarations!$B$6:$E$293,4,FALSE))))</f>
        <v/>
      </c>
      <c r="F191" s="59"/>
      <c r="G191" s="123">
        <v>0</v>
      </c>
      <c r="H191" s="322"/>
      <c r="I191" s="122" t="str">
        <f>IF(ISNA(VLOOKUP(F191,Declarations!B$6:C$293,2,FALSE)),"",IF(VLOOKUP(F191,Declarations!B$6:C$293,2,FALSE)="","NOTDECLARED",VLOOKUP(F191,Declarations!B$6:C$293,2,FALSE)))</f>
        <v/>
      </c>
      <c r="J191" s="124">
        <f>IF(LOWER(G191)="dnf",1,IF(U191&lt;ScoringTable!C$3,ScoringTable!I$2,VLOOKUP((1000-U191),ScoringTable!H$2:I$95,2)))</f>
        <v>0</v>
      </c>
      <c r="K191" s="120" t="str" cm="1">
        <f t="array" ref="K191">IF(OR(E191="",G191=""),"",_xlfn.IFS(E191="U10B",_xlfn.XLOOKUP(G191,Data!$D$3:$L$3,Data!$D$1:$L$1,"",1,1),E191="U12B",_xlfn.XLOOKUP(G191,Data!$D$9:$L$9,Data!$D$1:$L$1,"",1,1),E191="U10G",_xlfn.XLOOKUP(G191,Data!$D$16:$L$16,Data!$D$1:$L$1,"",1,1),E191="U12G",_xlfn.XLOOKUP(G191,Data!$D$22:$L$22,Data!$D$1:$L$1,"",1,1)))</f>
        <v/>
      </c>
      <c r="L191" s="184" t="str" cm="1">
        <f t="array" ref="L191">IFERROR(_xlfn.IFNA(
                      _xlfn.IFS(
                      G191="", "",
                      G191=0, "",
                      AND(E191="U10B",G191&lt;=Data!$M$3), "U10 Boys record",
                      AND(E191="U12B",G191&lt;=Data!$M$9), "U12 Boys record",
                      AND(E191="U10G",G191&lt;=Data!$M$16), "U10 Girls record",
                      AND(E191="U12G",G191&lt;=Data!$M$22), "U12 Girls record"
                       ),""), "")</f>
        <v/>
      </c>
      <c r="M191" s="19" cm="1">
        <f t="array" ref="M191">_xlfn.IFS(OR($G191="",$G191=0),0, AND(NOT(ISNUMBER($G191)),LOWER($G191)&lt;&gt;"dnf"),"Not a valid time",OR(LOWER($G191)="dnf",$G191&gt;ScoringTable!$N$161),1,RIGHT($E191,1)="B",_xlfn.XLOOKUP($G191,ScoringTable!$N$2:$N$161,ScoringTable!$L$2:$L$161,,1),TRUE,_xlfn.XLOOKUP($G191,ScoringTable!$T$2:$T$161,ScoringTable!$R$2:$R$161,,1))</f>
        <v>0</v>
      </c>
      <c r="Q191" s="125">
        <f t="shared" si="10"/>
        <v>0</v>
      </c>
      <c r="R191" s="126">
        <f t="shared" si="11"/>
        <v>0</v>
      </c>
      <c r="S191" s="127">
        <f t="shared" si="12"/>
        <v>0</v>
      </c>
      <c r="T191" s="126">
        <f t="shared" si="13"/>
        <v>0</v>
      </c>
      <c r="U191" s="128">
        <f t="shared" si="14"/>
        <v>0</v>
      </c>
    </row>
    <row r="192" spans="1:21" s="7" customFormat="1" ht="16" customHeight="1">
      <c r="A192" s="121" t="s">
        <v>3</v>
      </c>
      <c r="B192" s="122" t="str">
        <f>IF(ISNA(VLOOKUP($F192,Declarations!B$6:C$293,2,FALSE)),"",IF(VLOOKUP($F192,Declarations!B$6:C$293,2,FALSE)="","NOT DECLARED",IF(ISNA(_xlfn.TEXTBEFORE(VLOOKUP($F192,Declarations!B$6:C$293,2,FALSE)," ")),VLOOKUP($F192,Declarations!B$6:C$293,2,FALSE),_xlfn.TEXTBEFORE(VLOOKUP($F192,Declarations!B$6:C$293,2,FALSE)," "))))</f>
        <v/>
      </c>
      <c r="C192" s="122" t="str">
        <f>IF(ISNA(VLOOKUP($F192,Declarations!B$6:C$293,2,FALSE)),"",IF(VLOOKUP($F192,Declarations!B$6:C$293,2,FALSE)="","NOT DECLARED",IF(ISNA(_xlfn.TEXTAFTER(VLOOKUP($F192,Declarations!B$6:C$293,2,FALSE)," ")),VLOOKUP($F192,Declarations!B$6:C$293,2,FALSE),_xlfn.TEXTAFTER(VLOOKUP($F192,Declarations!B$6:C$293,2,FALSE)," "))))</f>
        <v/>
      </c>
      <c r="D192" s="122" t="str">
        <f>IF(ISNA(VLOOKUP($F192,Declarations!$B$6:$F$293,5,FALSE)),"",IF(VLOOKUP($F192,Declarations!$B$6:$F$293,5,FALSE)="","NOT DECLARED",VLOOKUP($F192,Declarations!$B$6:$F$293,5,FALSE)))</f>
        <v/>
      </c>
      <c r="E192" s="120" t="str">
        <f>IF(ISNA(VLOOKUP($F192,Declarations!$B$6:$D$293,3,FALSE)),"",IF(VLOOKUP($F192,Declarations!$B$6:$D$293,3,FALSE)="","NOT DECLARED",VLOOKUP($F192,Declarations!$B$6:$D$293,3,FALSE)&amp;LEFT(VLOOKUP($F192,Declarations!$B$6:$E$293,4,FALSE))))</f>
        <v/>
      </c>
      <c r="F192" s="59"/>
      <c r="G192" s="123">
        <v>0</v>
      </c>
      <c r="H192" s="322"/>
      <c r="I192" s="122" t="str">
        <f>IF(ISNA(VLOOKUP(F192,Declarations!B$6:C$293,2,FALSE)),"",IF(VLOOKUP(F192,Declarations!B$6:C$293,2,FALSE)="","NOTDECLARED",VLOOKUP(F192,Declarations!B$6:C$293,2,FALSE)))</f>
        <v/>
      </c>
      <c r="J192" s="124">
        <f>IF(LOWER(G192)="dnf",1,IF(U192&lt;ScoringTable!C$3,ScoringTable!I$2,VLOOKUP((1000-U192),ScoringTable!H$2:I$95,2)))</f>
        <v>0</v>
      </c>
      <c r="K192" s="120" t="str" cm="1">
        <f t="array" ref="K192">IF(OR(E192="",G192=""),"",_xlfn.IFS(E192="U10B",_xlfn.XLOOKUP(G192,Data!$D$3:$L$3,Data!$D$1:$L$1,"",1,1),E192="U12B",_xlfn.XLOOKUP(G192,Data!$D$9:$L$9,Data!$D$1:$L$1,"",1,1),E192="U10G",_xlfn.XLOOKUP(G192,Data!$D$16:$L$16,Data!$D$1:$L$1,"",1,1),E192="U12G",_xlfn.XLOOKUP(G192,Data!$D$22:$L$22,Data!$D$1:$L$1,"",1,1)))</f>
        <v/>
      </c>
      <c r="L192" s="184" t="str" cm="1">
        <f t="array" ref="L192">IFERROR(_xlfn.IFNA(
                      _xlfn.IFS(
                      G192="", "",
                      G192=0, "",
                      AND(E192="U10B",G192&lt;=Data!$M$3), "U10 Boys record",
                      AND(E192="U12B",G192&lt;=Data!$M$9), "U12 Boys record",
                      AND(E192="U10G",G192&lt;=Data!$M$16), "U10 Girls record",
                      AND(E192="U12G",G192&lt;=Data!$M$22), "U12 Girls record"
                       ),""), "")</f>
        <v/>
      </c>
      <c r="M192" s="19" cm="1">
        <f t="array" ref="M192">_xlfn.IFS(OR($G192="",$G192=0),0, AND(NOT(ISNUMBER($G192)),LOWER($G192)&lt;&gt;"dnf"),"Not a valid time",OR(LOWER($G192)="dnf",$G192&gt;ScoringTable!$N$161),1,RIGHT($E192,1)="B",_xlfn.XLOOKUP($G192,ScoringTable!$N$2:$N$161,ScoringTable!$L$2:$L$161,,1),TRUE,_xlfn.XLOOKUP($G192,ScoringTable!$T$2:$T$161,ScoringTable!$R$2:$R$161,,1))</f>
        <v>0</v>
      </c>
      <c r="Q192" s="125">
        <f t="shared" si="10"/>
        <v>0</v>
      </c>
      <c r="R192" s="126">
        <f t="shared" si="11"/>
        <v>0</v>
      </c>
      <c r="S192" s="127">
        <f t="shared" si="12"/>
        <v>0</v>
      </c>
      <c r="T192" s="126">
        <f t="shared" si="13"/>
        <v>0</v>
      </c>
      <c r="U192" s="128">
        <f t="shared" si="14"/>
        <v>0</v>
      </c>
    </row>
    <row r="193" spans="1:21" s="7" customFormat="1" ht="16" customHeight="1">
      <c r="A193" s="121" t="s">
        <v>3</v>
      </c>
      <c r="B193" s="122" t="str">
        <f>IF(ISNA(VLOOKUP($F193,Declarations!B$6:C$293,2,FALSE)),"",IF(VLOOKUP($F193,Declarations!B$6:C$293,2,FALSE)="","NOT DECLARED",IF(ISNA(_xlfn.TEXTBEFORE(VLOOKUP($F193,Declarations!B$6:C$293,2,FALSE)," ")),VLOOKUP($F193,Declarations!B$6:C$293,2,FALSE),_xlfn.TEXTBEFORE(VLOOKUP($F193,Declarations!B$6:C$293,2,FALSE)," "))))</f>
        <v/>
      </c>
      <c r="C193" s="122" t="str">
        <f>IF(ISNA(VLOOKUP($F193,Declarations!B$6:C$293,2,FALSE)),"",IF(VLOOKUP($F193,Declarations!B$6:C$293,2,FALSE)="","NOT DECLARED",IF(ISNA(_xlfn.TEXTAFTER(VLOOKUP($F193,Declarations!B$6:C$293,2,FALSE)," ")),VLOOKUP($F193,Declarations!B$6:C$293,2,FALSE),_xlfn.TEXTAFTER(VLOOKUP($F193,Declarations!B$6:C$293,2,FALSE)," "))))</f>
        <v/>
      </c>
      <c r="D193" s="122" t="str">
        <f>IF(ISNA(VLOOKUP($F193,Declarations!$B$6:$F$293,5,FALSE)),"",IF(VLOOKUP($F193,Declarations!$B$6:$F$293,5,FALSE)="","NOT DECLARED",VLOOKUP($F193,Declarations!$B$6:$F$293,5,FALSE)))</f>
        <v/>
      </c>
      <c r="E193" s="120" t="str">
        <f>IF(ISNA(VLOOKUP($F193,Declarations!$B$6:$D$293,3,FALSE)),"",IF(VLOOKUP($F193,Declarations!$B$6:$D$293,3,FALSE)="","NOT DECLARED",VLOOKUP($F193,Declarations!$B$6:$D$293,3,FALSE)&amp;LEFT(VLOOKUP($F193,Declarations!$B$6:$E$293,4,FALSE))))</f>
        <v/>
      </c>
      <c r="F193" s="59"/>
      <c r="G193" s="123">
        <v>0</v>
      </c>
      <c r="H193" s="322"/>
      <c r="I193" s="122" t="str">
        <f>IF(ISNA(VLOOKUP(F193,Declarations!B$6:C$293,2,FALSE)),"",IF(VLOOKUP(F193,Declarations!B$6:C$293,2,FALSE)="","NOTDECLARED",VLOOKUP(F193,Declarations!B$6:C$293,2,FALSE)))</f>
        <v/>
      </c>
      <c r="J193" s="124">
        <f>IF(LOWER(G193)="dnf",1,IF(U193&lt;ScoringTable!C$3,ScoringTable!I$2,VLOOKUP((1000-U193),ScoringTable!H$2:I$95,2)))</f>
        <v>0</v>
      </c>
      <c r="K193" s="120" t="str" cm="1">
        <f t="array" ref="K193">IF(OR(E193="",G193=""),"",_xlfn.IFS(E193="U10B",_xlfn.XLOOKUP(G193,Data!$D$3:$L$3,Data!$D$1:$L$1,"",1,1),E193="U12B",_xlfn.XLOOKUP(G193,Data!$D$9:$L$9,Data!$D$1:$L$1,"",1,1),E193="U10G",_xlfn.XLOOKUP(G193,Data!$D$16:$L$16,Data!$D$1:$L$1,"",1,1),E193="U12G",_xlfn.XLOOKUP(G193,Data!$D$22:$L$22,Data!$D$1:$L$1,"",1,1)))</f>
        <v/>
      </c>
      <c r="L193" s="184" t="str" cm="1">
        <f t="array" ref="L193">IFERROR(_xlfn.IFNA(
                      _xlfn.IFS(
                      G193="", "",
                      G193=0, "",
                      AND(E193="U10B",G193&lt;=Data!$M$3), "U10 Boys record",
                      AND(E193="U12B",G193&lt;=Data!$M$9), "U12 Boys record",
                      AND(E193="U10G",G193&lt;=Data!$M$16), "U10 Girls record",
                      AND(E193="U12G",G193&lt;=Data!$M$22), "U12 Girls record"
                       ),""), "")</f>
        <v/>
      </c>
      <c r="M193" s="19" cm="1">
        <f t="array" ref="M193">_xlfn.IFS(OR($G193="",$G193=0),0, AND(NOT(ISNUMBER($G193)),LOWER($G193)&lt;&gt;"dnf"),"Not a valid time",OR(LOWER($G193)="dnf",$G193&gt;ScoringTable!$N$161),1,RIGHT($E193,1)="B",_xlfn.XLOOKUP($G193,ScoringTable!$N$2:$N$161,ScoringTable!$L$2:$L$161,,1),TRUE,_xlfn.XLOOKUP($G193,ScoringTable!$T$2:$T$161,ScoringTable!$R$2:$R$161,,1))</f>
        <v>0</v>
      </c>
      <c r="Q193" s="125">
        <f t="shared" si="10"/>
        <v>0</v>
      </c>
      <c r="R193" s="126">
        <f t="shared" si="11"/>
        <v>0</v>
      </c>
      <c r="S193" s="127">
        <f t="shared" si="12"/>
        <v>0</v>
      </c>
      <c r="T193" s="126">
        <f t="shared" si="13"/>
        <v>0</v>
      </c>
      <c r="U193" s="128">
        <f t="shared" si="14"/>
        <v>0</v>
      </c>
    </row>
    <row r="194" spans="1:21" s="7" customFormat="1" ht="16" customHeight="1">
      <c r="A194" s="121" t="s">
        <v>3</v>
      </c>
      <c r="B194" s="122" t="str">
        <f>IF(ISNA(VLOOKUP($F194,Declarations!B$6:C$293,2,FALSE)),"",IF(VLOOKUP($F194,Declarations!B$6:C$293,2,FALSE)="","NOT DECLARED",IF(ISNA(_xlfn.TEXTBEFORE(VLOOKUP($F194,Declarations!B$6:C$293,2,FALSE)," ")),VLOOKUP($F194,Declarations!B$6:C$293,2,FALSE),_xlfn.TEXTBEFORE(VLOOKUP($F194,Declarations!B$6:C$293,2,FALSE)," "))))</f>
        <v/>
      </c>
      <c r="C194" s="122" t="str">
        <f>IF(ISNA(VLOOKUP($F194,Declarations!B$6:C$293,2,FALSE)),"",IF(VLOOKUP($F194,Declarations!B$6:C$293,2,FALSE)="","NOT DECLARED",IF(ISNA(_xlfn.TEXTAFTER(VLOOKUP($F194,Declarations!B$6:C$293,2,FALSE)," ")),VLOOKUP($F194,Declarations!B$6:C$293,2,FALSE),_xlfn.TEXTAFTER(VLOOKUP($F194,Declarations!B$6:C$293,2,FALSE)," "))))</f>
        <v/>
      </c>
      <c r="D194" s="122" t="str">
        <f>IF(ISNA(VLOOKUP($F194,Declarations!$B$6:$F$293,5,FALSE)),"",IF(VLOOKUP($F194,Declarations!$B$6:$F$293,5,FALSE)="","NOT DECLARED",VLOOKUP($F194,Declarations!$B$6:$F$293,5,FALSE)))</f>
        <v/>
      </c>
      <c r="E194" s="120" t="str">
        <f>IF(ISNA(VLOOKUP($F194,Declarations!$B$6:$D$293,3,FALSE)),"",IF(VLOOKUP($F194,Declarations!$B$6:$D$293,3,FALSE)="","NOT DECLARED",VLOOKUP($F194,Declarations!$B$6:$D$293,3,FALSE)&amp;LEFT(VLOOKUP($F194,Declarations!$B$6:$E$293,4,FALSE))))</f>
        <v/>
      </c>
      <c r="F194" s="59"/>
      <c r="G194" s="123">
        <v>0</v>
      </c>
      <c r="H194" s="322"/>
      <c r="I194" s="122" t="str">
        <f>IF(ISNA(VLOOKUP(F194,Declarations!B$6:C$293,2,FALSE)),"",IF(VLOOKUP(F194,Declarations!B$6:C$293,2,FALSE)="","NOTDECLARED",VLOOKUP(F194,Declarations!B$6:C$293,2,FALSE)))</f>
        <v/>
      </c>
      <c r="J194" s="124">
        <f>IF(LOWER(G194)="dnf",1,IF(U194&lt;ScoringTable!C$3,ScoringTable!I$2,VLOOKUP((1000-U194),ScoringTable!H$2:I$95,2)))</f>
        <v>0</v>
      </c>
      <c r="K194" s="120" t="str" cm="1">
        <f t="array" ref="K194">IF(OR(E194="",G194=""),"",_xlfn.IFS(E194="U10B",_xlfn.XLOOKUP(G194,Data!$D$3:$L$3,Data!$D$1:$L$1,"",1,1),E194="U12B",_xlfn.XLOOKUP(G194,Data!$D$9:$L$9,Data!$D$1:$L$1,"",1,1),E194="U10G",_xlfn.XLOOKUP(G194,Data!$D$16:$L$16,Data!$D$1:$L$1,"",1,1),E194="U12G",_xlfn.XLOOKUP(G194,Data!$D$22:$L$22,Data!$D$1:$L$1,"",1,1)))</f>
        <v/>
      </c>
      <c r="L194" s="184" t="str" cm="1">
        <f t="array" ref="L194">IFERROR(_xlfn.IFNA(
                      _xlfn.IFS(
                      G194="", "",
                      G194=0, "",
                      AND(E194="U10B",G194&lt;=Data!$M$3), "U10 Boys record",
                      AND(E194="U12B",G194&lt;=Data!$M$9), "U12 Boys record",
                      AND(E194="U10G",G194&lt;=Data!$M$16), "U10 Girls record",
                      AND(E194="U12G",G194&lt;=Data!$M$22), "U12 Girls record"
                       ),""), "")</f>
        <v/>
      </c>
      <c r="M194" s="19" cm="1">
        <f t="array" ref="M194">_xlfn.IFS(OR($G194="",$G194=0),0, AND(NOT(ISNUMBER($G194)),LOWER($G194)&lt;&gt;"dnf"),"Not a valid time",OR(LOWER($G194)="dnf",$G194&gt;ScoringTable!$N$161),1,RIGHT($E194,1)="B",_xlfn.XLOOKUP($G194,ScoringTable!$N$2:$N$161,ScoringTable!$L$2:$L$161,,1),TRUE,_xlfn.XLOOKUP($G194,ScoringTable!$T$2:$T$161,ScoringTable!$R$2:$R$161,,1))</f>
        <v>0</v>
      </c>
      <c r="Q194" s="125">
        <f t="shared" si="10"/>
        <v>0</v>
      </c>
      <c r="R194" s="126">
        <f t="shared" si="11"/>
        <v>0</v>
      </c>
      <c r="S194" s="127">
        <f t="shared" si="12"/>
        <v>0</v>
      </c>
      <c r="T194" s="126">
        <f t="shared" si="13"/>
        <v>0</v>
      </c>
      <c r="U194" s="128">
        <f t="shared" si="14"/>
        <v>0</v>
      </c>
    </row>
    <row r="195" spans="1:21" s="7" customFormat="1" ht="16" customHeight="1">
      <c r="A195" s="121" t="s">
        <v>3</v>
      </c>
      <c r="B195" s="122" t="str">
        <f>IF(ISNA(VLOOKUP($F195,Declarations!B$6:C$293,2,FALSE)),"",IF(VLOOKUP($F195,Declarations!B$6:C$293,2,FALSE)="","NOT DECLARED",IF(ISNA(_xlfn.TEXTBEFORE(VLOOKUP($F195,Declarations!B$6:C$293,2,FALSE)," ")),VLOOKUP($F195,Declarations!B$6:C$293,2,FALSE),_xlfn.TEXTBEFORE(VLOOKUP($F195,Declarations!B$6:C$293,2,FALSE)," "))))</f>
        <v/>
      </c>
      <c r="C195" s="122" t="str">
        <f>IF(ISNA(VLOOKUP($F195,Declarations!B$6:C$293,2,FALSE)),"",IF(VLOOKUP($F195,Declarations!B$6:C$293,2,FALSE)="","NOT DECLARED",IF(ISNA(_xlfn.TEXTAFTER(VLOOKUP($F195,Declarations!B$6:C$293,2,FALSE)," ")),VLOOKUP($F195,Declarations!B$6:C$293,2,FALSE),_xlfn.TEXTAFTER(VLOOKUP($F195,Declarations!B$6:C$293,2,FALSE)," "))))</f>
        <v/>
      </c>
      <c r="D195" s="122" t="str">
        <f>IF(ISNA(VLOOKUP($F195,Declarations!$B$6:$F$293,5,FALSE)),"",IF(VLOOKUP($F195,Declarations!$B$6:$F$293,5,FALSE)="","NOT DECLARED",VLOOKUP($F195,Declarations!$B$6:$F$293,5,FALSE)))</f>
        <v/>
      </c>
      <c r="E195" s="120" t="str">
        <f>IF(ISNA(VLOOKUP($F195,Declarations!$B$6:$D$293,3,FALSE)),"",IF(VLOOKUP($F195,Declarations!$B$6:$D$293,3,FALSE)="","NOT DECLARED",VLOOKUP($F195,Declarations!$B$6:$D$293,3,FALSE)&amp;LEFT(VLOOKUP($F195,Declarations!$B$6:$E$293,4,FALSE))))</f>
        <v/>
      </c>
      <c r="F195" s="59"/>
      <c r="G195" s="123">
        <v>0</v>
      </c>
      <c r="H195" s="322"/>
      <c r="I195" s="122" t="str">
        <f>IF(ISNA(VLOOKUP(F195,Declarations!B$6:C$293,2,FALSE)),"",IF(VLOOKUP(F195,Declarations!B$6:C$293,2,FALSE)="","NOTDECLARED",VLOOKUP(F195,Declarations!B$6:C$293,2,FALSE)))</f>
        <v/>
      </c>
      <c r="J195" s="124">
        <f>IF(LOWER(G195)="dnf",1,IF(U195&lt;ScoringTable!C$3,ScoringTable!I$2,VLOOKUP((1000-U195),ScoringTable!H$2:I$95,2)))</f>
        <v>0</v>
      </c>
      <c r="K195" s="120" t="str" cm="1">
        <f t="array" ref="K195">IF(OR(E195="",G195=""),"",_xlfn.IFS(E195="U10B",_xlfn.XLOOKUP(G195,Data!$D$3:$L$3,Data!$D$1:$L$1,"",1,1),E195="U12B",_xlfn.XLOOKUP(G195,Data!$D$9:$L$9,Data!$D$1:$L$1,"",1,1),E195="U10G",_xlfn.XLOOKUP(G195,Data!$D$16:$L$16,Data!$D$1:$L$1,"",1,1),E195="U12G",_xlfn.XLOOKUP(G195,Data!$D$22:$L$22,Data!$D$1:$L$1,"",1,1)))</f>
        <v/>
      </c>
      <c r="L195" s="184" t="str" cm="1">
        <f t="array" ref="L195">IFERROR(_xlfn.IFNA(
                      _xlfn.IFS(
                      G195="", "",
                      G195=0, "",
                      AND(E195="U10B",G195&lt;=Data!$M$3), "U10 Boys record",
                      AND(E195="U12B",G195&lt;=Data!$M$9), "U12 Boys record",
                      AND(E195="U10G",G195&lt;=Data!$M$16), "U10 Girls record",
                      AND(E195="U12G",G195&lt;=Data!$M$22), "U12 Girls record"
                       ),""), "")</f>
        <v/>
      </c>
      <c r="M195" s="19" cm="1">
        <f t="array" ref="M195">_xlfn.IFS(OR($G195="",$G195=0),0, AND(NOT(ISNUMBER($G195)),LOWER($G195)&lt;&gt;"dnf"),"Not a valid time",OR(LOWER($G195)="dnf",$G195&gt;ScoringTable!$N$161),1,RIGHT($E195,1)="B",_xlfn.XLOOKUP($G195,ScoringTable!$N$2:$N$161,ScoringTable!$L$2:$L$161,,1),TRUE,_xlfn.XLOOKUP($G195,ScoringTable!$T$2:$T$161,ScoringTable!$R$2:$R$161,,1))</f>
        <v>0</v>
      </c>
      <c r="Q195" s="125">
        <f t="shared" si="10"/>
        <v>0</v>
      </c>
      <c r="R195" s="126">
        <f t="shared" si="11"/>
        <v>0</v>
      </c>
      <c r="S195" s="127">
        <f t="shared" si="12"/>
        <v>0</v>
      </c>
      <c r="T195" s="126">
        <f t="shared" si="13"/>
        <v>0</v>
      </c>
      <c r="U195" s="128">
        <f t="shared" si="14"/>
        <v>0</v>
      </c>
    </row>
    <row r="196" spans="1:21" s="7" customFormat="1" ht="16" customHeight="1">
      <c r="A196" s="121" t="s">
        <v>3</v>
      </c>
      <c r="B196" s="122" t="str">
        <f>IF(ISNA(VLOOKUP($F196,Declarations!B$6:C$293,2,FALSE)),"",IF(VLOOKUP($F196,Declarations!B$6:C$293,2,FALSE)="","NOT DECLARED",IF(ISNA(_xlfn.TEXTBEFORE(VLOOKUP($F196,Declarations!B$6:C$293,2,FALSE)," ")),VLOOKUP($F196,Declarations!B$6:C$293,2,FALSE),_xlfn.TEXTBEFORE(VLOOKUP($F196,Declarations!B$6:C$293,2,FALSE)," "))))</f>
        <v/>
      </c>
      <c r="C196" s="122" t="str">
        <f>IF(ISNA(VLOOKUP($F196,Declarations!B$6:C$293,2,FALSE)),"",IF(VLOOKUP($F196,Declarations!B$6:C$293,2,FALSE)="","NOT DECLARED",IF(ISNA(_xlfn.TEXTAFTER(VLOOKUP($F196,Declarations!B$6:C$293,2,FALSE)," ")),VLOOKUP($F196,Declarations!B$6:C$293,2,FALSE),_xlfn.TEXTAFTER(VLOOKUP($F196,Declarations!B$6:C$293,2,FALSE)," "))))</f>
        <v/>
      </c>
      <c r="D196" s="122" t="str">
        <f>IF(ISNA(VLOOKUP($F196,Declarations!$B$6:$F$293,5,FALSE)),"",IF(VLOOKUP($F196,Declarations!$B$6:$F$293,5,FALSE)="","NOT DECLARED",VLOOKUP($F196,Declarations!$B$6:$F$293,5,FALSE)))</f>
        <v/>
      </c>
      <c r="E196" s="120" t="str">
        <f>IF(ISNA(VLOOKUP($F196,Declarations!$B$6:$D$293,3,FALSE)),"",IF(VLOOKUP($F196,Declarations!$B$6:$D$293,3,FALSE)="","NOT DECLARED",VLOOKUP($F196,Declarations!$B$6:$D$293,3,FALSE)&amp;LEFT(VLOOKUP($F196,Declarations!$B$6:$E$293,4,FALSE))))</f>
        <v/>
      </c>
      <c r="F196" s="59"/>
      <c r="G196" s="123">
        <v>0</v>
      </c>
      <c r="H196" s="322"/>
      <c r="I196" s="122" t="str">
        <f>IF(ISNA(VLOOKUP(F196,Declarations!B$6:C$293,2,FALSE)),"",IF(VLOOKUP(F196,Declarations!B$6:C$293,2,FALSE)="","NOTDECLARED",VLOOKUP(F196,Declarations!B$6:C$293,2,FALSE)))</f>
        <v/>
      </c>
      <c r="J196" s="124">
        <f>IF(LOWER(G196)="dnf",1,IF(U196&lt;ScoringTable!C$3,ScoringTable!I$2,VLOOKUP((1000-U196),ScoringTable!H$2:I$95,2)))</f>
        <v>0</v>
      </c>
      <c r="K196" s="120" t="str" cm="1">
        <f t="array" ref="K196">IF(OR(E196="",G196=""),"",_xlfn.IFS(E196="U10B",_xlfn.XLOOKUP(G196,Data!$D$3:$L$3,Data!$D$1:$L$1,"",1,1),E196="U12B",_xlfn.XLOOKUP(G196,Data!$D$9:$L$9,Data!$D$1:$L$1,"",1,1),E196="U10G",_xlfn.XLOOKUP(G196,Data!$D$16:$L$16,Data!$D$1:$L$1,"",1,1),E196="U12G",_xlfn.XLOOKUP(G196,Data!$D$22:$L$22,Data!$D$1:$L$1,"",1,1)))</f>
        <v/>
      </c>
      <c r="L196" s="184" t="str" cm="1">
        <f t="array" ref="L196">IFERROR(_xlfn.IFNA(
                      _xlfn.IFS(
                      G196="", "",
                      G196=0, "",
                      AND(E196="U10B",G196&lt;=Data!$M$3), "U10 Boys record",
                      AND(E196="U12B",G196&lt;=Data!$M$9), "U12 Boys record",
                      AND(E196="U10G",G196&lt;=Data!$M$16), "U10 Girls record",
                      AND(E196="U12G",G196&lt;=Data!$M$22), "U12 Girls record"
                       ),""), "")</f>
        <v/>
      </c>
      <c r="M196" s="19" cm="1">
        <f t="array" ref="M196">_xlfn.IFS(OR($G196="",$G196=0),0, AND(NOT(ISNUMBER($G196)),LOWER($G196)&lt;&gt;"dnf"),"Not a valid time",OR(LOWER($G196)="dnf",$G196&gt;ScoringTable!$N$161),1,RIGHT($E196,1)="B",_xlfn.XLOOKUP($G196,ScoringTable!$N$2:$N$161,ScoringTable!$L$2:$L$161,,1),TRUE,_xlfn.XLOOKUP($G196,ScoringTable!$T$2:$T$161,ScoringTable!$R$2:$R$161,,1))</f>
        <v>0</v>
      </c>
      <c r="Q196" s="125">
        <f t="shared" si="10"/>
        <v>0</v>
      </c>
      <c r="R196" s="126">
        <f t="shared" si="11"/>
        <v>0</v>
      </c>
      <c r="S196" s="127">
        <f t="shared" si="12"/>
        <v>0</v>
      </c>
      <c r="T196" s="126">
        <f t="shared" si="13"/>
        <v>0</v>
      </c>
      <c r="U196" s="128">
        <f t="shared" si="14"/>
        <v>0</v>
      </c>
    </row>
    <row r="197" spans="1:21" s="7" customFormat="1" ht="16" customHeight="1">
      <c r="A197" s="121" t="s">
        <v>3</v>
      </c>
      <c r="B197" s="122" t="str">
        <f>IF(ISNA(VLOOKUP($F197,Declarations!B$6:C$293,2,FALSE)),"",IF(VLOOKUP($F197,Declarations!B$6:C$293,2,FALSE)="","NOT DECLARED",IF(ISNA(_xlfn.TEXTBEFORE(VLOOKUP($F197,Declarations!B$6:C$293,2,FALSE)," ")),VLOOKUP($F197,Declarations!B$6:C$293,2,FALSE),_xlfn.TEXTBEFORE(VLOOKUP($F197,Declarations!B$6:C$293,2,FALSE)," "))))</f>
        <v/>
      </c>
      <c r="C197" s="122" t="str">
        <f>IF(ISNA(VLOOKUP($F197,Declarations!B$6:C$293,2,FALSE)),"",IF(VLOOKUP($F197,Declarations!B$6:C$293,2,FALSE)="","NOT DECLARED",IF(ISNA(_xlfn.TEXTAFTER(VLOOKUP($F197,Declarations!B$6:C$293,2,FALSE)," ")),VLOOKUP($F197,Declarations!B$6:C$293,2,FALSE),_xlfn.TEXTAFTER(VLOOKUP($F197,Declarations!B$6:C$293,2,FALSE)," "))))</f>
        <v/>
      </c>
      <c r="D197" s="122" t="str">
        <f>IF(ISNA(VLOOKUP($F197,Declarations!$B$6:$F$293,5,FALSE)),"",IF(VLOOKUP($F197,Declarations!$B$6:$F$293,5,FALSE)="","NOT DECLARED",VLOOKUP($F197,Declarations!$B$6:$F$293,5,FALSE)))</f>
        <v/>
      </c>
      <c r="E197" s="120" t="str">
        <f>IF(ISNA(VLOOKUP($F197,Declarations!$B$6:$D$293,3,FALSE)),"",IF(VLOOKUP($F197,Declarations!$B$6:$D$293,3,FALSE)="","NOT DECLARED",VLOOKUP($F197,Declarations!$B$6:$D$293,3,FALSE)&amp;LEFT(VLOOKUP($F197,Declarations!$B$6:$E$293,4,FALSE))))</f>
        <v/>
      </c>
      <c r="F197" s="59"/>
      <c r="G197" s="123">
        <v>0</v>
      </c>
      <c r="H197" s="322"/>
      <c r="I197" s="122" t="str">
        <f>IF(ISNA(VLOOKUP(F197,Declarations!B$6:C$293,2,FALSE)),"",IF(VLOOKUP(F197,Declarations!B$6:C$293,2,FALSE)="","NOTDECLARED",VLOOKUP(F197,Declarations!B$6:C$293,2,FALSE)))</f>
        <v/>
      </c>
      <c r="J197" s="124">
        <f>IF(LOWER(G197)="dnf",1,IF(U197&lt;ScoringTable!C$3,ScoringTable!I$2,VLOOKUP((1000-U197),ScoringTable!H$2:I$95,2)))</f>
        <v>0</v>
      </c>
      <c r="K197" s="120" t="str" cm="1">
        <f t="array" ref="K197">IF(OR(E197="",G197=""),"",_xlfn.IFS(E197="U10B",_xlfn.XLOOKUP(G197,Data!$D$3:$L$3,Data!$D$1:$L$1,"",1,1),E197="U12B",_xlfn.XLOOKUP(G197,Data!$D$9:$L$9,Data!$D$1:$L$1,"",1,1),E197="U10G",_xlfn.XLOOKUP(G197,Data!$D$16:$L$16,Data!$D$1:$L$1,"",1,1),E197="U12G",_xlfn.XLOOKUP(G197,Data!$D$22:$L$22,Data!$D$1:$L$1,"",1,1)))</f>
        <v/>
      </c>
      <c r="L197" s="184" t="str" cm="1">
        <f t="array" ref="L197">IFERROR(_xlfn.IFNA(
                      _xlfn.IFS(
                      G197="", "",
                      G197=0, "",
                      AND(E197="U10B",G197&lt;=Data!$M$3), "U10 Boys record",
                      AND(E197="U12B",G197&lt;=Data!$M$9), "U12 Boys record",
                      AND(E197="U10G",G197&lt;=Data!$M$16), "U10 Girls record",
                      AND(E197="U12G",G197&lt;=Data!$M$22), "U12 Girls record"
                       ),""), "")</f>
        <v/>
      </c>
      <c r="M197" s="19" cm="1">
        <f t="array" ref="M197">_xlfn.IFS(OR($G197="",$G197=0),0, AND(NOT(ISNUMBER($G197)),LOWER($G197)&lt;&gt;"dnf"),"Not a valid time",OR(LOWER($G197)="dnf",$G197&gt;ScoringTable!$N$161),1,RIGHT($E197,1)="B",_xlfn.XLOOKUP($G197,ScoringTable!$N$2:$N$161,ScoringTable!$L$2:$L$161,,1),TRUE,_xlfn.XLOOKUP($G197,ScoringTable!$T$2:$T$161,ScoringTable!$R$2:$R$161,,1))</f>
        <v>0</v>
      </c>
      <c r="Q197" s="125">
        <f t="shared" si="10"/>
        <v>0</v>
      </c>
      <c r="R197" s="126">
        <f t="shared" si="11"/>
        <v>0</v>
      </c>
      <c r="S197" s="127">
        <f t="shared" si="12"/>
        <v>0</v>
      </c>
      <c r="T197" s="126">
        <f t="shared" si="13"/>
        <v>0</v>
      </c>
      <c r="U197" s="128">
        <f t="shared" si="14"/>
        <v>0</v>
      </c>
    </row>
    <row r="198" spans="1:21" s="7" customFormat="1" ht="16" customHeight="1">
      <c r="A198" s="121" t="s">
        <v>3</v>
      </c>
      <c r="B198" s="122" t="str">
        <f>IF(ISNA(VLOOKUP($F198,Declarations!B$6:C$293,2,FALSE)),"",IF(VLOOKUP($F198,Declarations!B$6:C$293,2,FALSE)="","NOT DECLARED",IF(ISNA(_xlfn.TEXTBEFORE(VLOOKUP($F198,Declarations!B$6:C$293,2,FALSE)," ")),VLOOKUP($F198,Declarations!B$6:C$293,2,FALSE),_xlfn.TEXTBEFORE(VLOOKUP($F198,Declarations!B$6:C$293,2,FALSE)," "))))</f>
        <v/>
      </c>
      <c r="C198" s="122" t="str">
        <f>IF(ISNA(VLOOKUP($F198,Declarations!B$6:C$293,2,FALSE)),"",IF(VLOOKUP($F198,Declarations!B$6:C$293,2,FALSE)="","NOT DECLARED",IF(ISNA(_xlfn.TEXTAFTER(VLOOKUP($F198,Declarations!B$6:C$293,2,FALSE)," ")),VLOOKUP($F198,Declarations!B$6:C$293,2,FALSE),_xlfn.TEXTAFTER(VLOOKUP($F198,Declarations!B$6:C$293,2,FALSE)," "))))</f>
        <v/>
      </c>
      <c r="D198" s="122" t="str">
        <f>IF(ISNA(VLOOKUP($F198,Declarations!$B$6:$F$293,5,FALSE)),"",IF(VLOOKUP($F198,Declarations!$B$6:$F$293,5,FALSE)="","NOT DECLARED",VLOOKUP($F198,Declarations!$B$6:$F$293,5,FALSE)))</f>
        <v/>
      </c>
      <c r="E198" s="120" t="str">
        <f>IF(ISNA(VLOOKUP($F198,Declarations!$B$6:$D$293,3,FALSE)),"",IF(VLOOKUP($F198,Declarations!$B$6:$D$293,3,FALSE)="","NOT DECLARED",VLOOKUP($F198,Declarations!$B$6:$D$293,3,FALSE)&amp;LEFT(VLOOKUP($F198,Declarations!$B$6:$E$293,4,FALSE))))</f>
        <v/>
      </c>
      <c r="F198" s="59"/>
      <c r="G198" s="123">
        <v>0</v>
      </c>
      <c r="H198" s="322"/>
      <c r="I198" s="122" t="str">
        <f>IF(ISNA(VLOOKUP(F198,Declarations!B$6:C$293,2,FALSE)),"",IF(VLOOKUP(F198,Declarations!B$6:C$293,2,FALSE)="","NOTDECLARED",VLOOKUP(F198,Declarations!B$6:C$293,2,FALSE)))</f>
        <v/>
      </c>
      <c r="J198" s="124">
        <f>IF(LOWER(G198)="dnf",1,IF(U198&lt;ScoringTable!C$3,ScoringTable!I$2,VLOOKUP((1000-U198),ScoringTable!H$2:I$95,2)))</f>
        <v>0</v>
      </c>
      <c r="K198" s="120" t="str" cm="1">
        <f t="array" ref="K198">IF(OR(E198="",G198=""),"",_xlfn.IFS(E198="U10B",_xlfn.XLOOKUP(G198,Data!$D$3:$L$3,Data!$D$1:$L$1,"",1,1),E198="U12B",_xlfn.XLOOKUP(G198,Data!$D$9:$L$9,Data!$D$1:$L$1,"",1,1),E198="U10G",_xlfn.XLOOKUP(G198,Data!$D$16:$L$16,Data!$D$1:$L$1,"",1,1),E198="U12G",_xlfn.XLOOKUP(G198,Data!$D$22:$L$22,Data!$D$1:$L$1,"",1,1)))</f>
        <v/>
      </c>
      <c r="L198" s="184" t="str" cm="1">
        <f t="array" ref="L198">IFERROR(_xlfn.IFNA(
                      _xlfn.IFS(
                      G198="", "",
                      G198=0, "",
                      AND(E198="U10B",G198&lt;=Data!$M$3), "U10 Boys record",
                      AND(E198="U12B",G198&lt;=Data!$M$9), "U12 Boys record",
                      AND(E198="U10G",G198&lt;=Data!$M$16), "U10 Girls record",
                      AND(E198="U12G",G198&lt;=Data!$M$22), "U12 Girls record"
                       ),""), "")</f>
        <v/>
      </c>
      <c r="M198" s="19" cm="1">
        <f t="array" ref="M198">_xlfn.IFS(OR($G198="",$G198=0),0, AND(NOT(ISNUMBER($G198)),LOWER($G198)&lt;&gt;"dnf"),"Not a valid time",OR(LOWER($G198)="dnf",$G198&gt;ScoringTable!$N$161),1,RIGHT($E198,1)="B",_xlfn.XLOOKUP($G198,ScoringTable!$N$2:$N$161,ScoringTable!$L$2:$L$161,,1),TRUE,_xlfn.XLOOKUP($G198,ScoringTable!$T$2:$T$161,ScoringTable!$R$2:$R$161,,1))</f>
        <v>0</v>
      </c>
      <c r="Q198" s="125">
        <f t="shared" si="10"/>
        <v>0</v>
      </c>
      <c r="R198" s="126">
        <f t="shared" si="11"/>
        <v>0</v>
      </c>
      <c r="S198" s="127">
        <f t="shared" si="12"/>
        <v>0</v>
      </c>
      <c r="T198" s="126">
        <f t="shared" si="13"/>
        <v>0</v>
      </c>
      <c r="U198" s="128">
        <f t="shared" si="14"/>
        <v>0</v>
      </c>
    </row>
    <row r="199" spans="1:21" s="7" customFormat="1" ht="16" customHeight="1">
      <c r="A199" s="121" t="s">
        <v>3</v>
      </c>
      <c r="B199" s="122" t="str">
        <f>IF(ISNA(VLOOKUP($F199,Declarations!B$6:C$293,2,FALSE)),"",IF(VLOOKUP($F199,Declarations!B$6:C$293,2,FALSE)="","NOT DECLARED",IF(ISNA(_xlfn.TEXTBEFORE(VLOOKUP($F199,Declarations!B$6:C$293,2,FALSE)," ")),VLOOKUP($F199,Declarations!B$6:C$293,2,FALSE),_xlfn.TEXTBEFORE(VLOOKUP($F199,Declarations!B$6:C$293,2,FALSE)," "))))</f>
        <v/>
      </c>
      <c r="C199" s="122" t="str">
        <f>IF(ISNA(VLOOKUP($F199,Declarations!B$6:C$293,2,FALSE)),"",IF(VLOOKUP($F199,Declarations!B$6:C$293,2,FALSE)="","NOT DECLARED",IF(ISNA(_xlfn.TEXTAFTER(VLOOKUP($F199,Declarations!B$6:C$293,2,FALSE)," ")),VLOOKUP($F199,Declarations!B$6:C$293,2,FALSE),_xlfn.TEXTAFTER(VLOOKUP($F199,Declarations!B$6:C$293,2,FALSE)," "))))</f>
        <v/>
      </c>
      <c r="D199" s="122" t="str">
        <f>IF(ISNA(VLOOKUP($F199,Declarations!$B$6:$F$293,5,FALSE)),"",IF(VLOOKUP($F199,Declarations!$B$6:$F$293,5,FALSE)="","NOT DECLARED",VLOOKUP($F199,Declarations!$B$6:$F$293,5,FALSE)))</f>
        <v/>
      </c>
      <c r="E199" s="120" t="str">
        <f>IF(ISNA(VLOOKUP($F199,Declarations!$B$6:$D$293,3,FALSE)),"",IF(VLOOKUP($F199,Declarations!$B$6:$D$293,3,FALSE)="","NOT DECLARED",VLOOKUP($F199,Declarations!$B$6:$D$293,3,FALSE)&amp;LEFT(VLOOKUP($F199,Declarations!$B$6:$E$293,4,FALSE))))</f>
        <v/>
      </c>
      <c r="F199" s="59"/>
      <c r="G199" s="123">
        <v>0</v>
      </c>
      <c r="H199" s="322"/>
      <c r="I199" s="122" t="str">
        <f>IF(ISNA(VLOOKUP(F199,Declarations!B$6:C$293,2,FALSE)),"",IF(VLOOKUP(F199,Declarations!B$6:C$293,2,FALSE)="","NOTDECLARED",VLOOKUP(F199,Declarations!B$6:C$293,2,FALSE)))</f>
        <v/>
      </c>
      <c r="J199" s="124">
        <f>IF(LOWER(G199)="dnf",1,IF(U199&lt;ScoringTable!C$3,ScoringTable!I$2,VLOOKUP((1000-U199),ScoringTable!H$2:I$95,2)))</f>
        <v>0</v>
      </c>
      <c r="K199" s="120" t="str" cm="1">
        <f t="array" ref="K199">IF(OR(E199="",G199=""),"",_xlfn.IFS(E199="U10B",_xlfn.XLOOKUP(G199,Data!$D$3:$L$3,Data!$D$1:$L$1,"",1,1),E199="U12B",_xlfn.XLOOKUP(G199,Data!$D$9:$L$9,Data!$D$1:$L$1,"",1,1),E199="U10G",_xlfn.XLOOKUP(G199,Data!$D$16:$L$16,Data!$D$1:$L$1,"",1,1),E199="U12G",_xlfn.XLOOKUP(G199,Data!$D$22:$L$22,Data!$D$1:$L$1,"",1,1)))</f>
        <v/>
      </c>
      <c r="L199" s="184" t="str" cm="1">
        <f t="array" ref="L199">IFERROR(_xlfn.IFNA(
                      _xlfn.IFS(
                      G199="", "",
                      G199=0, "",
                      AND(E199="U10B",G199&lt;=Data!$M$3), "U10 Boys record",
                      AND(E199="U12B",G199&lt;=Data!$M$9), "U12 Boys record",
                      AND(E199="U10G",G199&lt;=Data!$M$16), "U10 Girls record",
                      AND(E199="U12G",G199&lt;=Data!$M$22), "U12 Girls record"
                       ),""), "")</f>
        <v/>
      </c>
      <c r="M199" s="19" cm="1">
        <f t="array" ref="M199">_xlfn.IFS(OR($G199="",$G199=0),0, AND(NOT(ISNUMBER($G199)),LOWER($G199)&lt;&gt;"dnf"),"Not a valid time",OR(LOWER($G199)="dnf",$G199&gt;ScoringTable!$N$161),1,RIGHT($E199,1)="B",_xlfn.XLOOKUP($G199,ScoringTable!$N$2:$N$161,ScoringTable!$L$2:$L$161,,1),TRUE,_xlfn.XLOOKUP($G199,ScoringTable!$T$2:$T$161,ScoringTable!$R$2:$R$161,,1))</f>
        <v>0</v>
      </c>
      <c r="Q199" s="125">
        <f t="shared" ref="Q199:Q262" si="15">G199*86400</f>
        <v>0</v>
      </c>
      <c r="R199" s="126">
        <f t="shared" ref="R199:R262" si="16">Q199/60</f>
        <v>0</v>
      </c>
      <c r="S199" s="127">
        <f t="shared" ref="S199:S262" si="17">(ROUNDDOWN(R199,0))</f>
        <v>0</v>
      </c>
      <c r="T199" s="126">
        <f t="shared" ref="T199:T262" si="18">Q199-((S199*60))</f>
        <v>0</v>
      </c>
      <c r="U199" s="128">
        <f t="shared" ref="U199:U262" si="19">+(S199)+(T199/100)</f>
        <v>0</v>
      </c>
    </row>
    <row r="200" spans="1:21" s="7" customFormat="1" ht="16" customHeight="1">
      <c r="A200" s="121" t="s">
        <v>3</v>
      </c>
      <c r="B200" s="122" t="str">
        <f>IF(ISNA(VLOOKUP($F200,Declarations!B$6:C$293,2,FALSE)),"",IF(VLOOKUP($F200,Declarations!B$6:C$293,2,FALSE)="","NOT DECLARED",IF(ISNA(_xlfn.TEXTBEFORE(VLOOKUP($F200,Declarations!B$6:C$293,2,FALSE)," ")),VLOOKUP($F200,Declarations!B$6:C$293,2,FALSE),_xlfn.TEXTBEFORE(VLOOKUP($F200,Declarations!B$6:C$293,2,FALSE)," "))))</f>
        <v/>
      </c>
      <c r="C200" s="122" t="str">
        <f>IF(ISNA(VLOOKUP($F200,Declarations!B$6:C$293,2,FALSE)),"",IF(VLOOKUP($F200,Declarations!B$6:C$293,2,FALSE)="","NOT DECLARED",IF(ISNA(_xlfn.TEXTAFTER(VLOOKUP($F200,Declarations!B$6:C$293,2,FALSE)," ")),VLOOKUP($F200,Declarations!B$6:C$293,2,FALSE),_xlfn.TEXTAFTER(VLOOKUP($F200,Declarations!B$6:C$293,2,FALSE)," "))))</f>
        <v/>
      </c>
      <c r="D200" s="122" t="str">
        <f>IF(ISNA(VLOOKUP($F200,Declarations!$B$6:$F$293,5,FALSE)),"",IF(VLOOKUP($F200,Declarations!$B$6:$F$293,5,FALSE)="","NOT DECLARED",VLOOKUP($F200,Declarations!$B$6:$F$293,5,FALSE)))</f>
        <v/>
      </c>
      <c r="E200" s="120" t="str">
        <f>IF(ISNA(VLOOKUP($F200,Declarations!$B$6:$D$293,3,FALSE)),"",IF(VLOOKUP($F200,Declarations!$B$6:$D$293,3,FALSE)="","NOT DECLARED",VLOOKUP($F200,Declarations!$B$6:$D$293,3,FALSE)&amp;LEFT(VLOOKUP($F200,Declarations!$B$6:$E$293,4,FALSE))))</f>
        <v/>
      </c>
      <c r="F200" s="59"/>
      <c r="G200" s="123">
        <v>0</v>
      </c>
      <c r="H200" s="322"/>
      <c r="I200" s="122" t="str">
        <f>IF(ISNA(VLOOKUP(F200,Declarations!B$6:C$293,2,FALSE)),"",IF(VLOOKUP(F200,Declarations!B$6:C$293,2,FALSE)="","NOTDECLARED",VLOOKUP(F200,Declarations!B$6:C$293,2,FALSE)))</f>
        <v/>
      </c>
      <c r="J200" s="124">
        <f>IF(LOWER(G200)="dnf",1,IF(U200&lt;ScoringTable!C$3,ScoringTable!I$2,VLOOKUP((1000-U200),ScoringTable!H$2:I$95,2)))</f>
        <v>0</v>
      </c>
      <c r="K200" s="120" t="str" cm="1">
        <f t="array" ref="K200">IF(OR(E200="",G200=""),"",_xlfn.IFS(E200="U10B",_xlfn.XLOOKUP(G200,Data!$D$3:$L$3,Data!$D$1:$L$1,"",1,1),E200="U12B",_xlfn.XLOOKUP(G200,Data!$D$9:$L$9,Data!$D$1:$L$1,"",1,1),E200="U10G",_xlfn.XLOOKUP(G200,Data!$D$16:$L$16,Data!$D$1:$L$1,"",1,1),E200="U12G",_xlfn.XLOOKUP(G200,Data!$D$22:$L$22,Data!$D$1:$L$1,"",1,1)))</f>
        <v/>
      </c>
      <c r="L200" s="184" t="str" cm="1">
        <f t="array" ref="L200">IFERROR(_xlfn.IFNA(
                      _xlfn.IFS(
                      G200="", "",
                      G200=0, "",
                      AND(E200="U10B",G200&lt;=Data!$M$3), "U10 Boys record",
                      AND(E200="U12B",G200&lt;=Data!$M$9), "U12 Boys record",
                      AND(E200="U10G",G200&lt;=Data!$M$16), "U10 Girls record",
                      AND(E200="U12G",G200&lt;=Data!$M$22), "U12 Girls record"
                       ),""), "")</f>
        <v/>
      </c>
      <c r="M200" s="19" cm="1">
        <f t="array" ref="M200">_xlfn.IFS(OR($G200="",$G200=0),0, AND(NOT(ISNUMBER($G200)),LOWER($G200)&lt;&gt;"dnf"),"Not a valid time",OR(LOWER($G200)="dnf",$G200&gt;ScoringTable!$N$161),1,RIGHT($E200,1)="B",_xlfn.XLOOKUP($G200,ScoringTable!$N$2:$N$161,ScoringTable!$L$2:$L$161,,1),TRUE,_xlfn.XLOOKUP($G200,ScoringTable!$T$2:$T$161,ScoringTable!$R$2:$R$161,,1))</f>
        <v>0</v>
      </c>
      <c r="Q200" s="125">
        <f t="shared" si="15"/>
        <v>0</v>
      </c>
      <c r="R200" s="126">
        <f t="shared" si="16"/>
        <v>0</v>
      </c>
      <c r="S200" s="127">
        <f t="shared" si="17"/>
        <v>0</v>
      </c>
      <c r="T200" s="126">
        <f t="shared" si="18"/>
        <v>0</v>
      </c>
      <c r="U200" s="128">
        <f t="shared" si="19"/>
        <v>0</v>
      </c>
    </row>
    <row r="201" spans="1:21" s="7" customFormat="1" ht="16" customHeight="1">
      <c r="A201" s="121" t="s">
        <v>3</v>
      </c>
      <c r="B201" s="122" t="str">
        <f>IF(ISNA(VLOOKUP($F201,Declarations!B$6:C$293,2,FALSE)),"",IF(VLOOKUP($F201,Declarations!B$6:C$293,2,FALSE)="","NOT DECLARED",IF(ISNA(_xlfn.TEXTBEFORE(VLOOKUP($F201,Declarations!B$6:C$293,2,FALSE)," ")),VLOOKUP($F201,Declarations!B$6:C$293,2,FALSE),_xlfn.TEXTBEFORE(VLOOKUP($F201,Declarations!B$6:C$293,2,FALSE)," "))))</f>
        <v/>
      </c>
      <c r="C201" s="122" t="str">
        <f>IF(ISNA(VLOOKUP($F201,Declarations!B$6:C$293,2,FALSE)),"",IF(VLOOKUP($F201,Declarations!B$6:C$293,2,FALSE)="","NOT DECLARED",IF(ISNA(_xlfn.TEXTAFTER(VLOOKUP($F201,Declarations!B$6:C$293,2,FALSE)," ")),VLOOKUP($F201,Declarations!B$6:C$293,2,FALSE),_xlfn.TEXTAFTER(VLOOKUP($F201,Declarations!B$6:C$293,2,FALSE)," "))))</f>
        <v/>
      </c>
      <c r="D201" s="122" t="str">
        <f>IF(ISNA(VLOOKUP($F201,Declarations!$B$6:$F$293,5,FALSE)),"",IF(VLOOKUP($F201,Declarations!$B$6:$F$293,5,FALSE)="","NOT DECLARED",VLOOKUP($F201,Declarations!$B$6:$F$293,5,FALSE)))</f>
        <v/>
      </c>
      <c r="E201" s="120" t="str">
        <f>IF(ISNA(VLOOKUP($F201,Declarations!$B$6:$D$293,3,FALSE)),"",IF(VLOOKUP($F201,Declarations!$B$6:$D$293,3,FALSE)="","NOT DECLARED",VLOOKUP($F201,Declarations!$B$6:$D$293,3,FALSE)&amp;LEFT(VLOOKUP($F201,Declarations!$B$6:$E$293,4,FALSE))))</f>
        <v/>
      </c>
      <c r="F201" s="59"/>
      <c r="G201" s="123">
        <v>0</v>
      </c>
      <c r="H201" s="322"/>
      <c r="I201" s="122" t="str">
        <f>IF(ISNA(VLOOKUP(F201,Declarations!B$6:C$293,2,FALSE)),"",IF(VLOOKUP(F201,Declarations!B$6:C$293,2,FALSE)="","NOTDECLARED",VLOOKUP(F201,Declarations!B$6:C$293,2,FALSE)))</f>
        <v/>
      </c>
      <c r="J201" s="124">
        <f>IF(LOWER(G201)="dnf",1,IF(U201&lt;ScoringTable!C$3,ScoringTable!I$2,VLOOKUP((1000-U201),ScoringTable!H$2:I$95,2)))</f>
        <v>0</v>
      </c>
      <c r="K201" s="120" t="str" cm="1">
        <f t="array" ref="K201">IF(OR(E201="",G201=""),"",_xlfn.IFS(E201="U10B",_xlfn.XLOOKUP(G201,Data!$D$3:$L$3,Data!$D$1:$L$1,"",1,1),E201="U12B",_xlfn.XLOOKUP(G201,Data!$D$9:$L$9,Data!$D$1:$L$1,"",1,1),E201="U10G",_xlfn.XLOOKUP(G201,Data!$D$16:$L$16,Data!$D$1:$L$1,"",1,1),E201="U12G",_xlfn.XLOOKUP(G201,Data!$D$22:$L$22,Data!$D$1:$L$1,"",1,1)))</f>
        <v/>
      </c>
      <c r="L201" s="184" t="str" cm="1">
        <f t="array" ref="L201">IFERROR(_xlfn.IFNA(
                      _xlfn.IFS(
                      G201="", "",
                      G201=0, "",
                      AND(E201="U10B",G201&lt;=Data!$M$3), "U10 Boys record",
                      AND(E201="U12B",G201&lt;=Data!$M$9), "U12 Boys record",
                      AND(E201="U10G",G201&lt;=Data!$M$16), "U10 Girls record",
                      AND(E201="U12G",G201&lt;=Data!$M$22), "U12 Girls record"
                       ),""), "")</f>
        <v/>
      </c>
      <c r="M201" s="19" cm="1">
        <f t="array" ref="M201">_xlfn.IFS(OR($G201="",$G201=0),0, AND(NOT(ISNUMBER($G201)),LOWER($G201)&lt;&gt;"dnf"),"Not a valid time",OR(LOWER($G201)="dnf",$G201&gt;ScoringTable!$N$161),1,RIGHT($E201,1)="B",_xlfn.XLOOKUP($G201,ScoringTable!$N$2:$N$161,ScoringTable!$L$2:$L$161,,1),TRUE,_xlfn.XLOOKUP($G201,ScoringTable!$T$2:$T$161,ScoringTable!$R$2:$R$161,,1))</f>
        <v>0</v>
      </c>
      <c r="Q201" s="125">
        <f t="shared" si="15"/>
        <v>0</v>
      </c>
      <c r="R201" s="126">
        <f t="shared" si="16"/>
        <v>0</v>
      </c>
      <c r="S201" s="127">
        <f t="shared" si="17"/>
        <v>0</v>
      </c>
      <c r="T201" s="126">
        <f t="shared" si="18"/>
        <v>0</v>
      </c>
      <c r="U201" s="128">
        <f t="shared" si="19"/>
        <v>0</v>
      </c>
    </row>
    <row r="202" spans="1:21" s="7" customFormat="1" ht="16" customHeight="1">
      <c r="A202" s="121" t="s">
        <v>3</v>
      </c>
      <c r="B202" s="122" t="str">
        <f>IF(ISNA(VLOOKUP($F202,Declarations!B$6:C$293,2,FALSE)),"",IF(VLOOKUP($F202,Declarations!B$6:C$293,2,FALSE)="","NOT DECLARED",IF(ISNA(_xlfn.TEXTBEFORE(VLOOKUP($F202,Declarations!B$6:C$293,2,FALSE)," ")),VLOOKUP($F202,Declarations!B$6:C$293,2,FALSE),_xlfn.TEXTBEFORE(VLOOKUP($F202,Declarations!B$6:C$293,2,FALSE)," "))))</f>
        <v/>
      </c>
      <c r="C202" s="122" t="str">
        <f>IF(ISNA(VLOOKUP($F202,Declarations!B$6:C$293,2,FALSE)),"",IF(VLOOKUP($F202,Declarations!B$6:C$293,2,FALSE)="","NOT DECLARED",IF(ISNA(_xlfn.TEXTAFTER(VLOOKUP($F202,Declarations!B$6:C$293,2,FALSE)," ")),VLOOKUP($F202,Declarations!B$6:C$293,2,FALSE),_xlfn.TEXTAFTER(VLOOKUP($F202,Declarations!B$6:C$293,2,FALSE)," "))))</f>
        <v/>
      </c>
      <c r="D202" s="122" t="str">
        <f>IF(ISNA(VLOOKUP($F202,Declarations!$B$6:$F$293,5,FALSE)),"",IF(VLOOKUP($F202,Declarations!$B$6:$F$293,5,FALSE)="","NOT DECLARED",VLOOKUP($F202,Declarations!$B$6:$F$293,5,FALSE)))</f>
        <v/>
      </c>
      <c r="E202" s="120" t="str">
        <f>IF(ISNA(VLOOKUP($F202,Declarations!$B$6:$D$293,3,FALSE)),"",IF(VLOOKUP($F202,Declarations!$B$6:$D$293,3,FALSE)="","NOT DECLARED",VLOOKUP($F202,Declarations!$B$6:$D$293,3,FALSE)&amp;LEFT(VLOOKUP($F202,Declarations!$B$6:$E$293,4,FALSE))))</f>
        <v/>
      </c>
      <c r="F202" s="59"/>
      <c r="G202" s="123">
        <v>0</v>
      </c>
      <c r="H202" s="322"/>
      <c r="I202" s="122" t="str">
        <f>IF(ISNA(VLOOKUP(F202,Declarations!B$6:C$293,2,FALSE)),"",IF(VLOOKUP(F202,Declarations!B$6:C$293,2,FALSE)="","NOTDECLARED",VLOOKUP(F202,Declarations!B$6:C$293,2,FALSE)))</f>
        <v/>
      </c>
      <c r="J202" s="124">
        <f>IF(LOWER(G202)="dnf",1,IF(U202&lt;ScoringTable!C$3,ScoringTable!I$2,VLOOKUP((1000-U202),ScoringTable!H$2:I$95,2)))</f>
        <v>0</v>
      </c>
      <c r="K202" s="120" t="str" cm="1">
        <f t="array" ref="K202">IF(OR(E202="",G202=""),"",_xlfn.IFS(E202="U10B",_xlfn.XLOOKUP(G202,Data!$D$3:$L$3,Data!$D$1:$L$1,"",1,1),E202="U12B",_xlfn.XLOOKUP(G202,Data!$D$9:$L$9,Data!$D$1:$L$1,"",1,1),E202="U10G",_xlfn.XLOOKUP(G202,Data!$D$16:$L$16,Data!$D$1:$L$1,"",1,1),E202="U12G",_xlfn.XLOOKUP(G202,Data!$D$22:$L$22,Data!$D$1:$L$1,"",1,1)))</f>
        <v/>
      </c>
      <c r="L202" s="184" t="str" cm="1">
        <f t="array" ref="L202">IFERROR(_xlfn.IFNA(
                      _xlfn.IFS(
                      G202="", "",
                      G202=0, "",
                      AND(E202="U10B",G202&lt;=Data!$M$3), "U10 Boys record",
                      AND(E202="U12B",G202&lt;=Data!$M$9), "U12 Boys record",
                      AND(E202="U10G",G202&lt;=Data!$M$16), "U10 Girls record",
                      AND(E202="U12G",G202&lt;=Data!$M$22), "U12 Girls record"
                       ),""), "")</f>
        <v/>
      </c>
      <c r="M202" s="19" cm="1">
        <f t="array" ref="M202">_xlfn.IFS(OR($G202="",$G202=0),0, AND(NOT(ISNUMBER($G202)),LOWER($G202)&lt;&gt;"dnf"),"Not a valid time",OR(LOWER($G202)="dnf",$G202&gt;ScoringTable!$N$161),1,RIGHT($E202,1)="B",_xlfn.XLOOKUP($G202,ScoringTable!$N$2:$N$161,ScoringTable!$L$2:$L$161,,1),TRUE,_xlfn.XLOOKUP($G202,ScoringTable!$T$2:$T$161,ScoringTable!$R$2:$R$161,,1))</f>
        <v>0</v>
      </c>
      <c r="Q202" s="125">
        <f t="shared" si="15"/>
        <v>0</v>
      </c>
      <c r="R202" s="126">
        <f t="shared" si="16"/>
        <v>0</v>
      </c>
      <c r="S202" s="127">
        <f t="shared" si="17"/>
        <v>0</v>
      </c>
      <c r="T202" s="126">
        <f t="shared" si="18"/>
        <v>0</v>
      </c>
      <c r="U202" s="128">
        <f t="shared" si="19"/>
        <v>0</v>
      </c>
    </row>
    <row r="203" spans="1:21" s="7" customFormat="1" ht="16" customHeight="1">
      <c r="A203" s="121" t="s">
        <v>3</v>
      </c>
      <c r="B203" s="122" t="str">
        <f>IF(ISNA(VLOOKUP($F203,Declarations!B$6:C$293,2,FALSE)),"",IF(VLOOKUP($F203,Declarations!B$6:C$293,2,FALSE)="","NOT DECLARED",IF(ISNA(_xlfn.TEXTBEFORE(VLOOKUP($F203,Declarations!B$6:C$293,2,FALSE)," ")),VLOOKUP($F203,Declarations!B$6:C$293,2,FALSE),_xlfn.TEXTBEFORE(VLOOKUP($F203,Declarations!B$6:C$293,2,FALSE)," "))))</f>
        <v/>
      </c>
      <c r="C203" s="122" t="str">
        <f>IF(ISNA(VLOOKUP($F203,Declarations!B$6:C$293,2,FALSE)),"",IF(VLOOKUP($F203,Declarations!B$6:C$293,2,FALSE)="","NOT DECLARED",IF(ISNA(_xlfn.TEXTAFTER(VLOOKUP($F203,Declarations!B$6:C$293,2,FALSE)," ")),VLOOKUP($F203,Declarations!B$6:C$293,2,FALSE),_xlfn.TEXTAFTER(VLOOKUP($F203,Declarations!B$6:C$293,2,FALSE)," "))))</f>
        <v/>
      </c>
      <c r="D203" s="122" t="str">
        <f>IF(ISNA(VLOOKUP($F203,Declarations!$B$6:$F$293,5,FALSE)),"",IF(VLOOKUP($F203,Declarations!$B$6:$F$293,5,FALSE)="","NOT DECLARED",VLOOKUP($F203,Declarations!$B$6:$F$293,5,FALSE)))</f>
        <v/>
      </c>
      <c r="E203" s="120" t="str">
        <f>IF(ISNA(VLOOKUP($F203,Declarations!$B$6:$D$293,3,FALSE)),"",IF(VLOOKUP($F203,Declarations!$B$6:$D$293,3,FALSE)="","NOT DECLARED",VLOOKUP($F203,Declarations!$B$6:$D$293,3,FALSE)&amp;LEFT(VLOOKUP($F203,Declarations!$B$6:$E$293,4,FALSE))))</f>
        <v/>
      </c>
      <c r="F203" s="59"/>
      <c r="G203" s="123">
        <v>0</v>
      </c>
      <c r="H203" s="322"/>
      <c r="I203" s="122" t="str">
        <f>IF(ISNA(VLOOKUP(F203,Declarations!B$6:C$293,2,FALSE)),"",IF(VLOOKUP(F203,Declarations!B$6:C$293,2,FALSE)="","NOTDECLARED",VLOOKUP(F203,Declarations!B$6:C$293,2,FALSE)))</f>
        <v/>
      </c>
      <c r="J203" s="124">
        <f>IF(LOWER(G203)="dnf",1,IF(U203&lt;ScoringTable!C$3,ScoringTable!I$2,VLOOKUP((1000-U203),ScoringTable!H$2:I$95,2)))</f>
        <v>0</v>
      </c>
      <c r="K203" s="120" t="str" cm="1">
        <f t="array" ref="K203">IF(OR(E203="",G203=""),"",_xlfn.IFS(E203="U10B",_xlfn.XLOOKUP(G203,Data!$D$3:$L$3,Data!$D$1:$L$1,"",1,1),E203="U12B",_xlfn.XLOOKUP(G203,Data!$D$9:$L$9,Data!$D$1:$L$1,"",1,1),E203="U10G",_xlfn.XLOOKUP(G203,Data!$D$16:$L$16,Data!$D$1:$L$1,"",1,1),E203="U12G",_xlfn.XLOOKUP(G203,Data!$D$22:$L$22,Data!$D$1:$L$1,"",1,1)))</f>
        <v/>
      </c>
      <c r="L203" s="184" t="str" cm="1">
        <f t="array" ref="L203">IFERROR(_xlfn.IFNA(
                      _xlfn.IFS(
                      G203="", "",
                      G203=0, "",
                      AND(E203="U10B",G203&lt;=Data!$M$3), "U10 Boys record",
                      AND(E203="U12B",G203&lt;=Data!$M$9), "U12 Boys record",
                      AND(E203="U10G",G203&lt;=Data!$M$16), "U10 Girls record",
                      AND(E203="U12G",G203&lt;=Data!$M$22), "U12 Girls record"
                       ),""), "")</f>
        <v/>
      </c>
      <c r="M203" s="19" cm="1">
        <f t="array" ref="M203">_xlfn.IFS(OR($G203="",$G203=0),0, AND(NOT(ISNUMBER($G203)),LOWER($G203)&lt;&gt;"dnf"),"Not a valid time",OR(LOWER($G203)="dnf",$G203&gt;ScoringTable!$N$161),1,RIGHT($E203,1)="B",_xlfn.XLOOKUP($G203,ScoringTable!$N$2:$N$161,ScoringTable!$L$2:$L$161,,1),TRUE,_xlfn.XLOOKUP($G203,ScoringTable!$T$2:$T$161,ScoringTable!$R$2:$R$161,,1))</f>
        <v>0</v>
      </c>
      <c r="Q203" s="125">
        <f t="shared" si="15"/>
        <v>0</v>
      </c>
      <c r="R203" s="126">
        <f t="shared" si="16"/>
        <v>0</v>
      </c>
      <c r="S203" s="127">
        <f t="shared" si="17"/>
        <v>0</v>
      </c>
      <c r="T203" s="126">
        <f t="shared" si="18"/>
        <v>0</v>
      </c>
      <c r="U203" s="128">
        <f t="shared" si="19"/>
        <v>0</v>
      </c>
    </row>
    <row r="204" spans="1:21" s="7" customFormat="1" ht="16" customHeight="1">
      <c r="A204" s="121" t="s">
        <v>3</v>
      </c>
      <c r="B204" s="122" t="str">
        <f>IF(ISNA(VLOOKUP($F204,Declarations!B$6:C$293,2,FALSE)),"",IF(VLOOKUP($F204,Declarations!B$6:C$293,2,FALSE)="","NOT DECLARED",IF(ISNA(_xlfn.TEXTBEFORE(VLOOKUP($F204,Declarations!B$6:C$293,2,FALSE)," ")),VLOOKUP($F204,Declarations!B$6:C$293,2,FALSE),_xlfn.TEXTBEFORE(VLOOKUP($F204,Declarations!B$6:C$293,2,FALSE)," "))))</f>
        <v/>
      </c>
      <c r="C204" s="122" t="str">
        <f>IF(ISNA(VLOOKUP($F204,Declarations!B$6:C$293,2,FALSE)),"",IF(VLOOKUP($F204,Declarations!B$6:C$293,2,FALSE)="","NOT DECLARED",IF(ISNA(_xlfn.TEXTAFTER(VLOOKUP($F204,Declarations!B$6:C$293,2,FALSE)," ")),VLOOKUP($F204,Declarations!B$6:C$293,2,FALSE),_xlfn.TEXTAFTER(VLOOKUP($F204,Declarations!B$6:C$293,2,FALSE)," "))))</f>
        <v/>
      </c>
      <c r="D204" s="122" t="str">
        <f>IF(ISNA(VLOOKUP($F204,Declarations!$B$6:$F$293,5,FALSE)),"",IF(VLOOKUP($F204,Declarations!$B$6:$F$293,5,FALSE)="","NOT DECLARED",VLOOKUP($F204,Declarations!$B$6:$F$293,5,FALSE)))</f>
        <v/>
      </c>
      <c r="E204" s="120" t="str">
        <f>IF(ISNA(VLOOKUP($F204,Declarations!$B$6:$D$293,3,FALSE)),"",IF(VLOOKUP($F204,Declarations!$B$6:$D$293,3,FALSE)="","NOT DECLARED",VLOOKUP($F204,Declarations!$B$6:$D$293,3,FALSE)&amp;LEFT(VLOOKUP($F204,Declarations!$B$6:$E$293,4,FALSE))))</f>
        <v/>
      </c>
      <c r="F204" s="59"/>
      <c r="G204" s="123">
        <v>0</v>
      </c>
      <c r="H204" s="322"/>
      <c r="I204" s="122" t="str">
        <f>IF(ISNA(VLOOKUP(F204,Declarations!B$6:C$293,2,FALSE)),"",IF(VLOOKUP(F204,Declarations!B$6:C$293,2,FALSE)="","NOTDECLARED",VLOOKUP(F204,Declarations!B$6:C$293,2,FALSE)))</f>
        <v/>
      </c>
      <c r="J204" s="124">
        <f>IF(LOWER(G204)="dnf",1,IF(U204&lt;ScoringTable!C$3,ScoringTable!I$2,VLOOKUP((1000-U204),ScoringTable!H$2:I$95,2)))</f>
        <v>0</v>
      </c>
      <c r="K204" s="120" t="str" cm="1">
        <f t="array" ref="K204">IF(OR(E204="",G204=""),"",_xlfn.IFS(E204="U10B",_xlfn.XLOOKUP(G204,Data!$D$3:$L$3,Data!$D$1:$L$1,"",1,1),E204="U12B",_xlfn.XLOOKUP(G204,Data!$D$9:$L$9,Data!$D$1:$L$1,"",1,1),E204="U10G",_xlfn.XLOOKUP(G204,Data!$D$16:$L$16,Data!$D$1:$L$1,"",1,1),E204="U12G",_xlfn.XLOOKUP(G204,Data!$D$22:$L$22,Data!$D$1:$L$1,"",1,1)))</f>
        <v/>
      </c>
      <c r="L204" s="184" t="str" cm="1">
        <f t="array" ref="L204">IFERROR(_xlfn.IFNA(
                      _xlfn.IFS(
                      G204="", "",
                      G204=0, "",
                      AND(E204="U10B",G204&lt;=Data!$M$3), "U10 Boys record",
                      AND(E204="U12B",G204&lt;=Data!$M$9), "U12 Boys record",
                      AND(E204="U10G",G204&lt;=Data!$M$16), "U10 Girls record",
                      AND(E204="U12G",G204&lt;=Data!$M$22), "U12 Girls record"
                       ),""), "")</f>
        <v/>
      </c>
      <c r="M204" s="19" cm="1">
        <f t="array" ref="M204">_xlfn.IFS(OR($G204="",$G204=0),0, AND(NOT(ISNUMBER($G204)),LOWER($G204)&lt;&gt;"dnf"),"Not a valid time",OR(LOWER($G204)="dnf",$G204&gt;ScoringTable!$N$161),1,RIGHT($E204,1)="B",_xlfn.XLOOKUP($G204,ScoringTable!$N$2:$N$161,ScoringTable!$L$2:$L$161,,1),TRUE,_xlfn.XLOOKUP($G204,ScoringTable!$T$2:$T$161,ScoringTable!$R$2:$R$161,,1))</f>
        <v>0</v>
      </c>
      <c r="Q204" s="125">
        <f t="shared" si="15"/>
        <v>0</v>
      </c>
      <c r="R204" s="126">
        <f t="shared" si="16"/>
        <v>0</v>
      </c>
      <c r="S204" s="127">
        <f t="shared" si="17"/>
        <v>0</v>
      </c>
      <c r="T204" s="126">
        <f t="shared" si="18"/>
        <v>0</v>
      </c>
      <c r="U204" s="128">
        <f t="shared" si="19"/>
        <v>0</v>
      </c>
    </row>
    <row r="205" spans="1:21" s="7" customFormat="1" ht="16" customHeight="1">
      <c r="A205" s="121" t="s">
        <v>3</v>
      </c>
      <c r="B205" s="122" t="str">
        <f>IF(ISNA(VLOOKUP($F205,Declarations!B$6:C$293,2,FALSE)),"",IF(VLOOKUP($F205,Declarations!B$6:C$293,2,FALSE)="","NOT DECLARED",IF(ISNA(_xlfn.TEXTBEFORE(VLOOKUP($F205,Declarations!B$6:C$293,2,FALSE)," ")),VLOOKUP($F205,Declarations!B$6:C$293,2,FALSE),_xlfn.TEXTBEFORE(VLOOKUP($F205,Declarations!B$6:C$293,2,FALSE)," "))))</f>
        <v/>
      </c>
      <c r="C205" s="122" t="str">
        <f>IF(ISNA(VLOOKUP($F205,Declarations!B$6:C$293,2,FALSE)),"",IF(VLOOKUP($F205,Declarations!B$6:C$293,2,FALSE)="","NOT DECLARED",IF(ISNA(_xlfn.TEXTAFTER(VLOOKUP($F205,Declarations!B$6:C$293,2,FALSE)," ")),VLOOKUP($F205,Declarations!B$6:C$293,2,FALSE),_xlfn.TEXTAFTER(VLOOKUP($F205,Declarations!B$6:C$293,2,FALSE)," "))))</f>
        <v/>
      </c>
      <c r="D205" s="122" t="str">
        <f>IF(ISNA(VLOOKUP($F205,Declarations!$B$6:$F$293,5,FALSE)),"",IF(VLOOKUP($F205,Declarations!$B$6:$F$293,5,FALSE)="","NOT DECLARED",VLOOKUP($F205,Declarations!$B$6:$F$293,5,FALSE)))</f>
        <v/>
      </c>
      <c r="E205" s="120" t="str">
        <f>IF(ISNA(VLOOKUP($F205,Declarations!$B$6:$D$293,3,FALSE)),"",IF(VLOOKUP($F205,Declarations!$B$6:$D$293,3,FALSE)="","NOT DECLARED",VLOOKUP($F205,Declarations!$B$6:$D$293,3,FALSE)&amp;LEFT(VLOOKUP($F205,Declarations!$B$6:$E$293,4,FALSE))))</f>
        <v/>
      </c>
      <c r="F205" s="59"/>
      <c r="G205" s="123">
        <v>0</v>
      </c>
      <c r="H205" s="322"/>
      <c r="I205" s="122" t="str">
        <f>IF(ISNA(VLOOKUP(F205,Declarations!B$6:C$293,2,FALSE)),"",IF(VLOOKUP(F205,Declarations!B$6:C$293,2,FALSE)="","NOTDECLARED",VLOOKUP(F205,Declarations!B$6:C$293,2,FALSE)))</f>
        <v/>
      </c>
      <c r="J205" s="124">
        <f>IF(LOWER(G205)="dnf",1,IF(U205&lt;ScoringTable!C$3,ScoringTable!I$2,VLOOKUP((1000-U205),ScoringTable!H$2:I$95,2)))</f>
        <v>0</v>
      </c>
      <c r="K205" s="120" t="str" cm="1">
        <f t="array" ref="K205">IF(OR(E205="",G205=""),"",_xlfn.IFS(E205="U10B",_xlfn.XLOOKUP(G205,Data!$D$3:$L$3,Data!$D$1:$L$1,"",1,1),E205="U12B",_xlfn.XLOOKUP(G205,Data!$D$9:$L$9,Data!$D$1:$L$1,"",1,1),E205="U10G",_xlfn.XLOOKUP(G205,Data!$D$16:$L$16,Data!$D$1:$L$1,"",1,1),E205="U12G",_xlfn.XLOOKUP(G205,Data!$D$22:$L$22,Data!$D$1:$L$1,"",1,1)))</f>
        <v/>
      </c>
      <c r="L205" s="184" t="str" cm="1">
        <f t="array" ref="L205">IFERROR(_xlfn.IFNA(
                      _xlfn.IFS(
                      G205="", "",
                      G205=0, "",
                      AND(E205="U10B",G205&lt;=Data!$M$3), "U10 Boys record",
                      AND(E205="U12B",G205&lt;=Data!$M$9), "U12 Boys record",
                      AND(E205="U10G",G205&lt;=Data!$M$16), "U10 Girls record",
                      AND(E205="U12G",G205&lt;=Data!$M$22), "U12 Girls record"
                       ),""), "")</f>
        <v/>
      </c>
      <c r="M205" s="19" cm="1">
        <f t="array" ref="M205">_xlfn.IFS(OR($G205="",$G205=0),0, AND(NOT(ISNUMBER($G205)),LOWER($G205)&lt;&gt;"dnf"),"Not a valid time",OR(LOWER($G205)="dnf",$G205&gt;ScoringTable!$N$161),1,RIGHT($E205,1)="B",_xlfn.XLOOKUP($G205,ScoringTable!$N$2:$N$161,ScoringTable!$L$2:$L$161,,1),TRUE,_xlfn.XLOOKUP($G205,ScoringTable!$T$2:$T$161,ScoringTable!$R$2:$R$161,,1))</f>
        <v>0</v>
      </c>
      <c r="Q205" s="125">
        <f t="shared" si="15"/>
        <v>0</v>
      </c>
      <c r="R205" s="126">
        <f t="shared" si="16"/>
        <v>0</v>
      </c>
      <c r="S205" s="127">
        <f t="shared" si="17"/>
        <v>0</v>
      </c>
      <c r="T205" s="126">
        <f t="shared" si="18"/>
        <v>0</v>
      </c>
      <c r="U205" s="128">
        <f t="shared" si="19"/>
        <v>0</v>
      </c>
    </row>
    <row r="206" spans="1:21" s="7" customFormat="1" ht="16" customHeight="1">
      <c r="A206" s="121" t="s">
        <v>3</v>
      </c>
      <c r="B206" s="122" t="str">
        <f>IF(ISNA(VLOOKUP($F206,Declarations!B$6:C$293,2,FALSE)),"",IF(VLOOKUP($F206,Declarations!B$6:C$293,2,FALSE)="","NOT DECLARED",IF(ISNA(_xlfn.TEXTBEFORE(VLOOKUP($F206,Declarations!B$6:C$293,2,FALSE)," ")),VLOOKUP($F206,Declarations!B$6:C$293,2,FALSE),_xlfn.TEXTBEFORE(VLOOKUP($F206,Declarations!B$6:C$293,2,FALSE)," "))))</f>
        <v/>
      </c>
      <c r="C206" s="122" t="str">
        <f>IF(ISNA(VLOOKUP($F206,Declarations!B$6:C$293,2,FALSE)),"",IF(VLOOKUP($F206,Declarations!B$6:C$293,2,FALSE)="","NOT DECLARED",IF(ISNA(_xlfn.TEXTAFTER(VLOOKUP($F206,Declarations!B$6:C$293,2,FALSE)," ")),VLOOKUP($F206,Declarations!B$6:C$293,2,FALSE),_xlfn.TEXTAFTER(VLOOKUP($F206,Declarations!B$6:C$293,2,FALSE)," "))))</f>
        <v/>
      </c>
      <c r="D206" s="122" t="str">
        <f>IF(ISNA(VLOOKUP($F206,Declarations!$B$6:$F$293,5,FALSE)),"",IF(VLOOKUP($F206,Declarations!$B$6:$F$293,5,FALSE)="","NOT DECLARED",VLOOKUP($F206,Declarations!$B$6:$F$293,5,FALSE)))</f>
        <v/>
      </c>
      <c r="E206" s="120" t="str">
        <f>IF(ISNA(VLOOKUP($F206,Declarations!$B$6:$D$293,3,FALSE)),"",IF(VLOOKUP($F206,Declarations!$B$6:$D$293,3,FALSE)="","NOT DECLARED",VLOOKUP($F206,Declarations!$B$6:$D$293,3,FALSE)&amp;LEFT(VLOOKUP($F206,Declarations!$B$6:$E$293,4,FALSE))))</f>
        <v/>
      </c>
      <c r="F206" s="59"/>
      <c r="G206" s="123">
        <v>0</v>
      </c>
      <c r="H206" s="322"/>
      <c r="I206" s="122" t="str">
        <f>IF(ISNA(VLOOKUP(F206,Declarations!B$6:C$293,2,FALSE)),"",IF(VLOOKUP(F206,Declarations!B$6:C$293,2,FALSE)="","NOTDECLARED",VLOOKUP(F206,Declarations!B$6:C$293,2,FALSE)))</f>
        <v/>
      </c>
      <c r="J206" s="124">
        <f>IF(LOWER(G206)="dnf",1,IF(U206&lt;ScoringTable!C$3,ScoringTable!I$2,VLOOKUP((1000-U206),ScoringTable!H$2:I$95,2)))</f>
        <v>0</v>
      </c>
      <c r="K206" s="120" t="str" cm="1">
        <f t="array" ref="K206">IF(OR(E206="",G206=""),"",_xlfn.IFS(E206="U10B",_xlfn.XLOOKUP(G206,Data!$D$3:$L$3,Data!$D$1:$L$1,"",1,1),E206="U12B",_xlfn.XLOOKUP(G206,Data!$D$9:$L$9,Data!$D$1:$L$1,"",1,1),E206="U10G",_xlfn.XLOOKUP(G206,Data!$D$16:$L$16,Data!$D$1:$L$1,"",1,1),E206="U12G",_xlfn.XLOOKUP(G206,Data!$D$22:$L$22,Data!$D$1:$L$1,"",1,1)))</f>
        <v/>
      </c>
      <c r="L206" s="184" t="str" cm="1">
        <f t="array" ref="L206">IFERROR(_xlfn.IFNA(
                      _xlfn.IFS(
                      G206="", "",
                      G206=0, "",
                      AND(E206="U10B",G206&lt;=Data!$M$3), "U10 Boys record",
                      AND(E206="U12B",G206&lt;=Data!$M$9), "U12 Boys record",
                      AND(E206="U10G",G206&lt;=Data!$M$16), "U10 Girls record",
                      AND(E206="U12G",G206&lt;=Data!$M$22), "U12 Girls record"
                       ),""), "")</f>
        <v/>
      </c>
      <c r="M206" s="19" cm="1">
        <f t="array" ref="M206">_xlfn.IFS(OR($G206="",$G206=0),0, AND(NOT(ISNUMBER($G206)),LOWER($G206)&lt;&gt;"dnf"),"Not a valid time",OR(LOWER($G206)="dnf",$G206&gt;ScoringTable!$N$161),1,RIGHT($E206,1)="B",_xlfn.XLOOKUP($G206,ScoringTable!$N$2:$N$161,ScoringTable!$L$2:$L$161,,1),TRUE,_xlfn.XLOOKUP($G206,ScoringTable!$T$2:$T$161,ScoringTable!$R$2:$R$161,,1))</f>
        <v>0</v>
      </c>
      <c r="Q206" s="125">
        <f t="shared" si="15"/>
        <v>0</v>
      </c>
      <c r="R206" s="126">
        <f t="shared" si="16"/>
        <v>0</v>
      </c>
      <c r="S206" s="127">
        <f t="shared" si="17"/>
        <v>0</v>
      </c>
      <c r="T206" s="126">
        <f t="shared" si="18"/>
        <v>0</v>
      </c>
      <c r="U206" s="128">
        <f t="shared" si="19"/>
        <v>0</v>
      </c>
    </row>
    <row r="207" spans="1:21" s="7" customFormat="1" ht="16" customHeight="1">
      <c r="A207" s="121" t="s">
        <v>3</v>
      </c>
      <c r="B207" s="122" t="str">
        <f>IF(ISNA(VLOOKUP($F207,Declarations!B$6:C$293,2,FALSE)),"",IF(VLOOKUP($F207,Declarations!B$6:C$293,2,FALSE)="","NOT DECLARED",IF(ISNA(_xlfn.TEXTBEFORE(VLOOKUP($F207,Declarations!B$6:C$293,2,FALSE)," ")),VLOOKUP($F207,Declarations!B$6:C$293,2,FALSE),_xlfn.TEXTBEFORE(VLOOKUP($F207,Declarations!B$6:C$293,2,FALSE)," "))))</f>
        <v/>
      </c>
      <c r="C207" s="122" t="str">
        <f>IF(ISNA(VLOOKUP($F207,Declarations!B$6:C$293,2,FALSE)),"",IF(VLOOKUP($F207,Declarations!B$6:C$293,2,FALSE)="","NOT DECLARED",IF(ISNA(_xlfn.TEXTAFTER(VLOOKUP($F207,Declarations!B$6:C$293,2,FALSE)," ")),VLOOKUP($F207,Declarations!B$6:C$293,2,FALSE),_xlfn.TEXTAFTER(VLOOKUP($F207,Declarations!B$6:C$293,2,FALSE)," "))))</f>
        <v/>
      </c>
      <c r="D207" s="122" t="str">
        <f>IF(ISNA(VLOOKUP($F207,Declarations!$B$6:$F$293,5,FALSE)),"",IF(VLOOKUP($F207,Declarations!$B$6:$F$293,5,FALSE)="","NOT DECLARED",VLOOKUP($F207,Declarations!$B$6:$F$293,5,FALSE)))</f>
        <v/>
      </c>
      <c r="E207" s="120" t="str">
        <f>IF(ISNA(VLOOKUP($F207,Declarations!$B$6:$D$293,3,FALSE)),"",IF(VLOOKUP($F207,Declarations!$B$6:$D$293,3,FALSE)="","NOT DECLARED",VLOOKUP($F207,Declarations!$B$6:$D$293,3,FALSE)&amp;LEFT(VLOOKUP($F207,Declarations!$B$6:$E$293,4,FALSE))))</f>
        <v/>
      </c>
      <c r="F207" s="59"/>
      <c r="G207" s="123">
        <v>0</v>
      </c>
      <c r="H207" s="322"/>
      <c r="I207" s="122" t="str">
        <f>IF(ISNA(VLOOKUP(F207,Declarations!B$6:C$293,2,FALSE)),"",IF(VLOOKUP(F207,Declarations!B$6:C$293,2,FALSE)="","NOTDECLARED",VLOOKUP(F207,Declarations!B$6:C$293,2,FALSE)))</f>
        <v/>
      </c>
      <c r="J207" s="124">
        <f>IF(LOWER(G207)="dnf",1,IF(U207&lt;ScoringTable!C$3,ScoringTable!I$2,VLOOKUP((1000-U207),ScoringTable!H$2:I$95,2)))</f>
        <v>0</v>
      </c>
      <c r="K207" s="120" t="str" cm="1">
        <f t="array" ref="K207">IF(OR(E207="",G207=""),"",_xlfn.IFS(E207="U10B",_xlfn.XLOOKUP(G207,Data!$D$3:$L$3,Data!$D$1:$L$1,"",1,1),E207="U12B",_xlfn.XLOOKUP(G207,Data!$D$9:$L$9,Data!$D$1:$L$1,"",1,1),E207="U10G",_xlfn.XLOOKUP(G207,Data!$D$16:$L$16,Data!$D$1:$L$1,"",1,1),E207="U12G",_xlfn.XLOOKUP(G207,Data!$D$22:$L$22,Data!$D$1:$L$1,"",1,1)))</f>
        <v/>
      </c>
      <c r="L207" s="184" t="str" cm="1">
        <f t="array" ref="L207">IFERROR(_xlfn.IFNA(
                      _xlfn.IFS(
                      G207="", "",
                      G207=0, "",
                      AND(E207="U10B",G207&lt;=Data!$M$3), "U10 Boys record",
                      AND(E207="U12B",G207&lt;=Data!$M$9), "U12 Boys record",
                      AND(E207="U10G",G207&lt;=Data!$M$16), "U10 Girls record",
                      AND(E207="U12G",G207&lt;=Data!$M$22), "U12 Girls record"
                       ),""), "")</f>
        <v/>
      </c>
      <c r="M207" s="19" cm="1">
        <f t="array" ref="M207">_xlfn.IFS(OR($G207="",$G207=0),0, AND(NOT(ISNUMBER($G207)),LOWER($G207)&lt;&gt;"dnf"),"Not a valid time",OR(LOWER($G207)="dnf",$G207&gt;ScoringTable!$N$161),1,RIGHT($E207,1)="B",_xlfn.XLOOKUP($G207,ScoringTable!$N$2:$N$161,ScoringTable!$L$2:$L$161,,1),TRUE,_xlfn.XLOOKUP($G207,ScoringTable!$T$2:$T$161,ScoringTable!$R$2:$R$161,,1))</f>
        <v>0</v>
      </c>
      <c r="Q207" s="125">
        <f t="shared" si="15"/>
        <v>0</v>
      </c>
      <c r="R207" s="126">
        <f t="shared" si="16"/>
        <v>0</v>
      </c>
      <c r="S207" s="127">
        <f t="shared" si="17"/>
        <v>0</v>
      </c>
      <c r="T207" s="126">
        <f t="shared" si="18"/>
        <v>0</v>
      </c>
      <c r="U207" s="128">
        <f t="shared" si="19"/>
        <v>0</v>
      </c>
    </row>
    <row r="208" spans="1:21" s="7" customFormat="1" ht="16" customHeight="1">
      <c r="A208" s="121" t="s">
        <v>3</v>
      </c>
      <c r="B208" s="122" t="str">
        <f>IF(ISNA(VLOOKUP($F208,Declarations!B$6:C$293,2,FALSE)),"",IF(VLOOKUP($F208,Declarations!B$6:C$293,2,FALSE)="","NOT DECLARED",IF(ISNA(_xlfn.TEXTBEFORE(VLOOKUP($F208,Declarations!B$6:C$293,2,FALSE)," ")),VLOOKUP($F208,Declarations!B$6:C$293,2,FALSE),_xlfn.TEXTBEFORE(VLOOKUP($F208,Declarations!B$6:C$293,2,FALSE)," "))))</f>
        <v/>
      </c>
      <c r="C208" s="122" t="str">
        <f>IF(ISNA(VLOOKUP($F208,Declarations!B$6:C$293,2,FALSE)),"",IF(VLOOKUP($F208,Declarations!B$6:C$293,2,FALSE)="","NOT DECLARED",IF(ISNA(_xlfn.TEXTAFTER(VLOOKUP($F208,Declarations!B$6:C$293,2,FALSE)," ")),VLOOKUP($F208,Declarations!B$6:C$293,2,FALSE),_xlfn.TEXTAFTER(VLOOKUP($F208,Declarations!B$6:C$293,2,FALSE)," "))))</f>
        <v/>
      </c>
      <c r="D208" s="122" t="str">
        <f>IF(ISNA(VLOOKUP($F208,Declarations!$B$6:$F$293,5,FALSE)),"",IF(VLOOKUP($F208,Declarations!$B$6:$F$293,5,FALSE)="","NOT DECLARED",VLOOKUP($F208,Declarations!$B$6:$F$293,5,FALSE)))</f>
        <v/>
      </c>
      <c r="E208" s="120" t="str">
        <f>IF(ISNA(VLOOKUP($F208,Declarations!$B$6:$D$293,3,FALSE)),"",IF(VLOOKUP($F208,Declarations!$B$6:$D$293,3,FALSE)="","NOT DECLARED",VLOOKUP($F208,Declarations!$B$6:$D$293,3,FALSE)&amp;LEFT(VLOOKUP($F208,Declarations!$B$6:$E$293,4,FALSE))))</f>
        <v/>
      </c>
      <c r="F208" s="59"/>
      <c r="G208" s="123">
        <v>0</v>
      </c>
      <c r="H208" s="322"/>
      <c r="I208" s="122" t="str">
        <f>IF(ISNA(VLOOKUP(F208,Declarations!B$6:C$293,2,FALSE)),"",IF(VLOOKUP(F208,Declarations!B$6:C$293,2,FALSE)="","NOTDECLARED",VLOOKUP(F208,Declarations!B$6:C$293,2,FALSE)))</f>
        <v/>
      </c>
      <c r="J208" s="124">
        <f>IF(LOWER(G208)="dnf",1,IF(U208&lt;ScoringTable!C$3,ScoringTable!I$2,VLOOKUP((1000-U208),ScoringTable!H$2:I$95,2)))</f>
        <v>0</v>
      </c>
      <c r="K208" s="120" t="str" cm="1">
        <f t="array" ref="K208">IF(OR(E208="",G208=""),"",_xlfn.IFS(E208="U10B",_xlfn.XLOOKUP(G208,Data!$D$3:$L$3,Data!$D$1:$L$1,"",1,1),E208="U12B",_xlfn.XLOOKUP(G208,Data!$D$9:$L$9,Data!$D$1:$L$1,"",1,1),E208="U10G",_xlfn.XLOOKUP(G208,Data!$D$16:$L$16,Data!$D$1:$L$1,"",1,1),E208="U12G",_xlfn.XLOOKUP(G208,Data!$D$22:$L$22,Data!$D$1:$L$1,"",1,1)))</f>
        <v/>
      </c>
      <c r="L208" s="184" t="str" cm="1">
        <f t="array" ref="L208">IFERROR(_xlfn.IFNA(
                      _xlfn.IFS(
                      G208="", "",
                      G208=0, "",
                      AND(E208="U10B",G208&lt;=Data!$M$3), "U10 Boys record",
                      AND(E208="U12B",G208&lt;=Data!$M$9), "U12 Boys record",
                      AND(E208="U10G",G208&lt;=Data!$M$16), "U10 Girls record",
                      AND(E208="U12G",G208&lt;=Data!$M$22), "U12 Girls record"
                       ),""), "")</f>
        <v/>
      </c>
      <c r="M208" s="19" cm="1">
        <f t="array" ref="M208">_xlfn.IFS(OR($G208="",$G208=0),0, AND(NOT(ISNUMBER($G208)),LOWER($G208)&lt;&gt;"dnf"),"Not a valid time",OR(LOWER($G208)="dnf",$G208&gt;ScoringTable!$N$161),1,RIGHT($E208,1)="B",_xlfn.XLOOKUP($G208,ScoringTable!$N$2:$N$161,ScoringTable!$L$2:$L$161,,1),TRUE,_xlfn.XLOOKUP($G208,ScoringTable!$T$2:$T$161,ScoringTable!$R$2:$R$161,,1))</f>
        <v>0</v>
      </c>
      <c r="Q208" s="125">
        <f t="shared" si="15"/>
        <v>0</v>
      </c>
      <c r="R208" s="126">
        <f t="shared" si="16"/>
        <v>0</v>
      </c>
      <c r="S208" s="127">
        <f t="shared" si="17"/>
        <v>0</v>
      </c>
      <c r="T208" s="126">
        <f t="shared" si="18"/>
        <v>0</v>
      </c>
      <c r="U208" s="128">
        <f t="shared" si="19"/>
        <v>0</v>
      </c>
    </row>
    <row r="209" spans="1:21" s="7" customFormat="1" ht="16" customHeight="1">
      <c r="A209" s="121" t="s">
        <v>3</v>
      </c>
      <c r="B209" s="122" t="str">
        <f>IF(ISNA(VLOOKUP($F209,Declarations!B$6:C$293,2,FALSE)),"",IF(VLOOKUP($F209,Declarations!B$6:C$293,2,FALSE)="","NOT DECLARED",IF(ISNA(_xlfn.TEXTBEFORE(VLOOKUP($F209,Declarations!B$6:C$293,2,FALSE)," ")),VLOOKUP($F209,Declarations!B$6:C$293,2,FALSE),_xlfn.TEXTBEFORE(VLOOKUP($F209,Declarations!B$6:C$293,2,FALSE)," "))))</f>
        <v/>
      </c>
      <c r="C209" s="122" t="str">
        <f>IF(ISNA(VLOOKUP($F209,Declarations!B$6:C$293,2,FALSE)),"",IF(VLOOKUP($F209,Declarations!B$6:C$293,2,FALSE)="","NOT DECLARED",IF(ISNA(_xlfn.TEXTAFTER(VLOOKUP($F209,Declarations!B$6:C$293,2,FALSE)," ")),VLOOKUP($F209,Declarations!B$6:C$293,2,FALSE),_xlfn.TEXTAFTER(VLOOKUP($F209,Declarations!B$6:C$293,2,FALSE)," "))))</f>
        <v/>
      </c>
      <c r="D209" s="122" t="str">
        <f>IF(ISNA(VLOOKUP($F209,Declarations!$B$6:$F$293,5,FALSE)),"",IF(VLOOKUP($F209,Declarations!$B$6:$F$293,5,FALSE)="","NOT DECLARED",VLOOKUP($F209,Declarations!$B$6:$F$293,5,FALSE)))</f>
        <v/>
      </c>
      <c r="E209" s="120" t="str">
        <f>IF(ISNA(VLOOKUP($F209,Declarations!$B$6:$D$293,3,FALSE)),"",IF(VLOOKUP($F209,Declarations!$B$6:$D$293,3,FALSE)="","NOT DECLARED",VLOOKUP($F209,Declarations!$B$6:$D$293,3,FALSE)&amp;LEFT(VLOOKUP($F209,Declarations!$B$6:$E$293,4,FALSE))))</f>
        <v/>
      </c>
      <c r="F209" s="59"/>
      <c r="G209" s="123">
        <v>0</v>
      </c>
      <c r="H209" s="322"/>
      <c r="I209" s="122" t="str">
        <f>IF(ISNA(VLOOKUP(F209,Declarations!B$6:C$293,2,FALSE)),"",IF(VLOOKUP(F209,Declarations!B$6:C$293,2,FALSE)="","NOTDECLARED",VLOOKUP(F209,Declarations!B$6:C$293,2,FALSE)))</f>
        <v/>
      </c>
      <c r="J209" s="124">
        <f>IF(LOWER(G209)="dnf",1,IF(U209&lt;ScoringTable!C$3,ScoringTable!I$2,VLOOKUP((1000-U209),ScoringTable!H$2:I$95,2)))</f>
        <v>0</v>
      </c>
      <c r="K209" s="120" t="str" cm="1">
        <f t="array" ref="K209">IF(OR(E209="",G209=""),"",_xlfn.IFS(E209="U10B",_xlfn.XLOOKUP(G209,Data!$D$3:$L$3,Data!$D$1:$L$1,"",1,1),E209="U12B",_xlfn.XLOOKUP(G209,Data!$D$9:$L$9,Data!$D$1:$L$1,"",1,1),E209="U10G",_xlfn.XLOOKUP(G209,Data!$D$16:$L$16,Data!$D$1:$L$1,"",1,1),E209="U12G",_xlfn.XLOOKUP(G209,Data!$D$22:$L$22,Data!$D$1:$L$1,"",1,1)))</f>
        <v/>
      </c>
      <c r="L209" s="184" t="str" cm="1">
        <f t="array" ref="L209">IFERROR(_xlfn.IFNA(
                      _xlfn.IFS(
                      G209="", "",
                      G209=0, "",
                      AND(E209="U10B",G209&lt;=Data!$M$3), "U10 Boys record",
                      AND(E209="U12B",G209&lt;=Data!$M$9), "U12 Boys record",
                      AND(E209="U10G",G209&lt;=Data!$M$16), "U10 Girls record",
                      AND(E209="U12G",G209&lt;=Data!$M$22), "U12 Girls record"
                       ),""), "")</f>
        <v/>
      </c>
      <c r="M209" s="19" cm="1">
        <f t="array" ref="M209">_xlfn.IFS(OR($G209="",$G209=0),0, AND(NOT(ISNUMBER($G209)),LOWER($G209)&lt;&gt;"dnf"),"Not a valid time",OR(LOWER($G209)="dnf",$G209&gt;ScoringTable!$N$161),1,RIGHT($E209,1)="B",_xlfn.XLOOKUP($G209,ScoringTable!$N$2:$N$161,ScoringTable!$L$2:$L$161,,1),TRUE,_xlfn.XLOOKUP($G209,ScoringTable!$T$2:$T$161,ScoringTable!$R$2:$R$161,,1))</f>
        <v>0</v>
      </c>
      <c r="Q209" s="125">
        <f t="shared" si="15"/>
        <v>0</v>
      </c>
      <c r="R209" s="126">
        <f t="shared" si="16"/>
        <v>0</v>
      </c>
      <c r="S209" s="127">
        <f t="shared" si="17"/>
        <v>0</v>
      </c>
      <c r="T209" s="126">
        <f t="shared" si="18"/>
        <v>0</v>
      </c>
      <c r="U209" s="128">
        <f t="shared" si="19"/>
        <v>0</v>
      </c>
    </row>
    <row r="210" spans="1:21" s="7" customFormat="1" ht="16" customHeight="1">
      <c r="A210" s="121" t="s">
        <v>3</v>
      </c>
      <c r="B210" s="122" t="str">
        <f>IF(ISNA(VLOOKUP($F210,Declarations!B$6:C$293,2,FALSE)),"",IF(VLOOKUP($F210,Declarations!B$6:C$293,2,FALSE)="","NOT DECLARED",IF(ISNA(_xlfn.TEXTBEFORE(VLOOKUP($F210,Declarations!B$6:C$293,2,FALSE)," ")),VLOOKUP($F210,Declarations!B$6:C$293,2,FALSE),_xlfn.TEXTBEFORE(VLOOKUP($F210,Declarations!B$6:C$293,2,FALSE)," "))))</f>
        <v/>
      </c>
      <c r="C210" s="122" t="str">
        <f>IF(ISNA(VLOOKUP($F210,Declarations!B$6:C$293,2,FALSE)),"",IF(VLOOKUP($F210,Declarations!B$6:C$293,2,FALSE)="","NOT DECLARED",IF(ISNA(_xlfn.TEXTAFTER(VLOOKUP($F210,Declarations!B$6:C$293,2,FALSE)," ")),VLOOKUP($F210,Declarations!B$6:C$293,2,FALSE),_xlfn.TEXTAFTER(VLOOKUP($F210,Declarations!B$6:C$293,2,FALSE)," "))))</f>
        <v/>
      </c>
      <c r="D210" s="122" t="str">
        <f>IF(ISNA(VLOOKUP($F210,Declarations!$B$6:$F$293,5,FALSE)),"",IF(VLOOKUP($F210,Declarations!$B$6:$F$293,5,FALSE)="","NOT DECLARED",VLOOKUP($F210,Declarations!$B$6:$F$293,5,FALSE)))</f>
        <v/>
      </c>
      <c r="E210" s="120" t="str">
        <f>IF(ISNA(VLOOKUP($F210,Declarations!$B$6:$D$293,3,FALSE)),"",IF(VLOOKUP($F210,Declarations!$B$6:$D$293,3,FALSE)="","NOT DECLARED",VLOOKUP($F210,Declarations!$B$6:$D$293,3,FALSE)&amp;LEFT(VLOOKUP($F210,Declarations!$B$6:$E$293,4,FALSE))))</f>
        <v/>
      </c>
      <c r="F210" s="59"/>
      <c r="G210" s="123">
        <v>0</v>
      </c>
      <c r="H210" s="322"/>
      <c r="I210" s="122" t="str">
        <f>IF(ISNA(VLOOKUP(F210,Declarations!B$6:C$293,2,FALSE)),"",IF(VLOOKUP(F210,Declarations!B$6:C$293,2,FALSE)="","NOTDECLARED",VLOOKUP(F210,Declarations!B$6:C$293,2,FALSE)))</f>
        <v/>
      </c>
      <c r="J210" s="124">
        <f>IF(LOWER(G210)="dnf",1,IF(U210&lt;ScoringTable!C$3,ScoringTable!I$2,VLOOKUP((1000-U210),ScoringTable!H$2:I$95,2)))</f>
        <v>0</v>
      </c>
      <c r="K210" s="120" t="str" cm="1">
        <f t="array" ref="K210">IF(OR(E210="",G210=""),"",_xlfn.IFS(E210="U10B",_xlfn.XLOOKUP(G210,Data!$D$3:$L$3,Data!$D$1:$L$1,"",1,1),E210="U12B",_xlfn.XLOOKUP(G210,Data!$D$9:$L$9,Data!$D$1:$L$1,"",1,1),E210="U10G",_xlfn.XLOOKUP(G210,Data!$D$16:$L$16,Data!$D$1:$L$1,"",1,1),E210="U12G",_xlfn.XLOOKUP(G210,Data!$D$22:$L$22,Data!$D$1:$L$1,"",1,1)))</f>
        <v/>
      </c>
      <c r="L210" s="184" t="str" cm="1">
        <f t="array" ref="L210">IFERROR(_xlfn.IFNA(
                      _xlfn.IFS(
                      G210="", "",
                      G210=0, "",
                      AND(E210="U10B",G210&lt;=Data!$M$3), "U10 Boys record",
                      AND(E210="U12B",G210&lt;=Data!$M$9), "U12 Boys record",
                      AND(E210="U10G",G210&lt;=Data!$M$16), "U10 Girls record",
                      AND(E210="U12G",G210&lt;=Data!$M$22), "U12 Girls record"
                       ),""), "")</f>
        <v/>
      </c>
      <c r="M210" s="19" cm="1">
        <f t="array" ref="M210">_xlfn.IFS(OR($G210="",$G210=0),0, AND(NOT(ISNUMBER($G210)),LOWER($G210)&lt;&gt;"dnf"),"Not a valid time",OR(LOWER($G210)="dnf",$G210&gt;ScoringTable!$N$161),1,RIGHT($E210,1)="B",_xlfn.XLOOKUP($G210,ScoringTable!$N$2:$N$161,ScoringTable!$L$2:$L$161,,1),TRUE,_xlfn.XLOOKUP($G210,ScoringTable!$T$2:$T$161,ScoringTable!$R$2:$R$161,,1))</f>
        <v>0</v>
      </c>
      <c r="Q210" s="125">
        <f t="shared" si="15"/>
        <v>0</v>
      </c>
      <c r="R210" s="126">
        <f t="shared" si="16"/>
        <v>0</v>
      </c>
      <c r="S210" s="127">
        <f t="shared" si="17"/>
        <v>0</v>
      </c>
      <c r="T210" s="126">
        <f t="shared" si="18"/>
        <v>0</v>
      </c>
      <c r="U210" s="128">
        <f t="shared" si="19"/>
        <v>0</v>
      </c>
    </row>
    <row r="211" spans="1:21" s="7" customFormat="1" ht="16" customHeight="1">
      <c r="A211" s="121" t="s">
        <v>3</v>
      </c>
      <c r="B211" s="122" t="str">
        <f>IF(ISNA(VLOOKUP($F211,Declarations!B$6:C$293,2,FALSE)),"",IF(VLOOKUP($F211,Declarations!B$6:C$293,2,FALSE)="","NOT DECLARED",IF(ISNA(_xlfn.TEXTBEFORE(VLOOKUP($F211,Declarations!B$6:C$293,2,FALSE)," ")),VLOOKUP($F211,Declarations!B$6:C$293,2,FALSE),_xlfn.TEXTBEFORE(VLOOKUP($F211,Declarations!B$6:C$293,2,FALSE)," "))))</f>
        <v/>
      </c>
      <c r="C211" s="122" t="str">
        <f>IF(ISNA(VLOOKUP($F211,Declarations!B$6:C$293,2,FALSE)),"",IF(VLOOKUP($F211,Declarations!B$6:C$293,2,FALSE)="","NOT DECLARED",IF(ISNA(_xlfn.TEXTAFTER(VLOOKUP($F211,Declarations!B$6:C$293,2,FALSE)," ")),VLOOKUP($F211,Declarations!B$6:C$293,2,FALSE),_xlfn.TEXTAFTER(VLOOKUP($F211,Declarations!B$6:C$293,2,FALSE)," "))))</f>
        <v/>
      </c>
      <c r="D211" s="122" t="str">
        <f>IF(ISNA(VLOOKUP($F211,Declarations!$B$6:$F$293,5,FALSE)),"",IF(VLOOKUP($F211,Declarations!$B$6:$F$293,5,FALSE)="","NOT DECLARED",VLOOKUP($F211,Declarations!$B$6:$F$293,5,FALSE)))</f>
        <v/>
      </c>
      <c r="E211" s="120" t="str">
        <f>IF(ISNA(VLOOKUP($F211,Declarations!$B$6:$D$293,3,FALSE)),"",IF(VLOOKUP($F211,Declarations!$B$6:$D$293,3,FALSE)="","NOT DECLARED",VLOOKUP($F211,Declarations!$B$6:$D$293,3,FALSE)&amp;LEFT(VLOOKUP($F211,Declarations!$B$6:$E$293,4,FALSE))))</f>
        <v/>
      </c>
      <c r="F211" s="59"/>
      <c r="G211" s="123">
        <v>0</v>
      </c>
      <c r="H211" s="322"/>
      <c r="I211" s="122" t="str">
        <f>IF(ISNA(VLOOKUP(F211,Declarations!B$6:C$293,2,FALSE)),"",IF(VLOOKUP(F211,Declarations!B$6:C$293,2,FALSE)="","NOTDECLARED",VLOOKUP(F211,Declarations!B$6:C$293,2,FALSE)))</f>
        <v/>
      </c>
      <c r="J211" s="124">
        <f>IF(LOWER(G211)="dnf",1,IF(U211&lt;ScoringTable!C$3,ScoringTable!I$2,VLOOKUP((1000-U211),ScoringTable!H$2:I$95,2)))</f>
        <v>0</v>
      </c>
      <c r="K211" s="120" t="str" cm="1">
        <f t="array" ref="K211">IF(OR(E211="",G211=""),"",_xlfn.IFS(E211="U10B",_xlfn.XLOOKUP(G211,Data!$D$3:$L$3,Data!$D$1:$L$1,"",1,1),E211="U12B",_xlfn.XLOOKUP(G211,Data!$D$9:$L$9,Data!$D$1:$L$1,"",1,1),E211="U10G",_xlfn.XLOOKUP(G211,Data!$D$16:$L$16,Data!$D$1:$L$1,"",1,1),E211="U12G",_xlfn.XLOOKUP(G211,Data!$D$22:$L$22,Data!$D$1:$L$1,"",1,1)))</f>
        <v/>
      </c>
      <c r="L211" s="184" t="str" cm="1">
        <f t="array" ref="L211">IFERROR(_xlfn.IFNA(
                      _xlfn.IFS(
                      G211="", "",
                      G211=0, "",
                      AND(E211="U10B",G211&lt;=Data!$M$3), "U10 Boys record",
                      AND(E211="U12B",G211&lt;=Data!$M$9), "U12 Boys record",
                      AND(E211="U10G",G211&lt;=Data!$M$16), "U10 Girls record",
                      AND(E211="U12G",G211&lt;=Data!$M$22), "U12 Girls record"
                       ),""), "")</f>
        <v/>
      </c>
      <c r="M211" s="19" cm="1">
        <f t="array" ref="M211">_xlfn.IFS(OR($G211="",$G211=0),0, AND(NOT(ISNUMBER($G211)),LOWER($G211)&lt;&gt;"dnf"),"Not a valid time",OR(LOWER($G211)="dnf",$G211&gt;ScoringTable!$N$161),1,RIGHT($E211,1)="B",_xlfn.XLOOKUP($G211,ScoringTable!$N$2:$N$161,ScoringTable!$L$2:$L$161,,1),TRUE,_xlfn.XLOOKUP($G211,ScoringTable!$T$2:$T$161,ScoringTable!$R$2:$R$161,,1))</f>
        <v>0</v>
      </c>
      <c r="Q211" s="125">
        <f t="shared" si="15"/>
        <v>0</v>
      </c>
      <c r="R211" s="126">
        <f t="shared" si="16"/>
        <v>0</v>
      </c>
      <c r="S211" s="127">
        <f t="shared" si="17"/>
        <v>0</v>
      </c>
      <c r="T211" s="126">
        <f t="shared" si="18"/>
        <v>0</v>
      </c>
      <c r="U211" s="128">
        <f t="shared" si="19"/>
        <v>0</v>
      </c>
    </row>
    <row r="212" spans="1:21" s="7" customFormat="1" ht="16" customHeight="1">
      <c r="A212" s="121" t="s">
        <v>3</v>
      </c>
      <c r="B212" s="122" t="str">
        <f>IF(ISNA(VLOOKUP($F212,Declarations!B$6:C$293,2,FALSE)),"",IF(VLOOKUP($F212,Declarations!B$6:C$293,2,FALSE)="","NOT DECLARED",IF(ISNA(_xlfn.TEXTBEFORE(VLOOKUP($F212,Declarations!B$6:C$293,2,FALSE)," ")),VLOOKUP($F212,Declarations!B$6:C$293,2,FALSE),_xlfn.TEXTBEFORE(VLOOKUP($F212,Declarations!B$6:C$293,2,FALSE)," "))))</f>
        <v/>
      </c>
      <c r="C212" s="122" t="str">
        <f>IF(ISNA(VLOOKUP($F212,Declarations!B$6:C$293,2,FALSE)),"",IF(VLOOKUP($F212,Declarations!B$6:C$293,2,FALSE)="","NOT DECLARED",IF(ISNA(_xlfn.TEXTAFTER(VLOOKUP($F212,Declarations!B$6:C$293,2,FALSE)," ")),VLOOKUP($F212,Declarations!B$6:C$293,2,FALSE),_xlfn.TEXTAFTER(VLOOKUP($F212,Declarations!B$6:C$293,2,FALSE)," "))))</f>
        <v/>
      </c>
      <c r="D212" s="122" t="str">
        <f>IF(ISNA(VLOOKUP($F212,Declarations!$B$6:$F$293,5,FALSE)),"",IF(VLOOKUP($F212,Declarations!$B$6:$F$293,5,FALSE)="","NOT DECLARED",VLOOKUP($F212,Declarations!$B$6:$F$293,5,FALSE)))</f>
        <v/>
      </c>
      <c r="E212" s="120" t="str">
        <f>IF(ISNA(VLOOKUP($F212,Declarations!$B$6:$D$293,3,FALSE)),"",IF(VLOOKUP($F212,Declarations!$B$6:$D$293,3,FALSE)="","NOT DECLARED",VLOOKUP($F212,Declarations!$B$6:$D$293,3,FALSE)&amp;LEFT(VLOOKUP($F212,Declarations!$B$6:$E$293,4,FALSE))))</f>
        <v/>
      </c>
      <c r="F212" s="59"/>
      <c r="G212" s="123">
        <v>0</v>
      </c>
      <c r="H212" s="322"/>
      <c r="I212" s="122" t="str">
        <f>IF(ISNA(VLOOKUP(F212,Declarations!B$6:C$293,2,FALSE)),"",IF(VLOOKUP(F212,Declarations!B$6:C$293,2,FALSE)="","NOTDECLARED",VLOOKUP(F212,Declarations!B$6:C$293,2,FALSE)))</f>
        <v/>
      </c>
      <c r="J212" s="124">
        <f>IF(LOWER(G212)="dnf",1,IF(U212&lt;ScoringTable!C$3,ScoringTable!I$2,VLOOKUP((1000-U212),ScoringTable!H$2:I$95,2)))</f>
        <v>0</v>
      </c>
      <c r="K212" s="120" t="str" cm="1">
        <f t="array" ref="K212">IF(OR(E212="",G212=""),"",_xlfn.IFS(E212="U10B",_xlfn.XLOOKUP(G212,Data!$D$3:$L$3,Data!$D$1:$L$1,"",1,1),E212="U12B",_xlfn.XLOOKUP(G212,Data!$D$9:$L$9,Data!$D$1:$L$1,"",1,1),E212="U10G",_xlfn.XLOOKUP(G212,Data!$D$16:$L$16,Data!$D$1:$L$1,"",1,1),E212="U12G",_xlfn.XLOOKUP(G212,Data!$D$22:$L$22,Data!$D$1:$L$1,"",1,1)))</f>
        <v/>
      </c>
      <c r="L212" s="184" t="str" cm="1">
        <f t="array" ref="L212">IFERROR(_xlfn.IFNA(
                      _xlfn.IFS(
                      G212="", "",
                      G212=0, "",
                      AND(E212="U10B",G212&lt;=Data!$M$3), "U10 Boys record",
                      AND(E212="U12B",G212&lt;=Data!$M$9), "U12 Boys record",
                      AND(E212="U10G",G212&lt;=Data!$M$16), "U10 Girls record",
                      AND(E212="U12G",G212&lt;=Data!$M$22), "U12 Girls record"
                       ),""), "")</f>
        <v/>
      </c>
      <c r="M212" s="19" cm="1">
        <f t="array" ref="M212">_xlfn.IFS(OR($G212="",$G212=0),0, AND(NOT(ISNUMBER($G212)),LOWER($G212)&lt;&gt;"dnf"),"Not a valid time",OR(LOWER($G212)="dnf",$G212&gt;ScoringTable!$N$161),1,RIGHT($E212,1)="B",_xlfn.XLOOKUP($G212,ScoringTable!$N$2:$N$161,ScoringTable!$L$2:$L$161,,1),TRUE,_xlfn.XLOOKUP($G212,ScoringTable!$T$2:$T$161,ScoringTable!$R$2:$R$161,,1))</f>
        <v>0</v>
      </c>
      <c r="Q212" s="125">
        <f t="shared" si="15"/>
        <v>0</v>
      </c>
      <c r="R212" s="126">
        <f t="shared" si="16"/>
        <v>0</v>
      </c>
      <c r="S212" s="127">
        <f t="shared" si="17"/>
        <v>0</v>
      </c>
      <c r="T212" s="126">
        <f t="shared" si="18"/>
        <v>0</v>
      </c>
      <c r="U212" s="128">
        <f t="shared" si="19"/>
        <v>0</v>
      </c>
    </row>
    <row r="213" spans="1:21" s="7" customFormat="1" ht="16" customHeight="1">
      <c r="A213" s="121" t="s">
        <v>3</v>
      </c>
      <c r="B213" s="122" t="str">
        <f>IF(ISNA(VLOOKUP($F213,Declarations!B$6:C$293,2,FALSE)),"",IF(VLOOKUP($F213,Declarations!B$6:C$293,2,FALSE)="","NOT DECLARED",IF(ISNA(_xlfn.TEXTBEFORE(VLOOKUP($F213,Declarations!B$6:C$293,2,FALSE)," ")),VLOOKUP($F213,Declarations!B$6:C$293,2,FALSE),_xlfn.TEXTBEFORE(VLOOKUP($F213,Declarations!B$6:C$293,2,FALSE)," "))))</f>
        <v/>
      </c>
      <c r="C213" s="122" t="str">
        <f>IF(ISNA(VLOOKUP($F213,Declarations!B$6:C$293,2,FALSE)),"",IF(VLOOKUP($F213,Declarations!B$6:C$293,2,FALSE)="","NOT DECLARED",IF(ISNA(_xlfn.TEXTAFTER(VLOOKUP($F213,Declarations!B$6:C$293,2,FALSE)," ")),VLOOKUP($F213,Declarations!B$6:C$293,2,FALSE),_xlfn.TEXTAFTER(VLOOKUP($F213,Declarations!B$6:C$293,2,FALSE)," "))))</f>
        <v/>
      </c>
      <c r="D213" s="122" t="str">
        <f>IF(ISNA(VLOOKUP($F213,Declarations!$B$6:$F$293,5,FALSE)),"",IF(VLOOKUP($F213,Declarations!$B$6:$F$293,5,FALSE)="","NOT DECLARED",VLOOKUP($F213,Declarations!$B$6:$F$293,5,FALSE)))</f>
        <v/>
      </c>
      <c r="E213" s="120" t="str">
        <f>IF(ISNA(VLOOKUP($F213,Declarations!$B$6:$D$293,3,FALSE)),"",IF(VLOOKUP($F213,Declarations!$B$6:$D$293,3,FALSE)="","NOT DECLARED",VLOOKUP($F213,Declarations!$B$6:$D$293,3,FALSE)&amp;LEFT(VLOOKUP($F213,Declarations!$B$6:$E$293,4,FALSE))))</f>
        <v/>
      </c>
      <c r="F213" s="59"/>
      <c r="G213" s="123">
        <v>0</v>
      </c>
      <c r="H213" s="322"/>
      <c r="I213" s="122" t="str">
        <f>IF(ISNA(VLOOKUP(F213,Declarations!B$6:C$293,2,FALSE)),"",IF(VLOOKUP(F213,Declarations!B$6:C$293,2,FALSE)="","NOTDECLARED",VLOOKUP(F213,Declarations!B$6:C$293,2,FALSE)))</f>
        <v/>
      </c>
      <c r="J213" s="124">
        <f>IF(LOWER(G213)="dnf",1,IF(U213&lt;ScoringTable!C$3,ScoringTable!I$2,VLOOKUP((1000-U213),ScoringTable!H$2:I$95,2)))</f>
        <v>0</v>
      </c>
      <c r="K213" s="120" t="str" cm="1">
        <f t="array" ref="K213">IF(OR(E213="",G213=""),"",_xlfn.IFS(E213="U10B",_xlfn.XLOOKUP(G213,Data!$D$3:$L$3,Data!$D$1:$L$1,"",1,1),E213="U12B",_xlfn.XLOOKUP(G213,Data!$D$9:$L$9,Data!$D$1:$L$1,"",1,1),E213="U10G",_xlfn.XLOOKUP(G213,Data!$D$16:$L$16,Data!$D$1:$L$1,"",1,1),E213="U12G",_xlfn.XLOOKUP(G213,Data!$D$22:$L$22,Data!$D$1:$L$1,"",1,1)))</f>
        <v/>
      </c>
      <c r="L213" s="184" t="str" cm="1">
        <f t="array" ref="L213">IFERROR(_xlfn.IFNA(
                      _xlfn.IFS(
                      G213="", "",
                      G213=0, "",
                      AND(E213="U10B",G213&lt;=Data!$M$3), "U10 Boys record",
                      AND(E213="U12B",G213&lt;=Data!$M$9), "U12 Boys record",
                      AND(E213="U10G",G213&lt;=Data!$M$16), "U10 Girls record",
                      AND(E213="U12G",G213&lt;=Data!$M$22), "U12 Girls record"
                       ),""), "")</f>
        <v/>
      </c>
      <c r="M213" s="19" cm="1">
        <f t="array" ref="M213">_xlfn.IFS(OR($G213="",$G213=0),0, AND(NOT(ISNUMBER($G213)),LOWER($G213)&lt;&gt;"dnf"),"Not a valid time",OR(LOWER($G213)="dnf",$G213&gt;ScoringTable!$N$161),1,RIGHT($E213,1)="B",_xlfn.XLOOKUP($G213,ScoringTable!$N$2:$N$161,ScoringTable!$L$2:$L$161,,1),TRUE,_xlfn.XLOOKUP($G213,ScoringTable!$T$2:$T$161,ScoringTable!$R$2:$R$161,,1))</f>
        <v>0</v>
      </c>
      <c r="Q213" s="125">
        <f t="shared" si="15"/>
        <v>0</v>
      </c>
      <c r="R213" s="126">
        <f t="shared" si="16"/>
        <v>0</v>
      </c>
      <c r="S213" s="127">
        <f t="shared" si="17"/>
        <v>0</v>
      </c>
      <c r="T213" s="126">
        <f t="shared" si="18"/>
        <v>0</v>
      </c>
      <c r="U213" s="128">
        <f t="shared" si="19"/>
        <v>0</v>
      </c>
    </row>
    <row r="214" spans="1:21" s="7" customFormat="1" ht="16" customHeight="1">
      <c r="A214" s="121" t="s">
        <v>3</v>
      </c>
      <c r="B214" s="122" t="str">
        <f>IF(ISNA(VLOOKUP($F214,Declarations!B$6:C$293,2,FALSE)),"",IF(VLOOKUP($F214,Declarations!B$6:C$293,2,FALSE)="","NOT DECLARED",IF(ISNA(_xlfn.TEXTBEFORE(VLOOKUP($F214,Declarations!B$6:C$293,2,FALSE)," ")),VLOOKUP($F214,Declarations!B$6:C$293,2,FALSE),_xlfn.TEXTBEFORE(VLOOKUP($F214,Declarations!B$6:C$293,2,FALSE)," "))))</f>
        <v/>
      </c>
      <c r="C214" s="122" t="str">
        <f>IF(ISNA(VLOOKUP($F214,Declarations!B$6:C$293,2,FALSE)),"",IF(VLOOKUP($F214,Declarations!B$6:C$293,2,FALSE)="","NOT DECLARED",IF(ISNA(_xlfn.TEXTAFTER(VLOOKUP($F214,Declarations!B$6:C$293,2,FALSE)," ")),VLOOKUP($F214,Declarations!B$6:C$293,2,FALSE),_xlfn.TEXTAFTER(VLOOKUP($F214,Declarations!B$6:C$293,2,FALSE)," "))))</f>
        <v/>
      </c>
      <c r="D214" s="122" t="str">
        <f>IF(ISNA(VLOOKUP($F214,Declarations!$B$6:$F$293,5,FALSE)),"",IF(VLOOKUP($F214,Declarations!$B$6:$F$293,5,FALSE)="","NOT DECLARED",VLOOKUP($F214,Declarations!$B$6:$F$293,5,FALSE)))</f>
        <v/>
      </c>
      <c r="E214" s="120" t="str">
        <f>IF(ISNA(VLOOKUP($F214,Declarations!$B$6:$D$293,3,FALSE)),"",IF(VLOOKUP($F214,Declarations!$B$6:$D$293,3,FALSE)="","NOT DECLARED",VLOOKUP($F214,Declarations!$B$6:$D$293,3,FALSE)&amp;LEFT(VLOOKUP($F214,Declarations!$B$6:$E$293,4,FALSE))))</f>
        <v/>
      </c>
      <c r="F214" s="59"/>
      <c r="G214" s="123">
        <v>0</v>
      </c>
      <c r="H214" s="322"/>
      <c r="I214" s="122" t="str">
        <f>IF(ISNA(VLOOKUP(F214,Declarations!B$6:C$293,2,FALSE)),"",IF(VLOOKUP(F214,Declarations!B$6:C$293,2,FALSE)="","NOTDECLARED",VLOOKUP(F214,Declarations!B$6:C$293,2,FALSE)))</f>
        <v/>
      </c>
      <c r="J214" s="124">
        <f>IF(LOWER(G214)="dnf",1,IF(U214&lt;ScoringTable!C$3,ScoringTable!I$2,VLOOKUP((1000-U214),ScoringTable!H$2:I$95,2)))</f>
        <v>0</v>
      </c>
      <c r="K214" s="120" t="str" cm="1">
        <f t="array" ref="K214">IF(OR(E214="",G214=""),"",_xlfn.IFS(E214="U10B",_xlfn.XLOOKUP(G214,Data!$D$3:$L$3,Data!$D$1:$L$1,"",1,1),E214="U12B",_xlfn.XLOOKUP(G214,Data!$D$9:$L$9,Data!$D$1:$L$1,"",1,1),E214="U10G",_xlfn.XLOOKUP(G214,Data!$D$16:$L$16,Data!$D$1:$L$1,"",1,1),E214="U12G",_xlfn.XLOOKUP(G214,Data!$D$22:$L$22,Data!$D$1:$L$1,"",1,1)))</f>
        <v/>
      </c>
      <c r="L214" s="184" t="str" cm="1">
        <f t="array" ref="L214">IFERROR(_xlfn.IFNA(
                      _xlfn.IFS(
                      G214="", "",
                      G214=0, "",
                      AND(E214="U10B",G214&lt;=Data!$M$3), "U10 Boys record",
                      AND(E214="U12B",G214&lt;=Data!$M$9), "U12 Boys record",
                      AND(E214="U10G",G214&lt;=Data!$M$16), "U10 Girls record",
                      AND(E214="U12G",G214&lt;=Data!$M$22), "U12 Girls record"
                       ),""), "")</f>
        <v/>
      </c>
      <c r="M214" s="19" cm="1">
        <f t="array" ref="M214">_xlfn.IFS(OR($G214="",$G214=0),0, AND(NOT(ISNUMBER($G214)),LOWER($G214)&lt;&gt;"dnf"),"Not a valid time",OR(LOWER($G214)="dnf",$G214&gt;ScoringTable!$N$161),1,RIGHT($E214,1)="B",_xlfn.XLOOKUP($G214,ScoringTable!$N$2:$N$161,ScoringTable!$L$2:$L$161,,1),TRUE,_xlfn.XLOOKUP($G214,ScoringTable!$T$2:$T$161,ScoringTable!$R$2:$R$161,,1))</f>
        <v>0</v>
      </c>
      <c r="Q214" s="125">
        <f t="shared" si="15"/>
        <v>0</v>
      </c>
      <c r="R214" s="126">
        <f t="shared" si="16"/>
        <v>0</v>
      </c>
      <c r="S214" s="127">
        <f t="shared" si="17"/>
        <v>0</v>
      </c>
      <c r="T214" s="126">
        <f t="shared" si="18"/>
        <v>0</v>
      </c>
      <c r="U214" s="128">
        <f t="shared" si="19"/>
        <v>0</v>
      </c>
    </row>
    <row r="215" spans="1:21" s="7" customFormat="1" ht="16" customHeight="1">
      <c r="A215" s="121" t="s">
        <v>3</v>
      </c>
      <c r="B215" s="122" t="str">
        <f>IF(ISNA(VLOOKUP($F215,Declarations!B$6:C$293,2,FALSE)),"",IF(VLOOKUP($F215,Declarations!B$6:C$293,2,FALSE)="","NOT DECLARED",IF(ISNA(_xlfn.TEXTBEFORE(VLOOKUP($F215,Declarations!B$6:C$293,2,FALSE)," ")),VLOOKUP($F215,Declarations!B$6:C$293,2,FALSE),_xlfn.TEXTBEFORE(VLOOKUP($F215,Declarations!B$6:C$293,2,FALSE)," "))))</f>
        <v/>
      </c>
      <c r="C215" s="122" t="str">
        <f>IF(ISNA(VLOOKUP($F215,Declarations!B$6:C$293,2,FALSE)),"",IF(VLOOKUP($F215,Declarations!B$6:C$293,2,FALSE)="","NOT DECLARED",IF(ISNA(_xlfn.TEXTAFTER(VLOOKUP($F215,Declarations!B$6:C$293,2,FALSE)," ")),VLOOKUP($F215,Declarations!B$6:C$293,2,FALSE),_xlfn.TEXTAFTER(VLOOKUP($F215,Declarations!B$6:C$293,2,FALSE)," "))))</f>
        <v/>
      </c>
      <c r="D215" s="122" t="str">
        <f>IF(ISNA(VLOOKUP($F215,Declarations!$B$6:$F$293,5,FALSE)),"",IF(VLOOKUP($F215,Declarations!$B$6:$F$293,5,FALSE)="","NOT DECLARED",VLOOKUP($F215,Declarations!$B$6:$F$293,5,FALSE)))</f>
        <v/>
      </c>
      <c r="E215" s="120" t="str">
        <f>IF(ISNA(VLOOKUP($F215,Declarations!$B$6:$D$293,3,FALSE)),"",IF(VLOOKUP($F215,Declarations!$B$6:$D$293,3,FALSE)="","NOT DECLARED",VLOOKUP($F215,Declarations!$B$6:$D$293,3,FALSE)&amp;LEFT(VLOOKUP($F215,Declarations!$B$6:$E$293,4,FALSE))))</f>
        <v/>
      </c>
      <c r="F215" s="59"/>
      <c r="G215" s="123">
        <v>0</v>
      </c>
      <c r="H215" s="322"/>
      <c r="I215" s="122" t="str">
        <f>IF(ISNA(VLOOKUP(F215,Declarations!B$6:C$293,2,FALSE)),"",IF(VLOOKUP(F215,Declarations!B$6:C$293,2,FALSE)="","NOTDECLARED",VLOOKUP(F215,Declarations!B$6:C$293,2,FALSE)))</f>
        <v/>
      </c>
      <c r="J215" s="124">
        <f>IF(LOWER(G215)="dnf",1,IF(U215&lt;ScoringTable!C$3,ScoringTable!I$2,VLOOKUP((1000-U215),ScoringTable!H$2:I$95,2)))</f>
        <v>0</v>
      </c>
      <c r="K215" s="120" t="str" cm="1">
        <f t="array" ref="K215">IF(OR(E215="",G215=""),"",_xlfn.IFS(E215="U10B",_xlfn.XLOOKUP(G215,Data!$D$3:$L$3,Data!$D$1:$L$1,"",1,1),E215="U12B",_xlfn.XLOOKUP(G215,Data!$D$9:$L$9,Data!$D$1:$L$1,"",1,1),E215="U10G",_xlfn.XLOOKUP(G215,Data!$D$16:$L$16,Data!$D$1:$L$1,"",1,1),E215="U12G",_xlfn.XLOOKUP(G215,Data!$D$22:$L$22,Data!$D$1:$L$1,"",1,1)))</f>
        <v/>
      </c>
      <c r="L215" s="184" t="str" cm="1">
        <f t="array" ref="L215">IFERROR(_xlfn.IFNA(
                      _xlfn.IFS(
                      G215="", "",
                      G215=0, "",
                      AND(E215="U10B",G215&lt;=Data!$M$3), "U10 Boys record",
                      AND(E215="U12B",G215&lt;=Data!$M$9), "U12 Boys record",
                      AND(E215="U10G",G215&lt;=Data!$M$16), "U10 Girls record",
                      AND(E215="U12G",G215&lt;=Data!$M$22), "U12 Girls record"
                       ),""), "")</f>
        <v/>
      </c>
      <c r="M215" s="19" cm="1">
        <f t="array" ref="M215">_xlfn.IFS(OR($G215="",$G215=0),0, AND(NOT(ISNUMBER($G215)),LOWER($G215)&lt;&gt;"dnf"),"Not a valid time",OR(LOWER($G215)="dnf",$G215&gt;ScoringTable!$N$161),1,RIGHT($E215,1)="B",_xlfn.XLOOKUP($G215,ScoringTable!$N$2:$N$161,ScoringTable!$L$2:$L$161,,1),TRUE,_xlfn.XLOOKUP($G215,ScoringTable!$T$2:$T$161,ScoringTable!$R$2:$R$161,,1))</f>
        <v>0</v>
      </c>
      <c r="Q215" s="125">
        <f t="shared" si="15"/>
        <v>0</v>
      </c>
      <c r="R215" s="126">
        <f t="shared" si="16"/>
        <v>0</v>
      </c>
      <c r="S215" s="127">
        <f t="shared" si="17"/>
        <v>0</v>
      </c>
      <c r="T215" s="126">
        <f t="shared" si="18"/>
        <v>0</v>
      </c>
      <c r="U215" s="128">
        <f t="shared" si="19"/>
        <v>0</v>
      </c>
    </row>
    <row r="216" spans="1:21" s="7" customFormat="1" ht="16" customHeight="1">
      <c r="A216" s="121" t="s">
        <v>3</v>
      </c>
      <c r="B216" s="122" t="str">
        <f>IF(ISNA(VLOOKUP($F216,Declarations!B$6:C$293,2,FALSE)),"",IF(VLOOKUP($F216,Declarations!B$6:C$293,2,FALSE)="","NOT DECLARED",IF(ISNA(_xlfn.TEXTBEFORE(VLOOKUP($F216,Declarations!B$6:C$293,2,FALSE)," ")),VLOOKUP($F216,Declarations!B$6:C$293,2,FALSE),_xlfn.TEXTBEFORE(VLOOKUP($F216,Declarations!B$6:C$293,2,FALSE)," "))))</f>
        <v/>
      </c>
      <c r="C216" s="122" t="str">
        <f>IF(ISNA(VLOOKUP($F216,Declarations!B$6:C$293,2,FALSE)),"",IF(VLOOKUP($F216,Declarations!B$6:C$293,2,FALSE)="","NOT DECLARED",IF(ISNA(_xlfn.TEXTAFTER(VLOOKUP($F216,Declarations!B$6:C$293,2,FALSE)," ")),VLOOKUP($F216,Declarations!B$6:C$293,2,FALSE),_xlfn.TEXTAFTER(VLOOKUP($F216,Declarations!B$6:C$293,2,FALSE)," "))))</f>
        <v/>
      </c>
      <c r="D216" s="122" t="str">
        <f>IF(ISNA(VLOOKUP($F216,Declarations!$B$6:$F$293,5,FALSE)),"",IF(VLOOKUP($F216,Declarations!$B$6:$F$293,5,FALSE)="","NOT DECLARED",VLOOKUP($F216,Declarations!$B$6:$F$293,5,FALSE)))</f>
        <v/>
      </c>
      <c r="E216" s="120" t="str">
        <f>IF(ISNA(VLOOKUP($F216,Declarations!$B$6:$D$293,3,FALSE)),"",IF(VLOOKUP($F216,Declarations!$B$6:$D$293,3,FALSE)="","NOT DECLARED",VLOOKUP($F216,Declarations!$B$6:$D$293,3,FALSE)&amp;LEFT(VLOOKUP($F216,Declarations!$B$6:$E$293,4,FALSE))))</f>
        <v/>
      </c>
      <c r="F216" s="59"/>
      <c r="G216" s="123">
        <v>0</v>
      </c>
      <c r="H216" s="322"/>
      <c r="I216" s="122" t="str">
        <f>IF(ISNA(VLOOKUP(F216,Declarations!B$6:C$293,2,FALSE)),"",IF(VLOOKUP(F216,Declarations!B$6:C$293,2,FALSE)="","NOTDECLARED",VLOOKUP(F216,Declarations!B$6:C$293,2,FALSE)))</f>
        <v/>
      </c>
      <c r="J216" s="124">
        <f>IF(LOWER(G216)="dnf",1,IF(U216&lt;ScoringTable!C$3,ScoringTable!I$2,VLOOKUP((1000-U216),ScoringTable!H$2:I$95,2)))</f>
        <v>0</v>
      </c>
      <c r="K216" s="120" t="str" cm="1">
        <f t="array" ref="K216">IF(OR(E216="",G216=""),"",_xlfn.IFS(E216="U10B",_xlfn.XLOOKUP(G216,Data!$D$3:$L$3,Data!$D$1:$L$1,"",1,1),E216="U12B",_xlfn.XLOOKUP(G216,Data!$D$9:$L$9,Data!$D$1:$L$1,"",1,1),E216="U10G",_xlfn.XLOOKUP(G216,Data!$D$16:$L$16,Data!$D$1:$L$1,"",1,1),E216="U12G",_xlfn.XLOOKUP(G216,Data!$D$22:$L$22,Data!$D$1:$L$1,"",1,1)))</f>
        <v/>
      </c>
      <c r="L216" s="184" t="str" cm="1">
        <f t="array" ref="L216">IFERROR(_xlfn.IFNA(
                      _xlfn.IFS(
                      G216="", "",
                      G216=0, "",
                      AND(E216="U10B",G216&lt;=Data!$M$3), "U10 Boys record",
                      AND(E216="U12B",G216&lt;=Data!$M$9), "U12 Boys record",
                      AND(E216="U10G",G216&lt;=Data!$M$16), "U10 Girls record",
                      AND(E216="U12G",G216&lt;=Data!$M$22), "U12 Girls record"
                       ),""), "")</f>
        <v/>
      </c>
      <c r="M216" s="19" cm="1">
        <f t="array" ref="M216">_xlfn.IFS(OR($G216="",$G216=0),0, AND(NOT(ISNUMBER($G216)),LOWER($G216)&lt;&gt;"dnf"),"Not a valid time",OR(LOWER($G216)="dnf",$G216&gt;ScoringTable!$N$161),1,RIGHT($E216,1)="B",_xlfn.XLOOKUP($G216,ScoringTable!$N$2:$N$161,ScoringTable!$L$2:$L$161,,1),TRUE,_xlfn.XLOOKUP($G216,ScoringTable!$T$2:$T$161,ScoringTable!$R$2:$R$161,,1))</f>
        <v>0</v>
      </c>
      <c r="Q216" s="125">
        <f t="shared" si="15"/>
        <v>0</v>
      </c>
      <c r="R216" s="126">
        <f t="shared" si="16"/>
        <v>0</v>
      </c>
      <c r="S216" s="127">
        <f t="shared" si="17"/>
        <v>0</v>
      </c>
      <c r="T216" s="126">
        <f t="shared" si="18"/>
        <v>0</v>
      </c>
      <c r="U216" s="128">
        <f t="shared" si="19"/>
        <v>0</v>
      </c>
    </row>
    <row r="217" spans="1:21" s="7" customFormat="1" ht="16" customHeight="1">
      <c r="A217" s="121" t="s">
        <v>3</v>
      </c>
      <c r="B217" s="122" t="str">
        <f>IF(ISNA(VLOOKUP($F217,Declarations!B$6:C$293,2,FALSE)),"",IF(VLOOKUP($F217,Declarations!B$6:C$293,2,FALSE)="","NOT DECLARED",IF(ISNA(_xlfn.TEXTBEFORE(VLOOKUP($F217,Declarations!B$6:C$293,2,FALSE)," ")),VLOOKUP($F217,Declarations!B$6:C$293,2,FALSE),_xlfn.TEXTBEFORE(VLOOKUP($F217,Declarations!B$6:C$293,2,FALSE)," "))))</f>
        <v/>
      </c>
      <c r="C217" s="122" t="str">
        <f>IF(ISNA(VLOOKUP($F217,Declarations!B$6:C$293,2,FALSE)),"",IF(VLOOKUP($F217,Declarations!B$6:C$293,2,FALSE)="","NOT DECLARED",IF(ISNA(_xlfn.TEXTAFTER(VLOOKUP($F217,Declarations!B$6:C$293,2,FALSE)," ")),VLOOKUP($F217,Declarations!B$6:C$293,2,FALSE),_xlfn.TEXTAFTER(VLOOKUP($F217,Declarations!B$6:C$293,2,FALSE)," "))))</f>
        <v/>
      </c>
      <c r="D217" s="122" t="str">
        <f>IF(ISNA(VLOOKUP($F217,Declarations!$B$6:$F$293,5,FALSE)),"",IF(VLOOKUP($F217,Declarations!$B$6:$F$293,5,FALSE)="","NOT DECLARED",VLOOKUP($F217,Declarations!$B$6:$F$293,5,FALSE)))</f>
        <v/>
      </c>
      <c r="E217" s="120" t="str">
        <f>IF(ISNA(VLOOKUP($F217,Declarations!$B$6:$D$293,3,FALSE)),"",IF(VLOOKUP($F217,Declarations!$B$6:$D$293,3,FALSE)="","NOT DECLARED",VLOOKUP($F217,Declarations!$B$6:$D$293,3,FALSE)&amp;LEFT(VLOOKUP($F217,Declarations!$B$6:$E$293,4,FALSE))))</f>
        <v/>
      </c>
      <c r="F217" s="59"/>
      <c r="G217" s="123">
        <v>0</v>
      </c>
      <c r="H217" s="322"/>
      <c r="I217" s="122" t="str">
        <f>IF(ISNA(VLOOKUP(F217,Declarations!B$6:C$293,2,FALSE)),"",IF(VLOOKUP(F217,Declarations!B$6:C$293,2,FALSE)="","NOTDECLARED",VLOOKUP(F217,Declarations!B$6:C$293,2,FALSE)))</f>
        <v/>
      </c>
      <c r="J217" s="124">
        <f>IF(LOWER(G217)="dnf",1,IF(U217&lt;ScoringTable!C$3,ScoringTable!I$2,VLOOKUP((1000-U217),ScoringTable!H$2:I$95,2)))</f>
        <v>0</v>
      </c>
      <c r="K217" s="120" t="str" cm="1">
        <f t="array" ref="K217">IF(OR(E217="",G217=""),"",_xlfn.IFS(E217="U10B",_xlfn.XLOOKUP(G217,Data!$D$3:$L$3,Data!$D$1:$L$1,"",1,1),E217="U12B",_xlfn.XLOOKUP(G217,Data!$D$9:$L$9,Data!$D$1:$L$1,"",1,1),E217="U10G",_xlfn.XLOOKUP(G217,Data!$D$16:$L$16,Data!$D$1:$L$1,"",1,1),E217="U12G",_xlfn.XLOOKUP(G217,Data!$D$22:$L$22,Data!$D$1:$L$1,"",1,1)))</f>
        <v/>
      </c>
      <c r="L217" s="184" t="str" cm="1">
        <f t="array" ref="L217">IFERROR(_xlfn.IFNA(
                      _xlfn.IFS(
                      G217="", "",
                      G217=0, "",
                      AND(E217="U10B",G217&lt;=Data!$M$3), "U10 Boys record",
                      AND(E217="U12B",G217&lt;=Data!$M$9), "U12 Boys record",
                      AND(E217="U10G",G217&lt;=Data!$M$16), "U10 Girls record",
                      AND(E217="U12G",G217&lt;=Data!$M$22), "U12 Girls record"
                       ),""), "")</f>
        <v/>
      </c>
      <c r="M217" s="19" cm="1">
        <f t="array" ref="M217">_xlfn.IFS(OR($G217="",$G217=0),0, AND(NOT(ISNUMBER($G217)),LOWER($G217)&lt;&gt;"dnf"),"Not a valid time",OR(LOWER($G217)="dnf",$G217&gt;ScoringTable!$N$161),1,RIGHT($E217,1)="B",_xlfn.XLOOKUP($G217,ScoringTable!$N$2:$N$161,ScoringTable!$L$2:$L$161,,1),TRUE,_xlfn.XLOOKUP($G217,ScoringTable!$T$2:$T$161,ScoringTable!$R$2:$R$161,,1))</f>
        <v>0</v>
      </c>
      <c r="Q217" s="125">
        <f t="shared" si="15"/>
        <v>0</v>
      </c>
      <c r="R217" s="126">
        <f t="shared" si="16"/>
        <v>0</v>
      </c>
      <c r="S217" s="127">
        <f t="shared" si="17"/>
        <v>0</v>
      </c>
      <c r="T217" s="126">
        <f t="shared" si="18"/>
        <v>0</v>
      </c>
      <c r="U217" s="128">
        <f t="shared" si="19"/>
        <v>0</v>
      </c>
    </row>
    <row r="218" spans="1:21" s="7" customFormat="1" ht="16" customHeight="1">
      <c r="A218" s="121" t="s">
        <v>3</v>
      </c>
      <c r="B218" s="122" t="str">
        <f>IF(ISNA(VLOOKUP($F218,Declarations!B$6:C$293,2,FALSE)),"",IF(VLOOKUP($F218,Declarations!B$6:C$293,2,FALSE)="","NOT DECLARED",IF(ISNA(_xlfn.TEXTBEFORE(VLOOKUP($F218,Declarations!B$6:C$293,2,FALSE)," ")),VLOOKUP($F218,Declarations!B$6:C$293,2,FALSE),_xlfn.TEXTBEFORE(VLOOKUP($F218,Declarations!B$6:C$293,2,FALSE)," "))))</f>
        <v/>
      </c>
      <c r="C218" s="122" t="str">
        <f>IF(ISNA(VLOOKUP($F218,Declarations!B$6:C$293,2,FALSE)),"",IF(VLOOKUP($F218,Declarations!B$6:C$293,2,FALSE)="","NOT DECLARED",IF(ISNA(_xlfn.TEXTAFTER(VLOOKUP($F218,Declarations!B$6:C$293,2,FALSE)," ")),VLOOKUP($F218,Declarations!B$6:C$293,2,FALSE),_xlfn.TEXTAFTER(VLOOKUP($F218,Declarations!B$6:C$293,2,FALSE)," "))))</f>
        <v/>
      </c>
      <c r="D218" s="122" t="str">
        <f>IF(ISNA(VLOOKUP($F218,Declarations!$B$6:$F$293,5,FALSE)),"",IF(VLOOKUP($F218,Declarations!$B$6:$F$293,5,FALSE)="","NOT DECLARED",VLOOKUP($F218,Declarations!$B$6:$F$293,5,FALSE)))</f>
        <v/>
      </c>
      <c r="E218" s="120" t="str">
        <f>IF(ISNA(VLOOKUP($F218,Declarations!$B$6:$D$293,3,FALSE)),"",IF(VLOOKUP($F218,Declarations!$B$6:$D$293,3,FALSE)="","NOT DECLARED",VLOOKUP($F218,Declarations!$B$6:$D$293,3,FALSE)&amp;LEFT(VLOOKUP($F218,Declarations!$B$6:$E$293,4,FALSE))))</f>
        <v/>
      </c>
      <c r="F218" s="59"/>
      <c r="G218" s="123">
        <v>0</v>
      </c>
      <c r="H218" s="322"/>
      <c r="I218" s="122" t="str">
        <f>IF(ISNA(VLOOKUP(F218,Declarations!B$6:C$293,2,FALSE)),"",IF(VLOOKUP(F218,Declarations!B$6:C$293,2,FALSE)="","NOTDECLARED",VLOOKUP(F218,Declarations!B$6:C$293,2,FALSE)))</f>
        <v/>
      </c>
      <c r="J218" s="124">
        <f>IF(LOWER(G218)="dnf",1,IF(U218&lt;ScoringTable!C$3,ScoringTable!I$2,VLOOKUP((1000-U218),ScoringTable!H$2:I$95,2)))</f>
        <v>0</v>
      </c>
      <c r="K218" s="120" t="str" cm="1">
        <f t="array" ref="K218">IF(OR(E218="",G218=""),"",_xlfn.IFS(E218="U10B",_xlfn.XLOOKUP(G218,Data!$D$3:$L$3,Data!$D$1:$L$1,"",1,1),E218="U12B",_xlfn.XLOOKUP(G218,Data!$D$9:$L$9,Data!$D$1:$L$1,"",1,1),E218="U10G",_xlfn.XLOOKUP(G218,Data!$D$16:$L$16,Data!$D$1:$L$1,"",1,1),E218="U12G",_xlfn.XLOOKUP(G218,Data!$D$22:$L$22,Data!$D$1:$L$1,"",1,1)))</f>
        <v/>
      </c>
      <c r="L218" s="184" t="str" cm="1">
        <f t="array" ref="L218">IFERROR(_xlfn.IFNA(
                      _xlfn.IFS(
                      G218="", "",
                      G218=0, "",
                      AND(E218="U10B",G218&lt;=Data!$M$3), "U10 Boys record",
                      AND(E218="U12B",G218&lt;=Data!$M$9), "U12 Boys record",
                      AND(E218="U10G",G218&lt;=Data!$M$16), "U10 Girls record",
                      AND(E218="U12G",G218&lt;=Data!$M$22), "U12 Girls record"
                       ),""), "")</f>
        <v/>
      </c>
      <c r="M218" s="19" cm="1">
        <f t="array" ref="M218">_xlfn.IFS(OR($G218="",$G218=0),0, AND(NOT(ISNUMBER($G218)),LOWER($G218)&lt;&gt;"dnf"),"Not a valid time",OR(LOWER($G218)="dnf",$G218&gt;ScoringTable!$N$161),1,RIGHT($E218,1)="B",_xlfn.XLOOKUP($G218,ScoringTable!$N$2:$N$161,ScoringTable!$L$2:$L$161,,1),TRUE,_xlfn.XLOOKUP($G218,ScoringTable!$T$2:$T$161,ScoringTable!$R$2:$R$161,,1))</f>
        <v>0</v>
      </c>
      <c r="Q218" s="125">
        <f t="shared" si="15"/>
        <v>0</v>
      </c>
      <c r="R218" s="126">
        <f t="shared" si="16"/>
        <v>0</v>
      </c>
      <c r="S218" s="127">
        <f t="shared" si="17"/>
        <v>0</v>
      </c>
      <c r="T218" s="126">
        <f t="shared" si="18"/>
        <v>0</v>
      </c>
      <c r="U218" s="128">
        <f t="shared" si="19"/>
        <v>0</v>
      </c>
    </row>
    <row r="219" spans="1:21" s="7" customFormat="1" ht="16" customHeight="1">
      <c r="A219" s="121" t="s">
        <v>3</v>
      </c>
      <c r="B219" s="122" t="str">
        <f>IF(ISNA(VLOOKUP($F219,Declarations!B$6:C$293,2,FALSE)),"",IF(VLOOKUP($F219,Declarations!B$6:C$293,2,FALSE)="","NOT DECLARED",IF(ISNA(_xlfn.TEXTBEFORE(VLOOKUP($F219,Declarations!B$6:C$293,2,FALSE)," ")),VLOOKUP($F219,Declarations!B$6:C$293,2,FALSE),_xlfn.TEXTBEFORE(VLOOKUP($F219,Declarations!B$6:C$293,2,FALSE)," "))))</f>
        <v/>
      </c>
      <c r="C219" s="122" t="str">
        <f>IF(ISNA(VLOOKUP($F219,Declarations!B$6:C$293,2,FALSE)),"",IF(VLOOKUP($F219,Declarations!B$6:C$293,2,FALSE)="","NOT DECLARED",IF(ISNA(_xlfn.TEXTAFTER(VLOOKUP($F219,Declarations!B$6:C$293,2,FALSE)," ")),VLOOKUP($F219,Declarations!B$6:C$293,2,FALSE),_xlfn.TEXTAFTER(VLOOKUP($F219,Declarations!B$6:C$293,2,FALSE)," "))))</f>
        <v/>
      </c>
      <c r="D219" s="122" t="str">
        <f>IF(ISNA(VLOOKUP($F219,Declarations!$B$6:$F$293,5,FALSE)),"",IF(VLOOKUP($F219,Declarations!$B$6:$F$293,5,FALSE)="","NOT DECLARED",VLOOKUP($F219,Declarations!$B$6:$F$293,5,FALSE)))</f>
        <v/>
      </c>
      <c r="E219" s="120" t="str">
        <f>IF(ISNA(VLOOKUP($F219,Declarations!$B$6:$D$293,3,FALSE)),"",IF(VLOOKUP($F219,Declarations!$B$6:$D$293,3,FALSE)="","NOT DECLARED",VLOOKUP($F219,Declarations!$B$6:$D$293,3,FALSE)&amp;LEFT(VLOOKUP($F219,Declarations!$B$6:$E$293,4,FALSE))))</f>
        <v/>
      </c>
      <c r="F219" s="59"/>
      <c r="G219" s="123">
        <v>0</v>
      </c>
      <c r="H219" s="322"/>
      <c r="I219" s="122" t="str">
        <f>IF(ISNA(VLOOKUP(F219,Declarations!B$6:C$293,2,FALSE)),"",IF(VLOOKUP(F219,Declarations!B$6:C$293,2,FALSE)="","NOTDECLARED",VLOOKUP(F219,Declarations!B$6:C$293,2,FALSE)))</f>
        <v/>
      </c>
      <c r="J219" s="124">
        <f>IF(LOWER(G219)="dnf",1,IF(U219&lt;ScoringTable!C$3,ScoringTable!I$2,VLOOKUP((1000-U219),ScoringTable!H$2:I$95,2)))</f>
        <v>0</v>
      </c>
      <c r="K219" s="120" t="str" cm="1">
        <f t="array" ref="K219">IF(OR(E219="",G219=""),"",_xlfn.IFS(E219="U10B",_xlfn.XLOOKUP(G219,Data!$D$3:$L$3,Data!$D$1:$L$1,"",1,1),E219="U12B",_xlfn.XLOOKUP(G219,Data!$D$9:$L$9,Data!$D$1:$L$1,"",1,1),E219="U10G",_xlfn.XLOOKUP(G219,Data!$D$16:$L$16,Data!$D$1:$L$1,"",1,1),E219="U12G",_xlfn.XLOOKUP(G219,Data!$D$22:$L$22,Data!$D$1:$L$1,"",1,1)))</f>
        <v/>
      </c>
      <c r="L219" s="184" t="str" cm="1">
        <f t="array" ref="L219">IFERROR(_xlfn.IFNA(
                      _xlfn.IFS(
                      G219="", "",
                      G219=0, "",
                      AND(E219="U10B",G219&lt;=Data!$M$3), "U10 Boys record",
                      AND(E219="U12B",G219&lt;=Data!$M$9), "U12 Boys record",
                      AND(E219="U10G",G219&lt;=Data!$M$16), "U10 Girls record",
                      AND(E219="U12G",G219&lt;=Data!$M$22), "U12 Girls record"
                       ),""), "")</f>
        <v/>
      </c>
      <c r="M219" s="19" cm="1">
        <f t="array" ref="M219">_xlfn.IFS(OR($G219="",$G219=0),0, AND(NOT(ISNUMBER($G219)),LOWER($G219)&lt;&gt;"dnf"),"Not a valid time",OR(LOWER($G219)="dnf",$G219&gt;ScoringTable!$N$161),1,RIGHT($E219,1)="B",_xlfn.XLOOKUP($G219,ScoringTable!$N$2:$N$161,ScoringTable!$L$2:$L$161,,1),TRUE,_xlfn.XLOOKUP($G219,ScoringTable!$T$2:$T$161,ScoringTable!$R$2:$R$161,,1))</f>
        <v>0</v>
      </c>
      <c r="Q219" s="125">
        <f t="shared" si="15"/>
        <v>0</v>
      </c>
      <c r="R219" s="126">
        <f t="shared" si="16"/>
        <v>0</v>
      </c>
      <c r="S219" s="127">
        <f t="shared" si="17"/>
        <v>0</v>
      </c>
      <c r="T219" s="126">
        <f t="shared" si="18"/>
        <v>0</v>
      </c>
      <c r="U219" s="128">
        <f t="shared" si="19"/>
        <v>0</v>
      </c>
    </row>
    <row r="220" spans="1:21" s="7" customFormat="1" ht="16" customHeight="1">
      <c r="A220" s="121" t="s">
        <v>3</v>
      </c>
      <c r="B220" s="122" t="str">
        <f>IF(ISNA(VLOOKUP($F220,Declarations!B$6:C$293,2,FALSE)),"",IF(VLOOKUP($F220,Declarations!B$6:C$293,2,FALSE)="","NOT DECLARED",IF(ISNA(_xlfn.TEXTBEFORE(VLOOKUP($F220,Declarations!B$6:C$293,2,FALSE)," ")),VLOOKUP($F220,Declarations!B$6:C$293,2,FALSE),_xlfn.TEXTBEFORE(VLOOKUP($F220,Declarations!B$6:C$293,2,FALSE)," "))))</f>
        <v/>
      </c>
      <c r="C220" s="122" t="str">
        <f>IF(ISNA(VLOOKUP($F220,Declarations!B$6:C$293,2,FALSE)),"",IF(VLOOKUP($F220,Declarations!B$6:C$293,2,FALSE)="","NOT DECLARED",IF(ISNA(_xlfn.TEXTAFTER(VLOOKUP($F220,Declarations!B$6:C$293,2,FALSE)," ")),VLOOKUP($F220,Declarations!B$6:C$293,2,FALSE),_xlfn.TEXTAFTER(VLOOKUP($F220,Declarations!B$6:C$293,2,FALSE)," "))))</f>
        <v/>
      </c>
      <c r="D220" s="122" t="str">
        <f>IF(ISNA(VLOOKUP($F220,Declarations!$B$6:$F$293,5,FALSE)),"",IF(VLOOKUP($F220,Declarations!$B$6:$F$293,5,FALSE)="","NOT DECLARED",VLOOKUP($F220,Declarations!$B$6:$F$293,5,FALSE)))</f>
        <v/>
      </c>
      <c r="E220" s="120" t="str">
        <f>IF(ISNA(VLOOKUP($F220,Declarations!$B$6:$D$293,3,FALSE)),"",IF(VLOOKUP($F220,Declarations!$B$6:$D$293,3,FALSE)="","NOT DECLARED",VLOOKUP($F220,Declarations!$B$6:$D$293,3,FALSE)&amp;LEFT(VLOOKUP($F220,Declarations!$B$6:$E$293,4,FALSE))))</f>
        <v/>
      </c>
      <c r="F220" s="59"/>
      <c r="G220" s="123">
        <v>0</v>
      </c>
      <c r="H220" s="322"/>
      <c r="I220" s="122" t="str">
        <f>IF(ISNA(VLOOKUP(F220,Declarations!B$6:C$293,2,FALSE)),"",IF(VLOOKUP(F220,Declarations!B$6:C$293,2,FALSE)="","NOTDECLARED",VLOOKUP(F220,Declarations!B$6:C$293,2,FALSE)))</f>
        <v/>
      </c>
      <c r="J220" s="124">
        <f>IF(LOWER(G220)="dnf",1,IF(U220&lt;ScoringTable!C$3,ScoringTable!I$2,VLOOKUP((1000-U220),ScoringTable!H$2:I$95,2)))</f>
        <v>0</v>
      </c>
      <c r="K220" s="120" t="str" cm="1">
        <f t="array" ref="K220">IF(OR(E220="",G220=""),"",_xlfn.IFS(E220="U10B",_xlfn.XLOOKUP(G220,Data!$D$3:$L$3,Data!$D$1:$L$1,"",1,1),E220="U12B",_xlfn.XLOOKUP(G220,Data!$D$9:$L$9,Data!$D$1:$L$1,"",1,1),E220="U10G",_xlfn.XLOOKUP(G220,Data!$D$16:$L$16,Data!$D$1:$L$1,"",1,1),E220="U12G",_xlfn.XLOOKUP(G220,Data!$D$22:$L$22,Data!$D$1:$L$1,"",1,1)))</f>
        <v/>
      </c>
      <c r="L220" s="184" t="str" cm="1">
        <f t="array" ref="L220">IFERROR(_xlfn.IFNA(
                      _xlfn.IFS(
                      G220="", "",
                      G220=0, "",
                      AND(E220="U10B",G220&lt;=Data!$M$3), "U10 Boys record",
                      AND(E220="U12B",G220&lt;=Data!$M$9), "U12 Boys record",
                      AND(E220="U10G",G220&lt;=Data!$M$16), "U10 Girls record",
                      AND(E220="U12G",G220&lt;=Data!$M$22), "U12 Girls record"
                       ),""), "")</f>
        <v/>
      </c>
      <c r="M220" s="19" cm="1">
        <f t="array" ref="M220">_xlfn.IFS(OR($G220="",$G220=0),0, AND(NOT(ISNUMBER($G220)),LOWER($G220)&lt;&gt;"dnf"),"Not a valid time",OR(LOWER($G220)="dnf",$G220&gt;ScoringTable!$N$161),1,RIGHT($E220,1)="B",_xlfn.XLOOKUP($G220,ScoringTable!$N$2:$N$161,ScoringTable!$L$2:$L$161,,1),TRUE,_xlfn.XLOOKUP($G220,ScoringTable!$T$2:$T$161,ScoringTable!$R$2:$R$161,,1))</f>
        <v>0</v>
      </c>
      <c r="Q220" s="125">
        <f t="shared" si="15"/>
        <v>0</v>
      </c>
      <c r="R220" s="126">
        <f t="shared" si="16"/>
        <v>0</v>
      </c>
      <c r="S220" s="127">
        <f t="shared" si="17"/>
        <v>0</v>
      </c>
      <c r="T220" s="126">
        <f t="shared" si="18"/>
        <v>0</v>
      </c>
      <c r="U220" s="128">
        <f t="shared" si="19"/>
        <v>0</v>
      </c>
    </row>
    <row r="221" spans="1:21" s="7" customFormat="1" ht="16" customHeight="1">
      <c r="A221" s="121" t="s">
        <v>3</v>
      </c>
      <c r="B221" s="122" t="str">
        <f>IF(ISNA(VLOOKUP($F221,Declarations!B$6:C$293,2,FALSE)),"",IF(VLOOKUP($F221,Declarations!B$6:C$293,2,FALSE)="","NOT DECLARED",IF(ISNA(_xlfn.TEXTBEFORE(VLOOKUP($F221,Declarations!B$6:C$293,2,FALSE)," ")),VLOOKUP($F221,Declarations!B$6:C$293,2,FALSE),_xlfn.TEXTBEFORE(VLOOKUP($F221,Declarations!B$6:C$293,2,FALSE)," "))))</f>
        <v/>
      </c>
      <c r="C221" s="122" t="str">
        <f>IF(ISNA(VLOOKUP($F221,Declarations!B$6:C$293,2,FALSE)),"",IF(VLOOKUP($F221,Declarations!B$6:C$293,2,FALSE)="","NOT DECLARED",IF(ISNA(_xlfn.TEXTAFTER(VLOOKUP($F221,Declarations!B$6:C$293,2,FALSE)," ")),VLOOKUP($F221,Declarations!B$6:C$293,2,FALSE),_xlfn.TEXTAFTER(VLOOKUP($F221,Declarations!B$6:C$293,2,FALSE)," "))))</f>
        <v/>
      </c>
      <c r="D221" s="122" t="str">
        <f>IF(ISNA(VLOOKUP($F221,Declarations!$B$6:$F$293,5,FALSE)),"",IF(VLOOKUP($F221,Declarations!$B$6:$F$293,5,FALSE)="","NOT DECLARED",VLOOKUP($F221,Declarations!$B$6:$F$293,5,FALSE)))</f>
        <v/>
      </c>
      <c r="E221" s="120" t="str">
        <f>IF(ISNA(VLOOKUP($F221,Declarations!$B$6:$D$293,3,FALSE)),"",IF(VLOOKUP($F221,Declarations!$B$6:$D$293,3,FALSE)="","NOT DECLARED",VLOOKUP($F221,Declarations!$B$6:$D$293,3,FALSE)&amp;LEFT(VLOOKUP($F221,Declarations!$B$6:$E$293,4,FALSE))))</f>
        <v/>
      </c>
      <c r="F221" s="59"/>
      <c r="G221" s="123">
        <v>0</v>
      </c>
      <c r="H221" s="322"/>
      <c r="I221" s="122" t="str">
        <f>IF(ISNA(VLOOKUP(F221,Declarations!B$6:C$293,2,FALSE)),"",IF(VLOOKUP(F221,Declarations!B$6:C$293,2,FALSE)="","NOTDECLARED",VLOOKUP(F221,Declarations!B$6:C$293,2,FALSE)))</f>
        <v/>
      </c>
      <c r="J221" s="124">
        <f>IF(LOWER(G221)="dnf",1,IF(U221&lt;ScoringTable!C$3,ScoringTable!I$2,VLOOKUP((1000-U221),ScoringTable!H$2:I$95,2)))</f>
        <v>0</v>
      </c>
      <c r="K221" s="120" t="str" cm="1">
        <f t="array" ref="K221">IF(OR(E221="",G221=""),"",_xlfn.IFS(E221="U10B",_xlfn.XLOOKUP(G221,Data!$D$3:$L$3,Data!$D$1:$L$1,"",1,1),E221="U12B",_xlfn.XLOOKUP(G221,Data!$D$9:$L$9,Data!$D$1:$L$1,"",1,1),E221="U10G",_xlfn.XLOOKUP(G221,Data!$D$16:$L$16,Data!$D$1:$L$1,"",1,1),E221="U12G",_xlfn.XLOOKUP(G221,Data!$D$22:$L$22,Data!$D$1:$L$1,"",1,1)))</f>
        <v/>
      </c>
      <c r="L221" s="184" t="str" cm="1">
        <f t="array" ref="L221">IFERROR(_xlfn.IFNA(
                      _xlfn.IFS(
                      G221="", "",
                      G221=0, "",
                      AND(E221="U10B",G221&lt;=Data!$M$3), "U10 Boys record",
                      AND(E221="U12B",G221&lt;=Data!$M$9), "U12 Boys record",
                      AND(E221="U10G",G221&lt;=Data!$M$16), "U10 Girls record",
                      AND(E221="U12G",G221&lt;=Data!$M$22), "U12 Girls record"
                       ),""), "")</f>
        <v/>
      </c>
      <c r="M221" s="19" cm="1">
        <f t="array" ref="M221">_xlfn.IFS(OR($G221="",$G221=0),0, AND(NOT(ISNUMBER($G221)),LOWER($G221)&lt;&gt;"dnf"),"Not a valid time",OR(LOWER($G221)="dnf",$G221&gt;ScoringTable!$N$161),1,RIGHT($E221,1)="B",_xlfn.XLOOKUP($G221,ScoringTable!$N$2:$N$161,ScoringTable!$L$2:$L$161,,1),TRUE,_xlfn.XLOOKUP($G221,ScoringTable!$T$2:$T$161,ScoringTable!$R$2:$R$161,,1))</f>
        <v>0</v>
      </c>
      <c r="Q221" s="125">
        <f t="shared" si="15"/>
        <v>0</v>
      </c>
      <c r="R221" s="126">
        <f t="shared" si="16"/>
        <v>0</v>
      </c>
      <c r="S221" s="127">
        <f t="shared" si="17"/>
        <v>0</v>
      </c>
      <c r="T221" s="126">
        <f t="shared" si="18"/>
        <v>0</v>
      </c>
      <c r="U221" s="128">
        <f t="shared" si="19"/>
        <v>0</v>
      </c>
    </row>
    <row r="222" spans="1:21" s="7" customFormat="1" ht="16" customHeight="1">
      <c r="A222" s="121" t="s">
        <v>3</v>
      </c>
      <c r="B222" s="122" t="str">
        <f>IF(ISNA(VLOOKUP($F222,Declarations!B$6:C$293,2,FALSE)),"",IF(VLOOKUP($F222,Declarations!B$6:C$293,2,FALSE)="","NOT DECLARED",IF(ISNA(_xlfn.TEXTBEFORE(VLOOKUP($F222,Declarations!B$6:C$293,2,FALSE)," ")),VLOOKUP($F222,Declarations!B$6:C$293,2,FALSE),_xlfn.TEXTBEFORE(VLOOKUP($F222,Declarations!B$6:C$293,2,FALSE)," "))))</f>
        <v/>
      </c>
      <c r="C222" s="122" t="str">
        <f>IF(ISNA(VLOOKUP($F222,Declarations!B$6:C$293,2,FALSE)),"",IF(VLOOKUP($F222,Declarations!B$6:C$293,2,FALSE)="","NOT DECLARED",IF(ISNA(_xlfn.TEXTAFTER(VLOOKUP($F222,Declarations!B$6:C$293,2,FALSE)," ")),VLOOKUP($F222,Declarations!B$6:C$293,2,FALSE),_xlfn.TEXTAFTER(VLOOKUP($F222,Declarations!B$6:C$293,2,FALSE)," "))))</f>
        <v/>
      </c>
      <c r="D222" s="122" t="str">
        <f>IF(ISNA(VLOOKUP($F222,Declarations!$B$6:$F$293,5,FALSE)),"",IF(VLOOKUP($F222,Declarations!$B$6:$F$293,5,FALSE)="","NOT DECLARED",VLOOKUP($F222,Declarations!$B$6:$F$293,5,FALSE)))</f>
        <v/>
      </c>
      <c r="E222" s="120" t="str">
        <f>IF(ISNA(VLOOKUP($F222,Declarations!$B$6:$D$293,3,FALSE)),"",IF(VLOOKUP($F222,Declarations!$B$6:$D$293,3,FALSE)="","NOT DECLARED",VLOOKUP($F222,Declarations!$B$6:$D$293,3,FALSE)&amp;LEFT(VLOOKUP($F222,Declarations!$B$6:$E$293,4,FALSE))))</f>
        <v/>
      </c>
      <c r="F222" s="59"/>
      <c r="G222" s="123">
        <v>0</v>
      </c>
      <c r="H222" s="322"/>
      <c r="I222" s="122" t="str">
        <f>IF(ISNA(VLOOKUP(F222,Declarations!B$6:C$293,2,FALSE)),"",IF(VLOOKUP(F222,Declarations!B$6:C$293,2,FALSE)="","NOTDECLARED",VLOOKUP(F222,Declarations!B$6:C$293,2,FALSE)))</f>
        <v/>
      </c>
      <c r="J222" s="124">
        <f>IF(LOWER(G222)="dnf",1,IF(U222&lt;ScoringTable!C$3,ScoringTable!I$2,VLOOKUP((1000-U222),ScoringTable!H$2:I$95,2)))</f>
        <v>0</v>
      </c>
      <c r="K222" s="120" t="str" cm="1">
        <f t="array" ref="K222">IF(OR(E222="",G222=""),"",_xlfn.IFS(E222="U10B",_xlfn.XLOOKUP(G222,Data!$D$3:$L$3,Data!$D$1:$L$1,"",1,1),E222="U12B",_xlfn.XLOOKUP(G222,Data!$D$9:$L$9,Data!$D$1:$L$1,"",1,1),E222="U10G",_xlfn.XLOOKUP(G222,Data!$D$16:$L$16,Data!$D$1:$L$1,"",1,1),E222="U12G",_xlfn.XLOOKUP(G222,Data!$D$22:$L$22,Data!$D$1:$L$1,"",1,1)))</f>
        <v/>
      </c>
      <c r="L222" s="184" t="str" cm="1">
        <f t="array" ref="L222">IFERROR(_xlfn.IFNA(
                      _xlfn.IFS(
                      G222="", "",
                      G222=0, "",
                      AND(E222="U10B",G222&lt;=Data!$M$3), "U10 Boys record",
                      AND(E222="U12B",G222&lt;=Data!$M$9), "U12 Boys record",
                      AND(E222="U10G",G222&lt;=Data!$M$16), "U10 Girls record",
                      AND(E222="U12G",G222&lt;=Data!$M$22), "U12 Girls record"
                       ),""), "")</f>
        <v/>
      </c>
      <c r="M222" s="19" cm="1">
        <f t="array" ref="M222">_xlfn.IFS(OR($G222="",$G222=0),0, AND(NOT(ISNUMBER($G222)),LOWER($G222)&lt;&gt;"dnf"),"Not a valid time",OR(LOWER($G222)="dnf",$G222&gt;ScoringTable!$N$161),1,RIGHT($E222,1)="B",_xlfn.XLOOKUP($G222,ScoringTable!$N$2:$N$161,ScoringTable!$L$2:$L$161,,1),TRUE,_xlfn.XLOOKUP($G222,ScoringTable!$T$2:$T$161,ScoringTable!$R$2:$R$161,,1))</f>
        <v>0</v>
      </c>
      <c r="Q222" s="125">
        <f t="shared" si="15"/>
        <v>0</v>
      </c>
      <c r="R222" s="126">
        <f t="shared" si="16"/>
        <v>0</v>
      </c>
      <c r="S222" s="127">
        <f t="shared" si="17"/>
        <v>0</v>
      </c>
      <c r="T222" s="126">
        <f t="shared" si="18"/>
        <v>0</v>
      </c>
      <c r="U222" s="128">
        <f t="shared" si="19"/>
        <v>0</v>
      </c>
    </row>
    <row r="223" spans="1:21" s="7" customFormat="1" ht="16" customHeight="1">
      <c r="A223" s="121" t="s">
        <v>3</v>
      </c>
      <c r="B223" s="122" t="str">
        <f>IF(ISNA(VLOOKUP($F223,Declarations!B$6:C$293,2,FALSE)),"",IF(VLOOKUP($F223,Declarations!B$6:C$293,2,FALSE)="","NOT DECLARED",IF(ISNA(_xlfn.TEXTBEFORE(VLOOKUP($F223,Declarations!B$6:C$293,2,FALSE)," ")),VLOOKUP($F223,Declarations!B$6:C$293,2,FALSE),_xlfn.TEXTBEFORE(VLOOKUP($F223,Declarations!B$6:C$293,2,FALSE)," "))))</f>
        <v/>
      </c>
      <c r="C223" s="122" t="str">
        <f>IF(ISNA(VLOOKUP($F223,Declarations!B$6:C$293,2,FALSE)),"",IF(VLOOKUP($F223,Declarations!B$6:C$293,2,FALSE)="","NOT DECLARED",IF(ISNA(_xlfn.TEXTAFTER(VLOOKUP($F223,Declarations!B$6:C$293,2,FALSE)," ")),VLOOKUP($F223,Declarations!B$6:C$293,2,FALSE),_xlfn.TEXTAFTER(VLOOKUP($F223,Declarations!B$6:C$293,2,FALSE)," "))))</f>
        <v/>
      </c>
      <c r="D223" s="122" t="str">
        <f>IF(ISNA(VLOOKUP($F223,Declarations!$B$6:$F$293,5,FALSE)),"",IF(VLOOKUP($F223,Declarations!$B$6:$F$293,5,FALSE)="","NOT DECLARED",VLOOKUP($F223,Declarations!$B$6:$F$293,5,FALSE)))</f>
        <v/>
      </c>
      <c r="E223" s="120" t="str">
        <f>IF(ISNA(VLOOKUP($F223,Declarations!$B$6:$D$293,3,FALSE)),"",IF(VLOOKUP($F223,Declarations!$B$6:$D$293,3,FALSE)="","NOT DECLARED",VLOOKUP($F223,Declarations!$B$6:$D$293,3,FALSE)&amp;LEFT(VLOOKUP($F223,Declarations!$B$6:$E$293,4,FALSE))))</f>
        <v/>
      </c>
      <c r="F223" s="59"/>
      <c r="G223" s="123">
        <v>0</v>
      </c>
      <c r="H223" s="322"/>
      <c r="I223" s="122" t="str">
        <f>IF(ISNA(VLOOKUP(F223,Declarations!B$6:C$293,2,FALSE)),"",IF(VLOOKUP(F223,Declarations!B$6:C$293,2,FALSE)="","NOTDECLARED",VLOOKUP(F223,Declarations!B$6:C$293,2,FALSE)))</f>
        <v/>
      </c>
      <c r="J223" s="124">
        <f>IF(LOWER(G223)="dnf",1,IF(U223&lt;ScoringTable!C$3,ScoringTable!I$2,VLOOKUP((1000-U223),ScoringTable!H$2:I$95,2)))</f>
        <v>0</v>
      </c>
      <c r="K223" s="120" t="str" cm="1">
        <f t="array" ref="K223">IF(OR(E223="",G223=""),"",_xlfn.IFS(E223="U10B",_xlfn.XLOOKUP(G223,Data!$D$3:$L$3,Data!$D$1:$L$1,"",1,1),E223="U12B",_xlfn.XLOOKUP(G223,Data!$D$9:$L$9,Data!$D$1:$L$1,"",1,1),E223="U10G",_xlfn.XLOOKUP(G223,Data!$D$16:$L$16,Data!$D$1:$L$1,"",1,1),E223="U12G",_xlfn.XLOOKUP(G223,Data!$D$22:$L$22,Data!$D$1:$L$1,"",1,1)))</f>
        <v/>
      </c>
      <c r="L223" s="184" t="str" cm="1">
        <f t="array" ref="L223">IFERROR(_xlfn.IFNA(
                      _xlfn.IFS(
                      G223="", "",
                      G223=0, "",
                      AND(E223="U10B",G223&lt;=Data!$M$3), "U10 Boys record",
                      AND(E223="U12B",G223&lt;=Data!$M$9), "U12 Boys record",
                      AND(E223="U10G",G223&lt;=Data!$M$16), "U10 Girls record",
                      AND(E223="U12G",G223&lt;=Data!$M$22), "U12 Girls record"
                       ),""), "")</f>
        <v/>
      </c>
      <c r="M223" s="19" cm="1">
        <f t="array" ref="M223">_xlfn.IFS(OR($G223="",$G223=0),0, AND(NOT(ISNUMBER($G223)),LOWER($G223)&lt;&gt;"dnf"),"Not a valid time",OR(LOWER($G223)="dnf",$G223&gt;ScoringTable!$N$161),1,RIGHT($E223,1)="B",_xlfn.XLOOKUP($G223,ScoringTable!$N$2:$N$161,ScoringTable!$L$2:$L$161,,1),TRUE,_xlfn.XLOOKUP($G223,ScoringTable!$T$2:$T$161,ScoringTable!$R$2:$R$161,,1))</f>
        <v>0</v>
      </c>
      <c r="Q223" s="125">
        <f t="shared" si="15"/>
        <v>0</v>
      </c>
      <c r="R223" s="126">
        <f t="shared" si="16"/>
        <v>0</v>
      </c>
      <c r="S223" s="127">
        <f t="shared" si="17"/>
        <v>0</v>
      </c>
      <c r="T223" s="126">
        <f t="shared" si="18"/>
        <v>0</v>
      </c>
      <c r="U223" s="128">
        <f t="shared" si="19"/>
        <v>0</v>
      </c>
    </row>
    <row r="224" spans="1:21" s="7" customFormat="1" ht="16" customHeight="1">
      <c r="A224" s="121" t="s">
        <v>3</v>
      </c>
      <c r="B224" s="122" t="str">
        <f>IF(ISNA(VLOOKUP($F224,Declarations!B$6:C$293,2,FALSE)),"",IF(VLOOKUP($F224,Declarations!B$6:C$293,2,FALSE)="","NOT DECLARED",IF(ISNA(_xlfn.TEXTBEFORE(VLOOKUP($F224,Declarations!B$6:C$293,2,FALSE)," ")),VLOOKUP($F224,Declarations!B$6:C$293,2,FALSE),_xlfn.TEXTBEFORE(VLOOKUP($F224,Declarations!B$6:C$293,2,FALSE)," "))))</f>
        <v/>
      </c>
      <c r="C224" s="122" t="str">
        <f>IF(ISNA(VLOOKUP($F224,Declarations!B$6:C$293,2,FALSE)),"",IF(VLOOKUP($F224,Declarations!B$6:C$293,2,FALSE)="","NOT DECLARED",IF(ISNA(_xlfn.TEXTAFTER(VLOOKUP($F224,Declarations!B$6:C$293,2,FALSE)," ")),VLOOKUP($F224,Declarations!B$6:C$293,2,FALSE),_xlfn.TEXTAFTER(VLOOKUP($F224,Declarations!B$6:C$293,2,FALSE)," "))))</f>
        <v/>
      </c>
      <c r="D224" s="122" t="str">
        <f>IF(ISNA(VLOOKUP($F224,Declarations!$B$6:$F$293,5,FALSE)),"",IF(VLOOKUP($F224,Declarations!$B$6:$F$293,5,FALSE)="","NOT DECLARED",VLOOKUP($F224,Declarations!$B$6:$F$293,5,FALSE)))</f>
        <v/>
      </c>
      <c r="E224" s="120" t="str">
        <f>IF(ISNA(VLOOKUP($F224,Declarations!$B$6:$D$293,3,FALSE)),"",IF(VLOOKUP($F224,Declarations!$B$6:$D$293,3,FALSE)="","NOT DECLARED",VLOOKUP($F224,Declarations!$B$6:$D$293,3,FALSE)&amp;LEFT(VLOOKUP($F224,Declarations!$B$6:$E$293,4,FALSE))))</f>
        <v/>
      </c>
      <c r="F224" s="59"/>
      <c r="G224" s="123">
        <v>0</v>
      </c>
      <c r="H224" s="322"/>
      <c r="I224" s="122" t="str">
        <f>IF(ISNA(VLOOKUP(F224,Declarations!B$6:C$293,2,FALSE)),"",IF(VLOOKUP(F224,Declarations!B$6:C$293,2,FALSE)="","NOTDECLARED",VLOOKUP(F224,Declarations!B$6:C$293,2,FALSE)))</f>
        <v/>
      </c>
      <c r="J224" s="124">
        <f>IF(LOWER(G224)="dnf",1,IF(U224&lt;ScoringTable!C$3,ScoringTable!I$2,VLOOKUP((1000-U224),ScoringTable!H$2:I$95,2)))</f>
        <v>0</v>
      </c>
      <c r="K224" s="120" t="str" cm="1">
        <f t="array" ref="K224">IF(OR(E224="",G224=""),"",_xlfn.IFS(E224="U10B",_xlfn.XLOOKUP(G224,Data!$D$3:$L$3,Data!$D$1:$L$1,"",1,1),E224="U12B",_xlfn.XLOOKUP(G224,Data!$D$9:$L$9,Data!$D$1:$L$1,"",1,1),E224="U10G",_xlfn.XLOOKUP(G224,Data!$D$16:$L$16,Data!$D$1:$L$1,"",1,1),E224="U12G",_xlfn.XLOOKUP(G224,Data!$D$22:$L$22,Data!$D$1:$L$1,"",1,1)))</f>
        <v/>
      </c>
      <c r="L224" s="184" t="str" cm="1">
        <f t="array" ref="L224">IFERROR(_xlfn.IFNA(
                      _xlfn.IFS(
                      G224="", "",
                      G224=0, "",
                      AND(E224="U10B",G224&lt;=Data!$M$3), "U10 Boys record",
                      AND(E224="U12B",G224&lt;=Data!$M$9), "U12 Boys record",
                      AND(E224="U10G",G224&lt;=Data!$M$16), "U10 Girls record",
                      AND(E224="U12G",G224&lt;=Data!$M$22), "U12 Girls record"
                       ),""), "")</f>
        <v/>
      </c>
      <c r="M224" s="19" cm="1">
        <f t="array" ref="M224">_xlfn.IFS(OR($G224="",$G224=0),0, AND(NOT(ISNUMBER($G224)),LOWER($G224)&lt;&gt;"dnf"),"Not a valid time",OR(LOWER($G224)="dnf",$G224&gt;ScoringTable!$N$161),1,RIGHT($E224,1)="B",_xlfn.XLOOKUP($G224,ScoringTable!$N$2:$N$161,ScoringTable!$L$2:$L$161,,1),TRUE,_xlfn.XLOOKUP($G224,ScoringTable!$T$2:$T$161,ScoringTable!$R$2:$R$161,,1))</f>
        <v>0</v>
      </c>
      <c r="Q224" s="125">
        <f t="shared" si="15"/>
        <v>0</v>
      </c>
      <c r="R224" s="126">
        <f t="shared" si="16"/>
        <v>0</v>
      </c>
      <c r="S224" s="127">
        <f t="shared" si="17"/>
        <v>0</v>
      </c>
      <c r="T224" s="126">
        <f t="shared" si="18"/>
        <v>0</v>
      </c>
      <c r="U224" s="128">
        <f t="shared" si="19"/>
        <v>0</v>
      </c>
    </row>
    <row r="225" spans="1:21" s="7" customFormat="1" ht="16" customHeight="1">
      <c r="A225" s="121" t="s">
        <v>3</v>
      </c>
      <c r="B225" s="122" t="str">
        <f>IF(ISNA(VLOOKUP($F225,Declarations!B$6:C$293,2,FALSE)),"",IF(VLOOKUP($F225,Declarations!B$6:C$293,2,FALSE)="","NOT DECLARED",IF(ISNA(_xlfn.TEXTBEFORE(VLOOKUP($F225,Declarations!B$6:C$293,2,FALSE)," ")),VLOOKUP($F225,Declarations!B$6:C$293,2,FALSE),_xlfn.TEXTBEFORE(VLOOKUP($F225,Declarations!B$6:C$293,2,FALSE)," "))))</f>
        <v/>
      </c>
      <c r="C225" s="122" t="str">
        <f>IF(ISNA(VLOOKUP($F225,Declarations!B$6:C$293,2,FALSE)),"",IF(VLOOKUP($F225,Declarations!B$6:C$293,2,FALSE)="","NOT DECLARED",IF(ISNA(_xlfn.TEXTAFTER(VLOOKUP($F225,Declarations!B$6:C$293,2,FALSE)," ")),VLOOKUP($F225,Declarations!B$6:C$293,2,FALSE),_xlfn.TEXTAFTER(VLOOKUP($F225,Declarations!B$6:C$293,2,FALSE)," "))))</f>
        <v/>
      </c>
      <c r="D225" s="122" t="str">
        <f>IF(ISNA(VLOOKUP($F225,Declarations!$B$6:$F$293,5,FALSE)),"",IF(VLOOKUP($F225,Declarations!$B$6:$F$293,5,FALSE)="","NOT DECLARED",VLOOKUP($F225,Declarations!$B$6:$F$293,5,FALSE)))</f>
        <v/>
      </c>
      <c r="E225" s="120" t="str">
        <f>IF(ISNA(VLOOKUP($F225,Declarations!$B$6:$D$293,3,FALSE)),"",IF(VLOOKUP($F225,Declarations!$B$6:$D$293,3,FALSE)="","NOT DECLARED",VLOOKUP($F225,Declarations!$B$6:$D$293,3,FALSE)&amp;LEFT(VLOOKUP($F225,Declarations!$B$6:$E$293,4,FALSE))))</f>
        <v/>
      </c>
      <c r="F225" s="59"/>
      <c r="G225" s="123">
        <v>0</v>
      </c>
      <c r="H225" s="322"/>
      <c r="I225" s="122" t="str">
        <f>IF(ISNA(VLOOKUP(F225,Declarations!B$6:C$293,2,FALSE)),"",IF(VLOOKUP(F225,Declarations!B$6:C$293,2,FALSE)="","NOTDECLARED",VLOOKUP(F225,Declarations!B$6:C$293,2,FALSE)))</f>
        <v/>
      </c>
      <c r="J225" s="124">
        <f>IF(LOWER(G225)="dnf",1,IF(U225&lt;ScoringTable!C$3,ScoringTable!I$2,VLOOKUP((1000-U225),ScoringTable!H$2:I$95,2)))</f>
        <v>0</v>
      </c>
      <c r="K225" s="120" t="str" cm="1">
        <f t="array" ref="K225">IF(OR(E225="",G225=""),"",_xlfn.IFS(E225="U10B",_xlfn.XLOOKUP(G225,Data!$D$3:$L$3,Data!$D$1:$L$1,"",1,1),E225="U12B",_xlfn.XLOOKUP(G225,Data!$D$9:$L$9,Data!$D$1:$L$1,"",1,1),E225="U10G",_xlfn.XLOOKUP(G225,Data!$D$16:$L$16,Data!$D$1:$L$1,"",1,1),E225="U12G",_xlfn.XLOOKUP(G225,Data!$D$22:$L$22,Data!$D$1:$L$1,"",1,1)))</f>
        <v/>
      </c>
      <c r="L225" s="184" t="str" cm="1">
        <f t="array" ref="L225">IFERROR(_xlfn.IFNA(
                      _xlfn.IFS(
                      G225="", "",
                      G225=0, "",
                      AND(E225="U10B",G225&lt;=Data!$M$3), "U10 Boys record",
                      AND(E225="U12B",G225&lt;=Data!$M$9), "U12 Boys record",
                      AND(E225="U10G",G225&lt;=Data!$M$16), "U10 Girls record",
                      AND(E225="U12G",G225&lt;=Data!$M$22), "U12 Girls record"
                       ),""), "")</f>
        <v/>
      </c>
      <c r="M225" s="19" cm="1">
        <f t="array" ref="M225">_xlfn.IFS(OR($G225="",$G225=0),0, AND(NOT(ISNUMBER($G225)),LOWER($G225)&lt;&gt;"dnf"),"Not a valid time",OR(LOWER($G225)="dnf",$G225&gt;ScoringTable!$N$161),1,RIGHT($E225,1)="B",_xlfn.XLOOKUP($G225,ScoringTable!$N$2:$N$161,ScoringTable!$L$2:$L$161,,1),TRUE,_xlfn.XLOOKUP($G225,ScoringTable!$T$2:$T$161,ScoringTable!$R$2:$R$161,,1))</f>
        <v>0</v>
      </c>
      <c r="Q225" s="125">
        <f t="shared" si="15"/>
        <v>0</v>
      </c>
      <c r="R225" s="126">
        <f t="shared" si="16"/>
        <v>0</v>
      </c>
      <c r="S225" s="127">
        <f t="shared" si="17"/>
        <v>0</v>
      </c>
      <c r="T225" s="126">
        <f t="shared" si="18"/>
        <v>0</v>
      </c>
      <c r="U225" s="128">
        <f t="shared" si="19"/>
        <v>0</v>
      </c>
    </row>
    <row r="226" spans="1:21" s="7" customFormat="1" ht="16" customHeight="1">
      <c r="A226" s="121" t="s">
        <v>3</v>
      </c>
      <c r="B226" s="122" t="str">
        <f>IF(ISNA(VLOOKUP($F226,Declarations!B$6:C$293,2,FALSE)),"",IF(VLOOKUP($F226,Declarations!B$6:C$293,2,FALSE)="","NOT DECLARED",IF(ISNA(_xlfn.TEXTBEFORE(VLOOKUP($F226,Declarations!B$6:C$293,2,FALSE)," ")),VLOOKUP($F226,Declarations!B$6:C$293,2,FALSE),_xlfn.TEXTBEFORE(VLOOKUP($F226,Declarations!B$6:C$293,2,FALSE)," "))))</f>
        <v/>
      </c>
      <c r="C226" s="122" t="str">
        <f>IF(ISNA(VLOOKUP($F226,Declarations!B$6:C$293,2,FALSE)),"",IF(VLOOKUP($F226,Declarations!B$6:C$293,2,FALSE)="","NOT DECLARED",IF(ISNA(_xlfn.TEXTAFTER(VLOOKUP($F226,Declarations!B$6:C$293,2,FALSE)," ")),VLOOKUP($F226,Declarations!B$6:C$293,2,FALSE),_xlfn.TEXTAFTER(VLOOKUP($F226,Declarations!B$6:C$293,2,FALSE)," "))))</f>
        <v/>
      </c>
      <c r="D226" s="122" t="str">
        <f>IF(ISNA(VLOOKUP($F226,Declarations!$B$6:$F$293,5,FALSE)),"",IF(VLOOKUP($F226,Declarations!$B$6:$F$293,5,FALSE)="","NOT DECLARED",VLOOKUP($F226,Declarations!$B$6:$F$293,5,FALSE)))</f>
        <v/>
      </c>
      <c r="E226" s="120" t="str">
        <f>IF(ISNA(VLOOKUP($F226,Declarations!$B$6:$D$293,3,FALSE)),"",IF(VLOOKUP($F226,Declarations!$B$6:$D$293,3,FALSE)="","NOT DECLARED",VLOOKUP($F226,Declarations!$B$6:$D$293,3,FALSE)&amp;LEFT(VLOOKUP($F226,Declarations!$B$6:$E$293,4,FALSE))))</f>
        <v/>
      </c>
      <c r="F226" s="59"/>
      <c r="G226" s="123">
        <v>0</v>
      </c>
      <c r="H226" s="322"/>
      <c r="I226" s="122" t="str">
        <f>IF(ISNA(VLOOKUP(F226,Declarations!B$6:C$293,2,FALSE)),"",IF(VLOOKUP(F226,Declarations!B$6:C$293,2,FALSE)="","NOTDECLARED",VLOOKUP(F226,Declarations!B$6:C$293,2,FALSE)))</f>
        <v/>
      </c>
      <c r="J226" s="124">
        <f>IF(LOWER(G226)="dnf",1,IF(U226&lt;ScoringTable!C$3,ScoringTable!I$2,VLOOKUP((1000-U226),ScoringTable!H$2:I$95,2)))</f>
        <v>0</v>
      </c>
      <c r="K226" s="120" t="str" cm="1">
        <f t="array" ref="K226">IF(OR(E226="",G226=""),"",_xlfn.IFS(E226="U10B",_xlfn.XLOOKUP(G226,Data!$D$3:$L$3,Data!$D$1:$L$1,"",1,1),E226="U12B",_xlfn.XLOOKUP(G226,Data!$D$9:$L$9,Data!$D$1:$L$1,"",1,1),E226="U10G",_xlfn.XLOOKUP(G226,Data!$D$16:$L$16,Data!$D$1:$L$1,"",1,1),E226="U12G",_xlfn.XLOOKUP(G226,Data!$D$22:$L$22,Data!$D$1:$L$1,"",1,1)))</f>
        <v/>
      </c>
      <c r="L226" s="184" t="str" cm="1">
        <f t="array" ref="L226">IFERROR(_xlfn.IFNA(
                      _xlfn.IFS(
                      G226="", "",
                      G226=0, "",
                      AND(E226="U10B",G226&lt;=Data!$M$3), "U10 Boys record",
                      AND(E226="U12B",G226&lt;=Data!$M$9), "U12 Boys record",
                      AND(E226="U10G",G226&lt;=Data!$M$16), "U10 Girls record",
                      AND(E226="U12G",G226&lt;=Data!$M$22), "U12 Girls record"
                       ),""), "")</f>
        <v/>
      </c>
      <c r="M226" s="19" cm="1">
        <f t="array" ref="M226">_xlfn.IFS(OR($G226="",$G226=0),0, AND(NOT(ISNUMBER($G226)),LOWER($G226)&lt;&gt;"dnf"),"Not a valid time",OR(LOWER($G226)="dnf",$G226&gt;ScoringTable!$N$161),1,RIGHT($E226,1)="B",_xlfn.XLOOKUP($G226,ScoringTable!$N$2:$N$161,ScoringTable!$L$2:$L$161,,1),TRUE,_xlfn.XLOOKUP($G226,ScoringTable!$T$2:$T$161,ScoringTable!$R$2:$R$161,,1))</f>
        <v>0</v>
      </c>
      <c r="Q226" s="125">
        <f t="shared" si="15"/>
        <v>0</v>
      </c>
      <c r="R226" s="126">
        <f t="shared" si="16"/>
        <v>0</v>
      </c>
      <c r="S226" s="127">
        <f t="shared" si="17"/>
        <v>0</v>
      </c>
      <c r="T226" s="126">
        <f t="shared" si="18"/>
        <v>0</v>
      </c>
      <c r="U226" s="128">
        <f t="shared" si="19"/>
        <v>0</v>
      </c>
    </row>
    <row r="227" spans="1:21" s="7" customFormat="1" ht="16" customHeight="1">
      <c r="A227" s="121" t="s">
        <v>3</v>
      </c>
      <c r="B227" s="122" t="str">
        <f>IF(ISNA(VLOOKUP($F227,Declarations!B$6:C$293,2,FALSE)),"",IF(VLOOKUP($F227,Declarations!B$6:C$293,2,FALSE)="","NOT DECLARED",IF(ISNA(_xlfn.TEXTBEFORE(VLOOKUP($F227,Declarations!B$6:C$293,2,FALSE)," ")),VLOOKUP($F227,Declarations!B$6:C$293,2,FALSE),_xlfn.TEXTBEFORE(VLOOKUP($F227,Declarations!B$6:C$293,2,FALSE)," "))))</f>
        <v/>
      </c>
      <c r="C227" s="122" t="str">
        <f>IF(ISNA(VLOOKUP($F227,Declarations!B$6:C$293,2,FALSE)),"",IF(VLOOKUP($F227,Declarations!B$6:C$293,2,FALSE)="","NOT DECLARED",IF(ISNA(_xlfn.TEXTAFTER(VLOOKUP($F227,Declarations!B$6:C$293,2,FALSE)," ")),VLOOKUP($F227,Declarations!B$6:C$293,2,FALSE),_xlfn.TEXTAFTER(VLOOKUP($F227,Declarations!B$6:C$293,2,FALSE)," "))))</f>
        <v/>
      </c>
      <c r="D227" s="122" t="str">
        <f>IF(ISNA(VLOOKUP($F227,Declarations!$B$6:$F$293,5,FALSE)),"",IF(VLOOKUP($F227,Declarations!$B$6:$F$293,5,FALSE)="","NOT DECLARED",VLOOKUP($F227,Declarations!$B$6:$F$293,5,FALSE)))</f>
        <v/>
      </c>
      <c r="E227" s="120" t="str">
        <f>IF(ISNA(VLOOKUP($F227,Declarations!$B$6:$D$293,3,FALSE)),"",IF(VLOOKUP($F227,Declarations!$B$6:$D$293,3,FALSE)="","NOT DECLARED",VLOOKUP($F227,Declarations!$B$6:$D$293,3,FALSE)&amp;LEFT(VLOOKUP($F227,Declarations!$B$6:$E$293,4,FALSE))))</f>
        <v/>
      </c>
      <c r="F227" s="59"/>
      <c r="G227" s="123">
        <v>0</v>
      </c>
      <c r="H227" s="322"/>
      <c r="I227" s="122" t="str">
        <f>IF(ISNA(VLOOKUP(F227,Declarations!B$6:C$293,2,FALSE)),"",IF(VLOOKUP(F227,Declarations!B$6:C$293,2,FALSE)="","NOTDECLARED",VLOOKUP(F227,Declarations!B$6:C$293,2,FALSE)))</f>
        <v/>
      </c>
      <c r="J227" s="124">
        <f>IF(LOWER(G227)="dnf",1,IF(U227&lt;ScoringTable!C$3,ScoringTable!I$2,VLOOKUP((1000-U227),ScoringTable!H$2:I$95,2)))</f>
        <v>0</v>
      </c>
      <c r="K227" s="120" t="str" cm="1">
        <f t="array" ref="K227">IF(OR(E227="",G227=""),"",_xlfn.IFS(E227="U10B",_xlfn.XLOOKUP(G227,Data!$D$3:$L$3,Data!$D$1:$L$1,"",1,1),E227="U12B",_xlfn.XLOOKUP(G227,Data!$D$9:$L$9,Data!$D$1:$L$1,"",1,1),E227="U10G",_xlfn.XLOOKUP(G227,Data!$D$16:$L$16,Data!$D$1:$L$1,"",1,1),E227="U12G",_xlfn.XLOOKUP(G227,Data!$D$22:$L$22,Data!$D$1:$L$1,"",1,1)))</f>
        <v/>
      </c>
      <c r="L227" s="184" t="str" cm="1">
        <f t="array" ref="L227">IFERROR(_xlfn.IFNA(
                      _xlfn.IFS(
                      G227="", "",
                      G227=0, "",
                      AND(E227="U10B",G227&lt;=Data!$M$3), "U10 Boys record",
                      AND(E227="U12B",G227&lt;=Data!$M$9), "U12 Boys record",
                      AND(E227="U10G",G227&lt;=Data!$M$16), "U10 Girls record",
                      AND(E227="U12G",G227&lt;=Data!$M$22), "U12 Girls record"
                       ),""), "")</f>
        <v/>
      </c>
      <c r="M227" s="19" cm="1">
        <f t="array" ref="M227">_xlfn.IFS(OR($G227="",$G227=0),0, AND(NOT(ISNUMBER($G227)),LOWER($G227)&lt;&gt;"dnf"),"Not a valid time",OR(LOWER($G227)="dnf",$G227&gt;ScoringTable!$N$161),1,RIGHT($E227,1)="B",_xlfn.XLOOKUP($G227,ScoringTable!$N$2:$N$161,ScoringTable!$L$2:$L$161,,1),TRUE,_xlfn.XLOOKUP($G227,ScoringTable!$T$2:$T$161,ScoringTable!$R$2:$R$161,,1))</f>
        <v>0</v>
      </c>
      <c r="Q227" s="125">
        <f t="shared" si="15"/>
        <v>0</v>
      </c>
      <c r="R227" s="126">
        <f t="shared" si="16"/>
        <v>0</v>
      </c>
      <c r="S227" s="127">
        <f t="shared" si="17"/>
        <v>0</v>
      </c>
      <c r="T227" s="126">
        <f t="shared" si="18"/>
        <v>0</v>
      </c>
      <c r="U227" s="128">
        <f t="shared" si="19"/>
        <v>0</v>
      </c>
    </row>
    <row r="228" spans="1:21" s="7" customFormat="1" ht="16" customHeight="1">
      <c r="A228" s="121" t="s">
        <v>3</v>
      </c>
      <c r="B228" s="122" t="str">
        <f>IF(ISNA(VLOOKUP($F228,Declarations!B$6:C$293,2,FALSE)),"",IF(VLOOKUP($F228,Declarations!B$6:C$293,2,FALSE)="","NOT DECLARED",IF(ISNA(_xlfn.TEXTBEFORE(VLOOKUP($F228,Declarations!B$6:C$293,2,FALSE)," ")),VLOOKUP($F228,Declarations!B$6:C$293,2,FALSE),_xlfn.TEXTBEFORE(VLOOKUP($F228,Declarations!B$6:C$293,2,FALSE)," "))))</f>
        <v/>
      </c>
      <c r="C228" s="122" t="str">
        <f>IF(ISNA(VLOOKUP($F228,Declarations!B$6:C$293,2,FALSE)),"",IF(VLOOKUP($F228,Declarations!B$6:C$293,2,FALSE)="","NOT DECLARED",IF(ISNA(_xlfn.TEXTAFTER(VLOOKUP($F228,Declarations!B$6:C$293,2,FALSE)," ")),VLOOKUP($F228,Declarations!B$6:C$293,2,FALSE),_xlfn.TEXTAFTER(VLOOKUP($F228,Declarations!B$6:C$293,2,FALSE)," "))))</f>
        <v/>
      </c>
      <c r="D228" s="122" t="str">
        <f>IF(ISNA(VLOOKUP($F228,Declarations!$B$6:$F$293,5,FALSE)),"",IF(VLOOKUP($F228,Declarations!$B$6:$F$293,5,FALSE)="","NOT DECLARED",VLOOKUP($F228,Declarations!$B$6:$F$293,5,FALSE)))</f>
        <v/>
      </c>
      <c r="E228" s="120" t="str">
        <f>IF(ISNA(VLOOKUP($F228,Declarations!$B$6:$D$293,3,FALSE)),"",IF(VLOOKUP($F228,Declarations!$B$6:$D$293,3,FALSE)="","NOT DECLARED",VLOOKUP($F228,Declarations!$B$6:$D$293,3,FALSE)&amp;LEFT(VLOOKUP($F228,Declarations!$B$6:$E$293,4,FALSE))))</f>
        <v/>
      </c>
      <c r="F228" s="59"/>
      <c r="G228" s="123">
        <v>0</v>
      </c>
      <c r="H228" s="322"/>
      <c r="I228" s="122" t="str">
        <f>IF(ISNA(VLOOKUP(F228,Declarations!B$6:C$293,2,FALSE)),"",IF(VLOOKUP(F228,Declarations!B$6:C$293,2,FALSE)="","NOTDECLARED",VLOOKUP(F228,Declarations!B$6:C$293,2,FALSE)))</f>
        <v/>
      </c>
      <c r="J228" s="124">
        <f>IF(LOWER(G228)="dnf",1,IF(U228&lt;ScoringTable!C$3,ScoringTable!I$2,VLOOKUP((1000-U228),ScoringTable!H$2:I$95,2)))</f>
        <v>0</v>
      </c>
      <c r="K228" s="120" t="str" cm="1">
        <f t="array" ref="K228">IF(OR(E228="",G228=""),"",_xlfn.IFS(E228="U10B",_xlfn.XLOOKUP(G228,Data!$D$3:$L$3,Data!$D$1:$L$1,"",1,1),E228="U12B",_xlfn.XLOOKUP(G228,Data!$D$9:$L$9,Data!$D$1:$L$1,"",1,1),E228="U10G",_xlfn.XLOOKUP(G228,Data!$D$16:$L$16,Data!$D$1:$L$1,"",1,1),E228="U12G",_xlfn.XLOOKUP(G228,Data!$D$22:$L$22,Data!$D$1:$L$1,"",1,1)))</f>
        <v/>
      </c>
      <c r="L228" s="184" t="str" cm="1">
        <f t="array" ref="L228">IFERROR(_xlfn.IFNA(
                      _xlfn.IFS(
                      G228="", "",
                      G228=0, "",
                      AND(E228="U10B",G228&lt;=Data!$M$3), "U10 Boys record",
                      AND(E228="U12B",G228&lt;=Data!$M$9), "U12 Boys record",
                      AND(E228="U10G",G228&lt;=Data!$M$16), "U10 Girls record",
                      AND(E228="U12G",G228&lt;=Data!$M$22), "U12 Girls record"
                       ),""), "")</f>
        <v/>
      </c>
      <c r="M228" s="19" cm="1">
        <f t="array" ref="M228">_xlfn.IFS(OR($G228="",$G228=0),0, AND(NOT(ISNUMBER($G228)),LOWER($G228)&lt;&gt;"dnf"),"Not a valid time",OR(LOWER($G228)="dnf",$G228&gt;ScoringTable!$N$161),1,RIGHT($E228,1)="B",_xlfn.XLOOKUP($G228,ScoringTable!$N$2:$N$161,ScoringTable!$L$2:$L$161,,1),TRUE,_xlfn.XLOOKUP($G228,ScoringTable!$T$2:$T$161,ScoringTable!$R$2:$R$161,,1))</f>
        <v>0</v>
      </c>
      <c r="Q228" s="125">
        <f t="shared" si="15"/>
        <v>0</v>
      </c>
      <c r="R228" s="126">
        <f t="shared" si="16"/>
        <v>0</v>
      </c>
      <c r="S228" s="127">
        <f t="shared" si="17"/>
        <v>0</v>
      </c>
      <c r="T228" s="126">
        <f t="shared" si="18"/>
        <v>0</v>
      </c>
      <c r="U228" s="128">
        <f t="shared" si="19"/>
        <v>0</v>
      </c>
    </row>
    <row r="229" spans="1:21" s="7" customFormat="1" ht="16" customHeight="1">
      <c r="A229" s="121" t="s">
        <v>3</v>
      </c>
      <c r="B229" s="122" t="str">
        <f>IF(ISNA(VLOOKUP($F229,Declarations!B$6:C$293,2,FALSE)),"",IF(VLOOKUP($F229,Declarations!B$6:C$293,2,FALSE)="","NOT DECLARED",IF(ISNA(_xlfn.TEXTBEFORE(VLOOKUP($F229,Declarations!B$6:C$293,2,FALSE)," ")),VLOOKUP($F229,Declarations!B$6:C$293,2,FALSE),_xlfn.TEXTBEFORE(VLOOKUP($F229,Declarations!B$6:C$293,2,FALSE)," "))))</f>
        <v/>
      </c>
      <c r="C229" s="122" t="str">
        <f>IF(ISNA(VLOOKUP($F229,Declarations!B$6:C$293,2,FALSE)),"",IF(VLOOKUP($F229,Declarations!B$6:C$293,2,FALSE)="","NOT DECLARED",IF(ISNA(_xlfn.TEXTAFTER(VLOOKUP($F229,Declarations!B$6:C$293,2,FALSE)," ")),VLOOKUP($F229,Declarations!B$6:C$293,2,FALSE),_xlfn.TEXTAFTER(VLOOKUP($F229,Declarations!B$6:C$293,2,FALSE)," "))))</f>
        <v/>
      </c>
      <c r="D229" s="122" t="str">
        <f>IF(ISNA(VLOOKUP($F229,Declarations!$B$6:$F$293,5,FALSE)),"",IF(VLOOKUP($F229,Declarations!$B$6:$F$293,5,FALSE)="","NOT DECLARED",VLOOKUP($F229,Declarations!$B$6:$F$293,5,FALSE)))</f>
        <v/>
      </c>
      <c r="E229" s="120" t="str">
        <f>IF(ISNA(VLOOKUP($F229,Declarations!$B$6:$D$293,3,FALSE)),"",IF(VLOOKUP($F229,Declarations!$B$6:$D$293,3,FALSE)="","NOT DECLARED",VLOOKUP($F229,Declarations!$B$6:$D$293,3,FALSE)&amp;LEFT(VLOOKUP($F229,Declarations!$B$6:$E$293,4,FALSE))))</f>
        <v/>
      </c>
      <c r="F229" s="59"/>
      <c r="G229" s="123">
        <v>0</v>
      </c>
      <c r="H229" s="322"/>
      <c r="I229" s="122" t="str">
        <f>IF(ISNA(VLOOKUP(F229,Declarations!B$6:C$293,2,FALSE)),"",IF(VLOOKUP(F229,Declarations!B$6:C$293,2,FALSE)="","NOTDECLARED",VLOOKUP(F229,Declarations!B$6:C$293,2,FALSE)))</f>
        <v/>
      </c>
      <c r="J229" s="124">
        <f>IF(LOWER(G229)="dnf",1,IF(U229&lt;ScoringTable!C$3,ScoringTable!I$2,VLOOKUP((1000-U229),ScoringTable!H$2:I$95,2)))</f>
        <v>0</v>
      </c>
      <c r="K229" s="120" t="str" cm="1">
        <f t="array" ref="K229">IF(OR(E229="",G229=""),"",_xlfn.IFS(E229="U10B",_xlfn.XLOOKUP(G229,Data!$D$3:$L$3,Data!$D$1:$L$1,"",1,1),E229="U12B",_xlfn.XLOOKUP(G229,Data!$D$9:$L$9,Data!$D$1:$L$1,"",1,1),E229="U10G",_xlfn.XLOOKUP(G229,Data!$D$16:$L$16,Data!$D$1:$L$1,"",1,1),E229="U12G",_xlfn.XLOOKUP(G229,Data!$D$22:$L$22,Data!$D$1:$L$1,"",1,1)))</f>
        <v/>
      </c>
      <c r="L229" s="184" t="str" cm="1">
        <f t="array" ref="L229">IFERROR(_xlfn.IFNA(
                      _xlfn.IFS(
                      G229="", "",
                      G229=0, "",
                      AND(E229="U10B",G229&lt;=Data!$M$3), "U10 Boys record",
                      AND(E229="U12B",G229&lt;=Data!$M$9), "U12 Boys record",
                      AND(E229="U10G",G229&lt;=Data!$M$16), "U10 Girls record",
                      AND(E229="U12G",G229&lt;=Data!$M$22), "U12 Girls record"
                       ),""), "")</f>
        <v/>
      </c>
      <c r="M229" s="19" cm="1">
        <f t="array" ref="M229">_xlfn.IFS(OR($G229="",$G229=0),0, AND(NOT(ISNUMBER($G229)),LOWER($G229)&lt;&gt;"dnf"),"Not a valid time",OR(LOWER($G229)="dnf",$G229&gt;ScoringTable!$N$161),1,RIGHT($E229,1)="B",_xlfn.XLOOKUP($G229,ScoringTable!$N$2:$N$161,ScoringTable!$L$2:$L$161,,1),TRUE,_xlfn.XLOOKUP($G229,ScoringTable!$T$2:$T$161,ScoringTable!$R$2:$R$161,,1))</f>
        <v>0</v>
      </c>
      <c r="Q229" s="125">
        <f t="shared" si="15"/>
        <v>0</v>
      </c>
      <c r="R229" s="126">
        <f t="shared" si="16"/>
        <v>0</v>
      </c>
      <c r="S229" s="127">
        <f t="shared" si="17"/>
        <v>0</v>
      </c>
      <c r="T229" s="126">
        <f t="shared" si="18"/>
        <v>0</v>
      </c>
      <c r="U229" s="128">
        <f t="shared" si="19"/>
        <v>0</v>
      </c>
    </row>
    <row r="230" spans="1:21" s="7" customFormat="1" ht="16" customHeight="1">
      <c r="A230" s="121" t="s">
        <v>3</v>
      </c>
      <c r="B230" s="122" t="str">
        <f>IF(ISNA(VLOOKUP($F230,Declarations!B$6:C$293,2,FALSE)),"",IF(VLOOKUP($F230,Declarations!B$6:C$293,2,FALSE)="","NOT DECLARED",IF(ISNA(_xlfn.TEXTBEFORE(VLOOKUP($F230,Declarations!B$6:C$293,2,FALSE)," ")),VLOOKUP($F230,Declarations!B$6:C$293,2,FALSE),_xlfn.TEXTBEFORE(VLOOKUP($F230,Declarations!B$6:C$293,2,FALSE)," "))))</f>
        <v/>
      </c>
      <c r="C230" s="122" t="str">
        <f>IF(ISNA(VLOOKUP($F230,Declarations!B$6:C$293,2,FALSE)),"",IF(VLOOKUP($F230,Declarations!B$6:C$293,2,FALSE)="","NOT DECLARED",IF(ISNA(_xlfn.TEXTAFTER(VLOOKUP($F230,Declarations!B$6:C$293,2,FALSE)," ")),VLOOKUP($F230,Declarations!B$6:C$293,2,FALSE),_xlfn.TEXTAFTER(VLOOKUP($F230,Declarations!B$6:C$293,2,FALSE)," "))))</f>
        <v/>
      </c>
      <c r="D230" s="122" t="str">
        <f>IF(ISNA(VLOOKUP($F230,Declarations!$B$6:$F$293,5,FALSE)),"",IF(VLOOKUP($F230,Declarations!$B$6:$F$293,5,FALSE)="","NOT DECLARED",VLOOKUP($F230,Declarations!$B$6:$F$293,5,FALSE)))</f>
        <v/>
      </c>
      <c r="E230" s="120" t="str">
        <f>IF(ISNA(VLOOKUP($F230,Declarations!$B$6:$D$293,3,FALSE)),"",IF(VLOOKUP($F230,Declarations!$B$6:$D$293,3,FALSE)="","NOT DECLARED",VLOOKUP($F230,Declarations!$B$6:$D$293,3,FALSE)&amp;LEFT(VLOOKUP($F230,Declarations!$B$6:$E$293,4,FALSE))))</f>
        <v/>
      </c>
      <c r="F230" s="59"/>
      <c r="G230" s="123">
        <v>0</v>
      </c>
      <c r="H230" s="322"/>
      <c r="I230" s="122" t="str">
        <f>IF(ISNA(VLOOKUP(F230,Declarations!B$6:C$293,2,FALSE)),"",IF(VLOOKUP(F230,Declarations!B$6:C$293,2,FALSE)="","NOTDECLARED",VLOOKUP(F230,Declarations!B$6:C$293,2,FALSE)))</f>
        <v/>
      </c>
      <c r="J230" s="124">
        <f>IF(LOWER(G230)="dnf",1,IF(U230&lt;ScoringTable!C$3,ScoringTable!I$2,VLOOKUP((1000-U230),ScoringTable!H$2:I$95,2)))</f>
        <v>0</v>
      </c>
      <c r="K230" s="120" t="str" cm="1">
        <f t="array" ref="K230">IF(OR(E230="",G230=""),"",_xlfn.IFS(E230="U10B",_xlfn.XLOOKUP(G230,Data!$D$3:$L$3,Data!$D$1:$L$1,"",1,1),E230="U12B",_xlfn.XLOOKUP(G230,Data!$D$9:$L$9,Data!$D$1:$L$1,"",1,1),E230="U10G",_xlfn.XLOOKUP(G230,Data!$D$16:$L$16,Data!$D$1:$L$1,"",1,1),E230="U12G",_xlfn.XLOOKUP(G230,Data!$D$22:$L$22,Data!$D$1:$L$1,"",1,1)))</f>
        <v/>
      </c>
      <c r="L230" s="184" t="str" cm="1">
        <f t="array" ref="L230">IFERROR(_xlfn.IFNA(
                      _xlfn.IFS(
                      G230="", "",
                      G230=0, "",
                      AND(E230="U10B",G230&lt;=Data!$M$3), "U10 Boys record",
                      AND(E230="U12B",G230&lt;=Data!$M$9), "U12 Boys record",
                      AND(E230="U10G",G230&lt;=Data!$M$16), "U10 Girls record",
                      AND(E230="U12G",G230&lt;=Data!$M$22), "U12 Girls record"
                       ),""), "")</f>
        <v/>
      </c>
      <c r="M230" s="19" cm="1">
        <f t="array" ref="M230">_xlfn.IFS(OR($G230="",$G230=0),0, AND(NOT(ISNUMBER($G230)),LOWER($G230)&lt;&gt;"dnf"),"Not a valid time",OR(LOWER($G230)="dnf",$G230&gt;ScoringTable!$N$161),1,RIGHT($E230,1)="B",_xlfn.XLOOKUP($G230,ScoringTable!$N$2:$N$161,ScoringTable!$L$2:$L$161,,1),TRUE,_xlfn.XLOOKUP($G230,ScoringTable!$T$2:$T$161,ScoringTable!$R$2:$R$161,,1))</f>
        <v>0</v>
      </c>
      <c r="Q230" s="125">
        <f t="shared" si="15"/>
        <v>0</v>
      </c>
      <c r="R230" s="126">
        <f t="shared" si="16"/>
        <v>0</v>
      </c>
      <c r="S230" s="127">
        <f t="shared" si="17"/>
        <v>0</v>
      </c>
      <c r="T230" s="126">
        <f t="shared" si="18"/>
        <v>0</v>
      </c>
      <c r="U230" s="128">
        <f t="shared" si="19"/>
        <v>0</v>
      </c>
    </row>
    <row r="231" spans="1:21" s="7" customFormat="1" ht="16" customHeight="1">
      <c r="A231" s="121" t="s">
        <v>3</v>
      </c>
      <c r="B231" s="122" t="str">
        <f>IF(ISNA(VLOOKUP($F231,Declarations!B$6:C$293,2,FALSE)),"",IF(VLOOKUP($F231,Declarations!B$6:C$293,2,FALSE)="","NOT DECLARED",IF(ISNA(_xlfn.TEXTBEFORE(VLOOKUP($F231,Declarations!B$6:C$293,2,FALSE)," ")),VLOOKUP($F231,Declarations!B$6:C$293,2,FALSE),_xlfn.TEXTBEFORE(VLOOKUP($F231,Declarations!B$6:C$293,2,FALSE)," "))))</f>
        <v/>
      </c>
      <c r="C231" s="122" t="str">
        <f>IF(ISNA(VLOOKUP($F231,Declarations!B$6:C$293,2,FALSE)),"",IF(VLOOKUP($F231,Declarations!B$6:C$293,2,FALSE)="","NOT DECLARED",IF(ISNA(_xlfn.TEXTAFTER(VLOOKUP($F231,Declarations!B$6:C$293,2,FALSE)," ")),VLOOKUP($F231,Declarations!B$6:C$293,2,FALSE),_xlfn.TEXTAFTER(VLOOKUP($F231,Declarations!B$6:C$293,2,FALSE)," "))))</f>
        <v/>
      </c>
      <c r="D231" s="122" t="str">
        <f>IF(ISNA(VLOOKUP($F231,Declarations!$B$6:$F$293,5,FALSE)),"",IF(VLOOKUP($F231,Declarations!$B$6:$F$293,5,FALSE)="","NOT DECLARED",VLOOKUP($F231,Declarations!$B$6:$F$293,5,FALSE)))</f>
        <v/>
      </c>
      <c r="E231" s="120" t="str">
        <f>IF(ISNA(VLOOKUP($F231,Declarations!$B$6:$D$293,3,FALSE)),"",IF(VLOOKUP($F231,Declarations!$B$6:$D$293,3,FALSE)="","NOT DECLARED",VLOOKUP($F231,Declarations!$B$6:$D$293,3,FALSE)&amp;LEFT(VLOOKUP($F231,Declarations!$B$6:$E$293,4,FALSE))))</f>
        <v/>
      </c>
      <c r="F231" s="59"/>
      <c r="G231" s="123">
        <v>0</v>
      </c>
      <c r="H231" s="322"/>
      <c r="I231" s="122" t="str">
        <f>IF(ISNA(VLOOKUP(F231,Declarations!B$6:C$293,2,FALSE)),"",IF(VLOOKUP(F231,Declarations!B$6:C$293,2,FALSE)="","NOTDECLARED",VLOOKUP(F231,Declarations!B$6:C$293,2,FALSE)))</f>
        <v/>
      </c>
      <c r="J231" s="124">
        <f>IF(LOWER(G231)="dnf",1,IF(U231&lt;ScoringTable!C$3,ScoringTable!I$2,VLOOKUP((1000-U231),ScoringTable!H$2:I$95,2)))</f>
        <v>0</v>
      </c>
      <c r="K231" s="120" t="str" cm="1">
        <f t="array" ref="K231">IF(OR(E231="",G231=""),"",_xlfn.IFS(E231="U10B",_xlfn.XLOOKUP(G231,Data!$D$3:$L$3,Data!$D$1:$L$1,"",1,1),E231="U12B",_xlfn.XLOOKUP(G231,Data!$D$9:$L$9,Data!$D$1:$L$1,"",1,1),E231="U10G",_xlfn.XLOOKUP(G231,Data!$D$16:$L$16,Data!$D$1:$L$1,"",1,1),E231="U12G",_xlfn.XLOOKUP(G231,Data!$D$22:$L$22,Data!$D$1:$L$1,"",1,1)))</f>
        <v/>
      </c>
      <c r="L231" s="184" t="str" cm="1">
        <f t="array" ref="L231">IFERROR(_xlfn.IFNA(
                      _xlfn.IFS(
                      G231="", "",
                      G231=0, "",
                      AND(E231="U10B",G231&lt;=Data!$M$3), "U10 Boys record",
                      AND(E231="U12B",G231&lt;=Data!$M$9), "U12 Boys record",
                      AND(E231="U10G",G231&lt;=Data!$M$16), "U10 Girls record",
                      AND(E231="U12G",G231&lt;=Data!$M$22), "U12 Girls record"
                       ),""), "")</f>
        <v/>
      </c>
      <c r="M231" s="19" cm="1">
        <f t="array" ref="M231">_xlfn.IFS(OR($G231="",$G231=0),0, AND(NOT(ISNUMBER($G231)),LOWER($G231)&lt;&gt;"dnf"),"Not a valid time",OR(LOWER($G231)="dnf",$G231&gt;ScoringTable!$N$161),1,RIGHT($E231,1)="B",_xlfn.XLOOKUP($G231,ScoringTable!$N$2:$N$161,ScoringTable!$L$2:$L$161,,1),TRUE,_xlfn.XLOOKUP($G231,ScoringTable!$T$2:$T$161,ScoringTable!$R$2:$R$161,,1))</f>
        <v>0</v>
      </c>
      <c r="Q231" s="125">
        <f t="shared" si="15"/>
        <v>0</v>
      </c>
      <c r="R231" s="126">
        <f t="shared" si="16"/>
        <v>0</v>
      </c>
      <c r="S231" s="127">
        <f t="shared" si="17"/>
        <v>0</v>
      </c>
      <c r="T231" s="126">
        <f t="shared" si="18"/>
        <v>0</v>
      </c>
      <c r="U231" s="128">
        <f t="shared" si="19"/>
        <v>0</v>
      </c>
    </row>
    <row r="232" spans="1:21" s="7" customFormat="1" ht="16" customHeight="1">
      <c r="A232" s="121" t="s">
        <v>3</v>
      </c>
      <c r="B232" s="122" t="str">
        <f>IF(ISNA(VLOOKUP($F232,Declarations!B$6:C$293,2,FALSE)),"",IF(VLOOKUP($F232,Declarations!B$6:C$293,2,FALSE)="","NOT DECLARED",IF(ISNA(_xlfn.TEXTBEFORE(VLOOKUP($F232,Declarations!B$6:C$293,2,FALSE)," ")),VLOOKUP($F232,Declarations!B$6:C$293,2,FALSE),_xlfn.TEXTBEFORE(VLOOKUP($F232,Declarations!B$6:C$293,2,FALSE)," "))))</f>
        <v/>
      </c>
      <c r="C232" s="122" t="str">
        <f>IF(ISNA(VLOOKUP($F232,Declarations!B$6:C$293,2,FALSE)),"",IF(VLOOKUP($F232,Declarations!B$6:C$293,2,FALSE)="","NOT DECLARED",IF(ISNA(_xlfn.TEXTAFTER(VLOOKUP($F232,Declarations!B$6:C$293,2,FALSE)," ")),VLOOKUP($F232,Declarations!B$6:C$293,2,FALSE),_xlfn.TEXTAFTER(VLOOKUP($F232,Declarations!B$6:C$293,2,FALSE)," "))))</f>
        <v/>
      </c>
      <c r="D232" s="122" t="str">
        <f>IF(ISNA(VLOOKUP($F232,Declarations!$B$6:$F$293,5,FALSE)),"",IF(VLOOKUP($F232,Declarations!$B$6:$F$293,5,FALSE)="","NOT DECLARED",VLOOKUP($F232,Declarations!$B$6:$F$293,5,FALSE)))</f>
        <v/>
      </c>
      <c r="E232" s="120" t="str">
        <f>IF(ISNA(VLOOKUP($F232,Declarations!$B$6:$D$293,3,FALSE)),"",IF(VLOOKUP($F232,Declarations!$B$6:$D$293,3,FALSE)="","NOT DECLARED",VLOOKUP($F232,Declarations!$B$6:$D$293,3,FALSE)&amp;LEFT(VLOOKUP($F232,Declarations!$B$6:$E$293,4,FALSE))))</f>
        <v/>
      </c>
      <c r="F232" s="59"/>
      <c r="G232" s="123">
        <v>0</v>
      </c>
      <c r="H232" s="322"/>
      <c r="I232" s="122" t="str">
        <f>IF(ISNA(VLOOKUP(F232,Declarations!B$6:C$293,2,FALSE)),"",IF(VLOOKUP(F232,Declarations!B$6:C$293,2,FALSE)="","NOTDECLARED",VLOOKUP(F232,Declarations!B$6:C$293,2,FALSE)))</f>
        <v/>
      </c>
      <c r="J232" s="124">
        <f>IF(LOWER(G232)="dnf",1,IF(U232&lt;ScoringTable!C$3,ScoringTable!I$2,VLOOKUP((1000-U232),ScoringTable!H$2:I$95,2)))</f>
        <v>0</v>
      </c>
      <c r="K232" s="120" t="str" cm="1">
        <f t="array" ref="K232">IF(OR(E232="",G232=""),"",_xlfn.IFS(E232="U10B",_xlfn.XLOOKUP(G232,Data!$D$3:$L$3,Data!$D$1:$L$1,"",1,1),E232="U12B",_xlfn.XLOOKUP(G232,Data!$D$9:$L$9,Data!$D$1:$L$1,"",1,1),E232="U10G",_xlfn.XLOOKUP(G232,Data!$D$16:$L$16,Data!$D$1:$L$1,"",1,1),E232="U12G",_xlfn.XLOOKUP(G232,Data!$D$22:$L$22,Data!$D$1:$L$1,"",1,1)))</f>
        <v/>
      </c>
      <c r="L232" s="184" t="str" cm="1">
        <f t="array" ref="L232">IFERROR(_xlfn.IFNA(
                      _xlfn.IFS(
                      G232="", "",
                      G232=0, "",
                      AND(E232="U10B",G232&lt;=Data!$M$3), "U10 Boys record",
                      AND(E232="U12B",G232&lt;=Data!$M$9), "U12 Boys record",
                      AND(E232="U10G",G232&lt;=Data!$M$16), "U10 Girls record",
                      AND(E232="U12G",G232&lt;=Data!$M$22), "U12 Girls record"
                       ),""), "")</f>
        <v/>
      </c>
      <c r="M232" s="19" cm="1">
        <f t="array" ref="M232">_xlfn.IFS(OR($G232="",$G232=0),0, AND(NOT(ISNUMBER($G232)),LOWER($G232)&lt;&gt;"dnf"),"Not a valid time",OR(LOWER($G232)="dnf",$G232&gt;ScoringTable!$N$161),1,RIGHT($E232,1)="B",_xlfn.XLOOKUP($G232,ScoringTable!$N$2:$N$161,ScoringTable!$L$2:$L$161,,1),TRUE,_xlfn.XLOOKUP($G232,ScoringTable!$T$2:$T$161,ScoringTable!$R$2:$R$161,,1))</f>
        <v>0</v>
      </c>
      <c r="Q232" s="125">
        <f t="shared" si="15"/>
        <v>0</v>
      </c>
      <c r="R232" s="126">
        <f t="shared" si="16"/>
        <v>0</v>
      </c>
      <c r="S232" s="127">
        <f t="shared" si="17"/>
        <v>0</v>
      </c>
      <c r="T232" s="126">
        <f t="shared" si="18"/>
        <v>0</v>
      </c>
      <c r="U232" s="128">
        <f t="shared" si="19"/>
        <v>0</v>
      </c>
    </row>
    <row r="233" spans="1:21" s="7" customFormat="1" ht="16" customHeight="1">
      <c r="A233" s="121" t="s">
        <v>3</v>
      </c>
      <c r="B233" s="122" t="str">
        <f>IF(ISNA(VLOOKUP($F233,Declarations!B$6:C$293,2,FALSE)),"",IF(VLOOKUP($F233,Declarations!B$6:C$293,2,FALSE)="","NOT DECLARED",IF(ISNA(_xlfn.TEXTBEFORE(VLOOKUP($F233,Declarations!B$6:C$293,2,FALSE)," ")),VLOOKUP($F233,Declarations!B$6:C$293,2,FALSE),_xlfn.TEXTBEFORE(VLOOKUP($F233,Declarations!B$6:C$293,2,FALSE)," "))))</f>
        <v/>
      </c>
      <c r="C233" s="122" t="str">
        <f>IF(ISNA(VLOOKUP($F233,Declarations!B$6:C$293,2,FALSE)),"",IF(VLOOKUP($F233,Declarations!B$6:C$293,2,FALSE)="","NOT DECLARED",IF(ISNA(_xlfn.TEXTAFTER(VLOOKUP($F233,Declarations!B$6:C$293,2,FALSE)," ")),VLOOKUP($F233,Declarations!B$6:C$293,2,FALSE),_xlfn.TEXTAFTER(VLOOKUP($F233,Declarations!B$6:C$293,2,FALSE)," "))))</f>
        <v/>
      </c>
      <c r="D233" s="122" t="str">
        <f>IF(ISNA(VLOOKUP($F233,Declarations!$B$6:$F$293,5,FALSE)),"",IF(VLOOKUP($F233,Declarations!$B$6:$F$293,5,FALSE)="","NOT DECLARED",VLOOKUP($F233,Declarations!$B$6:$F$293,5,FALSE)))</f>
        <v/>
      </c>
      <c r="E233" s="120" t="str">
        <f>IF(ISNA(VLOOKUP($F233,Declarations!$B$6:$D$293,3,FALSE)),"",IF(VLOOKUP($F233,Declarations!$B$6:$D$293,3,FALSE)="","NOT DECLARED",VLOOKUP($F233,Declarations!$B$6:$D$293,3,FALSE)&amp;LEFT(VLOOKUP($F233,Declarations!$B$6:$E$293,4,FALSE))))</f>
        <v/>
      </c>
      <c r="F233" s="59"/>
      <c r="G233" s="123">
        <v>0</v>
      </c>
      <c r="H233" s="322"/>
      <c r="I233" s="122" t="str">
        <f>IF(ISNA(VLOOKUP(F233,Declarations!B$6:C$293,2,FALSE)),"",IF(VLOOKUP(F233,Declarations!B$6:C$293,2,FALSE)="","NOTDECLARED",VLOOKUP(F233,Declarations!B$6:C$293,2,FALSE)))</f>
        <v/>
      </c>
      <c r="J233" s="124">
        <f>IF(LOWER(G233)="dnf",1,IF(U233&lt;ScoringTable!C$3,ScoringTable!I$2,VLOOKUP((1000-U233),ScoringTable!H$2:I$95,2)))</f>
        <v>0</v>
      </c>
      <c r="K233" s="120" t="str" cm="1">
        <f t="array" ref="K233">IF(OR(E233="",G233=""),"",_xlfn.IFS(E233="U10B",_xlfn.XLOOKUP(G233,Data!$D$3:$L$3,Data!$D$1:$L$1,"",1,1),E233="U12B",_xlfn.XLOOKUP(G233,Data!$D$9:$L$9,Data!$D$1:$L$1,"",1,1),E233="U10G",_xlfn.XLOOKUP(G233,Data!$D$16:$L$16,Data!$D$1:$L$1,"",1,1),E233="U12G",_xlfn.XLOOKUP(G233,Data!$D$22:$L$22,Data!$D$1:$L$1,"",1,1)))</f>
        <v/>
      </c>
      <c r="L233" s="184" t="str" cm="1">
        <f t="array" ref="L233">IFERROR(_xlfn.IFNA(
                      _xlfn.IFS(
                      G233="", "",
                      G233=0, "",
                      AND(E233="U10B",G233&lt;=Data!$M$3), "U10 Boys record",
                      AND(E233="U12B",G233&lt;=Data!$M$9), "U12 Boys record",
                      AND(E233="U10G",G233&lt;=Data!$M$16), "U10 Girls record",
                      AND(E233="U12G",G233&lt;=Data!$M$22), "U12 Girls record"
                       ),""), "")</f>
        <v/>
      </c>
      <c r="M233" s="19" cm="1">
        <f t="array" ref="M233">_xlfn.IFS(OR($G233="",$G233=0),0, AND(NOT(ISNUMBER($G233)),LOWER($G233)&lt;&gt;"dnf"),"Not a valid time",OR(LOWER($G233)="dnf",$G233&gt;ScoringTable!$N$161),1,RIGHT($E233,1)="B",_xlfn.XLOOKUP($G233,ScoringTable!$N$2:$N$161,ScoringTable!$L$2:$L$161,,1),TRUE,_xlfn.XLOOKUP($G233,ScoringTable!$T$2:$T$161,ScoringTable!$R$2:$R$161,,1))</f>
        <v>0</v>
      </c>
      <c r="Q233" s="125">
        <f t="shared" si="15"/>
        <v>0</v>
      </c>
      <c r="R233" s="126">
        <f t="shared" si="16"/>
        <v>0</v>
      </c>
      <c r="S233" s="127">
        <f t="shared" si="17"/>
        <v>0</v>
      </c>
      <c r="T233" s="126">
        <f t="shared" si="18"/>
        <v>0</v>
      </c>
      <c r="U233" s="128">
        <f t="shared" si="19"/>
        <v>0</v>
      </c>
    </row>
    <row r="234" spans="1:21" s="7" customFormat="1" ht="16" customHeight="1">
      <c r="A234" s="121" t="s">
        <v>3</v>
      </c>
      <c r="B234" s="122" t="str">
        <f>IF(ISNA(VLOOKUP($F234,Declarations!B$6:C$293,2,FALSE)),"",IF(VLOOKUP($F234,Declarations!B$6:C$293,2,FALSE)="","NOT DECLARED",IF(ISNA(_xlfn.TEXTBEFORE(VLOOKUP($F234,Declarations!B$6:C$293,2,FALSE)," ")),VLOOKUP($F234,Declarations!B$6:C$293,2,FALSE),_xlfn.TEXTBEFORE(VLOOKUP($F234,Declarations!B$6:C$293,2,FALSE)," "))))</f>
        <v/>
      </c>
      <c r="C234" s="122" t="str">
        <f>IF(ISNA(VLOOKUP($F234,Declarations!B$6:C$293,2,FALSE)),"",IF(VLOOKUP($F234,Declarations!B$6:C$293,2,FALSE)="","NOT DECLARED",IF(ISNA(_xlfn.TEXTAFTER(VLOOKUP($F234,Declarations!B$6:C$293,2,FALSE)," ")),VLOOKUP($F234,Declarations!B$6:C$293,2,FALSE),_xlfn.TEXTAFTER(VLOOKUP($F234,Declarations!B$6:C$293,2,FALSE)," "))))</f>
        <v/>
      </c>
      <c r="D234" s="122" t="str">
        <f>IF(ISNA(VLOOKUP($F234,Declarations!$B$6:$F$293,5,FALSE)),"",IF(VLOOKUP($F234,Declarations!$B$6:$F$293,5,FALSE)="","NOT DECLARED",VLOOKUP($F234,Declarations!$B$6:$F$293,5,FALSE)))</f>
        <v/>
      </c>
      <c r="E234" s="120" t="str">
        <f>IF(ISNA(VLOOKUP($F234,Declarations!$B$6:$D$293,3,FALSE)),"",IF(VLOOKUP($F234,Declarations!$B$6:$D$293,3,FALSE)="","NOT DECLARED",VLOOKUP($F234,Declarations!$B$6:$D$293,3,FALSE)&amp;LEFT(VLOOKUP($F234,Declarations!$B$6:$E$293,4,FALSE))))</f>
        <v/>
      </c>
      <c r="F234" s="59"/>
      <c r="G234" s="123">
        <v>0</v>
      </c>
      <c r="H234" s="322"/>
      <c r="I234" s="122" t="str">
        <f>IF(ISNA(VLOOKUP(F234,Declarations!B$6:C$293,2,FALSE)),"",IF(VLOOKUP(F234,Declarations!B$6:C$293,2,FALSE)="","NOTDECLARED",VLOOKUP(F234,Declarations!B$6:C$293,2,FALSE)))</f>
        <v/>
      </c>
      <c r="J234" s="124">
        <f>IF(LOWER(G234)="dnf",1,IF(U234&lt;ScoringTable!C$3,ScoringTable!I$2,VLOOKUP((1000-U234),ScoringTable!H$2:I$95,2)))</f>
        <v>0</v>
      </c>
      <c r="K234" s="120" t="str" cm="1">
        <f t="array" ref="K234">IF(OR(E234="",G234=""),"",_xlfn.IFS(E234="U10B",_xlfn.XLOOKUP(G234,Data!$D$3:$L$3,Data!$D$1:$L$1,"",1,1),E234="U12B",_xlfn.XLOOKUP(G234,Data!$D$9:$L$9,Data!$D$1:$L$1,"",1,1),E234="U10G",_xlfn.XLOOKUP(G234,Data!$D$16:$L$16,Data!$D$1:$L$1,"",1,1),E234="U12G",_xlfn.XLOOKUP(G234,Data!$D$22:$L$22,Data!$D$1:$L$1,"",1,1)))</f>
        <v/>
      </c>
      <c r="L234" s="184" t="str" cm="1">
        <f t="array" ref="L234">IFERROR(_xlfn.IFNA(
                      _xlfn.IFS(
                      G234="", "",
                      G234=0, "",
                      AND(E234="U10B",G234&lt;=Data!$M$3), "U10 Boys record",
                      AND(E234="U12B",G234&lt;=Data!$M$9), "U12 Boys record",
                      AND(E234="U10G",G234&lt;=Data!$M$16), "U10 Girls record",
                      AND(E234="U12G",G234&lt;=Data!$M$22), "U12 Girls record"
                       ),""), "")</f>
        <v/>
      </c>
      <c r="M234" s="19" cm="1">
        <f t="array" ref="M234">_xlfn.IFS(OR($G234="",$G234=0),0, AND(NOT(ISNUMBER($G234)),LOWER($G234)&lt;&gt;"dnf"),"Not a valid time",OR(LOWER($G234)="dnf",$G234&gt;ScoringTable!$N$161),1,RIGHT($E234,1)="B",_xlfn.XLOOKUP($G234,ScoringTable!$N$2:$N$161,ScoringTable!$L$2:$L$161,,1),TRUE,_xlfn.XLOOKUP($G234,ScoringTable!$T$2:$T$161,ScoringTable!$R$2:$R$161,,1))</f>
        <v>0</v>
      </c>
      <c r="Q234" s="125">
        <f t="shared" si="15"/>
        <v>0</v>
      </c>
      <c r="R234" s="126">
        <f t="shared" si="16"/>
        <v>0</v>
      </c>
      <c r="S234" s="127">
        <f t="shared" si="17"/>
        <v>0</v>
      </c>
      <c r="T234" s="126">
        <f t="shared" si="18"/>
        <v>0</v>
      </c>
      <c r="U234" s="128">
        <f t="shared" si="19"/>
        <v>0</v>
      </c>
    </row>
    <row r="235" spans="1:21" s="7" customFormat="1" ht="16" customHeight="1">
      <c r="A235" s="121" t="s">
        <v>3</v>
      </c>
      <c r="B235" s="122" t="str">
        <f>IF(ISNA(VLOOKUP($F235,Declarations!B$6:C$293,2,FALSE)),"",IF(VLOOKUP($F235,Declarations!B$6:C$293,2,FALSE)="","NOT DECLARED",IF(ISNA(_xlfn.TEXTBEFORE(VLOOKUP($F235,Declarations!B$6:C$293,2,FALSE)," ")),VLOOKUP($F235,Declarations!B$6:C$293,2,FALSE),_xlfn.TEXTBEFORE(VLOOKUP($F235,Declarations!B$6:C$293,2,FALSE)," "))))</f>
        <v/>
      </c>
      <c r="C235" s="122" t="str">
        <f>IF(ISNA(VLOOKUP($F235,Declarations!B$6:C$293,2,FALSE)),"",IF(VLOOKUP($F235,Declarations!B$6:C$293,2,FALSE)="","NOT DECLARED",IF(ISNA(_xlfn.TEXTAFTER(VLOOKUP($F235,Declarations!B$6:C$293,2,FALSE)," ")),VLOOKUP($F235,Declarations!B$6:C$293,2,FALSE),_xlfn.TEXTAFTER(VLOOKUP($F235,Declarations!B$6:C$293,2,FALSE)," "))))</f>
        <v/>
      </c>
      <c r="D235" s="122" t="str">
        <f>IF(ISNA(VLOOKUP($F235,Declarations!$B$6:$F$293,5,FALSE)),"",IF(VLOOKUP($F235,Declarations!$B$6:$F$293,5,FALSE)="","NOT DECLARED",VLOOKUP($F235,Declarations!$B$6:$F$293,5,FALSE)))</f>
        <v/>
      </c>
      <c r="E235" s="120" t="str">
        <f>IF(ISNA(VLOOKUP($F235,Declarations!$B$6:$D$293,3,FALSE)),"",IF(VLOOKUP($F235,Declarations!$B$6:$D$293,3,FALSE)="","NOT DECLARED",VLOOKUP($F235,Declarations!$B$6:$D$293,3,FALSE)&amp;LEFT(VLOOKUP($F235,Declarations!$B$6:$E$293,4,FALSE))))</f>
        <v/>
      </c>
      <c r="F235" s="59"/>
      <c r="G235" s="123">
        <v>0</v>
      </c>
      <c r="H235" s="322"/>
      <c r="I235" s="122" t="str">
        <f>IF(ISNA(VLOOKUP(F235,Declarations!B$6:C$293,2,FALSE)),"",IF(VLOOKUP(F235,Declarations!B$6:C$293,2,FALSE)="","NOTDECLARED",VLOOKUP(F235,Declarations!B$6:C$293,2,FALSE)))</f>
        <v/>
      </c>
      <c r="J235" s="124">
        <f>IF(LOWER(G235)="dnf",1,IF(U235&lt;ScoringTable!C$3,ScoringTable!I$2,VLOOKUP((1000-U235),ScoringTable!H$2:I$95,2)))</f>
        <v>0</v>
      </c>
      <c r="K235" s="120" t="str" cm="1">
        <f t="array" ref="K235">IF(OR(E235="",G235=""),"",_xlfn.IFS(E235="U10B",_xlfn.XLOOKUP(G235,Data!$D$3:$L$3,Data!$D$1:$L$1,"",1,1),E235="U12B",_xlfn.XLOOKUP(G235,Data!$D$9:$L$9,Data!$D$1:$L$1,"",1,1),E235="U10G",_xlfn.XLOOKUP(G235,Data!$D$16:$L$16,Data!$D$1:$L$1,"",1,1),E235="U12G",_xlfn.XLOOKUP(G235,Data!$D$22:$L$22,Data!$D$1:$L$1,"",1,1)))</f>
        <v/>
      </c>
      <c r="L235" s="184" t="str" cm="1">
        <f t="array" ref="L235">IFERROR(_xlfn.IFNA(
                      _xlfn.IFS(
                      G235="", "",
                      G235=0, "",
                      AND(E235="U10B",G235&lt;=Data!$M$3), "U10 Boys record",
                      AND(E235="U12B",G235&lt;=Data!$M$9), "U12 Boys record",
                      AND(E235="U10G",G235&lt;=Data!$M$16), "U10 Girls record",
                      AND(E235="U12G",G235&lt;=Data!$M$22), "U12 Girls record"
                       ),""), "")</f>
        <v/>
      </c>
      <c r="M235" s="19" cm="1">
        <f t="array" ref="M235">_xlfn.IFS(OR($G235="",$G235=0),0, AND(NOT(ISNUMBER($G235)),LOWER($G235)&lt;&gt;"dnf"),"Not a valid time",OR(LOWER($G235)="dnf",$G235&gt;ScoringTable!$N$161),1,RIGHT($E235,1)="B",_xlfn.XLOOKUP($G235,ScoringTable!$N$2:$N$161,ScoringTable!$L$2:$L$161,,1),TRUE,_xlfn.XLOOKUP($G235,ScoringTable!$T$2:$T$161,ScoringTable!$R$2:$R$161,,1))</f>
        <v>0</v>
      </c>
      <c r="Q235" s="125">
        <f t="shared" si="15"/>
        <v>0</v>
      </c>
      <c r="R235" s="126">
        <f t="shared" si="16"/>
        <v>0</v>
      </c>
      <c r="S235" s="127">
        <f t="shared" si="17"/>
        <v>0</v>
      </c>
      <c r="T235" s="126">
        <f t="shared" si="18"/>
        <v>0</v>
      </c>
      <c r="U235" s="128">
        <f t="shared" si="19"/>
        <v>0</v>
      </c>
    </row>
    <row r="236" spans="1:21" s="7" customFormat="1" ht="16" customHeight="1">
      <c r="A236" s="121" t="s">
        <v>3</v>
      </c>
      <c r="B236" s="122" t="str">
        <f>IF(ISNA(VLOOKUP($F236,Declarations!B$6:C$293,2,FALSE)),"",IF(VLOOKUP($F236,Declarations!B$6:C$293,2,FALSE)="","NOT DECLARED",IF(ISNA(_xlfn.TEXTBEFORE(VLOOKUP($F236,Declarations!B$6:C$293,2,FALSE)," ")),VLOOKUP($F236,Declarations!B$6:C$293,2,FALSE),_xlfn.TEXTBEFORE(VLOOKUP($F236,Declarations!B$6:C$293,2,FALSE)," "))))</f>
        <v/>
      </c>
      <c r="C236" s="122" t="str">
        <f>IF(ISNA(VLOOKUP($F236,Declarations!B$6:C$293,2,FALSE)),"",IF(VLOOKUP($F236,Declarations!B$6:C$293,2,FALSE)="","NOT DECLARED",IF(ISNA(_xlfn.TEXTAFTER(VLOOKUP($F236,Declarations!B$6:C$293,2,FALSE)," ")),VLOOKUP($F236,Declarations!B$6:C$293,2,FALSE),_xlfn.TEXTAFTER(VLOOKUP($F236,Declarations!B$6:C$293,2,FALSE)," "))))</f>
        <v/>
      </c>
      <c r="D236" s="122" t="str">
        <f>IF(ISNA(VLOOKUP($F236,Declarations!$B$6:$F$293,5,FALSE)),"",IF(VLOOKUP($F236,Declarations!$B$6:$F$293,5,FALSE)="","NOT DECLARED",VLOOKUP($F236,Declarations!$B$6:$F$293,5,FALSE)))</f>
        <v/>
      </c>
      <c r="E236" s="120" t="str">
        <f>IF(ISNA(VLOOKUP($F236,Declarations!$B$6:$D$293,3,FALSE)),"",IF(VLOOKUP($F236,Declarations!$B$6:$D$293,3,FALSE)="","NOT DECLARED",VLOOKUP($F236,Declarations!$B$6:$D$293,3,FALSE)&amp;LEFT(VLOOKUP($F236,Declarations!$B$6:$E$293,4,FALSE))))</f>
        <v/>
      </c>
      <c r="F236" s="59"/>
      <c r="G236" s="123">
        <v>0</v>
      </c>
      <c r="H236" s="322"/>
      <c r="I236" s="122" t="str">
        <f>IF(ISNA(VLOOKUP(F236,Declarations!B$6:C$293,2,FALSE)),"",IF(VLOOKUP(F236,Declarations!B$6:C$293,2,FALSE)="","NOTDECLARED",VLOOKUP(F236,Declarations!B$6:C$293,2,FALSE)))</f>
        <v/>
      </c>
      <c r="J236" s="124">
        <f>IF(LOWER(G236)="dnf",1,IF(U236&lt;ScoringTable!C$3,ScoringTable!I$2,VLOOKUP((1000-U236),ScoringTable!H$2:I$95,2)))</f>
        <v>0</v>
      </c>
      <c r="K236" s="120" t="str" cm="1">
        <f t="array" ref="K236">IF(OR(E236="",G236=""),"",_xlfn.IFS(E236="U10B",_xlfn.XLOOKUP(G236,Data!$D$3:$L$3,Data!$D$1:$L$1,"",1,1),E236="U12B",_xlfn.XLOOKUP(G236,Data!$D$9:$L$9,Data!$D$1:$L$1,"",1,1),E236="U10G",_xlfn.XLOOKUP(G236,Data!$D$16:$L$16,Data!$D$1:$L$1,"",1,1),E236="U12G",_xlfn.XLOOKUP(G236,Data!$D$22:$L$22,Data!$D$1:$L$1,"",1,1)))</f>
        <v/>
      </c>
      <c r="L236" s="184" t="str" cm="1">
        <f t="array" ref="L236">IFERROR(_xlfn.IFNA(
                      _xlfn.IFS(
                      G236="", "",
                      G236=0, "",
                      AND(E236="U10B",G236&lt;=Data!$M$3), "U10 Boys record",
                      AND(E236="U12B",G236&lt;=Data!$M$9), "U12 Boys record",
                      AND(E236="U10G",G236&lt;=Data!$M$16), "U10 Girls record",
                      AND(E236="U12G",G236&lt;=Data!$M$22), "U12 Girls record"
                       ),""), "")</f>
        <v/>
      </c>
      <c r="M236" s="19" cm="1">
        <f t="array" ref="M236">_xlfn.IFS(OR($G236="",$G236=0),0, AND(NOT(ISNUMBER($G236)),LOWER($G236)&lt;&gt;"dnf"),"Not a valid time",OR(LOWER($G236)="dnf",$G236&gt;ScoringTable!$N$161),1,RIGHT($E236,1)="B",_xlfn.XLOOKUP($G236,ScoringTable!$N$2:$N$161,ScoringTable!$L$2:$L$161,,1),TRUE,_xlfn.XLOOKUP($G236,ScoringTable!$T$2:$T$161,ScoringTable!$R$2:$R$161,,1))</f>
        <v>0</v>
      </c>
      <c r="Q236" s="125">
        <f t="shared" si="15"/>
        <v>0</v>
      </c>
      <c r="R236" s="126">
        <f t="shared" si="16"/>
        <v>0</v>
      </c>
      <c r="S236" s="127">
        <f t="shared" si="17"/>
        <v>0</v>
      </c>
      <c r="T236" s="126">
        <f t="shared" si="18"/>
        <v>0</v>
      </c>
      <c r="U236" s="128">
        <f t="shared" si="19"/>
        <v>0</v>
      </c>
    </row>
    <row r="237" spans="1:21" s="7" customFormat="1" ht="16" customHeight="1">
      <c r="A237" s="121" t="s">
        <v>3</v>
      </c>
      <c r="B237" s="122" t="str">
        <f>IF(ISNA(VLOOKUP($F237,Declarations!B$6:C$293,2,FALSE)),"",IF(VLOOKUP($F237,Declarations!B$6:C$293,2,FALSE)="","NOT DECLARED",IF(ISNA(_xlfn.TEXTBEFORE(VLOOKUP($F237,Declarations!B$6:C$293,2,FALSE)," ")),VLOOKUP($F237,Declarations!B$6:C$293,2,FALSE),_xlfn.TEXTBEFORE(VLOOKUP($F237,Declarations!B$6:C$293,2,FALSE)," "))))</f>
        <v/>
      </c>
      <c r="C237" s="122" t="str">
        <f>IF(ISNA(VLOOKUP($F237,Declarations!B$6:C$293,2,FALSE)),"",IF(VLOOKUP($F237,Declarations!B$6:C$293,2,FALSE)="","NOT DECLARED",IF(ISNA(_xlfn.TEXTAFTER(VLOOKUP($F237,Declarations!B$6:C$293,2,FALSE)," ")),VLOOKUP($F237,Declarations!B$6:C$293,2,FALSE),_xlfn.TEXTAFTER(VLOOKUP($F237,Declarations!B$6:C$293,2,FALSE)," "))))</f>
        <v/>
      </c>
      <c r="D237" s="122" t="str">
        <f>IF(ISNA(VLOOKUP($F237,Declarations!$B$6:$F$293,5,FALSE)),"",IF(VLOOKUP($F237,Declarations!$B$6:$F$293,5,FALSE)="","NOT DECLARED",VLOOKUP($F237,Declarations!$B$6:$F$293,5,FALSE)))</f>
        <v/>
      </c>
      <c r="E237" s="120" t="str">
        <f>IF(ISNA(VLOOKUP($F237,Declarations!$B$6:$D$293,3,FALSE)),"",IF(VLOOKUP($F237,Declarations!$B$6:$D$293,3,FALSE)="","NOT DECLARED",VLOOKUP($F237,Declarations!$B$6:$D$293,3,FALSE)&amp;LEFT(VLOOKUP($F237,Declarations!$B$6:$E$293,4,FALSE))))</f>
        <v/>
      </c>
      <c r="F237" s="59"/>
      <c r="G237" s="123">
        <v>0</v>
      </c>
      <c r="H237" s="322"/>
      <c r="I237" s="122" t="str">
        <f>IF(ISNA(VLOOKUP(F237,Declarations!B$6:C$293,2,FALSE)),"",IF(VLOOKUP(F237,Declarations!B$6:C$293,2,FALSE)="","NOTDECLARED",VLOOKUP(F237,Declarations!B$6:C$293,2,FALSE)))</f>
        <v/>
      </c>
      <c r="J237" s="124">
        <f>IF(LOWER(G237)="dnf",1,IF(U237&lt;ScoringTable!C$3,ScoringTable!I$2,VLOOKUP((1000-U237),ScoringTable!H$2:I$95,2)))</f>
        <v>0</v>
      </c>
      <c r="K237" s="120" t="str" cm="1">
        <f t="array" ref="K237">IF(OR(E237="",G237=""),"",_xlfn.IFS(E237="U10B",_xlfn.XLOOKUP(G237,Data!$D$3:$L$3,Data!$D$1:$L$1,"",1,1),E237="U12B",_xlfn.XLOOKUP(G237,Data!$D$9:$L$9,Data!$D$1:$L$1,"",1,1),E237="U10G",_xlfn.XLOOKUP(G237,Data!$D$16:$L$16,Data!$D$1:$L$1,"",1,1),E237="U12G",_xlfn.XLOOKUP(G237,Data!$D$22:$L$22,Data!$D$1:$L$1,"",1,1)))</f>
        <v/>
      </c>
      <c r="L237" s="184" t="str" cm="1">
        <f t="array" ref="L237">IFERROR(_xlfn.IFNA(
                      _xlfn.IFS(
                      G237="", "",
                      G237=0, "",
                      AND(E237="U10B",G237&lt;=Data!$M$3), "U10 Boys record",
                      AND(E237="U12B",G237&lt;=Data!$M$9), "U12 Boys record",
                      AND(E237="U10G",G237&lt;=Data!$M$16), "U10 Girls record",
                      AND(E237="U12G",G237&lt;=Data!$M$22), "U12 Girls record"
                       ),""), "")</f>
        <v/>
      </c>
      <c r="M237" s="19" cm="1">
        <f t="array" ref="M237">_xlfn.IFS(OR($G237="",$G237=0),0, AND(NOT(ISNUMBER($G237)),LOWER($G237)&lt;&gt;"dnf"),"Not a valid time",OR(LOWER($G237)="dnf",$G237&gt;ScoringTable!$N$161),1,RIGHT($E237,1)="B",_xlfn.XLOOKUP($G237,ScoringTable!$N$2:$N$161,ScoringTable!$L$2:$L$161,,1),TRUE,_xlfn.XLOOKUP($G237,ScoringTable!$T$2:$T$161,ScoringTable!$R$2:$R$161,,1))</f>
        <v>0</v>
      </c>
      <c r="Q237" s="125">
        <f t="shared" si="15"/>
        <v>0</v>
      </c>
      <c r="R237" s="126">
        <f t="shared" si="16"/>
        <v>0</v>
      </c>
      <c r="S237" s="127">
        <f t="shared" si="17"/>
        <v>0</v>
      </c>
      <c r="T237" s="126">
        <f t="shared" si="18"/>
        <v>0</v>
      </c>
      <c r="U237" s="128">
        <f t="shared" si="19"/>
        <v>0</v>
      </c>
    </row>
    <row r="238" spans="1:21" s="7" customFormat="1" ht="16" customHeight="1">
      <c r="A238" s="121" t="s">
        <v>3</v>
      </c>
      <c r="B238" s="122" t="str">
        <f>IF(ISNA(VLOOKUP($F238,Declarations!B$6:C$293,2,FALSE)),"",IF(VLOOKUP($F238,Declarations!B$6:C$293,2,FALSE)="","NOT DECLARED",IF(ISNA(_xlfn.TEXTBEFORE(VLOOKUP($F238,Declarations!B$6:C$293,2,FALSE)," ")),VLOOKUP($F238,Declarations!B$6:C$293,2,FALSE),_xlfn.TEXTBEFORE(VLOOKUP($F238,Declarations!B$6:C$293,2,FALSE)," "))))</f>
        <v/>
      </c>
      <c r="C238" s="122" t="str">
        <f>IF(ISNA(VLOOKUP($F238,Declarations!B$6:C$293,2,FALSE)),"",IF(VLOOKUP($F238,Declarations!B$6:C$293,2,FALSE)="","NOT DECLARED",IF(ISNA(_xlfn.TEXTAFTER(VLOOKUP($F238,Declarations!B$6:C$293,2,FALSE)," ")),VLOOKUP($F238,Declarations!B$6:C$293,2,FALSE),_xlfn.TEXTAFTER(VLOOKUP($F238,Declarations!B$6:C$293,2,FALSE)," "))))</f>
        <v/>
      </c>
      <c r="D238" s="122" t="str">
        <f>IF(ISNA(VLOOKUP($F238,Declarations!$B$6:$F$293,5,FALSE)),"",IF(VLOOKUP($F238,Declarations!$B$6:$F$293,5,FALSE)="","NOT DECLARED",VLOOKUP($F238,Declarations!$B$6:$F$293,5,FALSE)))</f>
        <v/>
      </c>
      <c r="E238" s="120" t="str">
        <f>IF(ISNA(VLOOKUP($F238,Declarations!$B$6:$D$293,3,FALSE)),"",IF(VLOOKUP($F238,Declarations!$B$6:$D$293,3,FALSE)="","NOT DECLARED",VLOOKUP($F238,Declarations!$B$6:$D$293,3,FALSE)&amp;LEFT(VLOOKUP($F238,Declarations!$B$6:$E$293,4,FALSE))))</f>
        <v/>
      </c>
      <c r="F238" s="59"/>
      <c r="G238" s="123">
        <v>0</v>
      </c>
      <c r="H238" s="322"/>
      <c r="I238" s="122" t="str">
        <f>IF(ISNA(VLOOKUP(F238,Declarations!B$6:C$293,2,FALSE)),"",IF(VLOOKUP(F238,Declarations!B$6:C$293,2,FALSE)="","NOTDECLARED",VLOOKUP(F238,Declarations!B$6:C$293,2,FALSE)))</f>
        <v/>
      </c>
      <c r="J238" s="124">
        <f>IF(LOWER(G238)="dnf",1,IF(U238&lt;ScoringTable!C$3,ScoringTable!I$2,VLOOKUP((1000-U238),ScoringTable!H$2:I$95,2)))</f>
        <v>0</v>
      </c>
      <c r="K238" s="120" t="str" cm="1">
        <f t="array" ref="K238">IF(OR(E238="",G238=""),"",_xlfn.IFS(E238="U10B",_xlfn.XLOOKUP(G238,Data!$D$3:$L$3,Data!$D$1:$L$1,"",1,1),E238="U12B",_xlfn.XLOOKUP(G238,Data!$D$9:$L$9,Data!$D$1:$L$1,"",1,1),E238="U10G",_xlfn.XLOOKUP(G238,Data!$D$16:$L$16,Data!$D$1:$L$1,"",1,1),E238="U12G",_xlfn.XLOOKUP(G238,Data!$D$22:$L$22,Data!$D$1:$L$1,"",1,1)))</f>
        <v/>
      </c>
      <c r="L238" s="184" t="str" cm="1">
        <f t="array" ref="L238">IFERROR(_xlfn.IFNA(
                      _xlfn.IFS(
                      G238="", "",
                      G238=0, "",
                      AND(E238="U10B",G238&lt;=Data!$M$3), "U10 Boys record",
                      AND(E238="U12B",G238&lt;=Data!$M$9), "U12 Boys record",
                      AND(E238="U10G",G238&lt;=Data!$M$16), "U10 Girls record",
                      AND(E238="U12G",G238&lt;=Data!$M$22), "U12 Girls record"
                       ),""), "")</f>
        <v/>
      </c>
      <c r="M238" s="19" cm="1">
        <f t="array" ref="M238">_xlfn.IFS(OR($G238="",$G238=0),0, AND(NOT(ISNUMBER($G238)),LOWER($G238)&lt;&gt;"dnf"),"Not a valid time",OR(LOWER($G238)="dnf",$G238&gt;ScoringTable!$N$161),1,RIGHT($E238,1)="B",_xlfn.XLOOKUP($G238,ScoringTable!$N$2:$N$161,ScoringTable!$L$2:$L$161,,1),TRUE,_xlfn.XLOOKUP($G238,ScoringTable!$T$2:$T$161,ScoringTable!$R$2:$R$161,,1))</f>
        <v>0</v>
      </c>
      <c r="Q238" s="125">
        <f t="shared" si="15"/>
        <v>0</v>
      </c>
      <c r="R238" s="126">
        <f t="shared" si="16"/>
        <v>0</v>
      </c>
      <c r="S238" s="127">
        <f t="shared" si="17"/>
        <v>0</v>
      </c>
      <c r="T238" s="126">
        <f t="shared" si="18"/>
        <v>0</v>
      </c>
      <c r="U238" s="128">
        <f t="shared" si="19"/>
        <v>0</v>
      </c>
    </row>
    <row r="239" spans="1:21" s="7" customFormat="1" ht="16" customHeight="1">
      <c r="A239" s="121" t="s">
        <v>3</v>
      </c>
      <c r="B239" s="122" t="str">
        <f>IF(ISNA(VLOOKUP($F239,Declarations!B$6:C$293,2,FALSE)),"",IF(VLOOKUP($F239,Declarations!B$6:C$293,2,FALSE)="","NOT DECLARED",IF(ISNA(_xlfn.TEXTBEFORE(VLOOKUP($F239,Declarations!B$6:C$293,2,FALSE)," ")),VLOOKUP($F239,Declarations!B$6:C$293,2,FALSE),_xlfn.TEXTBEFORE(VLOOKUP($F239,Declarations!B$6:C$293,2,FALSE)," "))))</f>
        <v/>
      </c>
      <c r="C239" s="122" t="str">
        <f>IF(ISNA(VLOOKUP($F239,Declarations!B$6:C$293,2,FALSE)),"",IF(VLOOKUP($F239,Declarations!B$6:C$293,2,FALSE)="","NOT DECLARED",IF(ISNA(_xlfn.TEXTAFTER(VLOOKUP($F239,Declarations!B$6:C$293,2,FALSE)," ")),VLOOKUP($F239,Declarations!B$6:C$293,2,FALSE),_xlfn.TEXTAFTER(VLOOKUP($F239,Declarations!B$6:C$293,2,FALSE)," "))))</f>
        <v/>
      </c>
      <c r="D239" s="122" t="str">
        <f>IF(ISNA(VLOOKUP($F239,Declarations!$B$6:$F$293,5,FALSE)),"",IF(VLOOKUP($F239,Declarations!$B$6:$F$293,5,FALSE)="","NOT DECLARED",VLOOKUP($F239,Declarations!$B$6:$F$293,5,FALSE)))</f>
        <v/>
      </c>
      <c r="E239" s="120" t="str">
        <f>IF(ISNA(VLOOKUP($F239,Declarations!$B$6:$D$293,3,FALSE)),"",IF(VLOOKUP($F239,Declarations!$B$6:$D$293,3,FALSE)="","NOT DECLARED",VLOOKUP($F239,Declarations!$B$6:$D$293,3,FALSE)&amp;LEFT(VLOOKUP($F239,Declarations!$B$6:$E$293,4,FALSE))))</f>
        <v/>
      </c>
      <c r="F239" s="59"/>
      <c r="G239" s="123">
        <v>0</v>
      </c>
      <c r="H239" s="322"/>
      <c r="I239" s="122" t="str">
        <f>IF(ISNA(VLOOKUP(F239,Declarations!B$6:C$293,2,FALSE)),"",IF(VLOOKUP(F239,Declarations!B$6:C$293,2,FALSE)="","NOTDECLARED",VLOOKUP(F239,Declarations!B$6:C$293,2,FALSE)))</f>
        <v/>
      </c>
      <c r="J239" s="124">
        <f>IF(LOWER(G239)="dnf",1,IF(U239&lt;ScoringTable!C$3,ScoringTable!I$2,VLOOKUP((1000-U239),ScoringTable!H$2:I$95,2)))</f>
        <v>0</v>
      </c>
      <c r="K239" s="120" t="str" cm="1">
        <f t="array" ref="K239">IF(OR(E239="",G239=""),"",_xlfn.IFS(E239="U10B",_xlfn.XLOOKUP(G239,Data!$D$3:$L$3,Data!$D$1:$L$1,"",1,1),E239="U12B",_xlfn.XLOOKUP(G239,Data!$D$9:$L$9,Data!$D$1:$L$1,"",1,1),E239="U10G",_xlfn.XLOOKUP(G239,Data!$D$16:$L$16,Data!$D$1:$L$1,"",1,1),E239="U12G",_xlfn.XLOOKUP(G239,Data!$D$22:$L$22,Data!$D$1:$L$1,"",1,1)))</f>
        <v/>
      </c>
      <c r="L239" s="184" t="str" cm="1">
        <f t="array" ref="L239">IFERROR(_xlfn.IFNA(
                      _xlfn.IFS(
                      G239="", "",
                      G239=0, "",
                      AND(E239="U10B",G239&lt;=Data!$M$3), "U10 Boys record",
                      AND(E239="U12B",G239&lt;=Data!$M$9), "U12 Boys record",
                      AND(E239="U10G",G239&lt;=Data!$M$16), "U10 Girls record",
                      AND(E239="U12G",G239&lt;=Data!$M$22), "U12 Girls record"
                       ),""), "")</f>
        <v/>
      </c>
      <c r="M239" s="19" cm="1">
        <f t="array" ref="M239">_xlfn.IFS(OR($G239="",$G239=0),0, AND(NOT(ISNUMBER($G239)),LOWER($G239)&lt;&gt;"dnf"),"Not a valid time",OR(LOWER($G239)="dnf",$G239&gt;ScoringTable!$N$161),1,RIGHT($E239,1)="B",_xlfn.XLOOKUP($G239,ScoringTable!$N$2:$N$161,ScoringTable!$L$2:$L$161,,1),TRUE,_xlfn.XLOOKUP($G239,ScoringTable!$T$2:$T$161,ScoringTable!$R$2:$R$161,,1))</f>
        <v>0</v>
      </c>
      <c r="Q239" s="125">
        <f t="shared" si="15"/>
        <v>0</v>
      </c>
      <c r="R239" s="126">
        <f t="shared" si="16"/>
        <v>0</v>
      </c>
      <c r="S239" s="127">
        <f t="shared" si="17"/>
        <v>0</v>
      </c>
      <c r="T239" s="126">
        <f t="shared" si="18"/>
        <v>0</v>
      </c>
      <c r="U239" s="128">
        <f t="shared" si="19"/>
        <v>0</v>
      </c>
    </row>
    <row r="240" spans="1:21" s="7" customFormat="1" ht="16" customHeight="1">
      <c r="A240" s="121" t="s">
        <v>3</v>
      </c>
      <c r="B240" s="122" t="str">
        <f>IF(ISNA(VLOOKUP($F240,Declarations!B$6:C$293,2,FALSE)),"",IF(VLOOKUP($F240,Declarations!B$6:C$293,2,FALSE)="","NOT DECLARED",IF(ISNA(_xlfn.TEXTBEFORE(VLOOKUP($F240,Declarations!B$6:C$293,2,FALSE)," ")),VLOOKUP($F240,Declarations!B$6:C$293,2,FALSE),_xlfn.TEXTBEFORE(VLOOKUP($F240,Declarations!B$6:C$293,2,FALSE)," "))))</f>
        <v/>
      </c>
      <c r="C240" s="122" t="str">
        <f>IF(ISNA(VLOOKUP($F240,Declarations!B$6:C$293,2,FALSE)),"",IF(VLOOKUP($F240,Declarations!B$6:C$293,2,FALSE)="","NOT DECLARED",IF(ISNA(_xlfn.TEXTAFTER(VLOOKUP($F240,Declarations!B$6:C$293,2,FALSE)," ")),VLOOKUP($F240,Declarations!B$6:C$293,2,FALSE),_xlfn.TEXTAFTER(VLOOKUP($F240,Declarations!B$6:C$293,2,FALSE)," "))))</f>
        <v/>
      </c>
      <c r="D240" s="122" t="str">
        <f>IF(ISNA(VLOOKUP($F240,Declarations!$B$6:$F$293,5,FALSE)),"",IF(VLOOKUP($F240,Declarations!$B$6:$F$293,5,FALSE)="","NOT DECLARED",VLOOKUP($F240,Declarations!$B$6:$F$293,5,FALSE)))</f>
        <v/>
      </c>
      <c r="E240" s="120" t="str">
        <f>IF(ISNA(VLOOKUP($F240,Declarations!$B$6:$D$293,3,FALSE)),"",IF(VLOOKUP($F240,Declarations!$B$6:$D$293,3,FALSE)="","NOT DECLARED",VLOOKUP($F240,Declarations!$B$6:$D$293,3,FALSE)&amp;LEFT(VLOOKUP($F240,Declarations!$B$6:$E$293,4,FALSE))))</f>
        <v/>
      </c>
      <c r="F240" s="59"/>
      <c r="G240" s="123">
        <v>0</v>
      </c>
      <c r="H240" s="322"/>
      <c r="I240" s="122" t="str">
        <f>IF(ISNA(VLOOKUP(F240,Declarations!B$6:C$293,2,FALSE)),"",IF(VLOOKUP(F240,Declarations!B$6:C$293,2,FALSE)="","NOTDECLARED",VLOOKUP(F240,Declarations!B$6:C$293,2,FALSE)))</f>
        <v/>
      </c>
      <c r="J240" s="124">
        <f>IF(LOWER(G240)="dnf",1,IF(U240&lt;ScoringTable!C$3,ScoringTable!I$2,VLOOKUP((1000-U240),ScoringTable!H$2:I$95,2)))</f>
        <v>0</v>
      </c>
      <c r="K240" s="120" t="str" cm="1">
        <f t="array" ref="K240">IF(OR(E240="",G240=""),"",_xlfn.IFS(E240="U10B",_xlfn.XLOOKUP(G240,Data!$D$3:$L$3,Data!$D$1:$L$1,"",1,1),E240="U12B",_xlfn.XLOOKUP(G240,Data!$D$9:$L$9,Data!$D$1:$L$1,"",1,1),E240="U10G",_xlfn.XLOOKUP(G240,Data!$D$16:$L$16,Data!$D$1:$L$1,"",1,1),E240="U12G",_xlfn.XLOOKUP(G240,Data!$D$22:$L$22,Data!$D$1:$L$1,"",1,1)))</f>
        <v/>
      </c>
      <c r="L240" s="184" t="str" cm="1">
        <f t="array" ref="L240">IFERROR(_xlfn.IFNA(
                      _xlfn.IFS(
                      G240="", "",
                      G240=0, "",
                      AND(E240="U10B",G240&lt;=Data!$M$3), "U10 Boys record",
                      AND(E240="U12B",G240&lt;=Data!$M$9), "U12 Boys record",
                      AND(E240="U10G",G240&lt;=Data!$M$16), "U10 Girls record",
                      AND(E240="U12G",G240&lt;=Data!$M$22), "U12 Girls record"
                       ),""), "")</f>
        <v/>
      </c>
      <c r="M240" s="19" cm="1">
        <f t="array" ref="M240">_xlfn.IFS(OR($G240="",$G240=0),0, AND(NOT(ISNUMBER($G240)),LOWER($G240)&lt;&gt;"dnf"),"Not a valid time",OR(LOWER($G240)="dnf",$G240&gt;ScoringTable!$N$161),1,RIGHT($E240,1)="B",_xlfn.XLOOKUP($G240,ScoringTable!$N$2:$N$161,ScoringTable!$L$2:$L$161,,1),TRUE,_xlfn.XLOOKUP($G240,ScoringTable!$T$2:$T$161,ScoringTable!$R$2:$R$161,,1))</f>
        <v>0</v>
      </c>
      <c r="Q240" s="125">
        <f t="shared" si="15"/>
        <v>0</v>
      </c>
      <c r="R240" s="126">
        <f t="shared" si="16"/>
        <v>0</v>
      </c>
      <c r="S240" s="127">
        <f t="shared" si="17"/>
        <v>0</v>
      </c>
      <c r="T240" s="126">
        <f t="shared" si="18"/>
        <v>0</v>
      </c>
      <c r="U240" s="128">
        <f t="shared" si="19"/>
        <v>0</v>
      </c>
    </row>
    <row r="241" spans="1:21" s="7" customFormat="1" ht="16" customHeight="1">
      <c r="A241" s="121" t="s">
        <v>3</v>
      </c>
      <c r="B241" s="122" t="str">
        <f>IF(ISNA(VLOOKUP($F241,Declarations!B$6:C$293,2,FALSE)),"",IF(VLOOKUP($F241,Declarations!B$6:C$293,2,FALSE)="","NOT DECLARED",IF(ISNA(_xlfn.TEXTBEFORE(VLOOKUP($F241,Declarations!B$6:C$293,2,FALSE)," ")),VLOOKUP($F241,Declarations!B$6:C$293,2,FALSE),_xlfn.TEXTBEFORE(VLOOKUP($F241,Declarations!B$6:C$293,2,FALSE)," "))))</f>
        <v/>
      </c>
      <c r="C241" s="122" t="str">
        <f>IF(ISNA(VLOOKUP($F241,Declarations!B$6:C$293,2,FALSE)),"",IF(VLOOKUP($F241,Declarations!B$6:C$293,2,FALSE)="","NOT DECLARED",IF(ISNA(_xlfn.TEXTAFTER(VLOOKUP($F241,Declarations!B$6:C$293,2,FALSE)," ")),VLOOKUP($F241,Declarations!B$6:C$293,2,FALSE),_xlfn.TEXTAFTER(VLOOKUP($F241,Declarations!B$6:C$293,2,FALSE)," "))))</f>
        <v/>
      </c>
      <c r="D241" s="122" t="str">
        <f>IF(ISNA(VLOOKUP($F241,Declarations!$B$6:$F$293,5,FALSE)),"",IF(VLOOKUP($F241,Declarations!$B$6:$F$293,5,FALSE)="","NOT DECLARED",VLOOKUP($F241,Declarations!$B$6:$F$293,5,FALSE)))</f>
        <v/>
      </c>
      <c r="E241" s="120" t="str">
        <f>IF(ISNA(VLOOKUP($F241,Declarations!$B$6:$D$293,3,FALSE)),"",IF(VLOOKUP($F241,Declarations!$B$6:$D$293,3,FALSE)="","NOT DECLARED",VLOOKUP($F241,Declarations!$B$6:$D$293,3,FALSE)&amp;LEFT(VLOOKUP($F241,Declarations!$B$6:$E$293,4,FALSE))))</f>
        <v/>
      </c>
      <c r="F241" s="59"/>
      <c r="G241" s="123">
        <v>0</v>
      </c>
      <c r="H241" s="322"/>
      <c r="I241" s="122" t="str">
        <f>IF(ISNA(VLOOKUP(F241,Declarations!B$6:C$293,2,FALSE)),"",IF(VLOOKUP(F241,Declarations!B$6:C$293,2,FALSE)="","NOTDECLARED",VLOOKUP(F241,Declarations!B$6:C$293,2,FALSE)))</f>
        <v/>
      </c>
      <c r="J241" s="124">
        <f>IF(LOWER(G241)="dnf",1,IF(U241&lt;ScoringTable!C$3,ScoringTable!I$2,VLOOKUP((1000-U241),ScoringTable!H$2:I$95,2)))</f>
        <v>0</v>
      </c>
      <c r="K241" s="120" t="str" cm="1">
        <f t="array" ref="K241">IF(OR(E241="",G241=""),"",_xlfn.IFS(E241="U10B",_xlfn.XLOOKUP(G241,Data!$D$3:$L$3,Data!$D$1:$L$1,"",1,1),E241="U12B",_xlfn.XLOOKUP(G241,Data!$D$9:$L$9,Data!$D$1:$L$1,"",1,1),E241="U10G",_xlfn.XLOOKUP(G241,Data!$D$16:$L$16,Data!$D$1:$L$1,"",1,1),E241="U12G",_xlfn.XLOOKUP(G241,Data!$D$22:$L$22,Data!$D$1:$L$1,"",1,1)))</f>
        <v/>
      </c>
      <c r="L241" s="184" t="str" cm="1">
        <f t="array" ref="L241">IFERROR(_xlfn.IFNA(
                      _xlfn.IFS(
                      G241="", "",
                      G241=0, "",
                      AND(E241="U10B",G241&lt;=Data!$M$3), "U10 Boys record",
                      AND(E241="U12B",G241&lt;=Data!$M$9), "U12 Boys record",
                      AND(E241="U10G",G241&lt;=Data!$M$16), "U10 Girls record",
                      AND(E241="U12G",G241&lt;=Data!$M$22), "U12 Girls record"
                       ),""), "")</f>
        <v/>
      </c>
      <c r="M241" s="19" cm="1">
        <f t="array" ref="M241">_xlfn.IFS(OR($G241="",$G241=0),0, AND(NOT(ISNUMBER($G241)),LOWER($G241)&lt;&gt;"dnf"),"Not a valid time",OR(LOWER($G241)="dnf",$G241&gt;ScoringTable!$N$161),1,RIGHT($E241,1)="B",_xlfn.XLOOKUP($G241,ScoringTable!$N$2:$N$161,ScoringTable!$L$2:$L$161,,1),TRUE,_xlfn.XLOOKUP($G241,ScoringTable!$T$2:$T$161,ScoringTable!$R$2:$R$161,,1))</f>
        <v>0</v>
      </c>
      <c r="Q241" s="125">
        <f t="shared" si="15"/>
        <v>0</v>
      </c>
      <c r="R241" s="126">
        <f t="shared" si="16"/>
        <v>0</v>
      </c>
      <c r="S241" s="127">
        <f t="shared" si="17"/>
        <v>0</v>
      </c>
      <c r="T241" s="126">
        <f t="shared" si="18"/>
        <v>0</v>
      </c>
      <c r="U241" s="128">
        <f t="shared" si="19"/>
        <v>0</v>
      </c>
    </row>
    <row r="242" spans="1:21" s="7" customFormat="1" ht="16" customHeight="1">
      <c r="A242" s="121" t="s">
        <v>3</v>
      </c>
      <c r="B242" s="122" t="str">
        <f>IF(ISNA(VLOOKUP($F242,Declarations!B$6:C$293,2,FALSE)),"",IF(VLOOKUP($F242,Declarations!B$6:C$293,2,FALSE)="","NOT DECLARED",IF(ISNA(_xlfn.TEXTBEFORE(VLOOKUP($F242,Declarations!B$6:C$293,2,FALSE)," ")),VLOOKUP($F242,Declarations!B$6:C$293,2,FALSE),_xlfn.TEXTBEFORE(VLOOKUP($F242,Declarations!B$6:C$293,2,FALSE)," "))))</f>
        <v/>
      </c>
      <c r="C242" s="122" t="str">
        <f>IF(ISNA(VLOOKUP($F242,Declarations!B$6:C$293,2,FALSE)),"",IF(VLOOKUP($F242,Declarations!B$6:C$293,2,FALSE)="","NOT DECLARED",IF(ISNA(_xlfn.TEXTAFTER(VLOOKUP($F242,Declarations!B$6:C$293,2,FALSE)," ")),VLOOKUP($F242,Declarations!B$6:C$293,2,FALSE),_xlfn.TEXTAFTER(VLOOKUP($F242,Declarations!B$6:C$293,2,FALSE)," "))))</f>
        <v/>
      </c>
      <c r="D242" s="122" t="str">
        <f>IF(ISNA(VLOOKUP($F242,Declarations!$B$6:$F$293,5,FALSE)),"",IF(VLOOKUP($F242,Declarations!$B$6:$F$293,5,FALSE)="","NOT DECLARED",VLOOKUP($F242,Declarations!$B$6:$F$293,5,FALSE)))</f>
        <v/>
      </c>
      <c r="E242" s="120" t="str">
        <f>IF(ISNA(VLOOKUP($F242,Declarations!$B$6:$D$293,3,FALSE)),"",IF(VLOOKUP($F242,Declarations!$B$6:$D$293,3,FALSE)="","NOT DECLARED",VLOOKUP($F242,Declarations!$B$6:$D$293,3,FALSE)&amp;LEFT(VLOOKUP($F242,Declarations!$B$6:$E$293,4,FALSE))))</f>
        <v/>
      </c>
      <c r="F242" s="59"/>
      <c r="G242" s="123">
        <v>0</v>
      </c>
      <c r="H242" s="322"/>
      <c r="I242" s="122" t="str">
        <f>IF(ISNA(VLOOKUP(F242,Declarations!B$6:C$293,2,FALSE)),"",IF(VLOOKUP(F242,Declarations!B$6:C$293,2,FALSE)="","NOTDECLARED",VLOOKUP(F242,Declarations!B$6:C$293,2,FALSE)))</f>
        <v/>
      </c>
      <c r="J242" s="124">
        <f>IF(LOWER(G242)="dnf",1,IF(U242&lt;ScoringTable!C$3,ScoringTable!I$2,VLOOKUP((1000-U242),ScoringTable!H$2:I$95,2)))</f>
        <v>0</v>
      </c>
      <c r="K242" s="120" t="str" cm="1">
        <f t="array" ref="K242">IF(OR(E242="",G242=""),"",_xlfn.IFS(E242="U10B",_xlfn.XLOOKUP(G242,Data!$D$3:$L$3,Data!$D$1:$L$1,"",1,1),E242="U12B",_xlfn.XLOOKUP(G242,Data!$D$9:$L$9,Data!$D$1:$L$1,"",1,1),E242="U10G",_xlfn.XLOOKUP(G242,Data!$D$16:$L$16,Data!$D$1:$L$1,"",1,1),E242="U12G",_xlfn.XLOOKUP(G242,Data!$D$22:$L$22,Data!$D$1:$L$1,"",1,1)))</f>
        <v/>
      </c>
      <c r="L242" s="184" t="str" cm="1">
        <f t="array" ref="L242">IFERROR(_xlfn.IFNA(
                      _xlfn.IFS(
                      G242="", "",
                      G242=0, "",
                      AND(E242="U10B",G242&lt;=Data!$M$3), "U10 Boys record",
                      AND(E242="U12B",G242&lt;=Data!$M$9), "U12 Boys record",
                      AND(E242="U10G",G242&lt;=Data!$M$16), "U10 Girls record",
                      AND(E242="U12G",G242&lt;=Data!$M$22), "U12 Girls record"
                       ),""), "")</f>
        <v/>
      </c>
      <c r="M242" s="19" cm="1">
        <f t="array" ref="M242">_xlfn.IFS(OR($G242="",$G242=0),0, AND(NOT(ISNUMBER($G242)),LOWER($G242)&lt;&gt;"dnf"),"Not a valid time",OR(LOWER($G242)="dnf",$G242&gt;ScoringTable!$N$161),1,RIGHT($E242,1)="B",_xlfn.XLOOKUP($G242,ScoringTable!$N$2:$N$161,ScoringTable!$L$2:$L$161,,1),TRUE,_xlfn.XLOOKUP($G242,ScoringTable!$T$2:$T$161,ScoringTable!$R$2:$R$161,,1))</f>
        <v>0</v>
      </c>
      <c r="Q242" s="125">
        <f t="shared" si="15"/>
        <v>0</v>
      </c>
      <c r="R242" s="126">
        <f t="shared" si="16"/>
        <v>0</v>
      </c>
      <c r="S242" s="127">
        <f t="shared" si="17"/>
        <v>0</v>
      </c>
      <c r="T242" s="126">
        <f t="shared" si="18"/>
        <v>0</v>
      </c>
      <c r="U242" s="128">
        <f t="shared" si="19"/>
        <v>0</v>
      </c>
    </row>
    <row r="243" spans="1:21" s="7" customFormat="1" ht="16" customHeight="1">
      <c r="A243" s="121" t="s">
        <v>3</v>
      </c>
      <c r="B243" s="122" t="str">
        <f>IF(ISNA(VLOOKUP($F243,Declarations!B$6:C$293,2,FALSE)),"",IF(VLOOKUP($F243,Declarations!B$6:C$293,2,FALSE)="","NOT DECLARED",IF(ISNA(_xlfn.TEXTBEFORE(VLOOKUP($F243,Declarations!B$6:C$293,2,FALSE)," ")),VLOOKUP($F243,Declarations!B$6:C$293,2,FALSE),_xlfn.TEXTBEFORE(VLOOKUP($F243,Declarations!B$6:C$293,2,FALSE)," "))))</f>
        <v/>
      </c>
      <c r="C243" s="122" t="str">
        <f>IF(ISNA(VLOOKUP($F243,Declarations!B$6:C$293,2,FALSE)),"",IF(VLOOKUP($F243,Declarations!B$6:C$293,2,FALSE)="","NOT DECLARED",IF(ISNA(_xlfn.TEXTAFTER(VLOOKUP($F243,Declarations!B$6:C$293,2,FALSE)," ")),VLOOKUP($F243,Declarations!B$6:C$293,2,FALSE),_xlfn.TEXTAFTER(VLOOKUP($F243,Declarations!B$6:C$293,2,FALSE)," "))))</f>
        <v/>
      </c>
      <c r="D243" s="122" t="str">
        <f>IF(ISNA(VLOOKUP($F243,Declarations!$B$6:$F$293,5,FALSE)),"",IF(VLOOKUP($F243,Declarations!$B$6:$F$293,5,FALSE)="","NOT DECLARED",VLOOKUP($F243,Declarations!$B$6:$F$293,5,FALSE)))</f>
        <v/>
      </c>
      <c r="E243" s="120" t="str">
        <f>IF(ISNA(VLOOKUP($F243,Declarations!$B$6:$D$293,3,FALSE)),"",IF(VLOOKUP($F243,Declarations!$B$6:$D$293,3,FALSE)="","NOT DECLARED",VLOOKUP($F243,Declarations!$B$6:$D$293,3,FALSE)&amp;LEFT(VLOOKUP($F243,Declarations!$B$6:$E$293,4,FALSE))))</f>
        <v/>
      </c>
      <c r="F243" s="59"/>
      <c r="G243" s="123">
        <v>0</v>
      </c>
      <c r="H243" s="322"/>
      <c r="I243" s="122" t="str">
        <f>IF(ISNA(VLOOKUP(F243,Declarations!B$6:C$293,2,FALSE)),"",IF(VLOOKUP(F243,Declarations!B$6:C$293,2,FALSE)="","NOTDECLARED",VLOOKUP(F243,Declarations!B$6:C$293,2,FALSE)))</f>
        <v/>
      </c>
      <c r="J243" s="124">
        <f>IF(LOWER(G243)="dnf",1,IF(U243&lt;ScoringTable!C$3,ScoringTable!I$2,VLOOKUP((1000-U243),ScoringTable!H$2:I$95,2)))</f>
        <v>0</v>
      </c>
      <c r="K243" s="120" t="str" cm="1">
        <f t="array" ref="K243">IF(OR(E243="",G243=""),"",_xlfn.IFS(E243="U10B",_xlfn.XLOOKUP(G243,Data!$D$3:$L$3,Data!$D$1:$L$1,"",1,1),E243="U12B",_xlfn.XLOOKUP(G243,Data!$D$9:$L$9,Data!$D$1:$L$1,"",1,1),E243="U10G",_xlfn.XLOOKUP(G243,Data!$D$16:$L$16,Data!$D$1:$L$1,"",1,1),E243="U12G",_xlfn.XLOOKUP(G243,Data!$D$22:$L$22,Data!$D$1:$L$1,"",1,1)))</f>
        <v/>
      </c>
      <c r="L243" s="184" t="str" cm="1">
        <f t="array" ref="L243">IFERROR(_xlfn.IFNA(
                      _xlfn.IFS(
                      G243="", "",
                      G243=0, "",
                      AND(E243="U10B",G243&lt;=Data!$M$3), "U10 Boys record",
                      AND(E243="U12B",G243&lt;=Data!$M$9), "U12 Boys record",
                      AND(E243="U10G",G243&lt;=Data!$M$16), "U10 Girls record",
                      AND(E243="U12G",G243&lt;=Data!$M$22), "U12 Girls record"
                       ),""), "")</f>
        <v/>
      </c>
      <c r="M243" s="19" cm="1">
        <f t="array" ref="M243">_xlfn.IFS(OR($G243="",$G243=0),0, AND(NOT(ISNUMBER($G243)),LOWER($G243)&lt;&gt;"dnf"),"Not a valid time",OR(LOWER($G243)="dnf",$G243&gt;ScoringTable!$N$161),1,RIGHT($E243,1)="B",_xlfn.XLOOKUP($G243,ScoringTable!$N$2:$N$161,ScoringTable!$L$2:$L$161,,1),TRUE,_xlfn.XLOOKUP($G243,ScoringTable!$T$2:$T$161,ScoringTable!$R$2:$R$161,,1))</f>
        <v>0</v>
      </c>
      <c r="Q243" s="125">
        <f t="shared" si="15"/>
        <v>0</v>
      </c>
      <c r="R243" s="126">
        <f t="shared" si="16"/>
        <v>0</v>
      </c>
      <c r="S243" s="127">
        <f t="shared" si="17"/>
        <v>0</v>
      </c>
      <c r="T243" s="126">
        <f t="shared" si="18"/>
        <v>0</v>
      </c>
      <c r="U243" s="128">
        <f t="shared" si="19"/>
        <v>0</v>
      </c>
    </row>
    <row r="244" spans="1:21" s="7" customFormat="1" ht="16" customHeight="1">
      <c r="A244" s="121" t="s">
        <v>3</v>
      </c>
      <c r="B244" s="122" t="str">
        <f>IF(ISNA(VLOOKUP($F244,Declarations!B$6:C$293,2,FALSE)),"",IF(VLOOKUP($F244,Declarations!B$6:C$293,2,FALSE)="","NOT DECLARED",IF(ISNA(_xlfn.TEXTBEFORE(VLOOKUP($F244,Declarations!B$6:C$293,2,FALSE)," ")),VLOOKUP($F244,Declarations!B$6:C$293,2,FALSE),_xlfn.TEXTBEFORE(VLOOKUP($F244,Declarations!B$6:C$293,2,FALSE)," "))))</f>
        <v/>
      </c>
      <c r="C244" s="122" t="str">
        <f>IF(ISNA(VLOOKUP($F244,Declarations!B$6:C$293,2,FALSE)),"",IF(VLOOKUP($F244,Declarations!B$6:C$293,2,FALSE)="","NOT DECLARED",IF(ISNA(_xlfn.TEXTAFTER(VLOOKUP($F244,Declarations!B$6:C$293,2,FALSE)," ")),VLOOKUP($F244,Declarations!B$6:C$293,2,FALSE),_xlfn.TEXTAFTER(VLOOKUP($F244,Declarations!B$6:C$293,2,FALSE)," "))))</f>
        <v/>
      </c>
      <c r="D244" s="122" t="str">
        <f>IF(ISNA(VLOOKUP($F244,Declarations!$B$6:$F$293,5,FALSE)),"",IF(VLOOKUP($F244,Declarations!$B$6:$F$293,5,FALSE)="","NOT DECLARED",VLOOKUP($F244,Declarations!$B$6:$F$293,5,FALSE)))</f>
        <v/>
      </c>
      <c r="E244" s="120" t="str">
        <f>IF(ISNA(VLOOKUP($F244,Declarations!$B$6:$D$293,3,FALSE)),"",IF(VLOOKUP($F244,Declarations!$B$6:$D$293,3,FALSE)="","NOT DECLARED",VLOOKUP($F244,Declarations!$B$6:$D$293,3,FALSE)&amp;LEFT(VLOOKUP($F244,Declarations!$B$6:$E$293,4,FALSE))))</f>
        <v/>
      </c>
      <c r="F244" s="59"/>
      <c r="G244" s="123">
        <v>0</v>
      </c>
      <c r="H244" s="322"/>
      <c r="I244" s="122" t="str">
        <f>IF(ISNA(VLOOKUP(F244,Declarations!B$6:C$293,2,FALSE)),"",IF(VLOOKUP(F244,Declarations!B$6:C$293,2,FALSE)="","NOTDECLARED",VLOOKUP(F244,Declarations!B$6:C$293,2,FALSE)))</f>
        <v/>
      </c>
      <c r="J244" s="124">
        <f>IF(LOWER(G244)="dnf",1,IF(U244&lt;ScoringTable!C$3,ScoringTable!I$2,VLOOKUP((1000-U244),ScoringTable!H$2:I$95,2)))</f>
        <v>0</v>
      </c>
      <c r="K244" s="120" t="str" cm="1">
        <f t="array" ref="K244">IF(OR(E244="",G244=""),"",_xlfn.IFS(E244="U10B",_xlfn.XLOOKUP(G244,Data!$D$3:$L$3,Data!$D$1:$L$1,"",1,1),E244="U12B",_xlfn.XLOOKUP(G244,Data!$D$9:$L$9,Data!$D$1:$L$1,"",1,1),E244="U10G",_xlfn.XLOOKUP(G244,Data!$D$16:$L$16,Data!$D$1:$L$1,"",1,1),E244="U12G",_xlfn.XLOOKUP(G244,Data!$D$22:$L$22,Data!$D$1:$L$1,"",1,1)))</f>
        <v/>
      </c>
      <c r="L244" s="184" t="str" cm="1">
        <f t="array" ref="L244">IFERROR(_xlfn.IFNA(
                      _xlfn.IFS(
                      G244="", "",
                      G244=0, "",
                      AND(E244="U10B",G244&lt;=Data!$M$3), "U10 Boys record",
                      AND(E244="U12B",G244&lt;=Data!$M$9), "U12 Boys record",
                      AND(E244="U10G",G244&lt;=Data!$M$16), "U10 Girls record",
                      AND(E244="U12G",G244&lt;=Data!$M$22), "U12 Girls record"
                       ),""), "")</f>
        <v/>
      </c>
      <c r="M244" s="19" cm="1">
        <f t="array" ref="M244">_xlfn.IFS(OR($G244="",$G244=0),0, AND(NOT(ISNUMBER($G244)),LOWER($G244)&lt;&gt;"dnf"),"Not a valid time",OR(LOWER($G244)="dnf",$G244&gt;ScoringTable!$N$161),1,RIGHT($E244,1)="B",_xlfn.XLOOKUP($G244,ScoringTable!$N$2:$N$161,ScoringTable!$L$2:$L$161,,1),TRUE,_xlfn.XLOOKUP($G244,ScoringTable!$T$2:$T$161,ScoringTable!$R$2:$R$161,,1))</f>
        <v>0</v>
      </c>
      <c r="Q244" s="125">
        <f t="shared" si="15"/>
        <v>0</v>
      </c>
      <c r="R244" s="126">
        <f t="shared" si="16"/>
        <v>0</v>
      </c>
      <c r="S244" s="127">
        <f t="shared" si="17"/>
        <v>0</v>
      </c>
      <c r="T244" s="126">
        <f t="shared" si="18"/>
        <v>0</v>
      </c>
      <c r="U244" s="128">
        <f t="shared" si="19"/>
        <v>0</v>
      </c>
    </row>
    <row r="245" spans="1:21" s="7" customFormat="1" ht="16" customHeight="1">
      <c r="A245" s="121" t="s">
        <v>3</v>
      </c>
      <c r="B245" s="122" t="str">
        <f>IF(ISNA(VLOOKUP($F245,Declarations!B$6:C$293,2,FALSE)),"",IF(VLOOKUP($F245,Declarations!B$6:C$293,2,FALSE)="","NOT DECLARED",IF(ISNA(_xlfn.TEXTBEFORE(VLOOKUP($F245,Declarations!B$6:C$293,2,FALSE)," ")),VLOOKUP($F245,Declarations!B$6:C$293,2,FALSE),_xlfn.TEXTBEFORE(VLOOKUP($F245,Declarations!B$6:C$293,2,FALSE)," "))))</f>
        <v/>
      </c>
      <c r="C245" s="122" t="str">
        <f>IF(ISNA(VLOOKUP($F245,Declarations!B$6:C$293,2,FALSE)),"",IF(VLOOKUP($F245,Declarations!B$6:C$293,2,FALSE)="","NOT DECLARED",IF(ISNA(_xlfn.TEXTAFTER(VLOOKUP($F245,Declarations!B$6:C$293,2,FALSE)," ")),VLOOKUP($F245,Declarations!B$6:C$293,2,FALSE),_xlfn.TEXTAFTER(VLOOKUP($F245,Declarations!B$6:C$293,2,FALSE)," "))))</f>
        <v/>
      </c>
      <c r="D245" s="122" t="str">
        <f>IF(ISNA(VLOOKUP($F245,Declarations!$B$6:$F$293,5,FALSE)),"",IF(VLOOKUP($F245,Declarations!$B$6:$F$293,5,FALSE)="","NOT DECLARED",VLOOKUP($F245,Declarations!$B$6:$F$293,5,FALSE)))</f>
        <v/>
      </c>
      <c r="E245" s="120" t="str">
        <f>IF(ISNA(VLOOKUP($F245,Declarations!$B$6:$D$293,3,FALSE)),"",IF(VLOOKUP($F245,Declarations!$B$6:$D$293,3,FALSE)="","NOT DECLARED",VLOOKUP($F245,Declarations!$B$6:$D$293,3,FALSE)&amp;LEFT(VLOOKUP($F245,Declarations!$B$6:$E$293,4,FALSE))))</f>
        <v/>
      </c>
      <c r="F245" s="59"/>
      <c r="G245" s="123">
        <v>0</v>
      </c>
      <c r="H245" s="322"/>
      <c r="I245" s="122" t="str">
        <f>IF(ISNA(VLOOKUP(F245,Declarations!B$6:C$293,2,FALSE)),"",IF(VLOOKUP(F245,Declarations!B$6:C$293,2,FALSE)="","NOTDECLARED",VLOOKUP(F245,Declarations!B$6:C$293,2,FALSE)))</f>
        <v/>
      </c>
      <c r="J245" s="124">
        <f>IF(LOWER(G245)="dnf",1,IF(U245&lt;ScoringTable!C$3,ScoringTable!I$2,VLOOKUP((1000-U245),ScoringTable!H$2:I$95,2)))</f>
        <v>0</v>
      </c>
      <c r="K245" s="120" t="str" cm="1">
        <f t="array" ref="K245">IF(OR(E245="",G245=""),"",_xlfn.IFS(E245="U10B",_xlfn.XLOOKUP(G245,Data!$D$3:$L$3,Data!$D$1:$L$1,"",1,1),E245="U12B",_xlfn.XLOOKUP(G245,Data!$D$9:$L$9,Data!$D$1:$L$1,"",1,1),E245="U10G",_xlfn.XLOOKUP(G245,Data!$D$16:$L$16,Data!$D$1:$L$1,"",1,1),E245="U12G",_xlfn.XLOOKUP(G245,Data!$D$22:$L$22,Data!$D$1:$L$1,"",1,1)))</f>
        <v/>
      </c>
      <c r="L245" s="184" t="str" cm="1">
        <f t="array" ref="L245">IFERROR(_xlfn.IFNA(
                      _xlfn.IFS(
                      G245="", "",
                      G245=0, "",
                      AND(E245="U10B",G245&lt;=Data!$M$3), "U10 Boys record",
                      AND(E245="U12B",G245&lt;=Data!$M$9), "U12 Boys record",
                      AND(E245="U10G",G245&lt;=Data!$M$16), "U10 Girls record",
                      AND(E245="U12G",G245&lt;=Data!$M$22), "U12 Girls record"
                       ),""), "")</f>
        <v/>
      </c>
      <c r="M245" s="19" cm="1">
        <f t="array" ref="M245">_xlfn.IFS(OR($G245="",$G245=0),0, AND(NOT(ISNUMBER($G245)),LOWER($G245)&lt;&gt;"dnf"),"Not a valid time",OR(LOWER($G245)="dnf",$G245&gt;ScoringTable!$N$161),1,RIGHT($E245,1)="B",_xlfn.XLOOKUP($G245,ScoringTable!$N$2:$N$161,ScoringTable!$L$2:$L$161,,1),TRUE,_xlfn.XLOOKUP($G245,ScoringTable!$T$2:$T$161,ScoringTable!$R$2:$R$161,,1))</f>
        <v>0</v>
      </c>
      <c r="Q245" s="125">
        <f t="shared" si="15"/>
        <v>0</v>
      </c>
      <c r="R245" s="126">
        <f t="shared" si="16"/>
        <v>0</v>
      </c>
      <c r="S245" s="127">
        <f t="shared" si="17"/>
        <v>0</v>
      </c>
      <c r="T245" s="126">
        <f t="shared" si="18"/>
        <v>0</v>
      </c>
      <c r="U245" s="128">
        <f t="shared" si="19"/>
        <v>0</v>
      </c>
    </row>
    <row r="246" spans="1:21" s="7" customFormat="1" ht="16" customHeight="1">
      <c r="A246" s="121" t="s">
        <v>3</v>
      </c>
      <c r="B246" s="122" t="str">
        <f>IF(ISNA(VLOOKUP($F246,Declarations!B$6:C$293,2,FALSE)),"",IF(VLOOKUP($F246,Declarations!B$6:C$293,2,FALSE)="","NOT DECLARED",IF(ISNA(_xlfn.TEXTBEFORE(VLOOKUP($F246,Declarations!B$6:C$293,2,FALSE)," ")),VLOOKUP($F246,Declarations!B$6:C$293,2,FALSE),_xlfn.TEXTBEFORE(VLOOKUP($F246,Declarations!B$6:C$293,2,FALSE)," "))))</f>
        <v/>
      </c>
      <c r="C246" s="122" t="str">
        <f>IF(ISNA(VLOOKUP($F246,Declarations!B$6:C$293,2,FALSE)),"",IF(VLOOKUP($F246,Declarations!B$6:C$293,2,FALSE)="","NOT DECLARED",IF(ISNA(_xlfn.TEXTAFTER(VLOOKUP($F246,Declarations!B$6:C$293,2,FALSE)," ")),VLOOKUP($F246,Declarations!B$6:C$293,2,FALSE),_xlfn.TEXTAFTER(VLOOKUP($F246,Declarations!B$6:C$293,2,FALSE)," "))))</f>
        <v/>
      </c>
      <c r="D246" s="122" t="str">
        <f>IF(ISNA(VLOOKUP($F246,Declarations!$B$6:$F$293,5,FALSE)),"",IF(VLOOKUP($F246,Declarations!$B$6:$F$293,5,FALSE)="","NOT DECLARED",VLOOKUP($F246,Declarations!$B$6:$F$293,5,FALSE)))</f>
        <v/>
      </c>
      <c r="E246" s="120" t="str">
        <f>IF(ISNA(VLOOKUP($F246,Declarations!$B$6:$D$293,3,FALSE)),"",IF(VLOOKUP($F246,Declarations!$B$6:$D$293,3,FALSE)="","NOT DECLARED",VLOOKUP($F246,Declarations!$B$6:$D$293,3,FALSE)&amp;LEFT(VLOOKUP($F246,Declarations!$B$6:$E$293,4,FALSE))))</f>
        <v/>
      </c>
      <c r="F246" s="59"/>
      <c r="G246" s="123">
        <v>0</v>
      </c>
      <c r="H246" s="322"/>
      <c r="I246" s="122" t="str">
        <f>IF(ISNA(VLOOKUP(F246,Declarations!B$6:C$293,2,FALSE)),"",IF(VLOOKUP(F246,Declarations!B$6:C$293,2,FALSE)="","NOTDECLARED",VLOOKUP(F246,Declarations!B$6:C$293,2,FALSE)))</f>
        <v/>
      </c>
      <c r="J246" s="124">
        <f>IF(LOWER(G246)="dnf",1,IF(U246&lt;ScoringTable!C$3,ScoringTable!I$2,VLOOKUP((1000-U246),ScoringTable!H$2:I$95,2)))</f>
        <v>0</v>
      </c>
      <c r="K246" s="120" t="str" cm="1">
        <f t="array" ref="K246">IF(OR(E246="",G246=""),"",_xlfn.IFS(E246="U10B",_xlfn.XLOOKUP(G246,Data!$D$3:$L$3,Data!$D$1:$L$1,"",1,1),E246="U12B",_xlfn.XLOOKUP(G246,Data!$D$9:$L$9,Data!$D$1:$L$1,"",1,1),E246="U10G",_xlfn.XLOOKUP(G246,Data!$D$16:$L$16,Data!$D$1:$L$1,"",1,1),E246="U12G",_xlfn.XLOOKUP(G246,Data!$D$22:$L$22,Data!$D$1:$L$1,"",1,1)))</f>
        <v/>
      </c>
      <c r="L246" s="184" t="str" cm="1">
        <f t="array" ref="L246">IFERROR(_xlfn.IFNA(
                      _xlfn.IFS(
                      G246="", "",
                      G246=0, "",
                      AND(E246="U10B",G246&lt;=Data!$M$3), "U10 Boys record",
                      AND(E246="U12B",G246&lt;=Data!$M$9), "U12 Boys record",
                      AND(E246="U10G",G246&lt;=Data!$M$16), "U10 Girls record",
                      AND(E246="U12G",G246&lt;=Data!$M$22), "U12 Girls record"
                       ),""), "")</f>
        <v/>
      </c>
      <c r="M246" s="19" cm="1">
        <f t="array" ref="M246">_xlfn.IFS(OR($G246="",$G246=0),0, AND(NOT(ISNUMBER($G246)),LOWER($G246)&lt;&gt;"dnf"),"Not a valid time",OR(LOWER($G246)="dnf",$G246&gt;ScoringTable!$N$161),1,RIGHT($E246,1)="B",_xlfn.XLOOKUP($G246,ScoringTable!$N$2:$N$161,ScoringTable!$L$2:$L$161,,1),TRUE,_xlfn.XLOOKUP($G246,ScoringTable!$T$2:$T$161,ScoringTable!$R$2:$R$161,,1))</f>
        <v>0</v>
      </c>
      <c r="Q246" s="125">
        <f t="shared" si="15"/>
        <v>0</v>
      </c>
      <c r="R246" s="126">
        <f t="shared" si="16"/>
        <v>0</v>
      </c>
      <c r="S246" s="127">
        <f t="shared" si="17"/>
        <v>0</v>
      </c>
      <c r="T246" s="126">
        <f t="shared" si="18"/>
        <v>0</v>
      </c>
      <c r="U246" s="128">
        <f t="shared" si="19"/>
        <v>0</v>
      </c>
    </row>
    <row r="247" spans="1:21" s="7" customFormat="1" ht="16" customHeight="1">
      <c r="A247" s="121" t="s">
        <v>3</v>
      </c>
      <c r="B247" s="122" t="str">
        <f>IF(ISNA(VLOOKUP($F247,Declarations!B$6:C$293,2,FALSE)),"",IF(VLOOKUP($F247,Declarations!B$6:C$293,2,FALSE)="","NOT DECLARED",IF(ISNA(_xlfn.TEXTBEFORE(VLOOKUP($F247,Declarations!B$6:C$293,2,FALSE)," ")),VLOOKUP($F247,Declarations!B$6:C$293,2,FALSE),_xlfn.TEXTBEFORE(VLOOKUP($F247,Declarations!B$6:C$293,2,FALSE)," "))))</f>
        <v/>
      </c>
      <c r="C247" s="122" t="str">
        <f>IF(ISNA(VLOOKUP($F247,Declarations!B$6:C$293,2,FALSE)),"",IF(VLOOKUP($F247,Declarations!B$6:C$293,2,FALSE)="","NOT DECLARED",IF(ISNA(_xlfn.TEXTAFTER(VLOOKUP($F247,Declarations!B$6:C$293,2,FALSE)," ")),VLOOKUP($F247,Declarations!B$6:C$293,2,FALSE),_xlfn.TEXTAFTER(VLOOKUP($F247,Declarations!B$6:C$293,2,FALSE)," "))))</f>
        <v/>
      </c>
      <c r="D247" s="122" t="str">
        <f>IF(ISNA(VLOOKUP($F247,Declarations!$B$6:$F$293,5,FALSE)),"",IF(VLOOKUP($F247,Declarations!$B$6:$F$293,5,FALSE)="","NOT DECLARED",VLOOKUP($F247,Declarations!$B$6:$F$293,5,FALSE)))</f>
        <v/>
      </c>
      <c r="E247" s="120" t="str">
        <f>IF(ISNA(VLOOKUP($F247,Declarations!$B$6:$D$293,3,FALSE)),"",IF(VLOOKUP($F247,Declarations!$B$6:$D$293,3,FALSE)="","NOT DECLARED",VLOOKUP($F247,Declarations!$B$6:$D$293,3,FALSE)&amp;LEFT(VLOOKUP($F247,Declarations!$B$6:$E$293,4,FALSE))))</f>
        <v/>
      </c>
      <c r="F247" s="59"/>
      <c r="G247" s="123">
        <v>0</v>
      </c>
      <c r="H247" s="322"/>
      <c r="I247" s="122" t="str">
        <f>IF(ISNA(VLOOKUP(F247,Declarations!B$6:C$293,2,FALSE)),"",IF(VLOOKUP(F247,Declarations!B$6:C$293,2,FALSE)="","NOTDECLARED",VLOOKUP(F247,Declarations!B$6:C$293,2,FALSE)))</f>
        <v/>
      </c>
      <c r="J247" s="124">
        <f>IF(LOWER(G247)="dnf",1,IF(U247&lt;ScoringTable!C$3,ScoringTable!I$2,VLOOKUP((1000-U247),ScoringTable!H$2:I$95,2)))</f>
        <v>0</v>
      </c>
      <c r="K247" s="120" t="str" cm="1">
        <f t="array" ref="K247">IF(OR(E247="",G247=""),"",_xlfn.IFS(E247="U10B",_xlfn.XLOOKUP(G247,Data!$D$3:$L$3,Data!$D$1:$L$1,"",1,1),E247="U12B",_xlfn.XLOOKUP(G247,Data!$D$9:$L$9,Data!$D$1:$L$1,"",1,1),E247="U10G",_xlfn.XLOOKUP(G247,Data!$D$16:$L$16,Data!$D$1:$L$1,"",1,1),E247="U12G",_xlfn.XLOOKUP(G247,Data!$D$22:$L$22,Data!$D$1:$L$1,"",1,1)))</f>
        <v/>
      </c>
      <c r="L247" s="184" t="str" cm="1">
        <f t="array" ref="L247">IFERROR(_xlfn.IFNA(
                      _xlfn.IFS(
                      G247="", "",
                      G247=0, "",
                      AND(E247="U10B",G247&lt;=Data!$M$3), "U10 Boys record",
                      AND(E247="U12B",G247&lt;=Data!$M$9), "U12 Boys record",
                      AND(E247="U10G",G247&lt;=Data!$M$16), "U10 Girls record",
                      AND(E247="U12G",G247&lt;=Data!$M$22), "U12 Girls record"
                       ),""), "")</f>
        <v/>
      </c>
      <c r="M247" s="19" cm="1">
        <f t="array" ref="M247">_xlfn.IFS(OR($G247="",$G247=0),0, AND(NOT(ISNUMBER($G247)),LOWER($G247)&lt;&gt;"dnf"),"Not a valid time",OR(LOWER($G247)="dnf",$G247&gt;ScoringTable!$N$161),1,RIGHT($E247,1)="B",_xlfn.XLOOKUP($G247,ScoringTable!$N$2:$N$161,ScoringTable!$L$2:$L$161,,1),TRUE,_xlfn.XLOOKUP($G247,ScoringTable!$T$2:$T$161,ScoringTable!$R$2:$R$161,,1))</f>
        <v>0</v>
      </c>
      <c r="Q247" s="125">
        <f t="shared" si="15"/>
        <v>0</v>
      </c>
      <c r="R247" s="126">
        <f t="shared" si="16"/>
        <v>0</v>
      </c>
      <c r="S247" s="127">
        <f t="shared" si="17"/>
        <v>0</v>
      </c>
      <c r="T247" s="126">
        <f t="shared" si="18"/>
        <v>0</v>
      </c>
      <c r="U247" s="128">
        <f t="shared" si="19"/>
        <v>0</v>
      </c>
    </row>
    <row r="248" spans="1:21" s="7" customFormat="1" ht="16" customHeight="1">
      <c r="A248" s="121" t="s">
        <v>3</v>
      </c>
      <c r="B248" s="122" t="str">
        <f>IF(ISNA(VLOOKUP($F248,Declarations!B$6:C$293,2,FALSE)),"",IF(VLOOKUP($F248,Declarations!B$6:C$293,2,FALSE)="","NOT DECLARED",IF(ISNA(_xlfn.TEXTBEFORE(VLOOKUP($F248,Declarations!B$6:C$293,2,FALSE)," ")),VLOOKUP($F248,Declarations!B$6:C$293,2,FALSE),_xlfn.TEXTBEFORE(VLOOKUP($F248,Declarations!B$6:C$293,2,FALSE)," "))))</f>
        <v/>
      </c>
      <c r="C248" s="122" t="str">
        <f>IF(ISNA(VLOOKUP($F248,Declarations!B$6:C$293,2,FALSE)),"",IF(VLOOKUP($F248,Declarations!B$6:C$293,2,FALSE)="","NOT DECLARED",IF(ISNA(_xlfn.TEXTAFTER(VLOOKUP($F248,Declarations!B$6:C$293,2,FALSE)," ")),VLOOKUP($F248,Declarations!B$6:C$293,2,FALSE),_xlfn.TEXTAFTER(VLOOKUP($F248,Declarations!B$6:C$293,2,FALSE)," "))))</f>
        <v/>
      </c>
      <c r="D248" s="122" t="str">
        <f>IF(ISNA(VLOOKUP($F248,Declarations!$B$6:$F$293,5,FALSE)),"",IF(VLOOKUP($F248,Declarations!$B$6:$F$293,5,FALSE)="","NOT DECLARED",VLOOKUP($F248,Declarations!$B$6:$F$293,5,FALSE)))</f>
        <v/>
      </c>
      <c r="E248" s="120" t="str">
        <f>IF(ISNA(VLOOKUP($F248,Declarations!$B$6:$D$293,3,FALSE)),"",IF(VLOOKUP($F248,Declarations!$B$6:$D$293,3,FALSE)="","NOT DECLARED",VLOOKUP($F248,Declarations!$B$6:$D$293,3,FALSE)&amp;LEFT(VLOOKUP($F248,Declarations!$B$6:$E$293,4,FALSE))))</f>
        <v/>
      </c>
      <c r="F248" s="59"/>
      <c r="G248" s="123">
        <v>0</v>
      </c>
      <c r="H248" s="322"/>
      <c r="I248" s="122" t="str">
        <f>IF(ISNA(VLOOKUP(F248,Declarations!B$6:C$293,2,FALSE)),"",IF(VLOOKUP(F248,Declarations!B$6:C$293,2,FALSE)="","NOTDECLARED",VLOOKUP(F248,Declarations!B$6:C$293,2,FALSE)))</f>
        <v/>
      </c>
      <c r="J248" s="124">
        <f>IF(LOWER(G248)="dnf",1,IF(U248&lt;ScoringTable!C$3,ScoringTable!I$2,VLOOKUP((1000-U248),ScoringTable!H$2:I$95,2)))</f>
        <v>0</v>
      </c>
      <c r="K248" s="120" t="str" cm="1">
        <f t="array" ref="K248">IF(OR(E248="",G248=""),"",_xlfn.IFS(E248="U10B",_xlfn.XLOOKUP(G248,Data!$D$3:$L$3,Data!$D$1:$L$1,"",1,1),E248="U12B",_xlfn.XLOOKUP(G248,Data!$D$9:$L$9,Data!$D$1:$L$1,"",1,1),E248="U10G",_xlfn.XLOOKUP(G248,Data!$D$16:$L$16,Data!$D$1:$L$1,"",1,1),E248="U12G",_xlfn.XLOOKUP(G248,Data!$D$22:$L$22,Data!$D$1:$L$1,"",1,1)))</f>
        <v/>
      </c>
      <c r="L248" s="184" t="str" cm="1">
        <f t="array" ref="L248">IFERROR(_xlfn.IFNA(
                      _xlfn.IFS(
                      G248="", "",
                      G248=0, "",
                      AND(E248="U10B",G248&lt;=Data!$M$3), "U10 Boys record",
                      AND(E248="U12B",G248&lt;=Data!$M$9), "U12 Boys record",
                      AND(E248="U10G",G248&lt;=Data!$M$16), "U10 Girls record",
                      AND(E248="U12G",G248&lt;=Data!$M$22), "U12 Girls record"
                       ),""), "")</f>
        <v/>
      </c>
      <c r="M248" s="19" cm="1">
        <f t="array" ref="M248">_xlfn.IFS(OR($G248="",$G248=0),0, AND(NOT(ISNUMBER($G248)),LOWER($G248)&lt;&gt;"dnf"),"Not a valid time",OR(LOWER($G248)="dnf",$G248&gt;ScoringTable!$N$161),1,RIGHT($E248,1)="B",_xlfn.XLOOKUP($G248,ScoringTable!$N$2:$N$161,ScoringTable!$L$2:$L$161,,1),TRUE,_xlfn.XLOOKUP($G248,ScoringTable!$T$2:$T$161,ScoringTable!$R$2:$R$161,,1))</f>
        <v>0</v>
      </c>
      <c r="Q248" s="125">
        <f t="shared" si="15"/>
        <v>0</v>
      </c>
      <c r="R248" s="126">
        <f t="shared" si="16"/>
        <v>0</v>
      </c>
      <c r="S248" s="127">
        <f t="shared" si="17"/>
        <v>0</v>
      </c>
      <c r="T248" s="126">
        <f t="shared" si="18"/>
        <v>0</v>
      </c>
      <c r="U248" s="128">
        <f t="shared" si="19"/>
        <v>0</v>
      </c>
    </row>
    <row r="249" spans="1:21" s="7" customFormat="1" ht="16" customHeight="1">
      <c r="A249" s="121" t="s">
        <v>3</v>
      </c>
      <c r="B249" s="122" t="str">
        <f>IF(ISNA(VLOOKUP($F249,Declarations!B$6:C$293,2,FALSE)),"",IF(VLOOKUP($F249,Declarations!B$6:C$293,2,FALSE)="","NOT DECLARED",IF(ISNA(_xlfn.TEXTBEFORE(VLOOKUP($F249,Declarations!B$6:C$293,2,FALSE)," ")),VLOOKUP($F249,Declarations!B$6:C$293,2,FALSE),_xlfn.TEXTBEFORE(VLOOKUP($F249,Declarations!B$6:C$293,2,FALSE)," "))))</f>
        <v/>
      </c>
      <c r="C249" s="122" t="str">
        <f>IF(ISNA(VLOOKUP($F249,Declarations!B$6:C$293,2,FALSE)),"",IF(VLOOKUP($F249,Declarations!B$6:C$293,2,FALSE)="","NOT DECLARED",IF(ISNA(_xlfn.TEXTAFTER(VLOOKUP($F249,Declarations!B$6:C$293,2,FALSE)," ")),VLOOKUP($F249,Declarations!B$6:C$293,2,FALSE),_xlfn.TEXTAFTER(VLOOKUP($F249,Declarations!B$6:C$293,2,FALSE)," "))))</f>
        <v/>
      </c>
      <c r="D249" s="122" t="str">
        <f>IF(ISNA(VLOOKUP($F249,Declarations!$B$6:$F$293,5,FALSE)),"",IF(VLOOKUP($F249,Declarations!$B$6:$F$293,5,FALSE)="","NOT DECLARED",VLOOKUP($F249,Declarations!$B$6:$F$293,5,FALSE)))</f>
        <v/>
      </c>
      <c r="E249" s="120" t="str">
        <f>IF(ISNA(VLOOKUP($F249,Declarations!$B$6:$D$293,3,FALSE)),"",IF(VLOOKUP($F249,Declarations!$B$6:$D$293,3,FALSE)="","NOT DECLARED",VLOOKUP($F249,Declarations!$B$6:$D$293,3,FALSE)&amp;LEFT(VLOOKUP($F249,Declarations!$B$6:$E$293,4,FALSE))))</f>
        <v/>
      </c>
      <c r="F249" s="59"/>
      <c r="G249" s="123">
        <v>0</v>
      </c>
      <c r="H249" s="322"/>
      <c r="I249" s="122" t="str">
        <f>IF(ISNA(VLOOKUP(F249,Declarations!B$6:C$293,2,FALSE)),"",IF(VLOOKUP(F249,Declarations!B$6:C$293,2,FALSE)="","NOTDECLARED",VLOOKUP(F249,Declarations!B$6:C$293,2,FALSE)))</f>
        <v/>
      </c>
      <c r="J249" s="124">
        <f>IF(LOWER(G249)="dnf",1,IF(U249&lt;ScoringTable!C$3,ScoringTable!I$2,VLOOKUP((1000-U249),ScoringTable!H$2:I$95,2)))</f>
        <v>0</v>
      </c>
      <c r="K249" s="120" t="str" cm="1">
        <f t="array" ref="K249">IF(OR(E249="",G249=""),"",_xlfn.IFS(E249="U10B",_xlfn.XLOOKUP(G249,Data!$D$3:$L$3,Data!$D$1:$L$1,"",1,1),E249="U12B",_xlfn.XLOOKUP(G249,Data!$D$9:$L$9,Data!$D$1:$L$1,"",1,1),E249="U10G",_xlfn.XLOOKUP(G249,Data!$D$16:$L$16,Data!$D$1:$L$1,"",1,1),E249="U12G",_xlfn.XLOOKUP(G249,Data!$D$22:$L$22,Data!$D$1:$L$1,"",1,1)))</f>
        <v/>
      </c>
      <c r="L249" s="184" t="str" cm="1">
        <f t="array" ref="L249">IFERROR(_xlfn.IFNA(
                      _xlfn.IFS(
                      G249="", "",
                      G249=0, "",
                      AND(E249="U10B",G249&lt;=Data!$M$3), "U10 Boys record",
                      AND(E249="U12B",G249&lt;=Data!$M$9), "U12 Boys record",
                      AND(E249="U10G",G249&lt;=Data!$M$16), "U10 Girls record",
                      AND(E249="U12G",G249&lt;=Data!$M$22), "U12 Girls record"
                       ),""), "")</f>
        <v/>
      </c>
      <c r="M249" s="19" cm="1">
        <f t="array" ref="M249">_xlfn.IFS(OR($G249="",$G249=0),0, AND(NOT(ISNUMBER($G249)),LOWER($G249)&lt;&gt;"dnf"),"Not a valid time",OR(LOWER($G249)="dnf",$G249&gt;ScoringTable!$N$161),1,RIGHT($E249,1)="B",_xlfn.XLOOKUP($G249,ScoringTable!$N$2:$N$161,ScoringTable!$L$2:$L$161,,1),TRUE,_xlfn.XLOOKUP($G249,ScoringTable!$T$2:$T$161,ScoringTable!$R$2:$R$161,,1))</f>
        <v>0</v>
      </c>
      <c r="Q249" s="125">
        <f t="shared" si="15"/>
        <v>0</v>
      </c>
      <c r="R249" s="126">
        <f t="shared" si="16"/>
        <v>0</v>
      </c>
      <c r="S249" s="127">
        <f t="shared" si="17"/>
        <v>0</v>
      </c>
      <c r="T249" s="126">
        <f t="shared" si="18"/>
        <v>0</v>
      </c>
      <c r="U249" s="128">
        <f t="shared" si="19"/>
        <v>0</v>
      </c>
    </row>
    <row r="250" spans="1:21" s="7" customFormat="1" ht="16" customHeight="1">
      <c r="A250" s="121" t="s">
        <v>3</v>
      </c>
      <c r="B250" s="122" t="str">
        <f>IF(ISNA(VLOOKUP($F250,Declarations!B$6:C$293,2,FALSE)),"",IF(VLOOKUP($F250,Declarations!B$6:C$293,2,FALSE)="","NOT DECLARED",IF(ISNA(_xlfn.TEXTBEFORE(VLOOKUP($F250,Declarations!B$6:C$293,2,FALSE)," ")),VLOOKUP($F250,Declarations!B$6:C$293,2,FALSE),_xlfn.TEXTBEFORE(VLOOKUP($F250,Declarations!B$6:C$293,2,FALSE)," "))))</f>
        <v/>
      </c>
      <c r="C250" s="122" t="str">
        <f>IF(ISNA(VLOOKUP($F250,Declarations!B$6:C$293,2,FALSE)),"",IF(VLOOKUP($F250,Declarations!B$6:C$293,2,FALSE)="","NOT DECLARED",IF(ISNA(_xlfn.TEXTAFTER(VLOOKUP($F250,Declarations!B$6:C$293,2,FALSE)," ")),VLOOKUP($F250,Declarations!B$6:C$293,2,FALSE),_xlfn.TEXTAFTER(VLOOKUP($F250,Declarations!B$6:C$293,2,FALSE)," "))))</f>
        <v/>
      </c>
      <c r="D250" s="122" t="str">
        <f>IF(ISNA(VLOOKUP($F250,Declarations!$B$6:$F$293,5,FALSE)),"",IF(VLOOKUP($F250,Declarations!$B$6:$F$293,5,FALSE)="","NOT DECLARED",VLOOKUP($F250,Declarations!$B$6:$F$293,5,FALSE)))</f>
        <v/>
      </c>
      <c r="E250" s="120" t="str">
        <f>IF(ISNA(VLOOKUP($F250,Declarations!$B$6:$D$293,3,FALSE)),"",IF(VLOOKUP($F250,Declarations!$B$6:$D$293,3,FALSE)="","NOT DECLARED",VLOOKUP($F250,Declarations!$B$6:$D$293,3,FALSE)&amp;LEFT(VLOOKUP($F250,Declarations!$B$6:$E$293,4,FALSE))))</f>
        <v/>
      </c>
      <c r="F250" s="59"/>
      <c r="G250" s="123">
        <v>0</v>
      </c>
      <c r="H250" s="322"/>
      <c r="I250" s="122" t="str">
        <f>IF(ISNA(VLOOKUP(F250,Declarations!B$6:C$293,2,FALSE)),"",IF(VLOOKUP(F250,Declarations!B$6:C$293,2,FALSE)="","NOTDECLARED",VLOOKUP(F250,Declarations!B$6:C$293,2,FALSE)))</f>
        <v/>
      </c>
      <c r="J250" s="124">
        <f>IF(LOWER(G250)="dnf",1,IF(U250&lt;ScoringTable!C$3,ScoringTable!I$2,VLOOKUP((1000-U250),ScoringTable!H$2:I$95,2)))</f>
        <v>0</v>
      </c>
      <c r="K250" s="120" t="str" cm="1">
        <f t="array" ref="K250">IF(OR(E250="",G250=""),"",_xlfn.IFS(E250="U10B",_xlfn.XLOOKUP(G250,Data!$D$3:$L$3,Data!$D$1:$L$1,"",1,1),E250="U12B",_xlfn.XLOOKUP(G250,Data!$D$9:$L$9,Data!$D$1:$L$1,"",1,1),E250="U10G",_xlfn.XLOOKUP(G250,Data!$D$16:$L$16,Data!$D$1:$L$1,"",1,1),E250="U12G",_xlfn.XLOOKUP(G250,Data!$D$22:$L$22,Data!$D$1:$L$1,"",1,1)))</f>
        <v/>
      </c>
      <c r="L250" s="184" t="str" cm="1">
        <f t="array" ref="L250">IFERROR(_xlfn.IFNA(
                      _xlfn.IFS(
                      G250="", "",
                      G250=0, "",
                      AND(E250="U10B",G250&lt;=Data!$M$3), "U10 Boys record",
                      AND(E250="U12B",G250&lt;=Data!$M$9), "U12 Boys record",
                      AND(E250="U10G",G250&lt;=Data!$M$16), "U10 Girls record",
                      AND(E250="U12G",G250&lt;=Data!$M$22), "U12 Girls record"
                       ),""), "")</f>
        <v/>
      </c>
      <c r="M250" s="19" cm="1">
        <f t="array" ref="M250">_xlfn.IFS(OR($G250="",$G250=0),0, AND(NOT(ISNUMBER($G250)),LOWER($G250)&lt;&gt;"dnf"),"Not a valid time",OR(LOWER($G250)="dnf",$G250&gt;ScoringTable!$N$161),1,RIGHT($E250,1)="B",_xlfn.XLOOKUP($G250,ScoringTable!$N$2:$N$161,ScoringTable!$L$2:$L$161,,1),TRUE,_xlfn.XLOOKUP($G250,ScoringTable!$T$2:$T$161,ScoringTable!$R$2:$R$161,,1))</f>
        <v>0</v>
      </c>
      <c r="Q250" s="125">
        <f t="shared" si="15"/>
        <v>0</v>
      </c>
      <c r="R250" s="126">
        <f t="shared" si="16"/>
        <v>0</v>
      </c>
      <c r="S250" s="127">
        <f t="shared" si="17"/>
        <v>0</v>
      </c>
      <c r="T250" s="126">
        <f t="shared" si="18"/>
        <v>0</v>
      </c>
      <c r="U250" s="128">
        <f t="shared" si="19"/>
        <v>0</v>
      </c>
    </row>
    <row r="251" spans="1:21" s="7" customFormat="1" ht="16" customHeight="1">
      <c r="A251" s="121" t="s">
        <v>3</v>
      </c>
      <c r="B251" s="122" t="str">
        <f>IF(ISNA(VLOOKUP($F251,Declarations!B$6:C$293,2,FALSE)),"",IF(VLOOKUP($F251,Declarations!B$6:C$293,2,FALSE)="","NOT DECLARED",IF(ISNA(_xlfn.TEXTBEFORE(VLOOKUP($F251,Declarations!B$6:C$293,2,FALSE)," ")),VLOOKUP($F251,Declarations!B$6:C$293,2,FALSE),_xlfn.TEXTBEFORE(VLOOKUP($F251,Declarations!B$6:C$293,2,FALSE)," "))))</f>
        <v/>
      </c>
      <c r="C251" s="122" t="str">
        <f>IF(ISNA(VLOOKUP($F251,Declarations!B$6:C$293,2,FALSE)),"",IF(VLOOKUP($F251,Declarations!B$6:C$293,2,FALSE)="","NOT DECLARED",IF(ISNA(_xlfn.TEXTAFTER(VLOOKUP($F251,Declarations!B$6:C$293,2,FALSE)," ")),VLOOKUP($F251,Declarations!B$6:C$293,2,FALSE),_xlfn.TEXTAFTER(VLOOKUP($F251,Declarations!B$6:C$293,2,FALSE)," "))))</f>
        <v/>
      </c>
      <c r="D251" s="122" t="str">
        <f>IF(ISNA(VLOOKUP($F251,Declarations!$B$6:$F$293,5,FALSE)),"",IF(VLOOKUP($F251,Declarations!$B$6:$F$293,5,FALSE)="","NOT DECLARED",VLOOKUP($F251,Declarations!$B$6:$F$293,5,FALSE)))</f>
        <v/>
      </c>
      <c r="E251" s="120" t="str">
        <f>IF(ISNA(VLOOKUP($F251,Declarations!$B$6:$D$293,3,FALSE)),"",IF(VLOOKUP($F251,Declarations!$B$6:$D$293,3,FALSE)="","NOT DECLARED",VLOOKUP($F251,Declarations!$B$6:$D$293,3,FALSE)&amp;LEFT(VLOOKUP($F251,Declarations!$B$6:$E$293,4,FALSE))))</f>
        <v/>
      </c>
      <c r="F251" s="59"/>
      <c r="G251" s="123">
        <v>0</v>
      </c>
      <c r="H251" s="322"/>
      <c r="I251" s="122" t="str">
        <f>IF(ISNA(VLOOKUP(F251,Declarations!B$6:C$293,2,FALSE)),"",IF(VLOOKUP(F251,Declarations!B$6:C$293,2,FALSE)="","NOTDECLARED",VLOOKUP(F251,Declarations!B$6:C$293,2,FALSE)))</f>
        <v/>
      </c>
      <c r="J251" s="124">
        <f>IF(LOWER(G251)="dnf",1,IF(U251&lt;ScoringTable!C$3,ScoringTable!I$2,VLOOKUP((1000-U251),ScoringTable!H$2:I$95,2)))</f>
        <v>0</v>
      </c>
      <c r="K251" s="120" t="str" cm="1">
        <f t="array" ref="K251">IF(OR(E251="",G251=""),"",_xlfn.IFS(E251="U10B",_xlfn.XLOOKUP(G251,Data!$D$3:$L$3,Data!$D$1:$L$1,"",1,1),E251="U12B",_xlfn.XLOOKUP(G251,Data!$D$9:$L$9,Data!$D$1:$L$1,"",1,1),E251="U10G",_xlfn.XLOOKUP(G251,Data!$D$16:$L$16,Data!$D$1:$L$1,"",1,1),E251="U12G",_xlfn.XLOOKUP(G251,Data!$D$22:$L$22,Data!$D$1:$L$1,"",1,1)))</f>
        <v/>
      </c>
      <c r="L251" s="184" t="str" cm="1">
        <f t="array" ref="L251">IFERROR(_xlfn.IFNA(
                      _xlfn.IFS(
                      G251="", "",
                      G251=0, "",
                      AND(E251="U10B",G251&lt;=Data!$M$3), "U10 Boys record",
                      AND(E251="U12B",G251&lt;=Data!$M$9), "U12 Boys record",
                      AND(E251="U10G",G251&lt;=Data!$M$16), "U10 Girls record",
                      AND(E251="U12G",G251&lt;=Data!$M$22), "U12 Girls record"
                       ),""), "")</f>
        <v/>
      </c>
      <c r="M251" s="19" cm="1">
        <f t="array" ref="M251">_xlfn.IFS(OR($G251="",$G251=0),0, AND(NOT(ISNUMBER($G251)),LOWER($G251)&lt;&gt;"dnf"),"Not a valid time",OR(LOWER($G251)="dnf",$G251&gt;ScoringTable!$N$161),1,RIGHT($E251,1)="B",_xlfn.XLOOKUP($G251,ScoringTable!$N$2:$N$161,ScoringTable!$L$2:$L$161,,1),TRUE,_xlfn.XLOOKUP($G251,ScoringTable!$T$2:$T$161,ScoringTable!$R$2:$R$161,,1))</f>
        <v>0</v>
      </c>
      <c r="Q251" s="125">
        <f t="shared" si="15"/>
        <v>0</v>
      </c>
      <c r="R251" s="126">
        <f t="shared" si="16"/>
        <v>0</v>
      </c>
      <c r="S251" s="127">
        <f t="shared" si="17"/>
        <v>0</v>
      </c>
      <c r="T251" s="126">
        <f t="shared" si="18"/>
        <v>0</v>
      </c>
      <c r="U251" s="128">
        <f t="shared" si="19"/>
        <v>0</v>
      </c>
    </row>
    <row r="252" spans="1:21" s="7" customFormat="1" ht="16" customHeight="1">
      <c r="A252" s="121" t="s">
        <v>3</v>
      </c>
      <c r="B252" s="122" t="str">
        <f>IF(ISNA(VLOOKUP($F252,Declarations!B$6:C$293,2,FALSE)),"",IF(VLOOKUP($F252,Declarations!B$6:C$293,2,FALSE)="","NOT DECLARED",IF(ISNA(_xlfn.TEXTBEFORE(VLOOKUP($F252,Declarations!B$6:C$293,2,FALSE)," ")),VLOOKUP($F252,Declarations!B$6:C$293,2,FALSE),_xlfn.TEXTBEFORE(VLOOKUP($F252,Declarations!B$6:C$293,2,FALSE)," "))))</f>
        <v/>
      </c>
      <c r="C252" s="122" t="str">
        <f>IF(ISNA(VLOOKUP($F252,Declarations!B$6:C$293,2,FALSE)),"",IF(VLOOKUP($F252,Declarations!B$6:C$293,2,FALSE)="","NOT DECLARED",IF(ISNA(_xlfn.TEXTAFTER(VLOOKUP($F252,Declarations!B$6:C$293,2,FALSE)," ")),VLOOKUP($F252,Declarations!B$6:C$293,2,FALSE),_xlfn.TEXTAFTER(VLOOKUP($F252,Declarations!B$6:C$293,2,FALSE)," "))))</f>
        <v/>
      </c>
      <c r="D252" s="122" t="str">
        <f>IF(ISNA(VLOOKUP($F252,Declarations!$B$6:$F$293,5,FALSE)),"",IF(VLOOKUP($F252,Declarations!$B$6:$F$293,5,FALSE)="","NOT DECLARED",VLOOKUP($F252,Declarations!$B$6:$F$293,5,FALSE)))</f>
        <v/>
      </c>
      <c r="E252" s="120" t="str">
        <f>IF(ISNA(VLOOKUP($F252,Declarations!$B$6:$D$293,3,FALSE)),"",IF(VLOOKUP($F252,Declarations!$B$6:$D$293,3,FALSE)="","NOT DECLARED",VLOOKUP($F252,Declarations!$B$6:$D$293,3,FALSE)&amp;LEFT(VLOOKUP($F252,Declarations!$B$6:$E$293,4,FALSE))))</f>
        <v/>
      </c>
      <c r="F252" s="59"/>
      <c r="G252" s="123">
        <v>0</v>
      </c>
      <c r="H252" s="322"/>
      <c r="I252" s="122" t="str">
        <f>IF(ISNA(VLOOKUP(F252,Declarations!B$6:C$293,2,FALSE)),"",IF(VLOOKUP(F252,Declarations!B$6:C$293,2,FALSE)="","NOTDECLARED",VLOOKUP(F252,Declarations!B$6:C$293,2,FALSE)))</f>
        <v/>
      </c>
      <c r="J252" s="124">
        <f>IF(LOWER(G252)="dnf",1,IF(U252&lt;ScoringTable!C$3,ScoringTable!I$2,VLOOKUP((1000-U252),ScoringTable!H$2:I$95,2)))</f>
        <v>0</v>
      </c>
      <c r="K252" s="120" t="str" cm="1">
        <f t="array" ref="K252">IF(OR(E252="",G252=""),"",_xlfn.IFS(E252="U10B",_xlfn.XLOOKUP(G252,Data!$D$3:$L$3,Data!$D$1:$L$1,"",1,1),E252="U12B",_xlfn.XLOOKUP(G252,Data!$D$9:$L$9,Data!$D$1:$L$1,"",1,1),E252="U10G",_xlfn.XLOOKUP(G252,Data!$D$16:$L$16,Data!$D$1:$L$1,"",1,1),E252="U12G",_xlfn.XLOOKUP(G252,Data!$D$22:$L$22,Data!$D$1:$L$1,"",1,1)))</f>
        <v/>
      </c>
      <c r="L252" s="184" t="str" cm="1">
        <f t="array" ref="L252">IFERROR(_xlfn.IFNA(
                      _xlfn.IFS(
                      G252="", "",
                      G252=0, "",
                      AND(E252="U10B",G252&lt;=Data!$M$3), "U10 Boys record",
                      AND(E252="U12B",G252&lt;=Data!$M$9), "U12 Boys record",
                      AND(E252="U10G",G252&lt;=Data!$M$16), "U10 Girls record",
                      AND(E252="U12G",G252&lt;=Data!$M$22), "U12 Girls record"
                       ),""), "")</f>
        <v/>
      </c>
      <c r="M252" s="19" cm="1">
        <f t="array" ref="M252">_xlfn.IFS(OR($G252="",$G252=0),0, AND(NOT(ISNUMBER($G252)),LOWER($G252)&lt;&gt;"dnf"),"Not a valid time",OR(LOWER($G252)="dnf",$G252&gt;ScoringTable!$N$161),1,RIGHT($E252,1)="B",_xlfn.XLOOKUP($G252,ScoringTable!$N$2:$N$161,ScoringTable!$L$2:$L$161,,1),TRUE,_xlfn.XLOOKUP($G252,ScoringTable!$T$2:$T$161,ScoringTable!$R$2:$R$161,,1))</f>
        <v>0</v>
      </c>
      <c r="Q252" s="125">
        <f t="shared" si="15"/>
        <v>0</v>
      </c>
      <c r="R252" s="126">
        <f t="shared" si="16"/>
        <v>0</v>
      </c>
      <c r="S252" s="127">
        <f t="shared" si="17"/>
        <v>0</v>
      </c>
      <c r="T252" s="126">
        <f t="shared" si="18"/>
        <v>0</v>
      </c>
      <c r="U252" s="128">
        <f t="shared" si="19"/>
        <v>0</v>
      </c>
    </row>
    <row r="253" spans="1:21" s="7" customFormat="1" ht="16" customHeight="1">
      <c r="A253" s="121" t="s">
        <v>3</v>
      </c>
      <c r="B253" s="122" t="str">
        <f>IF(ISNA(VLOOKUP($F253,Declarations!B$6:C$293,2,FALSE)),"",IF(VLOOKUP($F253,Declarations!B$6:C$293,2,FALSE)="","NOT DECLARED",IF(ISNA(_xlfn.TEXTBEFORE(VLOOKUP($F253,Declarations!B$6:C$293,2,FALSE)," ")),VLOOKUP($F253,Declarations!B$6:C$293,2,FALSE),_xlfn.TEXTBEFORE(VLOOKUP($F253,Declarations!B$6:C$293,2,FALSE)," "))))</f>
        <v/>
      </c>
      <c r="C253" s="122" t="str">
        <f>IF(ISNA(VLOOKUP($F253,Declarations!B$6:C$293,2,FALSE)),"",IF(VLOOKUP($F253,Declarations!B$6:C$293,2,FALSE)="","NOT DECLARED",IF(ISNA(_xlfn.TEXTAFTER(VLOOKUP($F253,Declarations!B$6:C$293,2,FALSE)," ")),VLOOKUP($F253,Declarations!B$6:C$293,2,FALSE),_xlfn.TEXTAFTER(VLOOKUP($F253,Declarations!B$6:C$293,2,FALSE)," "))))</f>
        <v/>
      </c>
      <c r="D253" s="122" t="str">
        <f>IF(ISNA(VLOOKUP($F253,Declarations!$B$6:$F$293,5,FALSE)),"",IF(VLOOKUP($F253,Declarations!$B$6:$F$293,5,FALSE)="","NOT DECLARED",VLOOKUP($F253,Declarations!$B$6:$F$293,5,FALSE)))</f>
        <v/>
      </c>
      <c r="E253" s="120" t="str">
        <f>IF(ISNA(VLOOKUP($F253,Declarations!$B$6:$D$293,3,FALSE)),"",IF(VLOOKUP($F253,Declarations!$B$6:$D$293,3,FALSE)="","NOT DECLARED",VLOOKUP($F253,Declarations!$B$6:$D$293,3,FALSE)&amp;LEFT(VLOOKUP($F253,Declarations!$B$6:$E$293,4,FALSE))))</f>
        <v/>
      </c>
      <c r="F253" s="59"/>
      <c r="G253" s="123">
        <v>0</v>
      </c>
      <c r="H253" s="322"/>
      <c r="I253" s="122" t="str">
        <f>IF(ISNA(VLOOKUP(F253,Declarations!B$6:C$293,2,FALSE)),"",IF(VLOOKUP(F253,Declarations!B$6:C$293,2,FALSE)="","NOTDECLARED",VLOOKUP(F253,Declarations!B$6:C$293,2,FALSE)))</f>
        <v/>
      </c>
      <c r="J253" s="124">
        <f>IF(LOWER(G253)="dnf",1,IF(U253&lt;ScoringTable!C$3,ScoringTable!I$2,VLOOKUP((1000-U253),ScoringTable!H$2:I$95,2)))</f>
        <v>0</v>
      </c>
      <c r="K253" s="120" t="str" cm="1">
        <f t="array" ref="K253">IF(OR(E253="",G253=""),"",_xlfn.IFS(E253="U10B",_xlfn.XLOOKUP(G253,Data!$D$3:$L$3,Data!$D$1:$L$1,"",1,1),E253="U12B",_xlfn.XLOOKUP(G253,Data!$D$9:$L$9,Data!$D$1:$L$1,"",1,1),E253="U10G",_xlfn.XLOOKUP(G253,Data!$D$16:$L$16,Data!$D$1:$L$1,"",1,1),E253="U12G",_xlfn.XLOOKUP(G253,Data!$D$22:$L$22,Data!$D$1:$L$1,"",1,1)))</f>
        <v/>
      </c>
      <c r="L253" s="184" t="str" cm="1">
        <f t="array" ref="L253">IFERROR(_xlfn.IFNA(
                      _xlfn.IFS(
                      G253="", "",
                      G253=0, "",
                      AND(E253="U10B",G253&lt;=Data!$M$3), "U10 Boys record",
                      AND(E253="U12B",G253&lt;=Data!$M$9), "U12 Boys record",
                      AND(E253="U10G",G253&lt;=Data!$M$16), "U10 Girls record",
                      AND(E253="U12G",G253&lt;=Data!$M$22), "U12 Girls record"
                       ),""), "")</f>
        <v/>
      </c>
      <c r="M253" s="19" cm="1">
        <f t="array" ref="M253">_xlfn.IFS(OR($G253="",$G253=0),0, AND(NOT(ISNUMBER($G253)),LOWER($G253)&lt;&gt;"dnf"),"Not a valid time",OR(LOWER($G253)="dnf",$G253&gt;ScoringTable!$N$161),1,RIGHT($E253,1)="B",_xlfn.XLOOKUP($G253,ScoringTable!$N$2:$N$161,ScoringTable!$L$2:$L$161,,1),TRUE,_xlfn.XLOOKUP($G253,ScoringTable!$T$2:$T$161,ScoringTable!$R$2:$R$161,,1))</f>
        <v>0</v>
      </c>
      <c r="Q253" s="125">
        <f t="shared" si="15"/>
        <v>0</v>
      </c>
      <c r="R253" s="126">
        <f t="shared" si="16"/>
        <v>0</v>
      </c>
      <c r="S253" s="127">
        <f t="shared" si="17"/>
        <v>0</v>
      </c>
      <c r="T253" s="126">
        <f t="shared" si="18"/>
        <v>0</v>
      </c>
      <c r="U253" s="128">
        <f t="shared" si="19"/>
        <v>0</v>
      </c>
    </row>
    <row r="254" spans="1:21" s="7" customFormat="1" ht="16" customHeight="1">
      <c r="A254" s="121" t="s">
        <v>3</v>
      </c>
      <c r="B254" s="122" t="str">
        <f>IF(ISNA(VLOOKUP($F254,Declarations!B$6:C$293,2,FALSE)),"",IF(VLOOKUP($F254,Declarations!B$6:C$293,2,FALSE)="","NOT DECLARED",IF(ISNA(_xlfn.TEXTBEFORE(VLOOKUP($F254,Declarations!B$6:C$293,2,FALSE)," ")),VLOOKUP($F254,Declarations!B$6:C$293,2,FALSE),_xlfn.TEXTBEFORE(VLOOKUP($F254,Declarations!B$6:C$293,2,FALSE)," "))))</f>
        <v/>
      </c>
      <c r="C254" s="122" t="str">
        <f>IF(ISNA(VLOOKUP($F254,Declarations!B$6:C$293,2,FALSE)),"",IF(VLOOKUP($F254,Declarations!B$6:C$293,2,FALSE)="","NOT DECLARED",IF(ISNA(_xlfn.TEXTAFTER(VLOOKUP($F254,Declarations!B$6:C$293,2,FALSE)," ")),VLOOKUP($F254,Declarations!B$6:C$293,2,FALSE),_xlfn.TEXTAFTER(VLOOKUP($F254,Declarations!B$6:C$293,2,FALSE)," "))))</f>
        <v/>
      </c>
      <c r="D254" s="122" t="str">
        <f>IF(ISNA(VLOOKUP($F254,Declarations!$B$6:$F$293,5,FALSE)),"",IF(VLOOKUP($F254,Declarations!$B$6:$F$293,5,FALSE)="","NOT DECLARED",VLOOKUP($F254,Declarations!$B$6:$F$293,5,FALSE)))</f>
        <v/>
      </c>
      <c r="E254" s="120" t="str">
        <f>IF(ISNA(VLOOKUP($F254,Declarations!$B$6:$D$293,3,FALSE)),"",IF(VLOOKUP($F254,Declarations!$B$6:$D$293,3,FALSE)="","NOT DECLARED",VLOOKUP($F254,Declarations!$B$6:$D$293,3,FALSE)&amp;LEFT(VLOOKUP($F254,Declarations!$B$6:$E$293,4,FALSE))))</f>
        <v/>
      </c>
      <c r="F254" s="59"/>
      <c r="G254" s="123">
        <v>0</v>
      </c>
      <c r="H254" s="322"/>
      <c r="I254" s="122" t="str">
        <f>IF(ISNA(VLOOKUP(F254,Declarations!B$6:C$293,2,FALSE)),"",IF(VLOOKUP(F254,Declarations!B$6:C$293,2,FALSE)="","NOTDECLARED",VLOOKUP(F254,Declarations!B$6:C$293,2,FALSE)))</f>
        <v/>
      </c>
      <c r="J254" s="124">
        <f>IF(LOWER(G254)="dnf",1,IF(U254&lt;ScoringTable!C$3,ScoringTable!I$2,VLOOKUP((1000-U254),ScoringTable!H$2:I$95,2)))</f>
        <v>0</v>
      </c>
      <c r="K254" s="120" t="str" cm="1">
        <f t="array" ref="K254">IF(OR(E254="",G254=""),"",_xlfn.IFS(E254="U10B",_xlfn.XLOOKUP(G254,Data!$D$3:$L$3,Data!$D$1:$L$1,"",1,1),E254="U12B",_xlfn.XLOOKUP(G254,Data!$D$9:$L$9,Data!$D$1:$L$1,"",1,1),E254="U10G",_xlfn.XLOOKUP(G254,Data!$D$16:$L$16,Data!$D$1:$L$1,"",1,1),E254="U12G",_xlfn.XLOOKUP(G254,Data!$D$22:$L$22,Data!$D$1:$L$1,"",1,1)))</f>
        <v/>
      </c>
      <c r="L254" s="184" t="str" cm="1">
        <f t="array" ref="L254">IFERROR(_xlfn.IFNA(
                      _xlfn.IFS(
                      G254="", "",
                      G254=0, "",
                      AND(E254="U10B",G254&lt;=Data!$M$3), "U10 Boys record",
                      AND(E254="U12B",G254&lt;=Data!$M$9), "U12 Boys record",
                      AND(E254="U10G",G254&lt;=Data!$M$16), "U10 Girls record",
                      AND(E254="U12G",G254&lt;=Data!$M$22), "U12 Girls record"
                       ),""), "")</f>
        <v/>
      </c>
      <c r="M254" s="19" cm="1">
        <f t="array" ref="M254">_xlfn.IFS(OR($G254="",$G254=0),0, AND(NOT(ISNUMBER($G254)),LOWER($G254)&lt;&gt;"dnf"),"Not a valid time",OR(LOWER($G254)="dnf",$G254&gt;ScoringTable!$N$161),1,RIGHT($E254,1)="B",_xlfn.XLOOKUP($G254,ScoringTable!$N$2:$N$161,ScoringTable!$L$2:$L$161,,1),TRUE,_xlfn.XLOOKUP($G254,ScoringTable!$T$2:$T$161,ScoringTable!$R$2:$R$161,,1))</f>
        <v>0</v>
      </c>
      <c r="Q254" s="125">
        <f t="shared" si="15"/>
        <v>0</v>
      </c>
      <c r="R254" s="126">
        <f t="shared" si="16"/>
        <v>0</v>
      </c>
      <c r="S254" s="127">
        <f t="shared" si="17"/>
        <v>0</v>
      </c>
      <c r="T254" s="126">
        <f t="shared" si="18"/>
        <v>0</v>
      </c>
      <c r="U254" s="128">
        <f t="shared" si="19"/>
        <v>0</v>
      </c>
    </row>
    <row r="255" spans="1:21" s="7" customFormat="1" ht="16" customHeight="1">
      <c r="A255" s="121" t="s">
        <v>3</v>
      </c>
      <c r="B255" s="122" t="str">
        <f>IF(ISNA(VLOOKUP($F255,Declarations!B$6:C$293,2,FALSE)),"",IF(VLOOKUP($F255,Declarations!B$6:C$293,2,FALSE)="","NOT DECLARED",IF(ISNA(_xlfn.TEXTBEFORE(VLOOKUP($F255,Declarations!B$6:C$293,2,FALSE)," ")),VLOOKUP($F255,Declarations!B$6:C$293,2,FALSE),_xlfn.TEXTBEFORE(VLOOKUP($F255,Declarations!B$6:C$293,2,FALSE)," "))))</f>
        <v/>
      </c>
      <c r="C255" s="122" t="str">
        <f>IF(ISNA(VLOOKUP($F255,Declarations!B$6:C$293,2,FALSE)),"",IF(VLOOKUP($F255,Declarations!B$6:C$293,2,FALSE)="","NOT DECLARED",IF(ISNA(_xlfn.TEXTAFTER(VLOOKUP($F255,Declarations!B$6:C$293,2,FALSE)," ")),VLOOKUP($F255,Declarations!B$6:C$293,2,FALSE),_xlfn.TEXTAFTER(VLOOKUP($F255,Declarations!B$6:C$293,2,FALSE)," "))))</f>
        <v/>
      </c>
      <c r="D255" s="122" t="str">
        <f>IF(ISNA(VLOOKUP($F255,Declarations!$B$6:$F$293,5,FALSE)),"",IF(VLOOKUP($F255,Declarations!$B$6:$F$293,5,FALSE)="","NOT DECLARED",VLOOKUP($F255,Declarations!$B$6:$F$293,5,FALSE)))</f>
        <v/>
      </c>
      <c r="E255" s="120" t="str">
        <f>IF(ISNA(VLOOKUP($F255,Declarations!$B$6:$D$293,3,FALSE)),"",IF(VLOOKUP($F255,Declarations!$B$6:$D$293,3,FALSE)="","NOT DECLARED",VLOOKUP($F255,Declarations!$B$6:$D$293,3,FALSE)&amp;LEFT(VLOOKUP($F255,Declarations!$B$6:$E$293,4,FALSE))))</f>
        <v/>
      </c>
      <c r="F255" s="59"/>
      <c r="G255" s="123">
        <v>0</v>
      </c>
      <c r="H255" s="322"/>
      <c r="I255" s="122" t="str">
        <f>IF(ISNA(VLOOKUP(F255,Declarations!B$6:C$293,2,FALSE)),"",IF(VLOOKUP(F255,Declarations!B$6:C$293,2,FALSE)="","NOTDECLARED",VLOOKUP(F255,Declarations!B$6:C$293,2,FALSE)))</f>
        <v/>
      </c>
      <c r="J255" s="124">
        <f>IF(LOWER(G255)="dnf",1,IF(U255&lt;ScoringTable!C$3,ScoringTable!I$2,VLOOKUP((1000-U255),ScoringTable!H$2:I$95,2)))</f>
        <v>0</v>
      </c>
      <c r="K255" s="120" t="str" cm="1">
        <f t="array" ref="K255">IF(OR(E255="",G255=""),"",_xlfn.IFS(E255="U10B",_xlfn.XLOOKUP(G255,Data!$D$3:$L$3,Data!$D$1:$L$1,"",1,1),E255="U12B",_xlfn.XLOOKUP(G255,Data!$D$9:$L$9,Data!$D$1:$L$1,"",1,1),E255="U10G",_xlfn.XLOOKUP(G255,Data!$D$16:$L$16,Data!$D$1:$L$1,"",1,1),E255="U12G",_xlfn.XLOOKUP(G255,Data!$D$22:$L$22,Data!$D$1:$L$1,"",1,1)))</f>
        <v/>
      </c>
      <c r="L255" s="184" t="str" cm="1">
        <f t="array" ref="L255">IFERROR(_xlfn.IFNA(
                      _xlfn.IFS(
                      G255="", "",
                      G255=0, "",
                      AND(E255="U10B",G255&lt;=Data!$M$3), "U10 Boys record",
                      AND(E255="U12B",G255&lt;=Data!$M$9), "U12 Boys record",
                      AND(E255="U10G",G255&lt;=Data!$M$16), "U10 Girls record",
                      AND(E255="U12G",G255&lt;=Data!$M$22), "U12 Girls record"
                       ),""), "")</f>
        <v/>
      </c>
      <c r="M255" s="19" cm="1">
        <f t="array" ref="M255">_xlfn.IFS(OR($G255="",$G255=0),0, AND(NOT(ISNUMBER($G255)),LOWER($G255)&lt;&gt;"dnf"),"Not a valid time",OR(LOWER($G255)="dnf",$G255&gt;ScoringTable!$N$161),1,RIGHT($E255,1)="B",_xlfn.XLOOKUP($G255,ScoringTable!$N$2:$N$161,ScoringTable!$L$2:$L$161,,1),TRUE,_xlfn.XLOOKUP($G255,ScoringTable!$T$2:$T$161,ScoringTable!$R$2:$R$161,,1))</f>
        <v>0</v>
      </c>
      <c r="Q255" s="125">
        <f t="shared" si="15"/>
        <v>0</v>
      </c>
      <c r="R255" s="126">
        <f t="shared" si="16"/>
        <v>0</v>
      </c>
      <c r="S255" s="127">
        <f t="shared" si="17"/>
        <v>0</v>
      </c>
      <c r="T255" s="126">
        <f t="shared" si="18"/>
        <v>0</v>
      </c>
      <c r="U255" s="128">
        <f t="shared" si="19"/>
        <v>0</v>
      </c>
    </row>
    <row r="256" spans="1:21" s="7" customFormat="1" ht="16" customHeight="1">
      <c r="A256" s="121" t="s">
        <v>3</v>
      </c>
      <c r="B256" s="122" t="str">
        <f>IF(ISNA(VLOOKUP($F256,Declarations!B$6:C$293,2,FALSE)),"",IF(VLOOKUP($F256,Declarations!B$6:C$293,2,FALSE)="","NOT DECLARED",IF(ISNA(_xlfn.TEXTBEFORE(VLOOKUP($F256,Declarations!B$6:C$293,2,FALSE)," ")),VLOOKUP($F256,Declarations!B$6:C$293,2,FALSE),_xlfn.TEXTBEFORE(VLOOKUP($F256,Declarations!B$6:C$293,2,FALSE)," "))))</f>
        <v/>
      </c>
      <c r="C256" s="122" t="str">
        <f>IF(ISNA(VLOOKUP($F256,Declarations!B$6:C$293,2,FALSE)),"",IF(VLOOKUP($F256,Declarations!B$6:C$293,2,FALSE)="","NOT DECLARED",IF(ISNA(_xlfn.TEXTAFTER(VLOOKUP($F256,Declarations!B$6:C$293,2,FALSE)," ")),VLOOKUP($F256,Declarations!B$6:C$293,2,FALSE),_xlfn.TEXTAFTER(VLOOKUP($F256,Declarations!B$6:C$293,2,FALSE)," "))))</f>
        <v/>
      </c>
      <c r="D256" s="122" t="str">
        <f>IF(ISNA(VLOOKUP($F256,Declarations!$B$6:$F$293,5,FALSE)),"",IF(VLOOKUP($F256,Declarations!$B$6:$F$293,5,FALSE)="","NOT DECLARED",VLOOKUP($F256,Declarations!$B$6:$F$293,5,FALSE)))</f>
        <v/>
      </c>
      <c r="E256" s="120" t="str">
        <f>IF(ISNA(VLOOKUP($F256,Declarations!$B$6:$D$293,3,FALSE)),"",IF(VLOOKUP($F256,Declarations!$B$6:$D$293,3,FALSE)="","NOT DECLARED",VLOOKUP($F256,Declarations!$B$6:$D$293,3,FALSE)&amp;LEFT(VLOOKUP($F256,Declarations!$B$6:$E$293,4,FALSE))))</f>
        <v/>
      </c>
      <c r="F256" s="59"/>
      <c r="G256" s="123">
        <v>0</v>
      </c>
      <c r="H256" s="322"/>
      <c r="I256" s="122" t="str">
        <f>IF(ISNA(VLOOKUP(F256,Declarations!B$6:C$293,2,FALSE)),"",IF(VLOOKUP(F256,Declarations!B$6:C$293,2,FALSE)="","NOTDECLARED",VLOOKUP(F256,Declarations!B$6:C$293,2,FALSE)))</f>
        <v/>
      </c>
      <c r="J256" s="124">
        <f>IF(LOWER(G256)="dnf",1,IF(U256&lt;ScoringTable!C$3,ScoringTable!I$2,VLOOKUP((1000-U256),ScoringTable!H$2:I$95,2)))</f>
        <v>0</v>
      </c>
      <c r="K256" s="120" t="str" cm="1">
        <f t="array" ref="K256">IF(OR(E256="",G256=""),"",_xlfn.IFS(E256="U10B",_xlfn.XLOOKUP(G256,Data!$D$3:$L$3,Data!$D$1:$L$1,"",1,1),E256="U12B",_xlfn.XLOOKUP(G256,Data!$D$9:$L$9,Data!$D$1:$L$1,"",1,1),E256="U10G",_xlfn.XLOOKUP(G256,Data!$D$16:$L$16,Data!$D$1:$L$1,"",1,1),E256="U12G",_xlfn.XLOOKUP(G256,Data!$D$22:$L$22,Data!$D$1:$L$1,"",1,1)))</f>
        <v/>
      </c>
      <c r="L256" s="184" t="str" cm="1">
        <f t="array" ref="L256">IFERROR(_xlfn.IFNA(
                      _xlfn.IFS(
                      G256="", "",
                      G256=0, "",
                      AND(E256="U10B",G256&lt;=Data!$M$3), "U10 Boys record",
                      AND(E256="U12B",G256&lt;=Data!$M$9), "U12 Boys record",
                      AND(E256="U10G",G256&lt;=Data!$M$16), "U10 Girls record",
                      AND(E256="U12G",G256&lt;=Data!$M$22), "U12 Girls record"
                       ),""), "")</f>
        <v/>
      </c>
      <c r="M256" s="19" cm="1">
        <f t="array" ref="M256">_xlfn.IFS(OR($G256="",$G256=0),0, AND(NOT(ISNUMBER($G256)),LOWER($G256)&lt;&gt;"dnf"),"Not a valid time",OR(LOWER($G256)="dnf",$G256&gt;ScoringTable!$N$161),1,RIGHT($E256,1)="B",_xlfn.XLOOKUP($G256,ScoringTable!$N$2:$N$161,ScoringTable!$L$2:$L$161,,1),TRUE,_xlfn.XLOOKUP($G256,ScoringTable!$T$2:$T$161,ScoringTable!$R$2:$R$161,,1))</f>
        <v>0</v>
      </c>
      <c r="Q256" s="125">
        <f t="shared" si="15"/>
        <v>0</v>
      </c>
      <c r="R256" s="126">
        <f t="shared" si="16"/>
        <v>0</v>
      </c>
      <c r="S256" s="127">
        <f t="shared" si="17"/>
        <v>0</v>
      </c>
      <c r="T256" s="126">
        <f t="shared" si="18"/>
        <v>0</v>
      </c>
      <c r="U256" s="128">
        <f t="shared" si="19"/>
        <v>0</v>
      </c>
    </row>
    <row r="257" spans="1:21" s="7" customFormat="1" ht="16" customHeight="1">
      <c r="A257" s="121" t="s">
        <v>3</v>
      </c>
      <c r="B257" s="122" t="str">
        <f>IF(ISNA(VLOOKUP($F257,Declarations!B$6:C$293,2,FALSE)),"",IF(VLOOKUP($F257,Declarations!B$6:C$293,2,FALSE)="","NOT DECLARED",IF(ISNA(_xlfn.TEXTBEFORE(VLOOKUP($F257,Declarations!B$6:C$293,2,FALSE)," ")),VLOOKUP($F257,Declarations!B$6:C$293,2,FALSE),_xlfn.TEXTBEFORE(VLOOKUP($F257,Declarations!B$6:C$293,2,FALSE)," "))))</f>
        <v/>
      </c>
      <c r="C257" s="122" t="str">
        <f>IF(ISNA(VLOOKUP($F257,Declarations!B$6:C$293,2,FALSE)),"",IF(VLOOKUP($F257,Declarations!B$6:C$293,2,FALSE)="","NOT DECLARED",IF(ISNA(_xlfn.TEXTAFTER(VLOOKUP($F257,Declarations!B$6:C$293,2,FALSE)," ")),VLOOKUP($F257,Declarations!B$6:C$293,2,FALSE),_xlfn.TEXTAFTER(VLOOKUP($F257,Declarations!B$6:C$293,2,FALSE)," "))))</f>
        <v/>
      </c>
      <c r="D257" s="122" t="str">
        <f>IF(ISNA(VLOOKUP($F257,Declarations!$B$6:$F$293,5,FALSE)),"",IF(VLOOKUP($F257,Declarations!$B$6:$F$293,5,FALSE)="","NOT DECLARED",VLOOKUP($F257,Declarations!$B$6:$F$293,5,FALSE)))</f>
        <v/>
      </c>
      <c r="E257" s="120" t="str">
        <f>IF(ISNA(VLOOKUP($F257,Declarations!$B$6:$D$293,3,FALSE)),"",IF(VLOOKUP($F257,Declarations!$B$6:$D$293,3,FALSE)="","NOT DECLARED",VLOOKUP($F257,Declarations!$B$6:$D$293,3,FALSE)&amp;LEFT(VLOOKUP($F257,Declarations!$B$6:$E$293,4,FALSE))))</f>
        <v/>
      </c>
      <c r="F257" s="59"/>
      <c r="G257" s="123">
        <v>0</v>
      </c>
      <c r="H257" s="322"/>
      <c r="I257" s="122" t="str">
        <f>IF(ISNA(VLOOKUP(F257,Declarations!B$6:C$293,2,FALSE)),"",IF(VLOOKUP(F257,Declarations!B$6:C$293,2,FALSE)="","NOTDECLARED",VLOOKUP(F257,Declarations!B$6:C$293,2,FALSE)))</f>
        <v/>
      </c>
      <c r="J257" s="124">
        <f>IF(LOWER(G257)="dnf",1,IF(U257&lt;ScoringTable!C$3,ScoringTable!I$2,VLOOKUP((1000-U257),ScoringTable!H$2:I$95,2)))</f>
        <v>0</v>
      </c>
      <c r="K257" s="120" t="str" cm="1">
        <f t="array" ref="K257">IF(OR(E257="",G257=""),"",_xlfn.IFS(E257="U10B",_xlfn.XLOOKUP(G257,Data!$D$3:$L$3,Data!$D$1:$L$1,"",1,1),E257="U12B",_xlfn.XLOOKUP(G257,Data!$D$9:$L$9,Data!$D$1:$L$1,"",1,1),E257="U10G",_xlfn.XLOOKUP(G257,Data!$D$16:$L$16,Data!$D$1:$L$1,"",1,1),E257="U12G",_xlfn.XLOOKUP(G257,Data!$D$22:$L$22,Data!$D$1:$L$1,"",1,1)))</f>
        <v/>
      </c>
      <c r="L257" s="184" t="str" cm="1">
        <f t="array" ref="L257">IFERROR(_xlfn.IFNA(
                      _xlfn.IFS(
                      G257="", "",
                      G257=0, "",
                      AND(E257="U10B",G257&lt;=Data!$M$3), "U10 Boys record",
                      AND(E257="U12B",G257&lt;=Data!$M$9), "U12 Boys record",
                      AND(E257="U10G",G257&lt;=Data!$M$16), "U10 Girls record",
                      AND(E257="U12G",G257&lt;=Data!$M$22), "U12 Girls record"
                       ),""), "")</f>
        <v/>
      </c>
      <c r="M257" s="19" cm="1">
        <f t="array" ref="M257">_xlfn.IFS(OR($G257="",$G257=0),0, AND(NOT(ISNUMBER($G257)),LOWER($G257)&lt;&gt;"dnf"),"Not a valid time",OR(LOWER($G257)="dnf",$G257&gt;ScoringTable!$N$161),1,RIGHT($E257,1)="B",_xlfn.XLOOKUP($G257,ScoringTable!$N$2:$N$161,ScoringTable!$L$2:$L$161,,1),TRUE,_xlfn.XLOOKUP($G257,ScoringTable!$T$2:$T$161,ScoringTable!$R$2:$R$161,,1))</f>
        <v>0</v>
      </c>
      <c r="Q257" s="125">
        <f t="shared" si="15"/>
        <v>0</v>
      </c>
      <c r="R257" s="126">
        <f t="shared" si="16"/>
        <v>0</v>
      </c>
      <c r="S257" s="127">
        <f t="shared" si="17"/>
        <v>0</v>
      </c>
      <c r="T257" s="126">
        <f t="shared" si="18"/>
        <v>0</v>
      </c>
      <c r="U257" s="128">
        <f t="shared" si="19"/>
        <v>0</v>
      </c>
    </row>
    <row r="258" spans="1:21" s="7" customFormat="1" ht="16" customHeight="1">
      <c r="A258" s="121" t="s">
        <v>3</v>
      </c>
      <c r="B258" s="122" t="str">
        <f>IF(ISNA(VLOOKUP($F258,Declarations!B$6:C$293,2,FALSE)),"",IF(VLOOKUP($F258,Declarations!B$6:C$293,2,FALSE)="","NOT DECLARED",IF(ISNA(_xlfn.TEXTBEFORE(VLOOKUP($F258,Declarations!B$6:C$293,2,FALSE)," ")),VLOOKUP($F258,Declarations!B$6:C$293,2,FALSE),_xlfn.TEXTBEFORE(VLOOKUP($F258,Declarations!B$6:C$293,2,FALSE)," "))))</f>
        <v/>
      </c>
      <c r="C258" s="122" t="str">
        <f>IF(ISNA(VLOOKUP($F258,Declarations!B$6:C$293,2,FALSE)),"",IF(VLOOKUP($F258,Declarations!B$6:C$293,2,FALSE)="","NOT DECLARED",IF(ISNA(_xlfn.TEXTAFTER(VLOOKUP($F258,Declarations!B$6:C$293,2,FALSE)," ")),VLOOKUP($F258,Declarations!B$6:C$293,2,FALSE),_xlfn.TEXTAFTER(VLOOKUP($F258,Declarations!B$6:C$293,2,FALSE)," "))))</f>
        <v/>
      </c>
      <c r="D258" s="122" t="str">
        <f>IF(ISNA(VLOOKUP($F258,Declarations!$B$6:$F$293,5,FALSE)),"",IF(VLOOKUP($F258,Declarations!$B$6:$F$293,5,FALSE)="","NOT DECLARED",VLOOKUP($F258,Declarations!$B$6:$F$293,5,FALSE)))</f>
        <v/>
      </c>
      <c r="E258" s="120" t="str">
        <f>IF(ISNA(VLOOKUP($F258,Declarations!$B$6:$D$293,3,FALSE)),"",IF(VLOOKUP($F258,Declarations!$B$6:$D$293,3,FALSE)="","NOT DECLARED",VLOOKUP($F258,Declarations!$B$6:$D$293,3,FALSE)&amp;LEFT(VLOOKUP($F258,Declarations!$B$6:$E$293,4,FALSE))))</f>
        <v/>
      </c>
      <c r="F258" s="59"/>
      <c r="G258" s="123">
        <v>0</v>
      </c>
      <c r="H258" s="322"/>
      <c r="I258" s="122" t="str">
        <f>IF(ISNA(VLOOKUP(F258,Declarations!B$6:C$293,2,FALSE)),"",IF(VLOOKUP(F258,Declarations!B$6:C$293,2,FALSE)="","NOTDECLARED",VLOOKUP(F258,Declarations!B$6:C$293,2,FALSE)))</f>
        <v/>
      </c>
      <c r="J258" s="124">
        <f>IF(LOWER(G258)="dnf",1,IF(U258&lt;ScoringTable!C$3,ScoringTable!I$2,VLOOKUP((1000-U258),ScoringTable!H$2:I$95,2)))</f>
        <v>0</v>
      </c>
      <c r="K258" s="120" t="str" cm="1">
        <f t="array" ref="K258">IF(OR(E258="",G258=""),"",_xlfn.IFS(E258="U10B",_xlfn.XLOOKUP(G258,Data!$D$3:$L$3,Data!$D$1:$L$1,"",1,1),E258="U12B",_xlfn.XLOOKUP(G258,Data!$D$9:$L$9,Data!$D$1:$L$1,"",1,1),E258="U10G",_xlfn.XLOOKUP(G258,Data!$D$16:$L$16,Data!$D$1:$L$1,"",1,1),E258="U12G",_xlfn.XLOOKUP(G258,Data!$D$22:$L$22,Data!$D$1:$L$1,"",1,1)))</f>
        <v/>
      </c>
      <c r="L258" s="184" t="str" cm="1">
        <f t="array" ref="L258">IFERROR(_xlfn.IFNA(
                      _xlfn.IFS(
                      G258="", "",
                      G258=0, "",
                      AND(E258="U10B",G258&lt;=Data!$M$3), "U10 Boys record",
                      AND(E258="U12B",G258&lt;=Data!$M$9), "U12 Boys record",
                      AND(E258="U10G",G258&lt;=Data!$M$16), "U10 Girls record",
                      AND(E258="U12G",G258&lt;=Data!$M$22), "U12 Girls record"
                       ),""), "")</f>
        <v/>
      </c>
      <c r="M258" s="19" cm="1">
        <f t="array" ref="M258">_xlfn.IFS(OR($G258="",$G258=0),0, AND(NOT(ISNUMBER($G258)),LOWER($G258)&lt;&gt;"dnf"),"Not a valid time",OR(LOWER($G258)="dnf",$G258&gt;ScoringTable!$N$161),1,RIGHT($E258,1)="B",_xlfn.XLOOKUP($G258,ScoringTable!$N$2:$N$161,ScoringTable!$L$2:$L$161,,1),TRUE,_xlfn.XLOOKUP($G258,ScoringTable!$T$2:$T$161,ScoringTable!$R$2:$R$161,,1))</f>
        <v>0</v>
      </c>
      <c r="Q258" s="125">
        <f t="shared" si="15"/>
        <v>0</v>
      </c>
      <c r="R258" s="126">
        <f t="shared" si="16"/>
        <v>0</v>
      </c>
      <c r="S258" s="127">
        <f t="shared" si="17"/>
        <v>0</v>
      </c>
      <c r="T258" s="126">
        <f t="shared" si="18"/>
        <v>0</v>
      </c>
      <c r="U258" s="128">
        <f t="shared" si="19"/>
        <v>0</v>
      </c>
    </row>
    <row r="259" spans="1:21" s="7" customFormat="1" ht="16" customHeight="1">
      <c r="A259" s="121" t="s">
        <v>3</v>
      </c>
      <c r="B259" s="122" t="str">
        <f>IF(ISNA(VLOOKUP($F259,Declarations!B$6:C$293,2,FALSE)),"",IF(VLOOKUP($F259,Declarations!B$6:C$293,2,FALSE)="","NOT DECLARED",IF(ISNA(_xlfn.TEXTBEFORE(VLOOKUP($F259,Declarations!B$6:C$293,2,FALSE)," ")),VLOOKUP($F259,Declarations!B$6:C$293,2,FALSE),_xlfn.TEXTBEFORE(VLOOKUP($F259,Declarations!B$6:C$293,2,FALSE)," "))))</f>
        <v/>
      </c>
      <c r="C259" s="122" t="str">
        <f>IF(ISNA(VLOOKUP($F259,Declarations!B$6:C$293,2,FALSE)),"",IF(VLOOKUP($F259,Declarations!B$6:C$293,2,FALSE)="","NOT DECLARED",IF(ISNA(_xlfn.TEXTAFTER(VLOOKUP($F259,Declarations!B$6:C$293,2,FALSE)," ")),VLOOKUP($F259,Declarations!B$6:C$293,2,FALSE),_xlfn.TEXTAFTER(VLOOKUP($F259,Declarations!B$6:C$293,2,FALSE)," "))))</f>
        <v/>
      </c>
      <c r="D259" s="122" t="str">
        <f>IF(ISNA(VLOOKUP($F259,Declarations!$B$6:$F$293,5,FALSE)),"",IF(VLOOKUP($F259,Declarations!$B$6:$F$293,5,FALSE)="","NOT DECLARED",VLOOKUP($F259,Declarations!$B$6:$F$293,5,FALSE)))</f>
        <v/>
      </c>
      <c r="E259" s="120" t="str">
        <f>IF(ISNA(VLOOKUP($F259,Declarations!$B$6:$D$293,3,FALSE)),"",IF(VLOOKUP($F259,Declarations!$B$6:$D$293,3,FALSE)="","NOT DECLARED",VLOOKUP($F259,Declarations!$B$6:$D$293,3,FALSE)&amp;LEFT(VLOOKUP($F259,Declarations!$B$6:$E$293,4,FALSE))))</f>
        <v/>
      </c>
      <c r="F259" s="59"/>
      <c r="G259" s="123">
        <v>0</v>
      </c>
      <c r="H259" s="322"/>
      <c r="I259" s="122" t="str">
        <f>IF(ISNA(VLOOKUP(F259,Declarations!B$6:C$293,2,FALSE)),"",IF(VLOOKUP(F259,Declarations!B$6:C$293,2,FALSE)="","NOTDECLARED",VLOOKUP(F259,Declarations!B$6:C$293,2,FALSE)))</f>
        <v/>
      </c>
      <c r="J259" s="124">
        <f>IF(LOWER(G259)="dnf",1,IF(U259&lt;ScoringTable!C$3,ScoringTable!I$2,VLOOKUP((1000-U259),ScoringTable!H$2:I$95,2)))</f>
        <v>0</v>
      </c>
      <c r="K259" s="120" t="str" cm="1">
        <f t="array" ref="K259">IF(OR(E259="",G259=""),"",_xlfn.IFS(E259="U10B",_xlfn.XLOOKUP(G259,Data!$D$3:$L$3,Data!$D$1:$L$1,"",1,1),E259="U12B",_xlfn.XLOOKUP(G259,Data!$D$9:$L$9,Data!$D$1:$L$1,"",1,1),E259="U10G",_xlfn.XLOOKUP(G259,Data!$D$16:$L$16,Data!$D$1:$L$1,"",1,1),E259="U12G",_xlfn.XLOOKUP(G259,Data!$D$22:$L$22,Data!$D$1:$L$1,"",1,1)))</f>
        <v/>
      </c>
      <c r="L259" s="184" t="str" cm="1">
        <f t="array" ref="L259">IFERROR(_xlfn.IFNA(
                      _xlfn.IFS(
                      G259="", "",
                      G259=0, "",
                      AND(E259="U10B",G259&lt;=Data!$M$3), "U10 Boys record",
                      AND(E259="U12B",G259&lt;=Data!$M$9), "U12 Boys record",
                      AND(E259="U10G",G259&lt;=Data!$M$16), "U10 Girls record",
                      AND(E259="U12G",G259&lt;=Data!$M$22), "U12 Girls record"
                       ),""), "")</f>
        <v/>
      </c>
      <c r="M259" s="19" cm="1">
        <f t="array" ref="M259">_xlfn.IFS(OR($G259="",$G259=0),0, AND(NOT(ISNUMBER($G259)),LOWER($G259)&lt;&gt;"dnf"),"Not a valid time",OR(LOWER($G259)="dnf",$G259&gt;ScoringTable!$N$161),1,RIGHT($E259,1)="B",_xlfn.XLOOKUP($G259,ScoringTable!$N$2:$N$161,ScoringTable!$L$2:$L$161,,1),TRUE,_xlfn.XLOOKUP($G259,ScoringTable!$T$2:$T$161,ScoringTable!$R$2:$R$161,,1))</f>
        <v>0</v>
      </c>
      <c r="Q259" s="125">
        <f t="shared" si="15"/>
        <v>0</v>
      </c>
      <c r="R259" s="126">
        <f t="shared" si="16"/>
        <v>0</v>
      </c>
      <c r="S259" s="127">
        <f t="shared" si="17"/>
        <v>0</v>
      </c>
      <c r="T259" s="126">
        <f t="shared" si="18"/>
        <v>0</v>
      </c>
      <c r="U259" s="128">
        <f t="shared" si="19"/>
        <v>0</v>
      </c>
    </row>
    <row r="260" spans="1:21" s="7" customFormat="1" ht="16" customHeight="1">
      <c r="A260" s="121" t="s">
        <v>3</v>
      </c>
      <c r="B260" s="122" t="str">
        <f>IF(ISNA(VLOOKUP($F260,Declarations!B$6:C$293,2,FALSE)),"",IF(VLOOKUP($F260,Declarations!B$6:C$293,2,FALSE)="","NOT DECLARED",IF(ISNA(_xlfn.TEXTBEFORE(VLOOKUP($F260,Declarations!B$6:C$293,2,FALSE)," ")),VLOOKUP($F260,Declarations!B$6:C$293,2,FALSE),_xlfn.TEXTBEFORE(VLOOKUP($F260,Declarations!B$6:C$293,2,FALSE)," "))))</f>
        <v/>
      </c>
      <c r="C260" s="122" t="str">
        <f>IF(ISNA(VLOOKUP($F260,Declarations!B$6:C$293,2,FALSE)),"",IF(VLOOKUP($F260,Declarations!B$6:C$293,2,FALSE)="","NOT DECLARED",IF(ISNA(_xlfn.TEXTAFTER(VLOOKUP($F260,Declarations!B$6:C$293,2,FALSE)," ")),VLOOKUP($F260,Declarations!B$6:C$293,2,FALSE),_xlfn.TEXTAFTER(VLOOKUP($F260,Declarations!B$6:C$293,2,FALSE)," "))))</f>
        <v/>
      </c>
      <c r="D260" s="122" t="str">
        <f>IF(ISNA(VLOOKUP($F260,Declarations!$B$6:$F$293,5,FALSE)),"",IF(VLOOKUP($F260,Declarations!$B$6:$F$293,5,FALSE)="","NOT DECLARED",VLOOKUP($F260,Declarations!$B$6:$F$293,5,FALSE)))</f>
        <v/>
      </c>
      <c r="E260" s="120" t="str">
        <f>IF(ISNA(VLOOKUP($F260,Declarations!$B$6:$D$293,3,FALSE)),"",IF(VLOOKUP($F260,Declarations!$B$6:$D$293,3,FALSE)="","NOT DECLARED",VLOOKUP($F260,Declarations!$B$6:$D$293,3,FALSE)&amp;LEFT(VLOOKUP($F260,Declarations!$B$6:$E$293,4,FALSE))))</f>
        <v/>
      </c>
      <c r="F260" s="59"/>
      <c r="G260" s="123">
        <v>0</v>
      </c>
      <c r="H260" s="322"/>
      <c r="I260" s="122" t="str">
        <f>IF(ISNA(VLOOKUP(F260,Declarations!B$6:C$293,2,FALSE)),"",IF(VLOOKUP(F260,Declarations!B$6:C$293,2,FALSE)="","NOTDECLARED",VLOOKUP(F260,Declarations!B$6:C$293,2,FALSE)))</f>
        <v/>
      </c>
      <c r="J260" s="124">
        <f>IF(LOWER(G260)="dnf",1,IF(U260&lt;ScoringTable!C$3,ScoringTable!I$2,VLOOKUP((1000-U260),ScoringTable!H$2:I$95,2)))</f>
        <v>0</v>
      </c>
      <c r="K260" s="120" t="str" cm="1">
        <f t="array" ref="K260">IF(OR(E260="",G260=""),"",_xlfn.IFS(E260="U10B",_xlfn.XLOOKUP(G260,Data!$D$3:$L$3,Data!$D$1:$L$1,"",1,1),E260="U12B",_xlfn.XLOOKUP(G260,Data!$D$9:$L$9,Data!$D$1:$L$1,"",1,1),E260="U10G",_xlfn.XLOOKUP(G260,Data!$D$16:$L$16,Data!$D$1:$L$1,"",1,1),E260="U12G",_xlfn.XLOOKUP(G260,Data!$D$22:$L$22,Data!$D$1:$L$1,"",1,1)))</f>
        <v/>
      </c>
      <c r="L260" s="184" t="str" cm="1">
        <f t="array" ref="L260">IFERROR(_xlfn.IFNA(
                      _xlfn.IFS(
                      G260="", "",
                      G260=0, "",
                      AND(E260="U10B",G260&lt;=Data!$M$3), "U10 Boys record",
                      AND(E260="U12B",G260&lt;=Data!$M$9), "U12 Boys record",
                      AND(E260="U10G",G260&lt;=Data!$M$16), "U10 Girls record",
                      AND(E260="U12G",G260&lt;=Data!$M$22), "U12 Girls record"
                       ),""), "")</f>
        <v/>
      </c>
      <c r="M260" s="19" cm="1">
        <f t="array" ref="M260">_xlfn.IFS(OR($G260="",$G260=0),0, AND(NOT(ISNUMBER($G260)),LOWER($G260)&lt;&gt;"dnf"),"Not a valid time",OR(LOWER($G260)="dnf",$G260&gt;ScoringTable!$N$161),1,RIGHT($E260,1)="B",_xlfn.XLOOKUP($G260,ScoringTable!$N$2:$N$161,ScoringTable!$L$2:$L$161,,1),TRUE,_xlfn.XLOOKUP($G260,ScoringTable!$T$2:$T$161,ScoringTable!$R$2:$R$161,,1))</f>
        <v>0</v>
      </c>
      <c r="Q260" s="125">
        <f t="shared" si="15"/>
        <v>0</v>
      </c>
      <c r="R260" s="126">
        <f t="shared" si="16"/>
        <v>0</v>
      </c>
      <c r="S260" s="127">
        <f t="shared" si="17"/>
        <v>0</v>
      </c>
      <c r="T260" s="126">
        <f t="shared" si="18"/>
        <v>0</v>
      </c>
      <c r="U260" s="128">
        <f t="shared" si="19"/>
        <v>0</v>
      </c>
    </row>
    <row r="261" spans="1:21" s="7" customFormat="1" ht="16" customHeight="1">
      <c r="A261" s="121" t="s">
        <v>3</v>
      </c>
      <c r="B261" s="122" t="str">
        <f>IF(ISNA(VLOOKUP($F261,Declarations!B$6:C$293,2,FALSE)),"",IF(VLOOKUP($F261,Declarations!B$6:C$293,2,FALSE)="","NOT DECLARED",IF(ISNA(_xlfn.TEXTBEFORE(VLOOKUP($F261,Declarations!B$6:C$293,2,FALSE)," ")),VLOOKUP($F261,Declarations!B$6:C$293,2,FALSE),_xlfn.TEXTBEFORE(VLOOKUP($F261,Declarations!B$6:C$293,2,FALSE)," "))))</f>
        <v/>
      </c>
      <c r="C261" s="122" t="str">
        <f>IF(ISNA(VLOOKUP($F261,Declarations!B$6:C$293,2,FALSE)),"",IF(VLOOKUP($F261,Declarations!B$6:C$293,2,FALSE)="","NOT DECLARED",IF(ISNA(_xlfn.TEXTAFTER(VLOOKUP($F261,Declarations!B$6:C$293,2,FALSE)," ")),VLOOKUP($F261,Declarations!B$6:C$293,2,FALSE),_xlfn.TEXTAFTER(VLOOKUP($F261,Declarations!B$6:C$293,2,FALSE)," "))))</f>
        <v/>
      </c>
      <c r="D261" s="122" t="str">
        <f>IF(ISNA(VLOOKUP($F261,Declarations!$B$6:$F$293,5,FALSE)),"",IF(VLOOKUP($F261,Declarations!$B$6:$F$293,5,FALSE)="","NOT DECLARED",VLOOKUP($F261,Declarations!$B$6:$F$293,5,FALSE)))</f>
        <v/>
      </c>
      <c r="E261" s="120" t="str">
        <f>IF(ISNA(VLOOKUP($F261,Declarations!$B$6:$D$293,3,FALSE)),"",IF(VLOOKUP($F261,Declarations!$B$6:$D$293,3,FALSE)="","NOT DECLARED",VLOOKUP($F261,Declarations!$B$6:$D$293,3,FALSE)&amp;LEFT(VLOOKUP($F261,Declarations!$B$6:$E$293,4,FALSE))))</f>
        <v/>
      </c>
      <c r="F261" s="59"/>
      <c r="G261" s="123">
        <v>0</v>
      </c>
      <c r="H261" s="322"/>
      <c r="I261" s="122" t="str">
        <f>IF(ISNA(VLOOKUP(F261,Declarations!B$6:C$293,2,FALSE)),"",IF(VLOOKUP(F261,Declarations!B$6:C$293,2,FALSE)="","NOTDECLARED",VLOOKUP(F261,Declarations!B$6:C$293,2,FALSE)))</f>
        <v/>
      </c>
      <c r="J261" s="124">
        <f>IF(LOWER(G261)="dnf",1,IF(U261&lt;ScoringTable!C$3,ScoringTable!I$2,VLOOKUP((1000-U261),ScoringTable!H$2:I$95,2)))</f>
        <v>0</v>
      </c>
      <c r="K261" s="120" t="str" cm="1">
        <f t="array" ref="K261">IF(OR(E261="",G261=""),"",_xlfn.IFS(E261="U10B",_xlfn.XLOOKUP(G261,Data!$D$3:$L$3,Data!$D$1:$L$1,"",1,1),E261="U12B",_xlfn.XLOOKUP(G261,Data!$D$9:$L$9,Data!$D$1:$L$1,"",1,1),E261="U10G",_xlfn.XLOOKUP(G261,Data!$D$16:$L$16,Data!$D$1:$L$1,"",1,1),E261="U12G",_xlfn.XLOOKUP(G261,Data!$D$22:$L$22,Data!$D$1:$L$1,"",1,1)))</f>
        <v/>
      </c>
      <c r="L261" s="184" t="str" cm="1">
        <f t="array" ref="L261">IFERROR(_xlfn.IFNA(
                      _xlfn.IFS(
                      G261="", "",
                      G261=0, "",
                      AND(E261="U10B",G261&lt;=Data!$M$3), "U10 Boys record",
                      AND(E261="U12B",G261&lt;=Data!$M$9), "U12 Boys record",
                      AND(E261="U10G",G261&lt;=Data!$M$16), "U10 Girls record",
                      AND(E261="U12G",G261&lt;=Data!$M$22), "U12 Girls record"
                       ),""), "")</f>
        <v/>
      </c>
      <c r="M261" s="19" cm="1">
        <f t="array" ref="M261">_xlfn.IFS(OR($G261="",$G261=0),0, AND(NOT(ISNUMBER($G261)),LOWER($G261)&lt;&gt;"dnf"),"Not a valid time",OR(LOWER($G261)="dnf",$G261&gt;ScoringTable!$N$161),1,RIGHT($E261,1)="B",_xlfn.XLOOKUP($G261,ScoringTable!$N$2:$N$161,ScoringTable!$L$2:$L$161,,1),TRUE,_xlfn.XLOOKUP($G261,ScoringTable!$T$2:$T$161,ScoringTable!$R$2:$R$161,,1))</f>
        <v>0</v>
      </c>
      <c r="Q261" s="125">
        <f t="shared" si="15"/>
        <v>0</v>
      </c>
      <c r="R261" s="126">
        <f t="shared" si="16"/>
        <v>0</v>
      </c>
      <c r="S261" s="127">
        <f t="shared" si="17"/>
        <v>0</v>
      </c>
      <c r="T261" s="126">
        <f t="shared" si="18"/>
        <v>0</v>
      </c>
      <c r="U261" s="128">
        <f t="shared" si="19"/>
        <v>0</v>
      </c>
    </row>
    <row r="262" spans="1:21" s="7" customFormat="1" ht="16" customHeight="1">
      <c r="A262" s="121" t="s">
        <v>3</v>
      </c>
      <c r="B262" s="122" t="str">
        <f>IF(ISNA(VLOOKUP($F262,Declarations!B$6:C$293,2,FALSE)),"",IF(VLOOKUP($F262,Declarations!B$6:C$293,2,FALSE)="","NOT DECLARED",IF(ISNA(_xlfn.TEXTBEFORE(VLOOKUP($F262,Declarations!B$6:C$293,2,FALSE)," ")),VLOOKUP($F262,Declarations!B$6:C$293,2,FALSE),_xlfn.TEXTBEFORE(VLOOKUP($F262,Declarations!B$6:C$293,2,FALSE)," "))))</f>
        <v/>
      </c>
      <c r="C262" s="122" t="str">
        <f>IF(ISNA(VLOOKUP($F262,Declarations!B$6:C$293,2,FALSE)),"",IF(VLOOKUP($F262,Declarations!B$6:C$293,2,FALSE)="","NOT DECLARED",IF(ISNA(_xlfn.TEXTAFTER(VLOOKUP($F262,Declarations!B$6:C$293,2,FALSE)," ")),VLOOKUP($F262,Declarations!B$6:C$293,2,FALSE),_xlfn.TEXTAFTER(VLOOKUP($F262,Declarations!B$6:C$293,2,FALSE)," "))))</f>
        <v/>
      </c>
      <c r="D262" s="122" t="str">
        <f>IF(ISNA(VLOOKUP($F262,Declarations!$B$6:$F$293,5,FALSE)),"",IF(VLOOKUP($F262,Declarations!$B$6:$F$293,5,FALSE)="","NOT DECLARED",VLOOKUP($F262,Declarations!$B$6:$F$293,5,FALSE)))</f>
        <v/>
      </c>
      <c r="E262" s="120" t="str">
        <f>IF(ISNA(VLOOKUP($F262,Declarations!$B$6:$D$293,3,FALSE)),"",IF(VLOOKUP($F262,Declarations!$B$6:$D$293,3,FALSE)="","NOT DECLARED",VLOOKUP($F262,Declarations!$B$6:$D$293,3,FALSE)&amp;LEFT(VLOOKUP($F262,Declarations!$B$6:$E$293,4,FALSE))))</f>
        <v/>
      </c>
      <c r="F262" s="59"/>
      <c r="G262" s="123">
        <v>0</v>
      </c>
      <c r="H262" s="322"/>
      <c r="I262" s="122" t="str">
        <f>IF(ISNA(VLOOKUP(F262,Declarations!B$6:C$293,2,FALSE)),"",IF(VLOOKUP(F262,Declarations!B$6:C$293,2,FALSE)="","NOTDECLARED",VLOOKUP(F262,Declarations!B$6:C$293,2,FALSE)))</f>
        <v/>
      </c>
      <c r="J262" s="124">
        <f>IF(LOWER(G262)="dnf",1,IF(U262&lt;ScoringTable!C$3,ScoringTable!I$2,VLOOKUP((1000-U262),ScoringTable!H$2:I$95,2)))</f>
        <v>0</v>
      </c>
      <c r="K262" s="120" t="str" cm="1">
        <f t="array" ref="K262">IF(OR(E262="",G262=""),"",_xlfn.IFS(E262="U10B",_xlfn.XLOOKUP(G262,Data!$D$3:$L$3,Data!$D$1:$L$1,"",1,1),E262="U12B",_xlfn.XLOOKUP(G262,Data!$D$9:$L$9,Data!$D$1:$L$1,"",1,1),E262="U10G",_xlfn.XLOOKUP(G262,Data!$D$16:$L$16,Data!$D$1:$L$1,"",1,1),E262="U12G",_xlfn.XLOOKUP(G262,Data!$D$22:$L$22,Data!$D$1:$L$1,"",1,1)))</f>
        <v/>
      </c>
      <c r="L262" s="184" t="str" cm="1">
        <f t="array" ref="L262">IFERROR(_xlfn.IFNA(
                      _xlfn.IFS(
                      G262="", "",
                      G262=0, "",
                      AND(E262="U10B",G262&lt;=Data!$M$3), "U10 Boys record",
                      AND(E262="U12B",G262&lt;=Data!$M$9), "U12 Boys record",
                      AND(E262="U10G",G262&lt;=Data!$M$16), "U10 Girls record",
                      AND(E262="U12G",G262&lt;=Data!$M$22), "U12 Girls record"
                       ),""), "")</f>
        <v/>
      </c>
      <c r="M262" s="19" cm="1">
        <f t="array" ref="M262">_xlfn.IFS(OR($G262="",$G262=0),0, AND(NOT(ISNUMBER($G262)),LOWER($G262)&lt;&gt;"dnf"),"Not a valid time",OR(LOWER($G262)="dnf",$G262&gt;ScoringTable!$N$161),1,RIGHT($E262,1)="B",_xlfn.XLOOKUP($G262,ScoringTable!$N$2:$N$161,ScoringTable!$L$2:$L$161,,1),TRUE,_xlfn.XLOOKUP($G262,ScoringTable!$T$2:$T$161,ScoringTable!$R$2:$R$161,,1))</f>
        <v>0</v>
      </c>
      <c r="Q262" s="125">
        <f t="shared" si="15"/>
        <v>0</v>
      </c>
      <c r="R262" s="126">
        <f t="shared" si="16"/>
        <v>0</v>
      </c>
      <c r="S262" s="127">
        <f t="shared" si="17"/>
        <v>0</v>
      </c>
      <c r="T262" s="126">
        <f t="shared" si="18"/>
        <v>0</v>
      </c>
      <c r="U262" s="128">
        <f t="shared" si="19"/>
        <v>0</v>
      </c>
    </row>
    <row r="263" spans="1:21" s="7" customFormat="1" ht="16" customHeight="1">
      <c r="A263" s="121" t="s">
        <v>3</v>
      </c>
      <c r="B263" s="122" t="str">
        <f>IF(ISNA(VLOOKUP($F263,Declarations!B$6:C$293,2,FALSE)),"",IF(VLOOKUP($F263,Declarations!B$6:C$293,2,FALSE)="","NOT DECLARED",IF(ISNA(_xlfn.TEXTBEFORE(VLOOKUP($F263,Declarations!B$6:C$293,2,FALSE)," ")),VLOOKUP($F263,Declarations!B$6:C$293,2,FALSE),_xlfn.TEXTBEFORE(VLOOKUP($F263,Declarations!B$6:C$293,2,FALSE)," "))))</f>
        <v/>
      </c>
      <c r="C263" s="122" t="str">
        <f>IF(ISNA(VLOOKUP($F263,Declarations!B$6:C$293,2,FALSE)),"",IF(VLOOKUP($F263,Declarations!B$6:C$293,2,FALSE)="","NOT DECLARED",IF(ISNA(_xlfn.TEXTAFTER(VLOOKUP($F263,Declarations!B$6:C$293,2,FALSE)," ")),VLOOKUP($F263,Declarations!B$6:C$293,2,FALSE),_xlfn.TEXTAFTER(VLOOKUP($F263,Declarations!B$6:C$293,2,FALSE)," "))))</f>
        <v/>
      </c>
      <c r="D263" s="122" t="str">
        <f>IF(ISNA(VLOOKUP($F263,Declarations!$B$6:$F$293,5,FALSE)),"",IF(VLOOKUP($F263,Declarations!$B$6:$F$293,5,FALSE)="","NOT DECLARED",VLOOKUP($F263,Declarations!$B$6:$F$293,5,FALSE)))</f>
        <v/>
      </c>
      <c r="E263" s="120" t="str">
        <f>IF(ISNA(VLOOKUP($F263,Declarations!$B$6:$D$293,3,FALSE)),"",IF(VLOOKUP($F263,Declarations!$B$6:$D$293,3,FALSE)="","NOT DECLARED",VLOOKUP($F263,Declarations!$B$6:$D$293,3,FALSE)&amp;LEFT(VLOOKUP($F263,Declarations!$B$6:$E$293,4,FALSE))))</f>
        <v/>
      </c>
      <c r="F263" s="59"/>
      <c r="G263" s="123">
        <v>0</v>
      </c>
      <c r="H263" s="322"/>
      <c r="I263" s="122" t="str">
        <f>IF(ISNA(VLOOKUP(F263,Declarations!B$6:C$293,2,FALSE)),"",IF(VLOOKUP(F263,Declarations!B$6:C$293,2,FALSE)="","NOTDECLARED",VLOOKUP(F263,Declarations!B$6:C$293,2,FALSE)))</f>
        <v/>
      </c>
      <c r="J263" s="124">
        <f>IF(LOWER(G263)="dnf",1,IF(U263&lt;ScoringTable!C$3,ScoringTable!I$2,VLOOKUP((1000-U263),ScoringTable!H$2:I$95,2)))</f>
        <v>0</v>
      </c>
      <c r="K263" s="120" t="str" cm="1">
        <f t="array" ref="K263">IF(OR(E263="",G263=""),"",_xlfn.IFS(E263="U10B",_xlfn.XLOOKUP(G263,Data!$D$3:$L$3,Data!$D$1:$L$1,"",1,1),E263="U12B",_xlfn.XLOOKUP(G263,Data!$D$9:$L$9,Data!$D$1:$L$1,"",1,1),E263="U10G",_xlfn.XLOOKUP(G263,Data!$D$16:$L$16,Data!$D$1:$L$1,"",1,1),E263="U12G",_xlfn.XLOOKUP(G263,Data!$D$22:$L$22,Data!$D$1:$L$1,"",1,1)))</f>
        <v/>
      </c>
      <c r="L263" s="184" t="str" cm="1">
        <f t="array" ref="L263">IFERROR(_xlfn.IFNA(
                      _xlfn.IFS(
                      G263="", "",
                      G263=0, "",
                      AND(E263="U10B",G263&lt;=Data!$M$3), "U10 Boys record",
                      AND(E263="U12B",G263&lt;=Data!$M$9), "U12 Boys record",
                      AND(E263="U10G",G263&lt;=Data!$M$16), "U10 Girls record",
                      AND(E263="U12G",G263&lt;=Data!$M$22), "U12 Girls record"
                       ),""), "")</f>
        <v/>
      </c>
      <c r="M263" s="19" cm="1">
        <f t="array" ref="M263">_xlfn.IFS(OR($G263="",$G263=0),0, AND(NOT(ISNUMBER($G263)),LOWER($G263)&lt;&gt;"dnf"),"Not a valid time",OR(LOWER($G263)="dnf",$G263&gt;ScoringTable!$N$161),1,RIGHT($E263,1)="B",_xlfn.XLOOKUP($G263,ScoringTable!$N$2:$N$161,ScoringTable!$L$2:$L$161,,1),TRUE,_xlfn.XLOOKUP($G263,ScoringTable!$T$2:$T$161,ScoringTable!$R$2:$R$161,,1))</f>
        <v>0</v>
      </c>
      <c r="Q263" s="125">
        <f t="shared" ref="Q263:Q293" si="20">G263*86400</f>
        <v>0</v>
      </c>
      <c r="R263" s="126">
        <f t="shared" ref="R263:R293" si="21">Q263/60</f>
        <v>0</v>
      </c>
      <c r="S263" s="127">
        <f t="shared" ref="S263:S293" si="22">(ROUNDDOWN(R263,0))</f>
        <v>0</v>
      </c>
      <c r="T263" s="126">
        <f t="shared" ref="T263:T293" si="23">Q263-((S263*60))</f>
        <v>0</v>
      </c>
      <c r="U263" s="128">
        <f t="shared" ref="U263:U293" si="24">+(S263)+(T263/100)</f>
        <v>0</v>
      </c>
    </row>
    <row r="264" spans="1:21" s="7" customFormat="1" ht="16" customHeight="1">
      <c r="A264" s="121" t="s">
        <v>3</v>
      </c>
      <c r="B264" s="122" t="str">
        <f>IF(ISNA(VLOOKUP($F264,Declarations!B$6:C$293,2,FALSE)),"",IF(VLOOKUP($F264,Declarations!B$6:C$293,2,FALSE)="","NOT DECLARED",IF(ISNA(_xlfn.TEXTBEFORE(VLOOKUP($F264,Declarations!B$6:C$293,2,FALSE)," ")),VLOOKUP($F264,Declarations!B$6:C$293,2,FALSE),_xlfn.TEXTBEFORE(VLOOKUP($F264,Declarations!B$6:C$293,2,FALSE)," "))))</f>
        <v/>
      </c>
      <c r="C264" s="122" t="str">
        <f>IF(ISNA(VLOOKUP($F264,Declarations!B$6:C$293,2,FALSE)),"",IF(VLOOKUP($F264,Declarations!B$6:C$293,2,FALSE)="","NOT DECLARED",IF(ISNA(_xlfn.TEXTAFTER(VLOOKUP($F264,Declarations!B$6:C$293,2,FALSE)," ")),VLOOKUP($F264,Declarations!B$6:C$293,2,FALSE),_xlfn.TEXTAFTER(VLOOKUP($F264,Declarations!B$6:C$293,2,FALSE)," "))))</f>
        <v/>
      </c>
      <c r="D264" s="122" t="str">
        <f>IF(ISNA(VLOOKUP($F264,Declarations!$B$6:$F$293,5,FALSE)),"",IF(VLOOKUP($F264,Declarations!$B$6:$F$293,5,FALSE)="","NOT DECLARED",VLOOKUP($F264,Declarations!$B$6:$F$293,5,FALSE)))</f>
        <v/>
      </c>
      <c r="E264" s="120" t="str">
        <f>IF(ISNA(VLOOKUP($F264,Declarations!$B$6:$D$293,3,FALSE)),"",IF(VLOOKUP($F264,Declarations!$B$6:$D$293,3,FALSE)="","NOT DECLARED",VLOOKUP($F264,Declarations!$B$6:$D$293,3,FALSE)&amp;LEFT(VLOOKUP($F264,Declarations!$B$6:$E$293,4,FALSE))))</f>
        <v/>
      </c>
      <c r="F264" s="59"/>
      <c r="G264" s="123">
        <v>0</v>
      </c>
      <c r="H264" s="322"/>
      <c r="I264" s="122" t="str">
        <f>IF(ISNA(VLOOKUP(F264,Declarations!B$6:C$293,2,FALSE)),"",IF(VLOOKUP(F264,Declarations!B$6:C$293,2,FALSE)="","NOTDECLARED",VLOOKUP(F264,Declarations!B$6:C$293,2,FALSE)))</f>
        <v/>
      </c>
      <c r="J264" s="124">
        <f>IF(LOWER(G264)="dnf",1,IF(U264&lt;ScoringTable!C$3,ScoringTable!I$2,VLOOKUP((1000-U264),ScoringTable!H$2:I$95,2)))</f>
        <v>0</v>
      </c>
      <c r="K264" s="120" t="str" cm="1">
        <f t="array" ref="K264">IF(OR(E264="",G264=""),"",_xlfn.IFS(E264="U10B",_xlfn.XLOOKUP(G264,Data!$D$3:$L$3,Data!$D$1:$L$1,"",1,1),E264="U12B",_xlfn.XLOOKUP(G264,Data!$D$9:$L$9,Data!$D$1:$L$1,"",1,1),E264="U10G",_xlfn.XLOOKUP(G264,Data!$D$16:$L$16,Data!$D$1:$L$1,"",1,1),E264="U12G",_xlfn.XLOOKUP(G264,Data!$D$22:$L$22,Data!$D$1:$L$1,"",1,1)))</f>
        <v/>
      </c>
      <c r="L264" s="184" t="str" cm="1">
        <f t="array" ref="L264">IFERROR(_xlfn.IFNA(
                      _xlfn.IFS(
                      G264="", "",
                      G264=0, "",
                      AND(E264="U10B",G264&lt;=Data!$M$3), "U10 Boys record",
                      AND(E264="U12B",G264&lt;=Data!$M$9), "U12 Boys record",
                      AND(E264="U10G",G264&lt;=Data!$M$16), "U10 Girls record",
                      AND(E264="U12G",G264&lt;=Data!$M$22), "U12 Girls record"
                       ),""), "")</f>
        <v/>
      </c>
      <c r="M264" s="19" cm="1">
        <f t="array" ref="M264">_xlfn.IFS(OR($G264="",$G264=0),0, AND(NOT(ISNUMBER($G264)),LOWER($G264)&lt;&gt;"dnf"),"Not a valid time",OR(LOWER($G264)="dnf",$G264&gt;ScoringTable!$N$161),1,RIGHT($E264,1)="B",_xlfn.XLOOKUP($G264,ScoringTable!$N$2:$N$161,ScoringTable!$L$2:$L$161,,1),TRUE,_xlfn.XLOOKUP($G264,ScoringTable!$T$2:$T$161,ScoringTable!$R$2:$R$161,,1))</f>
        <v>0</v>
      </c>
      <c r="Q264" s="125">
        <f t="shared" si="20"/>
        <v>0</v>
      </c>
      <c r="R264" s="126">
        <f t="shared" si="21"/>
        <v>0</v>
      </c>
      <c r="S264" s="127">
        <f t="shared" si="22"/>
        <v>0</v>
      </c>
      <c r="T264" s="126">
        <f t="shared" si="23"/>
        <v>0</v>
      </c>
      <c r="U264" s="128">
        <f t="shared" si="24"/>
        <v>0</v>
      </c>
    </row>
    <row r="265" spans="1:21" s="7" customFormat="1" ht="16" customHeight="1">
      <c r="A265" s="121" t="s">
        <v>3</v>
      </c>
      <c r="B265" s="122" t="str">
        <f>IF(ISNA(VLOOKUP($F265,Declarations!B$6:C$293,2,FALSE)),"",IF(VLOOKUP($F265,Declarations!B$6:C$293,2,FALSE)="","NOT DECLARED",IF(ISNA(_xlfn.TEXTBEFORE(VLOOKUP($F265,Declarations!B$6:C$293,2,FALSE)," ")),VLOOKUP($F265,Declarations!B$6:C$293,2,FALSE),_xlfn.TEXTBEFORE(VLOOKUP($F265,Declarations!B$6:C$293,2,FALSE)," "))))</f>
        <v/>
      </c>
      <c r="C265" s="122" t="str">
        <f>IF(ISNA(VLOOKUP($F265,Declarations!B$6:C$293,2,FALSE)),"",IF(VLOOKUP($F265,Declarations!B$6:C$293,2,FALSE)="","NOT DECLARED",IF(ISNA(_xlfn.TEXTAFTER(VLOOKUP($F265,Declarations!B$6:C$293,2,FALSE)," ")),VLOOKUP($F265,Declarations!B$6:C$293,2,FALSE),_xlfn.TEXTAFTER(VLOOKUP($F265,Declarations!B$6:C$293,2,FALSE)," "))))</f>
        <v/>
      </c>
      <c r="D265" s="122" t="str">
        <f>IF(ISNA(VLOOKUP($F265,Declarations!$B$6:$F$293,5,FALSE)),"",IF(VLOOKUP($F265,Declarations!$B$6:$F$293,5,FALSE)="","NOT DECLARED",VLOOKUP($F265,Declarations!$B$6:$F$293,5,FALSE)))</f>
        <v/>
      </c>
      <c r="E265" s="120" t="str">
        <f>IF(ISNA(VLOOKUP($F265,Declarations!$B$6:$D$293,3,FALSE)),"",IF(VLOOKUP($F265,Declarations!$B$6:$D$293,3,FALSE)="","NOT DECLARED",VLOOKUP($F265,Declarations!$B$6:$D$293,3,FALSE)&amp;LEFT(VLOOKUP($F265,Declarations!$B$6:$E$293,4,FALSE))))</f>
        <v/>
      </c>
      <c r="F265" s="59"/>
      <c r="G265" s="123">
        <v>0</v>
      </c>
      <c r="H265" s="322"/>
      <c r="I265" s="122" t="str">
        <f>IF(ISNA(VLOOKUP(F265,Declarations!B$6:C$293,2,FALSE)),"",IF(VLOOKUP(F265,Declarations!B$6:C$293,2,FALSE)="","NOTDECLARED",VLOOKUP(F265,Declarations!B$6:C$293,2,FALSE)))</f>
        <v/>
      </c>
      <c r="J265" s="124">
        <f>IF(LOWER(G265)="dnf",1,IF(U265&lt;ScoringTable!C$3,ScoringTable!I$2,VLOOKUP((1000-U265),ScoringTable!H$2:I$95,2)))</f>
        <v>0</v>
      </c>
      <c r="K265" s="120" t="str" cm="1">
        <f t="array" ref="K265">IF(OR(E265="",G265=""),"",_xlfn.IFS(E265="U10B",_xlfn.XLOOKUP(G265,Data!$D$3:$L$3,Data!$D$1:$L$1,"",1,1),E265="U12B",_xlfn.XLOOKUP(G265,Data!$D$9:$L$9,Data!$D$1:$L$1,"",1,1),E265="U10G",_xlfn.XLOOKUP(G265,Data!$D$16:$L$16,Data!$D$1:$L$1,"",1,1),E265="U12G",_xlfn.XLOOKUP(G265,Data!$D$22:$L$22,Data!$D$1:$L$1,"",1,1)))</f>
        <v/>
      </c>
      <c r="L265" s="184" t="str" cm="1">
        <f t="array" ref="L265">IFERROR(_xlfn.IFNA(
                      _xlfn.IFS(
                      G265="", "",
                      G265=0, "",
                      AND(E265="U10B",G265&lt;=Data!$M$3), "U10 Boys record",
                      AND(E265="U12B",G265&lt;=Data!$M$9), "U12 Boys record",
                      AND(E265="U10G",G265&lt;=Data!$M$16), "U10 Girls record",
                      AND(E265="U12G",G265&lt;=Data!$M$22), "U12 Girls record"
                       ),""), "")</f>
        <v/>
      </c>
      <c r="M265" s="19" cm="1">
        <f t="array" ref="M265">_xlfn.IFS(OR($G265="",$G265=0),0, AND(NOT(ISNUMBER($G265)),LOWER($G265)&lt;&gt;"dnf"),"Not a valid time",OR(LOWER($G265)="dnf",$G265&gt;ScoringTable!$N$161),1,RIGHT($E265,1)="B",_xlfn.XLOOKUP($G265,ScoringTable!$N$2:$N$161,ScoringTable!$L$2:$L$161,,1),TRUE,_xlfn.XLOOKUP($G265,ScoringTable!$T$2:$T$161,ScoringTable!$R$2:$R$161,,1))</f>
        <v>0</v>
      </c>
      <c r="Q265" s="125">
        <f t="shared" si="20"/>
        <v>0</v>
      </c>
      <c r="R265" s="126">
        <f t="shared" si="21"/>
        <v>0</v>
      </c>
      <c r="S265" s="127">
        <f t="shared" si="22"/>
        <v>0</v>
      </c>
      <c r="T265" s="126">
        <f t="shared" si="23"/>
        <v>0</v>
      </c>
      <c r="U265" s="128">
        <f t="shared" si="24"/>
        <v>0</v>
      </c>
    </row>
    <row r="266" spans="1:21" s="7" customFormat="1" ht="16" customHeight="1">
      <c r="A266" s="121" t="s">
        <v>3</v>
      </c>
      <c r="B266" s="122" t="str">
        <f>IF(ISNA(VLOOKUP($F266,Declarations!B$6:C$293,2,FALSE)),"",IF(VLOOKUP($F266,Declarations!B$6:C$293,2,FALSE)="","NOT DECLARED",IF(ISNA(_xlfn.TEXTBEFORE(VLOOKUP($F266,Declarations!B$6:C$293,2,FALSE)," ")),VLOOKUP($F266,Declarations!B$6:C$293,2,FALSE),_xlfn.TEXTBEFORE(VLOOKUP($F266,Declarations!B$6:C$293,2,FALSE)," "))))</f>
        <v/>
      </c>
      <c r="C266" s="122" t="str">
        <f>IF(ISNA(VLOOKUP($F266,Declarations!B$6:C$293,2,FALSE)),"",IF(VLOOKUP($F266,Declarations!B$6:C$293,2,FALSE)="","NOT DECLARED",IF(ISNA(_xlfn.TEXTAFTER(VLOOKUP($F266,Declarations!B$6:C$293,2,FALSE)," ")),VLOOKUP($F266,Declarations!B$6:C$293,2,FALSE),_xlfn.TEXTAFTER(VLOOKUP($F266,Declarations!B$6:C$293,2,FALSE)," "))))</f>
        <v/>
      </c>
      <c r="D266" s="122" t="str">
        <f>IF(ISNA(VLOOKUP($F266,Declarations!$B$6:$F$293,5,FALSE)),"",IF(VLOOKUP($F266,Declarations!$B$6:$F$293,5,FALSE)="","NOT DECLARED",VLOOKUP($F266,Declarations!$B$6:$F$293,5,FALSE)))</f>
        <v/>
      </c>
      <c r="E266" s="120" t="str">
        <f>IF(ISNA(VLOOKUP($F266,Declarations!$B$6:$D$293,3,FALSE)),"",IF(VLOOKUP($F266,Declarations!$B$6:$D$293,3,FALSE)="","NOT DECLARED",VLOOKUP($F266,Declarations!$B$6:$D$293,3,FALSE)&amp;LEFT(VLOOKUP($F266,Declarations!$B$6:$E$293,4,FALSE))))</f>
        <v/>
      </c>
      <c r="F266" s="59"/>
      <c r="G266" s="123">
        <v>0</v>
      </c>
      <c r="H266" s="322"/>
      <c r="I266" s="122" t="str">
        <f>IF(ISNA(VLOOKUP(F266,Declarations!B$6:C$293,2,FALSE)),"",IF(VLOOKUP(F266,Declarations!B$6:C$293,2,FALSE)="","NOTDECLARED",VLOOKUP(F266,Declarations!B$6:C$293,2,FALSE)))</f>
        <v/>
      </c>
      <c r="J266" s="124">
        <f>IF(LOWER(G266)="dnf",1,IF(U266&lt;ScoringTable!C$3,ScoringTable!I$2,VLOOKUP((1000-U266),ScoringTable!H$2:I$95,2)))</f>
        <v>0</v>
      </c>
      <c r="K266" s="120" t="str" cm="1">
        <f t="array" ref="K266">IF(OR(E266="",G266=""),"",_xlfn.IFS(E266="U10B",_xlfn.XLOOKUP(G266,Data!$D$3:$L$3,Data!$D$1:$L$1,"",1,1),E266="U12B",_xlfn.XLOOKUP(G266,Data!$D$9:$L$9,Data!$D$1:$L$1,"",1,1),E266="U10G",_xlfn.XLOOKUP(G266,Data!$D$16:$L$16,Data!$D$1:$L$1,"",1,1),E266="U12G",_xlfn.XLOOKUP(G266,Data!$D$22:$L$22,Data!$D$1:$L$1,"",1,1)))</f>
        <v/>
      </c>
      <c r="L266" s="184" t="str" cm="1">
        <f t="array" ref="L266">IFERROR(_xlfn.IFNA(
                      _xlfn.IFS(
                      G266="", "",
                      G266=0, "",
                      AND(E266="U10B",G266&lt;=Data!$M$3), "U10 Boys record",
                      AND(E266="U12B",G266&lt;=Data!$M$9), "U12 Boys record",
                      AND(E266="U10G",G266&lt;=Data!$M$16), "U10 Girls record",
                      AND(E266="U12G",G266&lt;=Data!$M$22), "U12 Girls record"
                       ),""), "")</f>
        <v/>
      </c>
      <c r="M266" s="19" cm="1">
        <f t="array" ref="M266">_xlfn.IFS(OR($G266="",$G266=0),0, AND(NOT(ISNUMBER($G266)),LOWER($G266)&lt;&gt;"dnf"),"Not a valid time",OR(LOWER($G266)="dnf",$G266&gt;ScoringTable!$N$161),1,RIGHT($E266,1)="B",_xlfn.XLOOKUP($G266,ScoringTable!$N$2:$N$161,ScoringTable!$L$2:$L$161,,1),TRUE,_xlfn.XLOOKUP($G266,ScoringTable!$T$2:$T$161,ScoringTable!$R$2:$R$161,,1))</f>
        <v>0</v>
      </c>
      <c r="Q266" s="125">
        <f t="shared" si="20"/>
        <v>0</v>
      </c>
      <c r="R266" s="126">
        <f t="shared" si="21"/>
        <v>0</v>
      </c>
      <c r="S266" s="127">
        <f t="shared" si="22"/>
        <v>0</v>
      </c>
      <c r="T266" s="126">
        <f t="shared" si="23"/>
        <v>0</v>
      </c>
      <c r="U266" s="128">
        <f t="shared" si="24"/>
        <v>0</v>
      </c>
    </row>
    <row r="267" spans="1:21" s="7" customFormat="1" ht="16" customHeight="1">
      <c r="A267" s="121" t="s">
        <v>3</v>
      </c>
      <c r="B267" s="122" t="str">
        <f>IF(ISNA(VLOOKUP($F267,Declarations!B$6:C$293,2,FALSE)),"",IF(VLOOKUP($F267,Declarations!B$6:C$293,2,FALSE)="","NOT DECLARED",IF(ISNA(_xlfn.TEXTBEFORE(VLOOKUP($F267,Declarations!B$6:C$293,2,FALSE)," ")),VLOOKUP($F267,Declarations!B$6:C$293,2,FALSE),_xlfn.TEXTBEFORE(VLOOKUP($F267,Declarations!B$6:C$293,2,FALSE)," "))))</f>
        <v/>
      </c>
      <c r="C267" s="122" t="str">
        <f>IF(ISNA(VLOOKUP($F267,Declarations!B$6:C$293,2,FALSE)),"",IF(VLOOKUP($F267,Declarations!B$6:C$293,2,FALSE)="","NOT DECLARED",IF(ISNA(_xlfn.TEXTAFTER(VLOOKUP($F267,Declarations!B$6:C$293,2,FALSE)," ")),VLOOKUP($F267,Declarations!B$6:C$293,2,FALSE),_xlfn.TEXTAFTER(VLOOKUP($F267,Declarations!B$6:C$293,2,FALSE)," "))))</f>
        <v/>
      </c>
      <c r="D267" s="122" t="str">
        <f>IF(ISNA(VLOOKUP($F267,Declarations!$B$6:$F$293,5,FALSE)),"",IF(VLOOKUP($F267,Declarations!$B$6:$F$293,5,FALSE)="","NOT DECLARED",VLOOKUP($F267,Declarations!$B$6:$F$293,5,FALSE)))</f>
        <v/>
      </c>
      <c r="E267" s="120" t="str">
        <f>IF(ISNA(VLOOKUP($F267,Declarations!$B$6:$D$293,3,FALSE)),"",IF(VLOOKUP($F267,Declarations!$B$6:$D$293,3,FALSE)="","NOT DECLARED",VLOOKUP($F267,Declarations!$B$6:$D$293,3,FALSE)&amp;LEFT(VLOOKUP($F267,Declarations!$B$6:$E$293,4,FALSE))))</f>
        <v/>
      </c>
      <c r="F267" s="59"/>
      <c r="G267" s="123">
        <v>0</v>
      </c>
      <c r="H267" s="322"/>
      <c r="I267" s="122" t="str">
        <f>IF(ISNA(VLOOKUP(F267,Declarations!B$6:C$293,2,FALSE)),"",IF(VLOOKUP(F267,Declarations!B$6:C$293,2,FALSE)="","NOTDECLARED",VLOOKUP(F267,Declarations!B$6:C$293,2,FALSE)))</f>
        <v/>
      </c>
      <c r="J267" s="124">
        <f>IF(LOWER(G267)="dnf",1,IF(U267&lt;ScoringTable!C$3,ScoringTable!I$2,VLOOKUP((1000-U267),ScoringTable!H$2:I$95,2)))</f>
        <v>0</v>
      </c>
      <c r="K267" s="120" t="str" cm="1">
        <f t="array" ref="K267">IF(OR(E267="",G267=""),"",_xlfn.IFS(E267="U10B",_xlfn.XLOOKUP(G267,Data!$D$3:$L$3,Data!$D$1:$L$1,"",1,1),E267="U12B",_xlfn.XLOOKUP(G267,Data!$D$9:$L$9,Data!$D$1:$L$1,"",1,1),E267="U10G",_xlfn.XLOOKUP(G267,Data!$D$16:$L$16,Data!$D$1:$L$1,"",1,1),E267="U12G",_xlfn.XLOOKUP(G267,Data!$D$22:$L$22,Data!$D$1:$L$1,"",1,1)))</f>
        <v/>
      </c>
      <c r="L267" s="184" t="str" cm="1">
        <f t="array" ref="L267">IFERROR(_xlfn.IFNA(
                      _xlfn.IFS(
                      G267="", "",
                      G267=0, "",
                      AND(E267="U10B",G267&lt;=Data!$M$3), "U10 Boys record",
                      AND(E267="U12B",G267&lt;=Data!$M$9), "U12 Boys record",
                      AND(E267="U10G",G267&lt;=Data!$M$16), "U10 Girls record",
                      AND(E267="U12G",G267&lt;=Data!$M$22), "U12 Girls record"
                       ),""), "")</f>
        <v/>
      </c>
      <c r="M267" s="19" cm="1">
        <f t="array" ref="M267">_xlfn.IFS(OR($G267="",$G267=0),0, AND(NOT(ISNUMBER($G267)),LOWER($G267)&lt;&gt;"dnf"),"Not a valid time",OR(LOWER($G267)="dnf",$G267&gt;ScoringTable!$N$161),1,RIGHT($E267,1)="B",_xlfn.XLOOKUP($G267,ScoringTable!$N$2:$N$161,ScoringTable!$L$2:$L$161,,1),TRUE,_xlfn.XLOOKUP($G267,ScoringTable!$T$2:$T$161,ScoringTable!$R$2:$R$161,,1))</f>
        <v>0</v>
      </c>
      <c r="Q267" s="125">
        <f t="shared" si="20"/>
        <v>0</v>
      </c>
      <c r="R267" s="126">
        <f t="shared" si="21"/>
        <v>0</v>
      </c>
      <c r="S267" s="127">
        <f t="shared" si="22"/>
        <v>0</v>
      </c>
      <c r="T267" s="126">
        <f t="shared" si="23"/>
        <v>0</v>
      </c>
      <c r="U267" s="128">
        <f t="shared" si="24"/>
        <v>0</v>
      </c>
    </row>
    <row r="268" spans="1:21" s="7" customFormat="1" ht="16" customHeight="1">
      <c r="A268" s="121" t="s">
        <v>3</v>
      </c>
      <c r="B268" s="122" t="str">
        <f>IF(ISNA(VLOOKUP($F268,Declarations!B$6:C$293,2,FALSE)),"",IF(VLOOKUP($F268,Declarations!B$6:C$293,2,FALSE)="","NOT DECLARED",IF(ISNA(_xlfn.TEXTBEFORE(VLOOKUP($F268,Declarations!B$6:C$293,2,FALSE)," ")),VLOOKUP($F268,Declarations!B$6:C$293,2,FALSE),_xlfn.TEXTBEFORE(VLOOKUP($F268,Declarations!B$6:C$293,2,FALSE)," "))))</f>
        <v/>
      </c>
      <c r="C268" s="122" t="str">
        <f>IF(ISNA(VLOOKUP($F268,Declarations!B$6:C$293,2,FALSE)),"",IF(VLOOKUP($F268,Declarations!B$6:C$293,2,FALSE)="","NOT DECLARED",IF(ISNA(_xlfn.TEXTAFTER(VLOOKUP($F268,Declarations!B$6:C$293,2,FALSE)," ")),VLOOKUP($F268,Declarations!B$6:C$293,2,FALSE),_xlfn.TEXTAFTER(VLOOKUP($F268,Declarations!B$6:C$293,2,FALSE)," "))))</f>
        <v/>
      </c>
      <c r="D268" s="122" t="str">
        <f>IF(ISNA(VLOOKUP($F268,Declarations!$B$6:$F$293,5,FALSE)),"",IF(VLOOKUP($F268,Declarations!$B$6:$F$293,5,FALSE)="","NOT DECLARED",VLOOKUP($F268,Declarations!$B$6:$F$293,5,FALSE)))</f>
        <v/>
      </c>
      <c r="E268" s="120" t="str">
        <f>IF(ISNA(VLOOKUP($F268,Declarations!$B$6:$D$293,3,FALSE)),"",IF(VLOOKUP($F268,Declarations!$B$6:$D$293,3,FALSE)="","NOT DECLARED",VLOOKUP($F268,Declarations!$B$6:$D$293,3,FALSE)&amp;LEFT(VLOOKUP($F268,Declarations!$B$6:$E$293,4,FALSE))))</f>
        <v/>
      </c>
      <c r="F268" s="59"/>
      <c r="G268" s="123">
        <v>0</v>
      </c>
      <c r="H268" s="322"/>
      <c r="I268" s="122" t="str">
        <f>IF(ISNA(VLOOKUP(F268,Declarations!B$6:C$293,2,FALSE)),"",IF(VLOOKUP(F268,Declarations!B$6:C$293,2,FALSE)="","NOTDECLARED",VLOOKUP(F268,Declarations!B$6:C$293,2,FALSE)))</f>
        <v/>
      </c>
      <c r="J268" s="124">
        <f>IF(LOWER(G268)="dnf",1,IF(U268&lt;ScoringTable!C$3,ScoringTable!I$2,VLOOKUP((1000-U268),ScoringTable!H$2:I$95,2)))</f>
        <v>0</v>
      </c>
      <c r="K268" s="120" t="str" cm="1">
        <f t="array" ref="K268">IF(OR(E268="",G268=""),"",_xlfn.IFS(E268="U10B",_xlfn.XLOOKUP(G268,Data!$D$3:$L$3,Data!$D$1:$L$1,"",1,1),E268="U12B",_xlfn.XLOOKUP(G268,Data!$D$9:$L$9,Data!$D$1:$L$1,"",1,1),E268="U10G",_xlfn.XLOOKUP(G268,Data!$D$16:$L$16,Data!$D$1:$L$1,"",1,1),E268="U12G",_xlfn.XLOOKUP(G268,Data!$D$22:$L$22,Data!$D$1:$L$1,"",1,1)))</f>
        <v/>
      </c>
      <c r="L268" s="184" t="str" cm="1">
        <f t="array" ref="L268">IFERROR(_xlfn.IFNA(
                      _xlfn.IFS(
                      G268="", "",
                      G268=0, "",
                      AND(E268="U10B",G268&lt;=Data!$M$3), "U10 Boys record",
                      AND(E268="U12B",G268&lt;=Data!$M$9), "U12 Boys record",
                      AND(E268="U10G",G268&lt;=Data!$M$16), "U10 Girls record",
                      AND(E268="U12G",G268&lt;=Data!$M$22), "U12 Girls record"
                       ),""), "")</f>
        <v/>
      </c>
      <c r="M268" s="19" cm="1">
        <f t="array" ref="M268">_xlfn.IFS(OR($G268="",$G268=0),0, AND(NOT(ISNUMBER($G268)),LOWER($G268)&lt;&gt;"dnf"),"Not a valid time",OR(LOWER($G268)="dnf",$G268&gt;ScoringTable!$N$161),1,RIGHT($E268,1)="B",_xlfn.XLOOKUP($G268,ScoringTable!$N$2:$N$161,ScoringTable!$L$2:$L$161,,1),TRUE,_xlfn.XLOOKUP($G268,ScoringTable!$T$2:$T$161,ScoringTable!$R$2:$R$161,,1))</f>
        <v>0</v>
      </c>
      <c r="Q268" s="125">
        <f t="shared" si="20"/>
        <v>0</v>
      </c>
      <c r="R268" s="126">
        <f t="shared" si="21"/>
        <v>0</v>
      </c>
      <c r="S268" s="127">
        <f t="shared" si="22"/>
        <v>0</v>
      </c>
      <c r="T268" s="126">
        <f t="shared" si="23"/>
        <v>0</v>
      </c>
      <c r="U268" s="128">
        <f t="shared" si="24"/>
        <v>0</v>
      </c>
    </row>
    <row r="269" spans="1:21" s="7" customFormat="1" ht="16" customHeight="1">
      <c r="A269" s="121" t="s">
        <v>3</v>
      </c>
      <c r="B269" s="122" t="str">
        <f>IF(ISNA(VLOOKUP($F269,Declarations!B$6:C$293,2,FALSE)),"",IF(VLOOKUP($F269,Declarations!B$6:C$293,2,FALSE)="","NOT DECLARED",IF(ISNA(_xlfn.TEXTBEFORE(VLOOKUP($F269,Declarations!B$6:C$293,2,FALSE)," ")),VLOOKUP($F269,Declarations!B$6:C$293,2,FALSE),_xlfn.TEXTBEFORE(VLOOKUP($F269,Declarations!B$6:C$293,2,FALSE)," "))))</f>
        <v/>
      </c>
      <c r="C269" s="122" t="str">
        <f>IF(ISNA(VLOOKUP($F269,Declarations!B$6:C$293,2,FALSE)),"",IF(VLOOKUP($F269,Declarations!B$6:C$293,2,FALSE)="","NOT DECLARED",IF(ISNA(_xlfn.TEXTAFTER(VLOOKUP($F269,Declarations!B$6:C$293,2,FALSE)," ")),VLOOKUP($F269,Declarations!B$6:C$293,2,FALSE),_xlfn.TEXTAFTER(VLOOKUP($F269,Declarations!B$6:C$293,2,FALSE)," "))))</f>
        <v/>
      </c>
      <c r="D269" s="122" t="str">
        <f>IF(ISNA(VLOOKUP($F269,Declarations!$B$6:$F$293,5,FALSE)),"",IF(VLOOKUP($F269,Declarations!$B$6:$F$293,5,FALSE)="","NOT DECLARED",VLOOKUP($F269,Declarations!$B$6:$F$293,5,FALSE)))</f>
        <v/>
      </c>
      <c r="E269" s="120" t="str">
        <f>IF(ISNA(VLOOKUP($F269,Declarations!$B$6:$D$293,3,FALSE)),"",IF(VLOOKUP($F269,Declarations!$B$6:$D$293,3,FALSE)="","NOT DECLARED",VLOOKUP($F269,Declarations!$B$6:$D$293,3,FALSE)&amp;LEFT(VLOOKUP($F269,Declarations!$B$6:$E$293,4,FALSE))))</f>
        <v/>
      </c>
      <c r="F269" s="59"/>
      <c r="G269" s="123">
        <v>0</v>
      </c>
      <c r="H269" s="322"/>
      <c r="I269" s="122" t="str">
        <f>IF(ISNA(VLOOKUP(F269,Declarations!B$6:C$293,2,FALSE)),"",IF(VLOOKUP(F269,Declarations!B$6:C$293,2,FALSE)="","NOTDECLARED",VLOOKUP(F269,Declarations!B$6:C$293,2,FALSE)))</f>
        <v/>
      </c>
      <c r="J269" s="124">
        <f>IF(LOWER(G269)="dnf",1,IF(U269&lt;ScoringTable!C$3,ScoringTable!I$2,VLOOKUP((1000-U269),ScoringTable!H$2:I$95,2)))</f>
        <v>0</v>
      </c>
      <c r="K269" s="120" t="str" cm="1">
        <f t="array" ref="K269">IF(OR(E269="",G269=""),"",_xlfn.IFS(E269="U10B",_xlfn.XLOOKUP(G269,Data!$D$3:$L$3,Data!$D$1:$L$1,"",1,1),E269="U12B",_xlfn.XLOOKUP(G269,Data!$D$9:$L$9,Data!$D$1:$L$1,"",1,1),E269="U10G",_xlfn.XLOOKUP(G269,Data!$D$16:$L$16,Data!$D$1:$L$1,"",1,1),E269="U12G",_xlfn.XLOOKUP(G269,Data!$D$22:$L$22,Data!$D$1:$L$1,"",1,1)))</f>
        <v/>
      </c>
      <c r="L269" s="184" t="str" cm="1">
        <f t="array" ref="L269">IFERROR(_xlfn.IFNA(
                      _xlfn.IFS(
                      G269="", "",
                      G269=0, "",
                      AND(E269="U10B",G269&lt;=Data!$M$3), "U10 Boys record",
                      AND(E269="U12B",G269&lt;=Data!$M$9), "U12 Boys record",
                      AND(E269="U10G",G269&lt;=Data!$M$16), "U10 Girls record",
                      AND(E269="U12G",G269&lt;=Data!$M$22), "U12 Girls record"
                       ),""), "")</f>
        <v/>
      </c>
      <c r="M269" s="19" cm="1">
        <f t="array" ref="M269">_xlfn.IFS(OR($G269="",$G269=0),0, AND(NOT(ISNUMBER($G269)),LOWER($G269)&lt;&gt;"dnf"),"Not a valid time",OR(LOWER($G269)="dnf",$G269&gt;ScoringTable!$N$161),1,RIGHT($E269,1)="B",_xlfn.XLOOKUP($G269,ScoringTable!$N$2:$N$161,ScoringTable!$L$2:$L$161,,1),TRUE,_xlfn.XLOOKUP($G269,ScoringTable!$T$2:$T$161,ScoringTable!$R$2:$R$161,,1))</f>
        <v>0</v>
      </c>
      <c r="Q269" s="125">
        <f t="shared" si="20"/>
        <v>0</v>
      </c>
      <c r="R269" s="126">
        <f t="shared" si="21"/>
        <v>0</v>
      </c>
      <c r="S269" s="127">
        <f t="shared" si="22"/>
        <v>0</v>
      </c>
      <c r="T269" s="126">
        <f t="shared" si="23"/>
        <v>0</v>
      </c>
      <c r="U269" s="128">
        <f t="shared" si="24"/>
        <v>0</v>
      </c>
    </row>
    <row r="270" spans="1:21" s="7" customFormat="1" ht="16" customHeight="1">
      <c r="A270" s="121" t="s">
        <v>3</v>
      </c>
      <c r="B270" s="122" t="str">
        <f>IF(ISNA(VLOOKUP($F270,Declarations!B$6:C$293,2,FALSE)),"",IF(VLOOKUP($F270,Declarations!B$6:C$293,2,FALSE)="","NOT DECLARED",IF(ISNA(_xlfn.TEXTBEFORE(VLOOKUP($F270,Declarations!B$6:C$293,2,FALSE)," ")),VLOOKUP($F270,Declarations!B$6:C$293,2,FALSE),_xlfn.TEXTBEFORE(VLOOKUP($F270,Declarations!B$6:C$293,2,FALSE)," "))))</f>
        <v/>
      </c>
      <c r="C270" s="122" t="str">
        <f>IF(ISNA(VLOOKUP($F270,Declarations!B$6:C$293,2,FALSE)),"",IF(VLOOKUP($F270,Declarations!B$6:C$293,2,FALSE)="","NOT DECLARED",IF(ISNA(_xlfn.TEXTAFTER(VLOOKUP($F270,Declarations!B$6:C$293,2,FALSE)," ")),VLOOKUP($F270,Declarations!B$6:C$293,2,FALSE),_xlfn.TEXTAFTER(VLOOKUP($F270,Declarations!B$6:C$293,2,FALSE)," "))))</f>
        <v/>
      </c>
      <c r="D270" s="122" t="str">
        <f>IF(ISNA(VLOOKUP($F270,Declarations!$B$6:$F$293,5,FALSE)),"",IF(VLOOKUP($F270,Declarations!$B$6:$F$293,5,FALSE)="","NOT DECLARED",VLOOKUP($F270,Declarations!$B$6:$F$293,5,FALSE)))</f>
        <v/>
      </c>
      <c r="E270" s="120" t="str">
        <f>IF(ISNA(VLOOKUP($F270,Declarations!$B$6:$D$293,3,FALSE)),"",IF(VLOOKUP($F270,Declarations!$B$6:$D$293,3,FALSE)="","NOT DECLARED",VLOOKUP($F270,Declarations!$B$6:$D$293,3,FALSE)&amp;LEFT(VLOOKUP($F270,Declarations!$B$6:$E$293,4,FALSE))))</f>
        <v/>
      </c>
      <c r="F270" s="59"/>
      <c r="G270" s="123">
        <v>0</v>
      </c>
      <c r="H270" s="322"/>
      <c r="I270" s="122" t="str">
        <f>IF(ISNA(VLOOKUP(F270,Declarations!B$6:C$293,2,FALSE)),"",IF(VLOOKUP(F270,Declarations!B$6:C$293,2,FALSE)="","NOTDECLARED",VLOOKUP(F270,Declarations!B$6:C$293,2,FALSE)))</f>
        <v/>
      </c>
      <c r="J270" s="124">
        <f>IF(LOWER(G270)="dnf",1,IF(U270&lt;ScoringTable!C$3,ScoringTable!I$2,VLOOKUP((1000-U270),ScoringTable!H$2:I$95,2)))</f>
        <v>0</v>
      </c>
      <c r="K270" s="120" t="str" cm="1">
        <f t="array" ref="K270">IF(OR(E270="",G270=""),"",_xlfn.IFS(E270="U10B",_xlfn.XLOOKUP(G270,Data!$D$3:$L$3,Data!$D$1:$L$1,"",1,1),E270="U12B",_xlfn.XLOOKUP(G270,Data!$D$9:$L$9,Data!$D$1:$L$1,"",1,1),E270="U10G",_xlfn.XLOOKUP(G270,Data!$D$16:$L$16,Data!$D$1:$L$1,"",1,1),E270="U12G",_xlfn.XLOOKUP(G270,Data!$D$22:$L$22,Data!$D$1:$L$1,"",1,1)))</f>
        <v/>
      </c>
      <c r="L270" s="184" t="str" cm="1">
        <f t="array" ref="L270">IFERROR(_xlfn.IFNA(
                      _xlfn.IFS(
                      G270="", "",
                      G270=0, "",
                      AND(E270="U10B",G270&lt;=Data!$M$3), "U10 Boys record",
                      AND(E270="U12B",G270&lt;=Data!$M$9), "U12 Boys record",
                      AND(E270="U10G",G270&lt;=Data!$M$16), "U10 Girls record",
                      AND(E270="U12G",G270&lt;=Data!$M$22), "U12 Girls record"
                       ),""), "")</f>
        <v/>
      </c>
      <c r="M270" s="19" cm="1">
        <f t="array" ref="M270">_xlfn.IFS(OR($G270="",$G270=0),0, AND(NOT(ISNUMBER($G270)),LOWER($G270)&lt;&gt;"dnf"),"Not a valid time",OR(LOWER($G270)="dnf",$G270&gt;ScoringTable!$N$161),1,RIGHT($E270,1)="B",_xlfn.XLOOKUP($G270,ScoringTable!$N$2:$N$161,ScoringTable!$L$2:$L$161,,1),TRUE,_xlfn.XLOOKUP($G270,ScoringTable!$T$2:$T$161,ScoringTable!$R$2:$R$161,,1))</f>
        <v>0</v>
      </c>
      <c r="Q270" s="125">
        <f t="shared" si="20"/>
        <v>0</v>
      </c>
      <c r="R270" s="126">
        <f t="shared" si="21"/>
        <v>0</v>
      </c>
      <c r="S270" s="127">
        <f t="shared" si="22"/>
        <v>0</v>
      </c>
      <c r="T270" s="126">
        <f t="shared" si="23"/>
        <v>0</v>
      </c>
      <c r="U270" s="128">
        <f t="shared" si="24"/>
        <v>0</v>
      </c>
    </row>
    <row r="271" spans="1:21" s="7" customFormat="1" ht="16" customHeight="1">
      <c r="A271" s="121" t="s">
        <v>3</v>
      </c>
      <c r="B271" s="122" t="str">
        <f>IF(ISNA(VLOOKUP($F271,Declarations!B$6:C$293,2,FALSE)),"",IF(VLOOKUP($F271,Declarations!B$6:C$293,2,FALSE)="","NOT DECLARED",IF(ISNA(_xlfn.TEXTBEFORE(VLOOKUP($F271,Declarations!B$6:C$293,2,FALSE)," ")),VLOOKUP($F271,Declarations!B$6:C$293,2,FALSE),_xlfn.TEXTBEFORE(VLOOKUP($F271,Declarations!B$6:C$293,2,FALSE)," "))))</f>
        <v/>
      </c>
      <c r="C271" s="122" t="str">
        <f>IF(ISNA(VLOOKUP($F271,Declarations!B$6:C$293,2,FALSE)),"",IF(VLOOKUP($F271,Declarations!B$6:C$293,2,FALSE)="","NOT DECLARED",IF(ISNA(_xlfn.TEXTAFTER(VLOOKUP($F271,Declarations!B$6:C$293,2,FALSE)," ")),VLOOKUP($F271,Declarations!B$6:C$293,2,FALSE),_xlfn.TEXTAFTER(VLOOKUP($F271,Declarations!B$6:C$293,2,FALSE)," "))))</f>
        <v/>
      </c>
      <c r="D271" s="122" t="str">
        <f>IF(ISNA(VLOOKUP($F271,Declarations!$B$6:$F$293,5,FALSE)),"",IF(VLOOKUP($F271,Declarations!$B$6:$F$293,5,FALSE)="","NOT DECLARED",VLOOKUP($F271,Declarations!$B$6:$F$293,5,FALSE)))</f>
        <v/>
      </c>
      <c r="E271" s="120" t="str">
        <f>IF(ISNA(VLOOKUP($F271,Declarations!$B$6:$D$293,3,FALSE)),"",IF(VLOOKUP($F271,Declarations!$B$6:$D$293,3,FALSE)="","NOT DECLARED",VLOOKUP($F271,Declarations!$B$6:$D$293,3,FALSE)&amp;LEFT(VLOOKUP($F271,Declarations!$B$6:$E$293,4,FALSE))))</f>
        <v/>
      </c>
      <c r="F271" s="59"/>
      <c r="G271" s="123">
        <v>0</v>
      </c>
      <c r="H271" s="322"/>
      <c r="I271" s="122" t="str">
        <f>IF(ISNA(VLOOKUP(F271,Declarations!B$6:C$293,2,FALSE)),"",IF(VLOOKUP(F271,Declarations!B$6:C$293,2,FALSE)="","NOTDECLARED",VLOOKUP(F271,Declarations!B$6:C$293,2,FALSE)))</f>
        <v/>
      </c>
      <c r="J271" s="124">
        <f>IF(LOWER(G271)="dnf",1,IF(U271&lt;ScoringTable!C$3,ScoringTable!I$2,VLOOKUP((1000-U271),ScoringTable!H$2:I$95,2)))</f>
        <v>0</v>
      </c>
      <c r="K271" s="120" t="str" cm="1">
        <f t="array" ref="K271">IF(OR(E271="",G271=""),"",_xlfn.IFS(E271="U10B",_xlfn.XLOOKUP(G271,Data!$D$3:$L$3,Data!$D$1:$L$1,"",1,1),E271="U12B",_xlfn.XLOOKUP(G271,Data!$D$9:$L$9,Data!$D$1:$L$1,"",1,1),E271="U10G",_xlfn.XLOOKUP(G271,Data!$D$16:$L$16,Data!$D$1:$L$1,"",1,1),E271="U12G",_xlfn.XLOOKUP(G271,Data!$D$22:$L$22,Data!$D$1:$L$1,"",1,1)))</f>
        <v/>
      </c>
      <c r="L271" s="184" t="str" cm="1">
        <f t="array" ref="L271">IFERROR(_xlfn.IFNA(
                      _xlfn.IFS(
                      G271="", "",
                      G271=0, "",
                      AND(E271="U10B",G271&lt;=Data!$M$3), "U10 Boys record",
                      AND(E271="U12B",G271&lt;=Data!$M$9), "U12 Boys record",
                      AND(E271="U10G",G271&lt;=Data!$M$16), "U10 Girls record",
                      AND(E271="U12G",G271&lt;=Data!$M$22), "U12 Girls record"
                       ),""), "")</f>
        <v/>
      </c>
      <c r="M271" s="19" cm="1">
        <f t="array" ref="M271">_xlfn.IFS(OR($G271="",$G271=0),0, AND(NOT(ISNUMBER($G271)),LOWER($G271)&lt;&gt;"dnf"),"Not a valid time",OR(LOWER($G271)="dnf",$G271&gt;ScoringTable!$N$161),1,RIGHT($E271,1)="B",_xlfn.XLOOKUP($G271,ScoringTable!$N$2:$N$161,ScoringTable!$L$2:$L$161,,1),TRUE,_xlfn.XLOOKUP($G271,ScoringTable!$T$2:$T$161,ScoringTable!$R$2:$R$161,,1))</f>
        <v>0</v>
      </c>
      <c r="Q271" s="125">
        <f t="shared" si="20"/>
        <v>0</v>
      </c>
      <c r="R271" s="126">
        <f t="shared" si="21"/>
        <v>0</v>
      </c>
      <c r="S271" s="127">
        <f t="shared" si="22"/>
        <v>0</v>
      </c>
      <c r="T271" s="126">
        <f t="shared" si="23"/>
        <v>0</v>
      </c>
      <c r="U271" s="128">
        <f t="shared" si="24"/>
        <v>0</v>
      </c>
    </row>
    <row r="272" spans="1:21" s="7" customFormat="1" ht="16" customHeight="1">
      <c r="A272" s="121" t="s">
        <v>3</v>
      </c>
      <c r="B272" s="122" t="str">
        <f>IF(ISNA(VLOOKUP($F272,Declarations!B$6:C$293,2,FALSE)),"",IF(VLOOKUP($F272,Declarations!B$6:C$293,2,FALSE)="","NOT DECLARED",IF(ISNA(_xlfn.TEXTBEFORE(VLOOKUP($F272,Declarations!B$6:C$293,2,FALSE)," ")),VLOOKUP($F272,Declarations!B$6:C$293,2,FALSE),_xlfn.TEXTBEFORE(VLOOKUP($F272,Declarations!B$6:C$293,2,FALSE)," "))))</f>
        <v/>
      </c>
      <c r="C272" s="122" t="str">
        <f>IF(ISNA(VLOOKUP($F272,Declarations!B$6:C$293,2,FALSE)),"",IF(VLOOKUP($F272,Declarations!B$6:C$293,2,FALSE)="","NOT DECLARED",IF(ISNA(_xlfn.TEXTAFTER(VLOOKUP($F272,Declarations!B$6:C$293,2,FALSE)," ")),VLOOKUP($F272,Declarations!B$6:C$293,2,FALSE),_xlfn.TEXTAFTER(VLOOKUP($F272,Declarations!B$6:C$293,2,FALSE)," "))))</f>
        <v/>
      </c>
      <c r="D272" s="122" t="str">
        <f>IF(ISNA(VLOOKUP($F272,Declarations!$B$6:$F$293,5,FALSE)),"",IF(VLOOKUP($F272,Declarations!$B$6:$F$293,5,FALSE)="","NOT DECLARED",VLOOKUP($F272,Declarations!$B$6:$F$293,5,FALSE)))</f>
        <v/>
      </c>
      <c r="E272" s="120" t="str">
        <f>IF(ISNA(VLOOKUP($F272,Declarations!$B$6:$D$293,3,FALSE)),"",IF(VLOOKUP($F272,Declarations!$B$6:$D$293,3,FALSE)="","NOT DECLARED",VLOOKUP($F272,Declarations!$B$6:$D$293,3,FALSE)&amp;LEFT(VLOOKUP($F272,Declarations!$B$6:$E$293,4,FALSE))))</f>
        <v/>
      </c>
      <c r="F272" s="59"/>
      <c r="G272" s="123">
        <v>0</v>
      </c>
      <c r="H272" s="322"/>
      <c r="I272" s="122" t="str">
        <f>IF(ISNA(VLOOKUP(F272,Declarations!B$6:C$293,2,FALSE)),"",IF(VLOOKUP(F272,Declarations!B$6:C$293,2,FALSE)="","NOTDECLARED",VLOOKUP(F272,Declarations!B$6:C$293,2,FALSE)))</f>
        <v/>
      </c>
      <c r="J272" s="124">
        <f>IF(LOWER(G272)="dnf",1,IF(U272&lt;ScoringTable!C$3,ScoringTable!I$2,VLOOKUP((1000-U272),ScoringTable!H$2:I$95,2)))</f>
        <v>0</v>
      </c>
      <c r="K272" s="120" t="str" cm="1">
        <f t="array" ref="K272">IF(OR(E272="",G272=""),"",_xlfn.IFS(E272="U10B",_xlfn.XLOOKUP(G272,Data!$D$3:$L$3,Data!$D$1:$L$1,"",1,1),E272="U12B",_xlfn.XLOOKUP(G272,Data!$D$9:$L$9,Data!$D$1:$L$1,"",1,1),E272="U10G",_xlfn.XLOOKUP(G272,Data!$D$16:$L$16,Data!$D$1:$L$1,"",1,1),E272="U12G",_xlfn.XLOOKUP(G272,Data!$D$22:$L$22,Data!$D$1:$L$1,"",1,1)))</f>
        <v/>
      </c>
      <c r="L272" s="184" t="str" cm="1">
        <f t="array" ref="L272">IFERROR(_xlfn.IFNA(
                      _xlfn.IFS(
                      G272="", "",
                      G272=0, "",
                      AND(E272="U10B",G272&lt;=Data!$M$3), "U10 Boys record",
                      AND(E272="U12B",G272&lt;=Data!$M$9), "U12 Boys record",
                      AND(E272="U10G",G272&lt;=Data!$M$16), "U10 Girls record",
                      AND(E272="U12G",G272&lt;=Data!$M$22), "U12 Girls record"
                       ),""), "")</f>
        <v/>
      </c>
      <c r="M272" s="19" cm="1">
        <f t="array" ref="M272">_xlfn.IFS(OR($G272="",$G272=0),0, AND(NOT(ISNUMBER($G272)),LOWER($G272)&lt;&gt;"dnf"),"Not a valid time",OR(LOWER($G272)="dnf",$G272&gt;ScoringTable!$N$161),1,RIGHT($E272,1)="B",_xlfn.XLOOKUP($G272,ScoringTable!$N$2:$N$161,ScoringTable!$L$2:$L$161,,1),TRUE,_xlfn.XLOOKUP($G272,ScoringTable!$T$2:$T$161,ScoringTable!$R$2:$R$161,,1))</f>
        <v>0</v>
      </c>
      <c r="Q272" s="125">
        <f t="shared" si="20"/>
        <v>0</v>
      </c>
      <c r="R272" s="126">
        <f t="shared" si="21"/>
        <v>0</v>
      </c>
      <c r="S272" s="127">
        <f t="shared" si="22"/>
        <v>0</v>
      </c>
      <c r="T272" s="126">
        <f t="shared" si="23"/>
        <v>0</v>
      </c>
      <c r="U272" s="128">
        <f t="shared" si="24"/>
        <v>0</v>
      </c>
    </row>
    <row r="273" spans="1:21" s="7" customFormat="1" ht="16" customHeight="1">
      <c r="A273" s="121" t="s">
        <v>3</v>
      </c>
      <c r="B273" s="122" t="str">
        <f>IF(ISNA(VLOOKUP($F273,Declarations!B$6:C$293,2,FALSE)),"",IF(VLOOKUP($F273,Declarations!B$6:C$293,2,FALSE)="","NOT DECLARED",IF(ISNA(_xlfn.TEXTBEFORE(VLOOKUP($F273,Declarations!B$6:C$293,2,FALSE)," ")),VLOOKUP($F273,Declarations!B$6:C$293,2,FALSE),_xlfn.TEXTBEFORE(VLOOKUP($F273,Declarations!B$6:C$293,2,FALSE)," "))))</f>
        <v/>
      </c>
      <c r="C273" s="122" t="str">
        <f>IF(ISNA(VLOOKUP($F273,Declarations!B$6:C$293,2,FALSE)),"",IF(VLOOKUP($F273,Declarations!B$6:C$293,2,FALSE)="","NOT DECLARED",IF(ISNA(_xlfn.TEXTAFTER(VLOOKUP($F273,Declarations!B$6:C$293,2,FALSE)," ")),VLOOKUP($F273,Declarations!B$6:C$293,2,FALSE),_xlfn.TEXTAFTER(VLOOKUP($F273,Declarations!B$6:C$293,2,FALSE)," "))))</f>
        <v/>
      </c>
      <c r="D273" s="122" t="str">
        <f>IF(ISNA(VLOOKUP($F273,Declarations!$B$6:$F$293,5,FALSE)),"",IF(VLOOKUP($F273,Declarations!$B$6:$F$293,5,FALSE)="","NOT DECLARED",VLOOKUP($F273,Declarations!$B$6:$F$293,5,FALSE)))</f>
        <v/>
      </c>
      <c r="E273" s="120" t="str">
        <f>IF(ISNA(VLOOKUP($F273,Declarations!$B$6:$D$293,3,FALSE)),"",IF(VLOOKUP($F273,Declarations!$B$6:$D$293,3,FALSE)="","NOT DECLARED",VLOOKUP($F273,Declarations!$B$6:$D$293,3,FALSE)&amp;LEFT(VLOOKUP($F273,Declarations!$B$6:$E$293,4,FALSE))))</f>
        <v/>
      </c>
      <c r="F273" s="59"/>
      <c r="G273" s="123">
        <v>0</v>
      </c>
      <c r="H273" s="322"/>
      <c r="I273" s="122" t="str">
        <f>IF(ISNA(VLOOKUP(F273,Declarations!B$6:C$293,2,FALSE)),"",IF(VLOOKUP(F273,Declarations!B$6:C$293,2,FALSE)="","NOTDECLARED",VLOOKUP(F273,Declarations!B$6:C$293,2,FALSE)))</f>
        <v/>
      </c>
      <c r="J273" s="124">
        <f>IF(LOWER(G273)="dnf",1,IF(U273&lt;ScoringTable!C$3,ScoringTable!I$2,VLOOKUP((1000-U273),ScoringTable!H$2:I$95,2)))</f>
        <v>0</v>
      </c>
      <c r="K273" s="120" t="str" cm="1">
        <f t="array" ref="K273">IF(OR(E273="",G273=""),"",_xlfn.IFS(E273="U10B",_xlfn.XLOOKUP(G273,Data!$D$3:$L$3,Data!$D$1:$L$1,"",1,1),E273="U12B",_xlfn.XLOOKUP(G273,Data!$D$9:$L$9,Data!$D$1:$L$1,"",1,1),E273="U10G",_xlfn.XLOOKUP(G273,Data!$D$16:$L$16,Data!$D$1:$L$1,"",1,1),E273="U12G",_xlfn.XLOOKUP(G273,Data!$D$22:$L$22,Data!$D$1:$L$1,"",1,1)))</f>
        <v/>
      </c>
      <c r="L273" s="184" t="str" cm="1">
        <f t="array" ref="L273">IFERROR(_xlfn.IFNA(
                      _xlfn.IFS(
                      G273="", "",
                      G273=0, "",
                      AND(E273="U10B",G273&lt;=Data!$M$3), "U10 Boys record",
                      AND(E273="U12B",G273&lt;=Data!$M$9), "U12 Boys record",
                      AND(E273="U10G",G273&lt;=Data!$M$16), "U10 Girls record",
                      AND(E273="U12G",G273&lt;=Data!$M$22), "U12 Girls record"
                       ),""), "")</f>
        <v/>
      </c>
      <c r="M273" s="19" cm="1">
        <f t="array" ref="M273">_xlfn.IFS(OR($G273="",$G273=0),0, AND(NOT(ISNUMBER($G273)),LOWER($G273)&lt;&gt;"dnf"),"Not a valid time",OR(LOWER($G273)="dnf",$G273&gt;ScoringTable!$N$161),1,RIGHT($E273,1)="B",_xlfn.XLOOKUP($G273,ScoringTable!$N$2:$N$161,ScoringTable!$L$2:$L$161,,1),TRUE,_xlfn.XLOOKUP($G273,ScoringTable!$T$2:$T$161,ScoringTable!$R$2:$R$161,,1))</f>
        <v>0</v>
      </c>
      <c r="Q273" s="125">
        <f t="shared" si="20"/>
        <v>0</v>
      </c>
      <c r="R273" s="126">
        <f t="shared" si="21"/>
        <v>0</v>
      </c>
      <c r="S273" s="127">
        <f t="shared" si="22"/>
        <v>0</v>
      </c>
      <c r="T273" s="126">
        <f t="shared" si="23"/>
        <v>0</v>
      </c>
      <c r="U273" s="128">
        <f t="shared" si="24"/>
        <v>0</v>
      </c>
    </row>
    <row r="274" spans="1:21" s="7" customFormat="1" ht="16" customHeight="1">
      <c r="A274" s="121" t="s">
        <v>3</v>
      </c>
      <c r="B274" s="122" t="str">
        <f>IF(ISNA(VLOOKUP($F274,Declarations!B$6:C$293,2,FALSE)),"",IF(VLOOKUP($F274,Declarations!B$6:C$293,2,FALSE)="","NOT DECLARED",IF(ISNA(_xlfn.TEXTBEFORE(VLOOKUP($F274,Declarations!B$6:C$293,2,FALSE)," ")),VLOOKUP($F274,Declarations!B$6:C$293,2,FALSE),_xlfn.TEXTBEFORE(VLOOKUP($F274,Declarations!B$6:C$293,2,FALSE)," "))))</f>
        <v/>
      </c>
      <c r="C274" s="122" t="str">
        <f>IF(ISNA(VLOOKUP($F274,Declarations!B$6:C$293,2,FALSE)),"",IF(VLOOKUP($F274,Declarations!B$6:C$293,2,FALSE)="","NOT DECLARED",IF(ISNA(_xlfn.TEXTAFTER(VLOOKUP($F274,Declarations!B$6:C$293,2,FALSE)," ")),VLOOKUP($F274,Declarations!B$6:C$293,2,FALSE),_xlfn.TEXTAFTER(VLOOKUP($F274,Declarations!B$6:C$293,2,FALSE)," "))))</f>
        <v/>
      </c>
      <c r="D274" s="122" t="str">
        <f>IF(ISNA(VLOOKUP($F274,Declarations!$B$6:$F$293,5,FALSE)),"",IF(VLOOKUP($F274,Declarations!$B$6:$F$293,5,FALSE)="","NOT DECLARED",VLOOKUP($F274,Declarations!$B$6:$F$293,5,FALSE)))</f>
        <v/>
      </c>
      <c r="E274" s="120" t="str">
        <f>IF(ISNA(VLOOKUP($F274,Declarations!$B$6:$D$293,3,FALSE)),"",IF(VLOOKUP($F274,Declarations!$B$6:$D$293,3,FALSE)="","NOT DECLARED",VLOOKUP($F274,Declarations!$B$6:$D$293,3,FALSE)&amp;LEFT(VLOOKUP($F274,Declarations!$B$6:$E$293,4,FALSE))))</f>
        <v/>
      </c>
      <c r="F274" s="59"/>
      <c r="G274" s="123">
        <v>0</v>
      </c>
      <c r="H274" s="322"/>
      <c r="I274" s="122" t="str">
        <f>IF(ISNA(VLOOKUP(F274,Declarations!B$6:C$293,2,FALSE)),"",IF(VLOOKUP(F274,Declarations!B$6:C$293,2,FALSE)="","NOTDECLARED",VLOOKUP(F274,Declarations!B$6:C$293,2,FALSE)))</f>
        <v/>
      </c>
      <c r="J274" s="124">
        <f>IF(LOWER(G274)="dnf",1,IF(U274&lt;ScoringTable!C$3,ScoringTable!I$2,VLOOKUP((1000-U274),ScoringTable!H$2:I$95,2)))</f>
        <v>0</v>
      </c>
      <c r="K274" s="120" t="str" cm="1">
        <f t="array" ref="K274">IF(OR(E274="",G274=""),"",_xlfn.IFS(E274="U10B",_xlfn.XLOOKUP(G274,Data!$D$3:$L$3,Data!$D$1:$L$1,"",1,1),E274="U12B",_xlfn.XLOOKUP(G274,Data!$D$9:$L$9,Data!$D$1:$L$1,"",1,1),E274="U10G",_xlfn.XLOOKUP(G274,Data!$D$16:$L$16,Data!$D$1:$L$1,"",1,1),E274="U12G",_xlfn.XLOOKUP(G274,Data!$D$22:$L$22,Data!$D$1:$L$1,"",1,1)))</f>
        <v/>
      </c>
      <c r="L274" s="184" t="str" cm="1">
        <f t="array" ref="L274">IFERROR(_xlfn.IFNA(
                      _xlfn.IFS(
                      G274="", "",
                      G274=0, "",
                      AND(E274="U10B",G274&lt;=Data!$M$3), "U10 Boys record",
                      AND(E274="U12B",G274&lt;=Data!$M$9), "U12 Boys record",
                      AND(E274="U10G",G274&lt;=Data!$M$16), "U10 Girls record",
                      AND(E274="U12G",G274&lt;=Data!$M$22), "U12 Girls record"
                       ),""), "")</f>
        <v/>
      </c>
      <c r="M274" s="19" cm="1">
        <f t="array" ref="M274">_xlfn.IFS(OR($G274="",$G274=0),0, AND(NOT(ISNUMBER($G274)),LOWER($G274)&lt;&gt;"dnf"),"Not a valid time",OR(LOWER($G274)="dnf",$G274&gt;ScoringTable!$N$161),1,RIGHT($E274,1)="B",_xlfn.XLOOKUP($G274,ScoringTable!$N$2:$N$161,ScoringTable!$L$2:$L$161,,1),TRUE,_xlfn.XLOOKUP($G274,ScoringTable!$T$2:$T$161,ScoringTable!$R$2:$R$161,,1))</f>
        <v>0</v>
      </c>
      <c r="Q274" s="125">
        <f t="shared" si="20"/>
        <v>0</v>
      </c>
      <c r="R274" s="126">
        <f t="shared" si="21"/>
        <v>0</v>
      </c>
      <c r="S274" s="127">
        <f t="shared" si="22"/>
        <v>0</v>
      </c>
      <c r="T274" s="126">
        <f t="shared" si="23"/>
        <v>0</v>
      </c>
      <c r="U274" s="128">
        <f t="shared" si="24"/>
        <v>0</v>
      </c>
    </row>
    <row r="275" spans="1:21" s="7" customFormat="1" ht="16" customHeight="1">
      <c r="A275" s="121" t="s">
        <v>3</v>
      </c>
      <c r="B275" s="122" t="str">
        <f>IF(ISNA(VLOOKUP($F275,Declarations!B$6:C$293,2,FALSE)),"",IF(VLOOKUP($F275,Declarations!B$6:C$293,2,FALSE)="","NOT DECLARED",IF(ISNA(_xlfn.TEXTBEFORE(VLOOKUP($F275,Declarations!B$6:C$293,2,FALSE)," ")),VLOOKUP($F275,Declarations!B$6:C$293,2,FALSE),_xlfn.TEXTBEFORE(VLOOKUP($F275,Declarations!B$6:C$293,2,FALSE)," "))))</f>
        <v/>
      </c>
      <c r="C275" s="122" t="str">
        <f>IF(ISNA(VLOOKUP($F275,Declarations!B$6:C$293,2,FALSE)),"",IF(VLOOKUP($F275,Declarations!B$6:C$293,2,FALSE)="","NOT DECLARED",IF(ISNA(_xlfn.TEXTAFTER(VLOOKUP($F275,Declarations!B$6:C$293,2,FALSE)," ")),VLOOKUP($F275,Declarations!B$6:C$293,2,FALSE),_xlfn.TEXTAFTER(VLOOKUP($F275,Declarations!B$6:C$293,2,FALSE)," "))))</f>
        <v/>
      </c>
      <c r="D275" s="122" t="str">
        <f>IF(ISNA(VLOOKUP($F275,Declarations!$B$6:$F$293,5,FALSE)),"",IF(VLOOKUP($F275,Declarations!$B$6:$F$293,5,FALSE)="","NOT DECLARED",VLOOKUP($F275,Declarations!$B$6:$F$293,5,FALSE)))</f>
        <v/>
      </c>
      <c r="E275" s="120" t="str">
        <f>IF(ISNA(VLOOKUP($F275,Declarations!$B$6:$D$293,3,FALSE)),"",IF(VLOOKUP($F275,Declarations!$B$6:$D$293,3,FALSE)="","NOT DECLARED",VLOOKUP($F275,Declarations!$B$6:$D$293,3,FALSE)&amp;LEFT(VLOOKUP($F275,Declarations!$B$6:$E$293,4,FALSE))))</f>
        <v/>
      </c>
      <c r="F275" s="59"/>
      <c r="G275" s="123">
        <v>0</v>
      </c>
      <c r="H275" s="322"/>
      <c r="I275" s="122" t="str">
        <f>IF(ISNA(VLOOKUP(F275,Declarations!B$6:C$293,2,FALSE)),"",IF(VLOOKUP(F275,Declarations!B$6:C$293,2,FALSE)="","NOTDECLARED",VLOOKUP(F275,Declarations!B$6:C$293,2,FALSE)))</f>
        <v/>
      </c>
      <c r="J275" s="124">
        <f>IF(LOWER(G275)="dnf",1,IF(U275&lt;ScoringTable!C$3,ScoringTable!I$2,VLOOKUP((1000-U275),ScoringTable!H$2:I$95,2)))</f>
        <v>0</v>
      </c>
      <c r="K275" s="120" t="str" cm="1">
        <f t="array" ref="K275">IF(OR(E275="",G275=""),"",_xlfn.IFS(E275="U10B",_xlfn.XLOOKUP(G275,Data!$D$3:$L$3,Data!$D$1:$L$1,"",1,1),E275="U12B",_xlfn.XLOOKUP(G275,Data!$D$9:$L$9,Data!$D$1:$L$1,"",1,1),E275="U10G",_xlfn.XLOOKUP(G275,Data!$D$16:$L$16,Data!$D$1:$L$1,"",1,1),E275="U12G",_xlfn.XLOOKUP(G275,Data!$D$22:$L$22,Data!$D$1:$L$1,"",1,1)))</f>
        <v/>
      </c>
      <c r="L275" s="184" t="str" cm="1">
        <f t="array" ref="L275">IFERROR(_xlfn.IFNA(
                      _xlfn.IFS(
                      G275="", "",
                      G275=0, "",
                      AND(E275="U10B",G275&lt;=Data!$M$3), "U10 Boys record",
                      AND(E275="U12B",G275&lt;=Data!$M$9), "U12 Boys record",
                      AND(E275="U10G",G275&lt;=Data!$M$16), "U10 Girls record",
                      AND(E275="U12G",G275&lt;=Data!$M$22), "U12 Girls record"
                       ),""), "")</f>
        <v/>
      </c>
      <c r="M275" s="19" cm="1">
        <f t="array" ref="M275">_xlfn.IFS(OR($G275="",$G275=0),0, AND(NOT(ISNUMBER($G275)),LOWER($G275)&lt;&gt;"dnf"),"Not a valid time",OR(LOWER($G275)="dnf",$G275&gt;ScoringTable!$N$161),1,RIGHT($E275,1)="B",_xlfn.XLOOKUP($G275,ScoringTable!$N$2:$N$161,ScoringTable!$L$2:$L$161,,1),TRUE,_xlfn.XLOOKUP($G275,ScoringTable!$T$2:$T$161,ScoringTable!$R$2:$R$161,,1))</f>
        <v>0</v>
      </c>
      <c r="Q275" s="125">
        <f t="shared" si="20"/>
        <v>0</v>
      </c>
      <c r="R275" s="126">
        <f t="shared" si="21"/>
        <v>0</v>
      </c>
      <c r="S275" s="127">
        <f t="shared" si="22"/>
        <v>0</v>
      </c>
      <c r="T275" s="126">
        <f t="shared" si="23"/>
        <v>0</v>
      </c>
      <c r="U275" s="128">
        <f t="shared" si="24"/>
        <v>0</v>
      </c>
    </row>
    <row r="276" spans="1:21" s="7" customFormat="1" ht="16" customHeight="1">
      <c r="A276" s="121" t="s">
        <v>3</v>
      </c>
      <c r="B276" s="122" t="str">
        <f>IF(ISNA(VLOOKUP($F276,Declarations!B$6:C$293,2,FALSE)),"",IF(VLOOKUP($F276,Declarations!B$6:C$293,2,FALSE)="","NOT DECLARED",IF(ISNA(_xlfn.TEXTBEFORE(VLOOKUP($F276,Declarations!B$6:C$293,2,FALSE)," ")),VLOOKUP($F276,Declarations!B$6:C$293,2,FALSE),_xlfn.TEXTBEFORE(VLOOKUP($F276,Declarations!B$6:C$293,2,FALSE)," "))))</f>
        <v/>
      </c>
      <c r="C276" s="122" t="str">
        <f>IF(ISNA(VLOOKUP($F276,Declarations!B$6:C$293,2,FALSE)),"",IF(VLOOKUP($F276,Declarations!B$6:C$293,2,FALSE)="","NOT DECLARED",IF(ISNA(_xlfn.TEXTAFTER(VLOOKUP($F276,Declarations!B$6:C$293,2,FALSE)," ")),VLOOKUP($F276,Declarations!B$6:C$293,2,FALSE),_xlfn.TEXTAFTER(VLOOKUP($F276,Declarations!B$6:C$293,2,FALSE)," "))))</f>
        <v/>
      </c>
      <c r="D276" s="122" t="str">
        <f>IF(ISNA(VLOOKUP($F276,Declarations!$B$6:$F$293,5,FALSE)),"",IF(VLOOKUP($F276,Declarations!$B$6:$F$293,5,FALSE)="","NOT DECLARED",VLOOKUP($F276,Declarations!$B$6:$F$293,5,FALSE)))</f>
        <v/>
      </c>
      <c r="E276" s="120" t="str">
        <f>IF(ISNA(VLOOKUP($F276,Declarations!$B$6:$D$293,3,FALSE)),"",IF(VLOOKUP($F276,Declarations!$B$6:$D$293,3,FALSE)="","NOT DECLARED",VLOOKUP($F276,Declarations!$B$6:$D$293,3,FALSE)&amp;LEFT(VLOOKUP($F276,Declarations!$B$6:$E$293,4,FALSE))))</f>
        <v/>
      </c>
      <c r="F276" s="59"/>
      <c r="G276" s="123">
        <v>0</v>
      </c>
      <c r="H276" s="322"/>
      <c r="I276" s="122" t="str">
        <f>IF(ISNA(VLOOKUP(F276,Declarations!B$6:C$293,2,FALSE)),"",IF(VLOOKUP(F276,Declarations!B$6:C$293,2,FALSE)="","NOTDECLARED",VLOOKUP(F276,Declarations!B$6:C$293,2,FALSE)))</f>
        <v/>
      </c>
      <c r="J276" s="124">
        <f>IF(LOWER(G276)="dnf",1,IF(U276&lt;ScoringTable!C$3,ScoringTable!I$2,VLOOKUP((1000-U276),ScoringTable!H$2:I$95,2)))</f>
        <v>0</v>
      </c>
      <c r="K276" s="120" t="str" cm="1">
        <f t="array" ref="K276">IF(OR(E276="",G276=""),"",_xlfn.IFS(E276="U10B",_xlfn.XLOOKUP(G276,Data!$D$3:$L$3,Data!$D$1:$L$1,"",1,1),E276="U12B",_xlfn.XLOOKUP(G276,Data!$D$9:$L$9,Data!$D$1:$L$1,"",1,1),E276="U10G",_xlfn.XLOOKUP(G276,Data!$D$16:$L$16,Data!$D$1:$L$1,"",1,1),E276="U12G",_xlfn.XLOOKUP(G276,Data!$D$22:$L$22,Data!$D$1:$L$1,"",1,1)))</f>
        <v/>
      </c>
      <c r="L276" s="184" t="str" cm="1">
        <f t="array" ref="L276">IFERROR(_xlfn.IFNA(
                      _xlfn.IFS(
                      G276="", "",
                      G276=0, "",
                      AND(E276="U10B",G276&lt;=Data!$M$3), "U10 Boys record",
                      AND(E276="U12B",G276&lt;=Data!$M$9), "U12 Boys record",
                      AND(E276="U10G",G276&lt;=Data!$M$16), "U10 Girls record",
                      AND(E276="U12G",G276&lt;=Data!$M$22), "U12 Girls record"
                       ),""), "")</f>
        <v/>
      </c>
      <c r="M276" s="19" cm="1">
        <f t="array" ref="M276">_xlfn.IFS(OR($G276="",$G276=0),0, AND(NOT(ISNUMBER($G276)),LOWER($G276)&lt;&gt;"dnf"),"Not a valid time",OR(LOWER($G276)="dnf",$G276&gt;ScoringTable!$N$161),1,RIGHT($E276,1)="B",_xlfn.XLOOKUP($G276,ScoringTable!$N$2:$N$161,ScoringTable!$L$2:$L$161,,1),TRUE,_xlfn.XLOOKUP($G276,ScoringTable!$T$2:$T$161,ScoringTable!$R$2:$R$161,,1))</f>
        <v>0</v>
      </c>
      <c r="Q276" s="125">
        <f t="shared" si="20"/>
        <v>0</v>
      </c>
      <c r="R276" s="126">
        <f t="shared" si="21"/>
        <v>0</v>
      </c>
      <c r="S276" s="127">
        <f t="shared" si="22"/>
        <v>0</v>
      </c>
      <c r="T276" s="126">
        <f t="shared" si="23"/>
        <v>0</v>
      </c>
      <c r="U276" s="128">
        <f t="shared" si="24"/>
        <v>0</v>
      </c>
    </row>
    <row r="277" spans="1:21" s="7" customFormat="1" ht="16" customHeight="1">
      <c r="A277" s="121" t="s">
        <v>3</v>
      </c>
      <c r="B277" s="122" t="str">
        <f>IF(ISNA(VLOOKUP($F277,Declarations!B$6:C$293,2,FALSE)),"",IF(VLOOKUP($F277,Declarations!B$6:C$293,2,FALSE)="","NOT DECLARED",IF(ISNA(_xlfn.TEXTBEFORE(VLOOKUP($F277,Declarations!B$6:C$293,2,FALSE)," ")),VLOOKUP($F277,Declarations!B$6:C$293,2,FALSE),_xlfn.TEXTBEFORE(VLOOKUP($F277,Declarations!B$6:C$293,2,FALSE)," "))))</f>
        <v/>
      </c>
      <c r="C277" s="122" t="str">
        <f>IF(ISNA(VLOOKUP($F277,Declarations!B$6:C$293,2,FALSE)),"",IF(VLOOKUP($F277,Declarations!B$6:C$293,2,FALSE)="","NOT DECLARED",IF(ISNA(_xlfn.TEXTAFTER(VLOOKUP($F277,Declarations!B$6:C$293,2,FALSE)," ")),VLOOKUP($F277,Declarations!B$6:C$293,2,FALSE),_xlfn.TEXTAFTER(VLOOKUP($F277,Declarations!B$6:C$293,2,FALSE)," "))))</f>
        <v/>
      </c>
      <c r="D277" s="122" t="str">
        <f>IF(ISNA(VLOOKUP($F277,Declarations!$B$6:$F$293,5,FALSE)),"",IF(VLOOKUP($F277,Declarations!$B$6:$F$293,5,FALSE)="","NOT DECLARED",VLOOKUP($F277,Declarations!$B$6:$F$293,5,FALSE)))</f>
        <v/>
      </c>
      <c r="E277" s="120" t="str">
        <f>IF(ISNA(VLOOKUP($F277,Declarations!$B$6:$D$293,3,FALSE)),"",IF(VLOOKUP($F277,Declarations!$B$6:$D$293,3,FALSE)="","NOT DECLARED",VLOOKUP($F277,Declarations!$B$6:$D$293,3,FALSE)&amp;LEFT(VLOOKUP($F277,Declarations!$B$6:$E$293,4,FALSE))))</f>
        <v/>
      </c>
      <c r="F277" s="59"/>
      <c r="G277" s="123">
        <v>0</v>
      </c>
      <c r="H277" s="322"/>
      <c r="I277" s="122" t="str">
        <f>IF(ISNA(VLOOKUP(F277,Declarations!B$6:C$293,2,FALSE)),"",IF(VLOOKUP(F277,Declarations!B$6:C$293,2,FALSE)="","NOTDECLARED",VLOOKUP(F277,Declarations!B$6:C$293,2,FALSE)))</f>
        <v/>
      </c>
      <c r="J277" s="124">
        <f>IF(LOWER(G277)="dnf",1,IF(U277&lt;ScoringTable!C$3,ScoringTable!I$2,VLOOKUP((1000-U277),ScoringTable!H$2:I$95,2)))</f>
        <v>0</v>
      </c>
      <c r="K277" s="120" t="str" cm="1">
        <f t="array" ref="K277">IF(OR(E277="",G277=""),"",_xlfn.IFS(E277="U10B",_xlfn.XLOOKUP(G277,Data!$D$3:$L$3,Data!$D$1:$L$1,"",1,1),E277="U12B",_xlfn.XLOOKUP(G277,Data!$D$9:$L$9,Data!$D$1:$L$1,"",1,1),E277="U10G",_xlfn.XLOOKUP(G277,Data!$D$16:$L$16,Data!$D$1:$L$1,"",1,1),E277="U12G",_xlfn.XLOOKUP(G277,Data!$D$22:$L$22,Data!$D$1:$L$1,"",1,1)))</f>
        <v/>
      </c>
      <c r="L277" s="184" t="str" cm="1">
        <f t="array" ref="L277">IFERROR(_xlfn.IFNA(
                      _xlfn.IFS(
                      G277="", "",
                      G277=0, "",
                      AND(E277="U10B",G277&lt;=Data!$M$3), "U10 Boys record",
                      AND(E277="U12B",G277&lt;=Data!$M$9), "U12 Boys record",
                      AND(E277="U10G",G277&lt;=Data!$M$16), "U10 Girls record",
                      AND(E277="U12G",G277&lt;=Data!$M$22), "U12 Girls record"
                       ),""), "")</f>
        <v/>
      </c>
      <c r="M277" s="19" cm="1">
        <f t="array" ref="M277">_xlfn.IFS(OR($G277="",$G277=0),0, AND(NOT(ISNUMBER($G277)),LOWER($G277)&lt;&gt;"dnf"),"Not a valid time",OR(LOWER($G277)="dnf",$G277&gt;ScoringTable!$N$161),1,RIGHT($E277,1)="B",_xlfn.XLOOKUP($G277,ScoringTable!$N$2:$N$161,ScoringTable!$L$2:$L$161,,1),TRUE,_xlfn.XLOOKUP($G277,ScoringTable!$T$2:$T$161,ScoringTable!$R$2:$R$161,,1))</f>
        <v>0</v>
      </c>
      <c r="Q277" s="125">
        <f t="shared" si="20"/>
        <v>0</v>
      </c>
      <c r="R277" s="126">
        <f t="shared" si="21"/>
        <v>0</v>
      </c>
      <c r="S277" s="127">
        <f t="shared" si="22"/>
        <v>0</v>
      </c>
      <c r="T277" s="126">
        <f t="shared" si="23"/>
        <v>0</v>
      </c>
      <c r="U277" s="128">
        <f t="shared" si="24"/>
        <v>0</v>
      </c>
    </row>
    <row r="278" spans="1:21" s="7" customFormat="1" ht="16" customHeight="1">
      <c r="A278" s="121" t="s">
        <v>3</v>
      </c>
      <c r="B278" s="122" t="str">
        <f>IF(ISNA(VLOOKUP($F278,Declarations!B$6:C$293,2,FALSE)),"",IF(VLOOKUP($F278,Declarations!B$6:C$293,2,FALSE)="","NOT DECLARED",IF(ISNA(_xlfn.TEXTBEFORE(VLOOKUP($F278,Declarations!B$6:C$293,2,FALSE)," ")),VLOOKUP($F278,Declarations!B$6:C$293,2,FALSE),_xlfn.TEXTBEFORE(VLOOKUP($F278,Declarations!B$6:C$293,2,FALSE)," "))))</f>
        <v/>
      </c>
      <c r="C278" s="122" t="str">
        <f>IF(ISNA(VLOOKUP($F278,Declarations!B$6:C$293,2,FALSE)),"",IF(VLOOKUP($F278,Declarations!B$6:C$293,2,FALSE)="","NOT DECLARED",IF(ISNA(_xlfn.TEXTAFTER(VLOOKUP($F278,Declarations!B$6:C$293,2,FALSE)," ")),VLOOKUP($F278,Declarations!B$6:C$293,2,FALSE),_xlfn.TEXTAFTER(VLOOKUP($F278,Declarations!B$6:C$293,2,FALSE)," "))))</f>
        <v/>
      </c>
      <c r="D278" s="122" t="str">
        <f>IF(ISNA(VLOOKUP($F278,Declarations!$B$6:$F$293,5,FALSE)),"",IF(VLOOKUP($F278,Declarations!$B$6:$F$293,5,FALSE)="","NOT DECLARED",VLOOKUP($F278,Declarations!$B$6:$F$293,5,FALSE)))</f>
        <v/>
      </c>
      <c r="E278" s="120" t="str">
        <f>IF(ISNA(VLOOKUP($F278,Declarations!$B$6:$D$293,3,FALSE)),"",IF(VLOOKUP($F278,Declarations!$B$6:$D$293,3,FALSE)="","NOT DECLARED",VLOOKUP($F278,Declarations!$B$6:$D$293,3,FALSE)&amp;LEFT(VLOOKUP($F278,Declarations!$B$6:$E$293,4,FALSE))))</f>
        <v/>
      </c>
      <c r="F278" s="59"/>
      <c r="G278" s="123">
        <v>0</v>
      </c>
      <c r="H278" s="322"/>
      <c r="I278" s="122" t="str">
        <f>IF(ISNA(VLOOKUP(F278,Declarations!B$6:C$293,2,FALSE)),"",IF(VLOOKUP(F278,Declarations!B$6:C$293,2,FALSE)="","NOTDECLARED",VLOOKUP(F278,Declarations!B$6:C$293,2,FALSE)))</f>
        <v/>
      </c>
      <c r="J278" s="124">
        <f>IF(LOWER(G278)="dnf",1,IF(U278&lt;ScoringTable!C$3,ScoringTable!I$2,VLOOKUP((1000-U278),ScoringTable!H$2:I$95,2)))</f>
        <v>0</v>
      </c>
      <c r="K278" s="120" t="str" cm="1">
        <f t="array" ref="K278">IF(OR(E278="",G278=""),"",_xlfn.IFS(E278="U10B",_xlfn.XLOOKUP(G278,Data!$D$3:$L$3,Data!$D$1:$L$1,"",1,1),E278="U12B",_xlfn.XLOOKUP(G278,Data!$D$9:$L$9,Data!$D$1:$L$1,"",1,1),E278="U10G",_xlfn.XLOOKUP(G278,Data!$D$16:$L$16,Data!$D$1:$L$1,"",1,1),E278="U12G",_xlfn.XLOOKUP(G278,Data!$D$22:$L$22,Data!$D$1:$L$1,"",1,1)))</f>
        <v/>
      </c>
      <c r="L278" s="184" t="str" cm="1">
        <f t="array" ref="L278">IFERROR(_xlfn.IFNA(
                      _xlfn.IFS(
                      G278="", "",
                      G278=0, "",
                      AND(E278="U10B",G278&lt;=Data!$M$3), "U10 Boys record",
                      AND(E278="U12B",G278&lt;=Data!$M$9), "U12 Boys record",
                      AND(E278="U10G",G278&lt;=Data!$M$16), "U10 Girls record",
                      AND(E278="U12G",G278&lt;=Data!$M$22), "U12 Girls record"
                       ),""), "")</f>
        <v/>
      </c>
      <c r="M278" s="19" cm="1">
        <f t="array" ref="M278">_xlfn.IFS(OR($G278="",$G278=0),0, AND(NOT(ISNUMBER($G278)),LOWER($G278)&lt;&gt;"dnf"),"Not a valid time",OR(LOWER($G278)="dnf",$G278&gt;ScoringTable!$N$161),1,RIGHT($E278,1)="B",_xlfn.XLOOKUP($G278,ScoringTable!$N$2:$N$161,ScoringTable!$L$2:$L$161,,1),TRUE,_xlfn.XLOOKUP($G278,ScoringTable!$T$2:$T$161,ScoringTable!$R$2:$R$161,,1))</f>
        <v>0</v>
      </c>
      <c r="Q278" s="125">
        <f t="shared" si="20"/>
        <v>0</v>
      </c>
      <c r="R278" s="126">
        <f t="shared" si="21"/>
        <v>0</v>
      </c>
      <c r="S278" s="127">
        <f t="shared" si="22"/>
        <v>0</v>
      </c>
      <c r="T278" s="126">
        <f t="shared" si="23"/>
        <v>0</v>
      </c>
      <c r="U278" s="128">
        <f t="shared" si="24"/>
        <v>0</v>
      </c>
    </row>
    <row r="279" spans="1:21" s="7" customFormat="1" ht="16" customHeight="1">
      <c r="A279" s="121" t="s">
        <v>3</v>
      </c>
      <c r="B279" s="122" t="str">
        <f>IF(ISNA(VLOOKUP($F279,Declarations!B$6:C$293,2,FALSE)),"",IF(VLOOKUP($F279,Declarations!B$6:C$293,2,FALSE)="","NOT DECLARED",IF(ISNA(_xlfn.TEXTBEFORE(VLOOKUP($F279,Declarations!B$6:C$293,2,FALSE)," ")),VLOOKUP($F279,Declarations!B$6:C$293,2,FALSE),_xlfn.TEXTBEFORE(VLOOKUP($F279,Declarations!B$6:C$293,2,FALSE)," "))))</f>
        <v/>
      </c>
      <c r="C279" s="122" t="str">
        <f>IF(ISNA(VLOOKUP($F279,Declarations!B$6:C$293,2,FALSE)),"",IF(VLOOKUP($F279,Declarations!B$6:C$293,2,FALSE)="","NOT DECLARED",IF(ISNA(_xlfn.TEXTAFTER(VLOOKUP($F279,Declarations!B$6:C$293,2,FALSE)," ")),VLOOKUP($F279,Declarations!B$6:C$293,2,FALSE),_xlfn.TEXTAFTER(VLOOKUP($F279,Declarations!B$6:C$293,2,FALSE)," "))))</f>
        <v/>
      </c>
      <c r="D279" s="122" t="str">
        <f>IF(ISNA(VLOOKUP($F279,Declarations!$B$6:$F$293,5,FALSE)),"",IF(VLOOKUP($F279,Declarations!$B$6:$F$293,5,FALSE)="","NOT DECLARED",VLOOKUP($F279,Declarations!$B$6:$F$293,5,FALSE)))</f>
        <v/>
      </c>
      <c r="E279" s="120" t="str">
        <f>IF(ISNA(VLOOKUP($F279,Declarations!$B$6:$D$293,3,FALSE)),"",IF(VLOOKUP($F279,Declarations!$B$6:$D$293,3,FALSE)="","NOT DECLARED",VLOOKUP($F279,Declarations!$B$6:$D$293,3,FALSE)&amp;LEFT(VLOOKUP($F279,Declarations!$B$6:$E$293,4,FALSE))))</f>
        <v/>
      </c>
      <c r="F279" s="59"/>
      <c r="G279" s="123">
        <v>0</v>
      </c>
      <c r="H279" s="322"/>
      <c r="I279" s="122" t="str">
        <f>IF(ISNA(VLOOKUP(F279,Declarations!B$6:C$293,2,FALSE)),"",IF(VLOOKUP(F279,Declarations!B$6:C$293,2,FALSE)="","NOTDECLARED",VLOOKUP(F279,Declarations!B$6:C$293,2,FALSE)))</f>
        <v/>
      </c>
      <c r="J279" s="124">
        <f>IF(LOWER(G279)="dnf",1,IF(U279&lt;ScoringTable!C$3,ScoringTable!I$2,VLOOKUP((1000-U279),ScoringTable!H$2:I$95,2)))</f>
        <v>0</v>
      </c>
      <c r="K279" s="120" t="str" cm="1">
        <f t="array" ref="K279">IF(OR(E279="",G279=""),"",_xlfn.IFS(E279="U10B",_xlfn.XLOOKUP(G279,Data!$D$3:$L$3,Data!$D$1:$L$1,"",1,1),E279="U12B",_xlfn.XLOOKUP(G279,Data!$D$9:$L$9,Data!$D$1:$L$1,"",1,1),E279="U10G",_xlfn.XLOOKUP(G279,Data!$D$16:$L$16,Data!$D$1:$L$1,"",1,1),E279="U12G",_xlfn.XLOOKUP(G279,Data!$D$22:$L$22,Data!$D$1:$L$1,"",1,1)))</f>
        <v/>
      </c>
      <c r="L279" s="184" t="str" cm="1">
        <f t="array" ref="L279">IFERROR(_xlfn.IFNA(
                      _xlfn.IFS(
                      G279="", "",
                      G279=0, "",
                      AND(E279="U10B",G279&lt;=Data!$M$3), "U10 Boys record",
                      AND(E279="U12B",G279&lt;=Data!$M$9), "U12 Boys record",
                      AND(E279="U10G",G279&lt;=Data!$M$16), "U10 Girls record",
                      AND(E279="U12G",G279&lt;=Data!$M$22), "U12 Girls record"
                       ),""), "")</f>
        <v/>
      </c>
      <c r="M279" s="19" cm="1">
        <f t="array" ref="M279">_xlfn.IFS(OR($G279="",$G279=0),0, AND(NOT(ISNUMBER($G279)),LOWER($G279)&lt;&gt;"dnf"),"Not a valid time",OR(LOWER($G279)="dnf",$G279&gt;ScoringTable!$N$161),1,RIGHT($E279,1)="B",_xlfn.XLOOKUP($G279,ScoringTable!$N$2:$N$161,ScoringTable!$L$2:$L$161,,1),TRUE,_xlfn.XLOOKUP($G279,ScoringTable!$T$2:$T$161,ScoringTable!$R$2:$R$161,,1))</f>
        <v>0</v>
      </c>
      <c r="Q279" s="125">
        <f t="shared" si="20"/>
        <v>0</v>
      </c>
      <c r="R279" s="126">
        <f t="shared" si="21"/>
        <v>0</v>
      </c>
      <c r="S279" s="127">
        <f t="shared" si="22"/>
        <v>0</v>
      </c>
      <c r="T279" s="126">
        <f t="shared" si="23"/>
        <v>0</v>
      </c>
      <c r="U279" s="128">
        <f t="shared" si="24"/>
        <v>0</v>
      </c>
    </row>
    <row r="280" spans="1:21" s="7" customFormat="1" ht="16" customHeight="1">
      <c r="A280" s="121" t="s">
        <v>3</v>
      </c>
      <c r="B280" s="122" t="str">
        <f>IF(ISNA(VLOOKUP($F280,Declarations!B$6:C$293,2,FALSE)),"",IF(VLOOKUP($F280,Declarations!B$6:C$293,2,FALSE)="","NOT DECLARED",IF(ISNA(_xlfn.TEXTBEFORE(VLOOKUP($F280,Declarations!B$6:C$293,2,FALSE)," ")),VLOOKUP($F280,Declarations!B$6:C$293,2,FALSE),_xlfn.TEXTBEFORE(VLOOKUP($F280,Declarations!B$6:C$293,2,FALSE)," "))))</f>
        <v/>
      </c>
      <c r="C280" s="122" t="str">
        <f>IF(ISNA(VLOOKUP($F280,Declarations!B$6:C$293,2,FALSE)),"",IF(VLOOKUP($F280,Declarations!B$6:C$293,2,FALSE)="","NOT DECLARED",IF(ISNA(_xlfn.TEXTAFTER(VLOOKUP($F280,Declarations!B$6:C$293,2,FALSE)," ")),VLOOKUP($F280,Declarations!B$6:C$293,2,FALSE),_xlfn.TEXTAFTER(VLOOKUP($F280,Declarations!B$6:C$293,2,FALSE)," "))))</f>
        <v/>
      </c>
      <c r="D280" s="122" t="str">
        <f>IF(ISNA(VLOOKUP($F280,Declarations!$B$6:$F$293,5,FALSE)),"",IF(VLOOKUP($F280,Declarations!$B$6:$F$293,5,FALSE)="","NOT DECLARED",VLOOKUP($F280,Declarations!$B$6:$F$293,5,FALSE)))</f>
        <v/>
      </c>
      <c r="E280" s="120" t="str">
        <f>IF(ISNA(VLOOKUP($F280,Declarations!$B$6:$D$293,3,FALSE)),"",IF(VLOOKUP($F280,Declarations!$B$6:$D$293,3,FALSE)="","NOT DECLARED",VLOOKUP($F280,Declarations!$B$6:$D$293,3,FALSE)&amp;LEFT(VLOOKUP($F280,Declarations!$B$6:$E$293,4,FALSE))))</f>
        <v/>
      </c>
      <c r="F280" s="59"/>
      <c r="G280" s="123">
        <v>0</v>
      </c>
      <c r="H280" s="322"/>
      <c r="I280" s="122" t="str">
        <f>IF(ISNA(VLOOKUP(F280,Declarations!B$6:C$293,2,FALSE)),"",IF(VLOOKUP(F280,Declarations!B$6:C$293,2,FALSE)="","NOTDECLARED",VLOOKUP(F280,Declarations!B$6:C$293,2,FALSE)))</f>
        <v/>
      </c>
      <c r="J280" s="124">
        <f>IF(LOWER(G280)="dnf",1,IF(U280&lt;ScoringTable!C$3,ScoringTable!I$2,VLOOKUP((1000-U280),ScoringTable!H$2:I$95,2)))</f>
        <v>0</v>
      </c>
      <c r="K280" s="120" t="str" cm="1">
        <f t="array" ref="K280">IF(OR(E280="",G280=""),"",_xlfn.IFS(E280="U10B",_xlfn.XLOOKUP(G280,Data!$D$3:$L$3,Data!$D$1:$L$1,"",1,1),E280="U12B",_xlfn.XLOOKUP(G280,Data!$D$9:$L$9,Data!$D$1:$L$1,"",1,1),E280="U10G",_xlfn.XLOOKUP(G280,Data!$D$16:$L$16,Data!$D$1:$L$1,"",1,1),E280="U12G",_xlfn.XLOOKUP(G280,Data!$D$22:$L$22,Data!$D$1:$L$1,"",1,1)))</f>
        <v/>
      </c>
      <c r="L280" s="184" t="str" cm="1">
        <f t="array" ref="L280">IFERROR(_xlfn.IFNA(
                      _xlfn.IFS(
                      G280="", "",
                      G280=0, "",
                      AND(E280="U10B",G280&lt;=Data!$M$3), "U10 Boys record",
                      AND(E280="U12B",G280&lt;=Data!$M$9), "U12 Boys record",
                      AND(E280="U10G",G280&lt;=Data!$M$16), "U10 Girls record",
                      AND(E280="U12G",G280&lt;=Data!$M$22), "U12 Girls record"
                       ),""), "")</f>
        <v/>
      </c>
      <c r="M280" s="19" cm="1">
        <f t="array" ref="M280">_xlfn.IFS(OR($G280="",$G280=0),0, AND(NOT(ISNUMBER($G280)),LOWER($G280)&lt;&gt;"dnf"),"Not a valid time",OR(LOWER($G280)="dnf",$G280&gt;ScoringTable!$N$161),1,RIGHT($E280,1)="B",_xlfn.XLOOKUP($G280,ScoringTable!$N$2:$N$161,ScoringTable!$L$2:$L$161,,1),TRUE,_xlfn.XLOOKUP($G280,ScoringTable!$T$2:$T$161,ScoringTable!$R$2:$R$161,,1))</f>
        <v>0</v>
      </c>
      <c r="Q280" s="125">
        <f t="shared" si="20"/>
        <v>0</v>
      </c>
      <c r="R280" s="126">
        <f t="shared" si="21"/>
        <v>0</v>
      </c>
      <c r="S280" s="127">
        <f t="shared" si="22"/>
        <v>0</v>
      </c>
      <c r="T280" s="126">
        <f t="shared" si="23"/>
        <v>0</v>
      </c>
      <c r="U280" s="128">
        <f t="shared" si="24"/>
        <v>0</v>
      </c>
    </row>
    <row r="281" spans="1:21" s="7" customFormat="1" ht="16" customHeight="1">
      <c r="A281" s="121" t="s">
        <v>3</v>
      </c>
      <c r="B281" s="122" t="str">
        <f>IF(ISNA(VLOOKUP($F281,Declarations!B$6:C$293,2,FALSE)),"",IF(VLOOKUP($F281,Declarations!B$6:C$293,2,FALSE)="","NOT DECLARED",IF(ISNA(_xlfn.TEXTBEFORE(VLOOKUP($F281,Declarations!B$6:C$293,2,FALSE)," ")),VLOOKUP($F281,Declarations!B$6:C$293,2,FALSE),_xlfn.TEXTBEFORE(VLOOKUP($F281,Declarations!B$6:C$293,2,FALSE)," "))))</f>
        <v/>
      </c>
      <c r="C281" s="122" t="str">
        <f>IF(ISNA(VLOOKUP($F281,Declarations!B$6:C$293,2,FALSE)),"",IF(VLOOKUP($F281,Declarations!B$6:C$293,2,FALSE)="","NOT DECLARED",IF(ISNA(_xlfn.TEXTAFTER(VLOOKUP($F281,Declarations!B$6:C$293,2,FALSE)," ")),VLOOKUP($F281,Declarations!B$6:C$293,2,FALSE),_xlfn.TEXTAFTER(VLOOKUP($F281,Declarations!B$6:C$293,2,FALSE)," "))))</f>
        <v/>
      </c>
      <c r="D281" s="122" t="str">
        <f>IF(ISNA(VLOOKUP($F281,Declarations!$B$6:$F$293,5,FALSE)),"",IF(VLOOKUP($F281,Declarations!$B$6:$F$293,5,FALSE)="","NOT DECLARED",VLOOKUP($F281,Declarations!$B$6:$F$293,5,FALSE)))</f>
        <v/>
      </c>
      <c r="E281" s="120" t="str">
        <f>IF(ISNA(VLOOKUP($F281,Declarations!$B$6:$D$293,3,FALSE)),"",IF(VLOOKUP($F281,Declarations!$B$6:$D$293,3,FALSE)="","NOT DECLARED",VLOOKUP($F281,Declarations!$B$6:$D$293,3,FALSE)&amp;LEFT(VLOOKUP($F281,Declarations!$B$6:$E$293,4,FALSE))))</f>
        <v/>
      </c>
      <c r="F281" s="59"/>
      <c r="G281" s="123">
        <v>0</v>
      </c>
      <c r="H281" s="322"/>
      <c r="I281" s="122" t="str">
        <f>IF(ISNA(VLOOKUP(F281,Declarations!B$6:C$293,2,FALSE)),"",IF(VLOOKUP(F281,Declarations!B$6:C$293,2,FALSE)="","NOTDECLARED",VLOOKUP(F281,Declarations!B$6:C$293,2,FALSE)))</f>
        <v/>
      </c>
      <c r="J281" s="124">
        <f>IF(LOWER(G281)="dnf",1,IF(U281&lt;ScoringTable!C$3,ScoringTable!I$2,VLOOKUP((1000-U281),ScoringTable!H$2:I$95,2)))</f>
        <v>0</v>
      </c>
      <c r="K281" s="120" t="str" cm="1">
        <f t="array" ref="K281">IF(OR(E281="",G281=""),"",_xlfn.IFS(E281="U10B",_xlfn.XLOOKUP(G281,Data!$D$3:$L$3,Data!$D$1:$L$1,"",1,1),E281="U12B",_xlfn.XLOOKUP(G281,Data!$D$9:$L$9,Data!$D$1:$L$1,"",1,1),E281="U10G",_xlfn.XLOOKUP(G281,Data!$D$16:$L$16,Data!$D$1:$L$1,"",1,1),E281="U12G",_xlfn.XLOOKUP(G281,Data!$D$22:$L$22,Data!$D$1:$L$1,"",1,1)))</f>
        <v/>
      </c>
      <c r="L281" s="184" t="str" cm="1">
        <f t="array" ref="L281">IFERROR(_xlfn.IFNA(
                      _xlfn.IFS(
                      G281="", "",
                      G281=0, "",
                      AND(E281="U10B",G281&lt;=Data!$M$3), "U10 Boys record",
                      AND(E281="U12B",G281&lt;=Data!$M$9), "U12 Boys record",
                      AND(E281="U10G",G281&lt;=Data!$M$16), "U10 Girls record",
                      AND(E281="U12G",G281&lt;=Data!$M$22), "U12 Girls record"
                       ),""), "")</f>
        <v/>
      </c>
      <c r="M281" s="19" cm="1">
        <f t="array" ref="M281">_xlfn.IFS(OR($G281="",$G281=0),0, AND(NOT(ISNUMBER($G281)),LOWER($G281)&lt;&gt;"dnf"),"Not a valid time",OR(LOWER($G281)="dnf",$G281&gt;ScoringTable!$N$161),1,RIGHT($E281,1)="B",_xlfn.XLOOKUP($G281,ScoringTable!$N$2:$N$161,ScoringTable!$L$2:$L$161,,1),TRUE,_xlfn.XLOOKUP($G281,ScoringTable!$T$2:$T$161,ScoringTable!$R$2:$R$161,,1))</f>
        <v>0</v>
      </c>
      <c r="Q281" s="125">
        <f t="shared" si="20"/>
        <v>0</v>
      </c>
      <c r="R281" s="126">
        <f t="shared" si="21"/>
        <v>0</v>
      </c>
      <c r="S281" s="127">
        <f t="shared" si="22"/>
        <v>0</v>
      </c>
      <c r="T281" s="126">
        <f t="shared" si="23"/>
        <v>0</v>
      </c>
      <c r="U281" s="128">
        <f t="shared" si="24"/>
        <v>0</v>
      </c>
    </row>
    <row r="282" spans="1:21" s="7" customFormat="1" ht="16" customHeight="1">
      <c r="A282" s="121" t="s">
        <v>3</v>
      </c>
      <c r="B282" s="122" t="str">
        <f>IF(ISNA(VLOOKUP($F282,Declarations!B$6:C$293,2,FALSE)),"",IF(VLOOKUP($F282,Declarations!B$6:C$293,2,FALSE)="","NOT DECLARED",IF(ISNA(_xlfn.TEXTBEFORE(VLOOKUP($F282,Declarations!B$6:C$293,2,FALSE)," ")),VLOOKUP($F282,Declarations!B$6:C$293,2,FALSE),_xlfn.TEXTBEFORE(VLOOKUP($F282,Declarations!B$6:C$293,2,FALSE)," "))))</f>
        <v/>
      </c>
      <c r="C282" s="122" t="str">
        <f>IF(ISNA(VLOOKUP($F282,Declarations!B$6:C$293,2,FALSE)),"",IF(VLOOKUP($F282,Declarations!B$6:C$293,2,FALSE)="","NOT DECLARED",IF(ISNA(_xlfn.TEXTAFTER(VLOOKUP($F282,Declarations!B$6:C$293,2,FALSE)," ")),VLOOKUP($F282,Declarations!B$6:C$293,2,FALSE),_xlfn.TEXTAFTER(VLOOKUP($F282,Declarations!B$6:C$293,2,FALSE)," "))))</f>
        <v/>
      </c>
      <c r="D282" s="122" t="str">
        <f>IF(ISNA(VLOOKUP($F282,Declarations!$B$6:$F$293,5,FALSE)),"",IF(VLOOKUP($F282,Declarations!$B$6:$F$293,5,FALSE)="","NOT DECLARED",VLOOKUP($F282,Declarations!$B$6:$F$293,5,FALSE)))</f>
        <v/>
      </c>
      <c r="E282" s="120" t="str">
        <f>IF(ISNA(VLOOKUP($F282,Declarations!$B$6:$D$293,3,FALSE)),"",IF(VLOOKUP($F282,Declarations!$B$6:$D$293,3,FALSE)="","NOT DECLARED",VLOOKUP($F282,Declarations!$B$6:$D$293,3,FALSE)&amp;LEFT(VLOOKUP($F282,Declarations!$B$6:$E$293,4,FALSE))))</f>
        <v/>
      </c>
      <c r="F282" s="59"/>
      <c r="G282" s="123">
        <v>0</v>
      </c>
      <c r="H282" s="322"/>
      <c r="I282" s="122" t="str">
        <f>IF(ISNA(VLOOKUP(F282,Declarations!B$6:C$293,2,FALSE)),"",IF(VLOOKUP(F282,Declarations!B$6:C$293,2,FALSE)="","NOTDECLARED",VLOOKUP(F282,Declarations!B$6:C$293,2,FALSE)))</f>
        <v/>
      </c>
      <c r="J282" s="124">
        <f>IF(LOWER(G282)="dnf",1,IF(U282&lt;ScoringTable!C$3,ScoringTable!I$2,VLOOKUP((1000-U282),ScoringTable!H$2:I$95,2)))</f>
        <v>0</v>
      </c>
      <c r="K282" s="120" t="str" cm="1">
        <f t="array" ref="K282">IF(OR(E282="",G282=""),"",_xlfn.IFS(E282="U10B",_xlfn.XLOOKUP(G282,Data!$D$3:$L$3,Data!$D$1:$L$1,"",1,1),E282="U12B",_xlfn.XLOOKUP(G282,Data!$D$9:$L$9,Data!$D$1:$L$1,"",1,1),E282="U10G",_xlfn.XLOOKUP(G282,Data!$D$16:$L$16,Data!$D$1:$L$1,"",1,1),E282="U12G",_xlfn.XLOOKUP(G282,Data!$D$22:$L$22,Data!$D$1:$L$1,"",1,1)))</f>
        <v/>
      </c>
      <c r="L282" s="184" t="str" cm="1">
        <f t="array" ref="L282">IFERROR(_xlfn.IFNA(
                      _xlfn.IFS(
                      G282="", "",
                      G282=0, "",
                      AND(E282="U10B",G282&lt;=Data!$M$3), "U10 Boys record",
                      AND(E282="U12B",G282&lt;=Data!$M$9), "U12 Boys record",
                      AND(E282="U10G",G282&lt;=Data!$M$16), "U10 Girls record",
                      AND(E282="U12G",G282&lt;=Data!$M$22), "U12 Girls record"
                       ),""), "")</f>
        <v/>
      </c>
      <c r="M282" s="19" cm="1">
        <f t="array" ref="M282">_xlfn.IFS(OR($G282="",$G282=0),0, AND(NOT(ISNUMBER($G282)),LOWER($G282)&lt;&gt;"dnf"),"Not a valid time",OR(LOWER($G282)="dnf",$G282&gt;ScoringTable!$N$161),1,RIGHT($E282,1)="B",_xlfn.XLOOKUP($G282,ScoringTable!$N$2:$N$161,ScoringTable!$L$2:$L$161,,1),TRUE,_xlfn.XLOOKUP($G282,ScoringTable!$T$2:$T$161,ScoringTable!$R$2:$R$161,,1))</f>
        <v>0</v>
      </c>
      <c r="Q282" s="125">
        <f t="shared" si="20"/>
        <v>0</v>
      </c>
      <c r="R282" s="126">
        <f t="shared" si="21"/>
        <v>0</v>
      </c>
      <c r="S282" s="127">
        <f t="shared" si="22"/>
        <v>0</v>
      </c>
      <c r="T282" s="126">
        <f t="shared" si="23"/>
        <v>0</v>
      </c>
      <c r="U282" s="128">
        <f t="shared" si="24"/>
        <v>0</v>
      </c>
    </row>
    <row r="283" spans="1:21" s="7" customFormat="1" ht="16" customHeight="1">
      <c r="A283" s="121" t="s">
        <v>3</v>
      </c>
      <c r="B283" s="122" t="str">
        <f>IF(ISNA(VLOOKUP($F283,Declarations!B$6:C$293,2,FALSE)),"",IF(VLOOKUP($F283,Declarations!B$6:C$293,2,FALSE)="","NOT DECLARED",IF(ISNA(_xlfn.TEXTBEFORE(VLOOKUP($F283,Declarations!B$6:C$293,2,FALSE)," ")),VLOOKUP($F283,Declarations!B$6:C$293,2,FALSE),_xlfn.TEXTBEFORE(VLOOKUP($F283,Declarations!B$6:C$293,2,FALSE)," "))))</f>
        <v/>
      </c>
      <c r="C283" s="122" t="str">
        <f>IF(ISNA(VLOOKUP($F283,Declarations!B$6:C$293,2,FALSE)),"",IF(VLOOKUP($F283,Declarations!B$6:C$293,2,FALSE)="","NOT DECLARED",IF(ISNA(_xlfn.TEXTAFTER(VLOOKUP($F283,Declarations!B$6:C$293,2,FALSE)," ")),VLOOKUP($F283,Declarations!B$6:C$293,2,FALSE),_xlfn.TEXTAFTER(VLOOKUP($F283,Declarations!B$6:C$293,2,FALSE)," "))))</f>
        <v/>
      </c>
      <c r="D283" s="122" t="str">
        <f>IF(ISNA(VLOOKUP($F283,Declarations!$B$6:$F$293,5,FALSE)),"",IF(VLOOKUP($F283,Declarations!$B$6:$F$293,5,FALSE)="","NOT DECLARED",VLOOKUP($F283,Declarations!$B$6:$F$293,5,FALSE)))</f>
        <v/>
      </c>
      <c r="E283" s="120" t="str">
        <f>IF(ISNA(VLOOKUP($F283,Declarations!$B$6:$D$293,3,FALSE)),"",IF(VLOOKUP($F283,Declarations!$B$6:$D$293,3,FALSE)="","NOT DECLARED",VLOOKUP($F283,Declarations!$B$6:$D$293,3,FALSE)&amp;LEFT(VLOOKUP($F283,Declarations!$B$6:$E$293,4,FALSE))))</f>
        <v/>
      </c>
      <c r="F283" s="59"/>
      <c r="G283" s="123">
        <v>0</v>
      </c>
      <c r="H283" s="322"/>
      <c r="I283" s="122" t="str">
        <f>IF(ISNA(VLOOKUP(F283,Declarations!B$6:C$293,2,FALSE)),"",IF(VLOOKUP(F283,Declarations!B$6:C$293,2,FALSE)="","NOTDECLARED",VLOOKUP(F283,Declarations!B$6:C$293,2,FALSE)))</f>
        <v/>
      </c>
      <c r="J283" s="124">
        <f>IF(LOWER(G283)="dnf",1,IF(U283&lt;ScoringTable!C$3,ScoringTable!I$2,VLOOKUP((1000-U283),ScoringTable!H$2:I$95,2)))</f>
        <v>0</v>
      </c>
      <c r="K283" s="120" t="str" cm="1">
        <f t="array" ref="K283">IF(OR(E283="",G283=""),"",_xlfn.IFS(E283="U10B",_xlfn.XLOOKUP(G283,Data!$D$3:$L$3,Data!$D$1:$L$1,"",1,1),E283="U12B",_xlfn.XLOOKUP(G283,Data!$D$9:$L$9,Data!$D$1:$L$1,"",1,1),E283="U10G",_xlfn.XLOOKUP(G283,Data!$D$16:$L$16,Data!$D$1:$L$1,"",1,1),E283="U12G",_xlfn.XLOOKUP(G283,Data!$D$22:$L$22,Data!$D$1:$L$1,"",1,1)))</f>
        <v/>
      </c>
      <c r="L283" s="184" t="str" cm="1">
        <f t="array" ref="L283">IFERROR(_xlfn.IFNA(
                      _xlfn.IFS(
                      G283="", "",
                      G283=0, "",
                      AND(E283="U10B",G283&lt;=Data!$M$3), "U10 Boys record",
                      AND(E283="U12B",G283&lt;=Data!$M$9), "U12 Boys record",
                      AND(E283="U10G",G283&lt;=Data!$M$16), "U10 Girls record",
                      AND(E283="U12G",G283&lt;=Data!$M$22), "U12 Girls record"
                       ),""), "")</f>
        <v/>
      </c>
      <c r="M283" s="19" cm="1">
        <f t="array" ref="M283">_xlfn.IFS(OR($G283="",$G283=0),0, AND(NOT(ISNUMBER($G283)),LOWER($G283)&lt;&gt;"dnf"),"Not a valid time",OR(LOWER($G283)="dnf",$G283&gt;ScoringTable!$N$161),1,RIGHT($E283,1)="B",_xlfn.XLOOKUP($G283,ScoringTable!$N$2:$N$161,ScoringTable!$L$2:$L$161,,1),TRUE,_xlfn.XLOOKUP($G283,ScoringTable!$T$2:$T$161,ScoringTable!$R$2:$R$161,,1))</f>
        <v>0</v>
      </c>
      <c r="Q283" s="125">
        <f t="shared" si="20"/>
        <v>0</v>
      </c>
      <c r="R283" s="126">
        <f t="shared" si="21"/>
        <v>0</v>
      </c>
      <c r="S283" s="127">
        <f t="shared" si="22"/>
        <v>0</v>
      </c>
      <c r="T283" s="126">
        <f t="shared" si="23"/>
        <v>0</v>
      </c>
      <c r="U283" s="128">
        <f t="shared" si="24"/>
        <v>0</v>
      </c>
    </row>
    <row r="284" spans="1:21" s="7" customFormat="1" ht="16" customHeight="1">
      <c r="A284" s="121" t="s">
        <v>3</v>
      </c>
      <c r="B284" s="122" t="str">
        <f>IF(ISNA(VLOOKUP($F284,Declarations!B$6:C$293,2,FALSE)),"",IF(VLOOKUP($F284,Declarations!B$6:C$293,2,FALSE)="","NOT DECLARED",IF(ISNA(_xlfn.TEXTBEFORE(VLOOKUP($F284,Declarations!B$6:C$293,2,FALSE)," ")),VLOOKUP($F284,Declarations!B$6:C$293,2,FALSE),_xlfn.TEXTBEFORE(VLOOKUP($F284,Declarations!B$6:C$293,2,FALSE)," "))))</f>
        <v/>
      </c>
      <c r="C284" s="122" t="str">
        <f>IF(ISNA(VLOOKUP($F284,Declarations!B$6:C$293,2,FALSE)),"",IF(VLOOKUP($F284,Declarations!B$6:C$293,2,FALSE)="","NOT DECLARED",IF(ISNA(_xlfn.TEXTAFTER(VLOOKUP($F284,Declarations!B$6:C$293,2,FALSE)," ")),VLOOKUP($F284,Declarations!B$6:C$293,2,FALSE),_xlfn.TEXTAFTER(VLOOKUP($F284,Declarations!B$6:C$293,2,FALSE)," "))))</f>
        <v/>
      </c>
      <c r="D284" s="122" t="str">
        <f>IF(ISNA(VLOOKUP($F284,Declarations!$B$6:$F$293,5,FALSE)),"",IF(VLOOKUP($F284,Declarations!$B$6:$F$293,5,FALSE)="","NOT DECLARED",VLOOKUP($F284,Declarations!$B$6:$F$293,5,FALSE)))</f>
        <v/>
      </c>
      <c r="E284" s="120" t="str">
        <f>IF(ISNA(VLOOKUP($F284,Declarations!$B$6:$D$293,3,FALSE)),"",IF(VLOOKUP($F284,Declarations!$B$6:$D$293,3,FALSE)="","NOT DECLARED",VLOOKUP($F284,Declarations!$B$6:$D$293,3,FALSE)&amp;LEFT(VLOOKUP($F284,Declarations!$B$6:$E$293,4,FALSE))))</f>
        <v/>
      </c>
      <c r="F284" s="59"/>
      <c r="G284" s="123">
        <v>0</v>
      </c>
      <c r="H284" s="322"/>
      <c r="I284" s="122" t="str">
        <f>IF(ISNA(VLOOKUP(F284,Declarations!B$6:C$293,2,FALSE)),"",IF(VLOOKUP(F284,Declarations!B$6:C$293,2,FALSE)="","NOTDECLARED",VLOOKUP(F284,Declarations!B$6:C$293,2,FALSE)))</f>
        <v/>
      </c>
      <c r="J284" s="124">
        <f>IF(LOWER(G284)="dnf",1,IF(U284&lt;ScoringTable!C$3,ScoringTable!I$2,VLOOKUP((1000-U284),ScoringTable!H$2:I$95,2)))</f>
        <v>0</v>
      </c>
      <c r="K284" s="120" t="str" cm="1">
        <f t="array" ref="K284">IF(OR(E284="",G284=""),"",_xlfn.IFS(E284="U10B",_xlfn.XLOOKUP(G284,Data!$D$3:$L$3,Data!$D$1:$L$1,"",1,1),E284="U12B",_xlfn.XLOOKUP(G284,Data!$D$9:$L$9,Data!$D$1:$L$1,"",1,1),E284="U10G",_xlfn.XLOOKUP(G284,Data!$D$16:$L$16,Data!$D$1:$L$1,"",1,1),E284="U12G",_xlfn.XLOOKUP(G284,Data!$D$22:$L$22,Data!$D$1:$L$1,"",1,1)))</f>
        <v/>
      </c>
      <c r="L284" s="184" t="str" cm="1">
        <f t="array" ref="L284">IFERROR(_xlfn.IFNA(
                      _xlfn.IFS(
                      G284="", "",
                      G284=0, "",
                      AND(E284="U10B",G284&lt;=Data!$M$3), "U10 Boys record",
                      AND(E284="U12B",G284&lt;=Data!$M$9), "U12 Boys record",
                      AND(E284="U10G",G284&lt;=Data!$M$16), "U10 Girls record",
                      AND(E284="U12G",G284&lt;=Data!$M$22), "U12 Girls record"
                       ),""), "")</f>
        <v/>
      </c>
      <c r="M284" s="19" cm="1">
        <f t="array" ref="M284">_xlfn.IFS(OR($G284="",$G284=0),0, AND(NOT(ISNUMBER($G284)),LOWER($G284)&lt;&gt;"dnf"),"Not a valid time",OR(LOWER($G284)="dnf",$G284&gt;ScoringTable!$N$161),1,RIGHT($E284,1)="B",_xlfn.XLOOKUP($G284,ScoringTable!$N$2:$N$161,ScoringTable!$L$2:$L$161,,1),TRUE,_xlfn.XLOOKUP($G284,ScoringTable!$T$2:$T$161,ScoringTable!$R$2:$R$161,,1))</f>
        <v>0</v>
      </c>
      <c r="Q284" s="125">
        <f t="shared" si="20"/>
        <v>0</v>
      </c>
      <c r="R284" s="126">
        <f t="shared" si="21"/>
        <v>0</v>
      </c>
      <c r="S284" s="127">
        <f t="shared" si="22"/>
        <v>0</v>
      </c>
      <c r="T284" s="126">
        <f t="shared" si="23"/>
        <v>0</v>
      </c>
      <c r="U284" s="128">
        <f t="shared" si="24"/>
        <v>0</v>
      </c>
    </row>
    <row r="285" spans="1:21" s="7" customFormat="1" ht="16" customHeight="1">
      <c r="A285" s="121" t="s">
        <v>3</v>
      </c>
      <c r="B285" s="122" t="str">
        <f>IF(ISNA(VLOOKUP($F285,Declarations!B$6:C$293,2,FALSE)),"",IF(VLOOKUP($F285,Declarations!B$6:C$293,2,FALSE)="","NOT DECLARED",IF(ISNA(_xlfn.TEXTBEFORE(VLOOKUP($F285,Declarations!B$6:C$293,2,FALSE)," ")),VLOOKUP($F285,Declarations!B$6:C$293,2,FALSE),_xlfn.TEXTBEFORE(VLOOKUP($F285,Declarations!B$6:C$293,2,FALSE)," "))))</f>
        <v/>
      </c>
      <c r="C285" s="122" t="str">
        <f>IF(ISNA(VLOOKUP($F285,Declarations!B$6:C$293,2,FALSE)),"",IF(VLOOKUP($F285,Declarations!B$6:C$293,2,FALSE)="","NOT DECLARED",IF(ISNA(_xlfn.TEXTAFTER(VLOOKUP($F285,Declarations!B$6:C$293,2,FALSE)," ")),VLOOKUP($F285,Declarations!B$6:C$293,2,FALSE),_xlfn.TEXTAFTER(VLOOKUP($F285,Declarations!B$6:C$293,2,FALSE)," "))))</f>
        <v/>
      </c>
      <c r="D285" s="122" t="str">
        <f>IF(ISNA(VLOOKUP($F285,Declarations!$B$6:$F$293,5,FALSE)),"",IF(VLOOKUP($F285,Declarations!$B$6:$F$293,5,FALSE)="","NOT DECLARED",VLOOKUP($F285,Declarations!$B$6:$F$293,5,FALSE)))</f>
        <v/>
      </c>
      <c r="E285" s="120" t="str">
        <f>IF(ISNA(VLOOKUP($F285,Declarations!$B$6:$D$293,3,FALSE)),"",IF(VLOOKUP($F285,Declarations!$B$6:$D$293,3,FALSE)="","NOT DECLARED",VLOOKUP($F285,Declarations!$B$6:$D$293,3,FALSE)&amp;LEFT(VLOOKUP($F285,Declarations!$B$6:$E$293,4,FALSE))))</f>
        <v/>
      </c>
      <c r="F285" s="59"/>
      <c r="G285" s="123">
        <v>0</v>
      </c>
      <c r="H285" s="322"/>
      <c r="I285" s="122" t="str">
        <f>IF(ISNA(VLOOKUP(F285,Declarations!B$6:C$293,2,FALSE)),"",IF(VLOOKUP(F285,Declarations!B$6:C$293,2,FALSE)="","NOTDECLARED",VLOOKUP(F285,Declarations!B$6:C$293,2,FALSE)))</f>
        <v/>
      </c>
      <c r="J285" s="124">
        <f>IF(LOWER(G285)="dnf",1,IF(U285&lt;ScoringTable!C$3,ScoringTable!I$2,VLOOKUP((1000-U285),ScoringTable!H$2:I$95,2)))</f>
        <v>0</v>
      </c>
      <c r="K285" s="120" t="str" cm="1">
        <f t="array" ref="K285">IF(OR(E285="",G285=""),"",_xlfn.IFS(E285="U10B",_xlfn.XLOOKUP(G285,Data!$D$3:$L$3,Data!$D$1:$L$1,"",1,1),E285="U12B",_xlfn.XLOOKUP(G285,Data!$D$9:$L$9,Data!$D$1:$L$1,"",1,1),E285="U10G",_xlfn.XLOOKUP(G285,Data!$D$16:$L$16,Data!$D$1:$L$1,"",1,1),E285="U12G",_xlfn.XLOOKUP(G285,Data!$D$22:$L$22,Data!$D$1:$L$1,"",1,1)))</f>
        <v/>
      </c>
      <c r="L285" s="184" t="str" cm="1">
        <f t="array" ref="L285">IFERROR(_xlfn.IFNA(
                      _xlfn.IFS(
                      G285="", "",
                      G285=0, "",
                      AND(E285="U10B",G285&lt;=Data!$M$3), "U10 Boys record",
                      AND(E285="U12B",G285&lt;=Data!$M$9), "U12 Boys record",
                      AND(E285="U10G",G285&lt;=Data!$M$16), "U10 Girls record",
                      AND(E285="U12G",G285&lt;=Data!$M$22), "U12 Girls record"
                       ),""), "")</f>
        <v/>
      </c>
      <c r="M285" s="19" cm="1">
        <f t="array" ref="M285">_xlfn.IFS(OR($G285="",$G285=0),0, AND(NOT(ISNUMBER($G285)),LOWER($G285)&lt;&gt;"dnf"),"Not a valid time",OR(LOWER($G285)="dnf",$G285&gt;ScoringTable!$N$161),1,RIGHT($E285,1)="B",_xlfn.XLOOKUP($G285,ScoringTable!$N$2:$N$161,ScoringTable!$L$2:$L$161,,1),TRUE,_xlfn.XLOOKUP($G285,ScoringTable!$T$2:$T$161,ScoringTable!$R$2:$R$161,,1))</f>
        <v>0</v>
      </c>
      <c r="Q285" s="125">
        <f t="shared" si="20"/>
        <v>0</v>
      </c>
      <c r="R285" s="126">
        <f t="shared" si="21"/>
        <v>0</v>
      </c>
      <c r="S285" s="127">
        <f t="shared" si="22"/>
        <v>0</v>
      </c>
      <c r="T285" s="126">
        <f t="shared" si="23"/>
        <v>0</v>
      </c>
      <c r="U285" s="128">
        <f t="shared" si="24"/>
        <v>0</v>
      </c>
    </row>
    <row r="286" spans="1:21" s="7" customFormat="1" ht="16" customHeight="1">
      <c r="A286" s="121" t="s">
        <v>3</v>
      </c>
      <c r="B286" s="122" t="str">
        <f>IF(ISNA(VLOOKUP($F286,Declarations!B$6:C$293,2,FALSE)),"",IF(VLOOKUP($F286,Declarations!B$6:C$293,2,FALSE)="","NOT DECLARED",IF(ISNA(_xlfn.TEXTBEFORE(VLOOKUP($F286,Declarations!B$6:C$293,2,FALSE)," ")),VLOOKUP($F286,Declarations!B$6:C$293,2,FALSE),_xlfn.TEXTBEFORE(VLOOKUP($F286,Declarations!B$6:C$293,2,FALSE)," "))))</f>
        <v/>
      </c>
      <c r="C286" s="122" t="str">
        <f>IF(ISNA(VLOOKUP($F286,Declarations!B$6:C$293,2,FALSE)),"",IF(VLOOKUP($F286,Declarations!B$6:C$293,2,FALSE)="","NOT DECLARED",IF(ISNA(_xlfn.TEXTAFTER(VLOOKUP($F286,Declarations!B$6:C$293,2,FALSE)," ")),VLOOKUP($F286,Declarations!B$6:C$293,2,FALSE),_xlfn.TEXTAFTER(VLOOKUP($F286,Declarations!B$6:C$293,2,FALSE)," "))))</f>
        <v/>
      </c>
      <c r="D286" s="122" t="str">
        <f>IF(ISNA(VLOOKUP($F286,Declarations!$B$6:$F$293,5,FALSE)),"",IF(VLOOKUP($F286,Declarations!$B$6:$F$293,5,FALSE)="","NOT DECLARED",VLOOKUP($F286,Declarations!$B$6:$F$293,5,FALSE)))</f>
        <v/>
      </c>
      <c r="E286" s="120" t="str">
        <f>IF(ISNA(VLOOKUP($F286,Declarations!$B$6:$D$293,3,FALSE)),"",IF(VLOOKUP($F286,Declarations!$B$6:$D$293,3,FALSE)="","NOT DECLARED",VLOOKUP($F286,Declarations!$B$6:$D$293,3,FALSE)&amp;LEFT(VLOOKUP($F286,Declarations!$B$6:$E$293,4,FALSE))))</f>
        <v/>
      </c>
      <c r="F286" s="59"/>
      <c r="G286" s="123">
        <v>0</v>
      </c>
      <c r="H286" s="322"/>
      <c r="I286" s="122" t="str">
        <f>IF(ISNA(VLOOKUP(F286,Declarations!B$6:C$293,2,FALSE)),"",IF(VLOOKUP(F286,Declarations!B$6:C$293,2,FALSE)="","NOTDECLARED",VLOOKUP(F286,Declarations!B$6:C$293,2,FALSE)))</f>
        <v/>
      </c>
      <c r="J286" s="124">
        <f>IF(LOWER(G286)="dnf",1,IF(U286&lt;ScoringTable!C$3,ScoringTable!I$2,VLOOKUP((1000-U286),ScoringTable!H$2:I$95,2)))</f>
        <v>0</v>
      </c>
      <c r="K286" s="120" t="str" cm="1">
        <f t="array" ref="K286">IF(OR(E286="",G286=""),"",_xlfn.IFS(E286="U10B",_xlfn.XLOOKUP(G286,Data!$D$3:$L$3,Data!$D$1:$L$1,"",1,1),E286="U12B",_xlfn.XLOOKUP(G286,Data!$D$9:$L$9,Data!$D$1:$L$1,"",1,1),E286="U10G",_xlfn.XLOOKUP(G286,Data!$D$16:$L$16,Data!$D$1:$L$1,"",1,1),E286="U12G",_xlfn.XLOOKUP(G286,Data!$D$22:$L$22,Data!$D$1:$L$1,"",1,1)))</f>
        <v/>
      </c>
      <c r="L286" s="184" t="str" cm="1">
        <f t="array" ref="L286">IFERROR(_xlfn.IFNA(
                      _xlfn.IFS(
                      G286="", "",
                      G286=0, "",
                      AND(E286="U10B",G286&lt;=Data!$M$3), "U10 Boys record",
                      AND(E286="U12B",G286&lt;=Data!$M$9), "U12 Boys record",
                      AND(E286="U10G",G286&lt;=Data!$M$16), "U10 Girls record",
                      AND(E286="U12G",G286&lt;=Data!$M$22), "U12 Girls record"
                       ),""), "")</f>
        <v/>
      </c>
      <c r="M286" s="19" cm="1">
        <f t="array" ref="M286">_xlfn.IFS(OR($G286="",$G286=0),0, AND(NOT(ISNUMBER($G286)),LOWER($G286)&lt;&gt;"dnf"),"Not a valid time",OR(LOWER($G286)="dnf",$G286&gt;ScoringTable!$N$161),1,RIGHT($E286,1)="B",_xlfn.XLOOKUP($G286,ScoringTable!$N$2:$N$161,ScoringTable!$L$2:$L$161,,1),TRUE,_xlfn.XLOOKUP($G286,ScoringTable!$T$2:$T$161,ScoringTable!$R$2:$R$161,,1))</f>
        <v>0</v>
      </c>
      <c r="Q286" s="125">
        <f t="shared" si="20"/>
        <v>0</v>
      </c>
      <c r="R286" s="126">
        <f t="shared" si="21"/>
        <v>0</v>
      </c>
      <c r="S286" s="127">
        <f t="shared" si="22"/>
        <v>0</v>
      </c>
      <c r="T286" s="126">
        <f t="shared" si="23"/>
        <v>0</v>
      </c>
      <c r="U286" s="128">
        <f t="shared" si="24"/>
        <v>0</v>
      </c>
    </row>
    <row r="287" spans="1:21" s="7" customFormat="1" ht="16" customHeight="1">
      <c r="A287" s="121" t="s">
        <v>3</v>
      </c>
      <c r="B287" s="122" t="str">
        <f>IF(ISNA(VLOOKUP($F287,Declarations!B$6:C$293,2,FALSE)),"",IF(VLOOKUP($F287,Declarations!B$6:C$293,2,FALSE)="","NOT DECLARED",IF(ISNA(_xlfn.TEXTBEFORE(VLOOKUP($F287,Declarations!B$6:C$293,2,FALSE)," ")),VLOOKUP($F287,Declarations!B$6:C$293,2,FALSE),_xlfn.TEXTBEFORE(VLOOKUP($F287,Declarations!B$6:C$293,2,FALSE)," "))))</f>
        <v/>
      </c>
      <c r="C287" s="122" t="str">
        <f>IF(ISNA(VLOOKUP($F287,Declarations!B$6:C$293,2,FALSE)),"",IF(VLOOKUP($F287,Declarations!B$6:C$293,2,FALSE)="","NOT DECLARED",IF(ISNA(_xlfn.TEXTAFTER(VLOOKUP($F287,Declarations!B$6:C$293,2,FALSE)," ")),VLOOKUP($F287,Declarations!B$6:C$293,2,FALSE),_xlfn.TEXTAFTER(VLOOKUP($F287,Declarations!B$6:C$293,2,FALSE)," "))))</f>
        <v/>
      </c>
      <c r="D287" s="122" t="str">
        <f>IF(ISNA(VLOOKUP($F287,Declarations!$B$6:$F$293,5,FALSE)),"",IF(VLOOKUP($F287,Declarations!$B$6:$F$293,5,FALSE)="","NOT DECLARED",VLOOKUP($F287,Declarations!$B$6:$F$293,5,FALSE)))</f>
        <v/>
      </c>
      <c r="E287" s="120" t="str">
        <f>IF(ISNA(VLOOKUP($F287,Declarations!$B$6:$D$293,3,FALSE)),"",IF(VLOOKUP($F287,Declarations!$B$6:$D$293,3,FALSE)="","NOT DECLARED",VLOOKUP($F287,Declarations!$B$6:$D$293,3,FALSE)&amp;LEFT(VLOOKUP($F287,Declarations!$B$6:$E$293,4,FALSE))))</f>
        <v/>
      </c>
      <c r="F287" s="59"/>
      <c r="G287" s="123">
        <v>0</v>
      </c>
      <c r="H287" s="322"/>
      <c r="I287" s="122" t="str">
        <f>IF(ISNA(VLOOKUP(F287,Declarations!B$6:C$293,2,FALSE)),"",IF(VLOOKUP(F287,Declarations!B$6:C$293,2,FALSE)="","NOTDECLARED",VLOOKUP(F287,Declarations!B$6:C$293,2,FALSE)))</f>
        <v/>
      </c>
      <c r="J287" s="124">
        <f>IF(LOWER(G287)="dnf",1,IF(U287&lt;ScoringTable!C$3,ScoringTable!I$2,VLOOKUP((1000-U287),ScoringTable!H$2:I$95,2)))</f>
        <v>0</v>
      </c>
      <c r="K287" s="120" t="str" cm="1">
        <f t="array" ref="K287">IF(OR(E287="",G287=""),"",_xlfn.IFS(E287="U10B",_xlfn.XLOOKUP(G287,Data!$D$3:$L$3,Data!$D$1:$L$1,"",1,1),E287="U12B",_xlfn.XLOOKUP(G287,Data!$D$9:$L$9,Data!$D$1:$L$1,"",1,1),E287="U10G",_xlfn.XLOOKUP(G287,Data!$D$16:$L$16,Data!$D$1:$L$1,"",1,1),E287="U12G",_xlfn.XLOOKUP(G287,Data!$D$22:$L$22,Data!$D$1:$L$1,"",1,1)))</f>
        <v/>
      </c>
      <c r="L287" s="184" t="str" cm="1">
        <f t="array" ref="L287">IFERROR(_xlfn.IFNA(
                      _xlfn.IFS(
                      G287="", "",
                      G287=0, "",
                      AND(E287="U10B",G287&lt;=Data!$M$3), "U10 Boys record",
                      AND(E287="U12B",G287&lt;=Data!$M$9), "U12 Boys record",
                      AND(E287="U10G",G287&lt;=Data!$M$16), "U10 Girls record",
                      AND(E287="U12G",G287&lt;=Data!$M$22), "U12 Girls record"
                       ),""), "")</f>
        <v/>
      </c>
      <c r="M287" s="19" cm="1">
        <f t="array" ref="M287">_xlfn.IFS(OR($G287="",$G287=0),0, AND(NOT(ISNUMBER($G287)),LOWER($G287)&lt;&gt;"dnf"),"Not a valid time",OR(LOWER($G287)="dnf",$G287&gt;ScoringTable!$N$161),1,RIGHT($E287,1)="B",_xlfn.XLOOKUP($G287,ScoringTable!$N$2:$N$161,ScoringTable!$L$2:$L$161,,1),TRUE,_xlfn.XLOOKUP($G287,ScoringTable!$T$2:$T$161,ScoringTable!$R$2:$R$161,,1))</f>
        <v>0</v>
      </c>
      <c r="Q287" s="125">
        <f t="shared" si="20"/>
        <v>0</v>
      </c>
      <c r="R287" s="126">
        <f t="shared" si="21"/>
        <v>0</v>
      </c>
      <c r="S287" s="127">
        <f t="shared" si="22"/>
        <v>0</v>
      </c>
      <c r="T287" s="126">
        <f t="shared" si="23"/>
        <v>0</v>
      </c>
      <c r="U287" s="128">
        <f t="shared" si="24"/>
        <v>0</v>
      </c>
    </row>
    <row r="288" spans="1:21" s="7" customFormat="1" ht="16" customHeight="1">
      <c r="A288" s="121" t="s">
        <v>3</v>
      </c>
      <c r="B288" s="122" t="str">
        <f>IF(ISNA(VLOOKUP($F288,Declarations!B$6:C$293,2,FALSE)),"",IF(VLOOKUP($F288,Declarations!B$6:C$293,2,FALSE)="","NOT DECLARED",IF(ISNA(_xlfn.TEXTBEFORE(VLOOKUP($F288,Declarations!B$6:C$293,2,FALSE)," ")),VLOOKUP($F288,Declarations!B$6:C$293,2,FALSE),_xlfn.TEXTBEFORE(VLOOKUP($F288,Declarations!B$6:C$293,2,FALSE)," "))))</f>
        <v/>
      </c>
      <c r="C288" s="122" t="str">
        <f>IF(ISNA(VLOOKUP($F288,Declarations!B$6:C$293,2,FALSE)),"",IF(VLOOKUP($F288,Declarations!B$6:C$293,2,FALSE)="","NOT DECLARED",IF(ISNA(_xlfn.TEXTAFTER(VLOOKUP($F288,Declarations!B$6:C$293,2,FALSE)," ")),VLOOKUP($F288,Declarations!B$6:C$293,2,FALSE),_xlfn.TEXTAFTER(VLOOKUP($F288,Declarations!B$6:C$293,2,FALSE)," "))))</f>
        <v/>
      </c>
      <c r="D288" s="122" t="str">
        <f>IF(ISNA(VLOOKUP($F288,Declarations!$B$6:$F$293,5,FALSE)),"",IF(VLOOKUP($F288,Declarations!$B$6:$F$293,5,FALSE)="","NOT DECLARED",VLOOKUP($F288,Declarations!$B$6:$F$293,5,FALSE)))</f>
        <v/>
      </c>
      <c r="E288" s="120" t="str">
        <f>IF(ISNA(VLOOKUP($F288,Declarations!$B$6:$D$293,3,FALSE)),"",IF(VLOOKUP($F288,Declarations!$B$6:$D$293,3,FALSE)="","NOT DECLARED",VLOOKUP($F288,Declarations!$B$6:$D$293,3,FALSE)&amp;LEFT(VLOOKUP($F288,Declarations!$B$6:$E$293,4,FALSE))))</f>
        <v/>
      </c>
      <c r="F288" s="59"/>
      <c r="G288" s="123">
        <v>0</v>
      </c>
      <c r="H288" s="322"/>
      <c r="I288" s="122" t="str">
        <f>IF(ISNA(VLOOKUP(F288,Declarations!B$6:C$293,2,FALSE)),"",IF(VLOOKUP(F288,Declarations!B$6:C$293,2,FALSE)="","NOTDECLARED",VLOOKUP(F288,Declarations!B$6:C$293,2,FALSE)))</f>
        <v/>
      </c>
      <c r="J288" s="124">
        <f>IF(LOWER(G288)="dnf",1,IF(U288&lt;ScoringTable!C$3,ScoringTable!I$2,VLOOKUP((1000-U288),ScoringTable!H$2:I$95,2)))</f>
        <v>0</v>
      </c>
      <c r="K288" s="120" t="str" cm="1">
        <f t="array" ref="K288">IF(OR(E288="",G288=""),"",_xlfn.IFS(E288="U10B",_xlfn.XLOOKUP(G288,Data!$D$3:$L$3,Data!$D$1:$L$1,"",1,1),E288="U12B",_xlfn.XLOOKUP(G288,Data!$D$9:$L$9,Data!$D$1:$L$1,"",1,1),E288="U10G",_xlfn.XLOOKUP(G288,Data!$D$16:$L$16,Data!$D$1:$L$1,"",1,1),E288="U12G",_xlfn.XLOOKUP(G288,Data!$D$22:$L$22,Data!$D$1:$L$1,"",1,1)))</f>
        <v/>
      </c>
      <c r="L288" s="184" t="str" cm="1">
        <f t="array" ref="L288">IFERROR(_xlfn.IFNA(
                      _xlfn.IFS(
                      G288="", "",
                      G288=0, "",
                      AND(E288="U10B",G288&lt;=Data!$M$3), "U10 Boys record",
                      AND(E288="U12B",G288&lt;=Data!$M$9), "U12 Boys record",
                      AND(E288="U10G",G288&lt;=Data!$M$16), "U10 Girls record",
                      AND(E288="U12G",G288&lt;=Data!$M$22), "U12 Girls record"
                       ),""), "")</f>
        <v/>
      </c>
      <c r="M288" s="19" cm="1">
        <f t="array" ref="M288">_xlfn.IFS(OR($G288="",$G288=0),0, AND(NOT(ISNUMBER($G288)),LOWER($G288)&lt;&gt;"dnf"),"Not a valid time",OR(LOWER($G288)="dnf",$G288&gt;ScoringTable!$N$161),1,RIGHT($E288,1)="B",_xlfn.XLOOKUP($G288,ScoringTable!$N$2:$N$161,ScoringTable!$L$2:$L$161,,1),TRUE,_xlfn.XLOOKUP($G288,ScoringTable!$T$2:$T$161,ScoringTable!$R$2:$R$161,,1))</f>
        <v>0</v>
      </c>
      <c r="Q288" s="125">
        <f t="shared" si="20"/>
        <v>0</v>
      </c>
      <c r="R288" s="126">
        <f t="shared" si="21"/>
        <v>0</v>
      </c>
      <c r="S288" s="127">
        <f t="shared" si="22"/>
        <v>0</v>
      </c>
      <c r="T288" s="126">
        <f t="shared" si="23"/>
        <v>0</v>
      </c>
      <c r="U288" s="128">
        <f t="shared" si="24"/>
        <v>0</v>
      </c>
    </row>
    <row r="289" spans="1:21" s="7" customFormat="1" ht="16" customHeight="1">
      <c r="A289" s="121" t="s">
        <v>3</v>
      </c>
      <c r="B289" s="122" t="str">
        <f>IF(ISNA(VLOOKUP($F289,Declarations!B$6:C$293,2,FALSE)),"",IF(VLOOKUP($F289,Declarations!B$6:C$293,2,FALSE)="","NOT DECLARED",IF(ISNA(_xlfn.TEXTBEFORE(VLOOKUP($F289,Declarations!B$6:C$293,2,FALSE)," ")),VLOOKUP($F289,Declarations!B$6:C$293,2,FALSE),_xlfn.TEXTBEFORE(VLOOKUP($F289,Declarations!B$6:C$293,2,FALSE)," "))))</f>
        <v/>
      </c>
      <c r="C289" s="122" t="str">
        <f>IF(ISNA(VLOOKUP($F289,Declarations!B$6:C$293,2,FALSE)),"",IF(VLOOKUP($F289,Declarations!B$6:C$293,2,FALSE)="","NOT DECLARED",IF(ISNA(_xlfn.TEXTAFTER(VLOOKUP($F289,Declarations!B$6:C$293,2,FALSE)," ")),VLOOKUP($F289,Declarations!B$6:C$293,2,FALSE),_xlfn.TEXTAFTER(VLOOKUP($F289,Declarations!B$6:C$293,2,FALSE)," "))))</f>
        <v/>
      </c>
      <c r="D289" s="122" t="str">
        <f>IF(ISNA(VLOOKUP($F289,Declarations!$B$6:$F$293,5,FALSE)),"",IF(VLOOKUP($F289,Declarations!$B$6:$F$293,5,FALSE)="","NOT DECLARED",VLOOKUP($F289,Declarations!$B$6:$F$293,5,FALSE)))</f>
        <v/>
      </c>
      <c r="E289" s="120" t="str">
        <f>IF(ISNA(VLOOKUP($F289,Declarations!$B$6:$D$293,3,FALSE)),"",IF(VLOOKUP($F289,Declarations!$B$6:$D$293,3,FALSE)="","NOT DECLARED",VLOOKUP($F289,Declarations!$B$6:$D$293,3,FALSE)&amp;LEFT(VLOOKUP($F289,Declarations!$B$6:$E$293,4,FALSE))))</f>
        <v/>
      </c>
      <c r="F289" s="59"/>
      <c r="G289" s="123">
        <v>0</v>
      </c>
      <c r="H289" s="322"/>
      <c r="I289" s="122" t="str">
        <f>IF(ISNA(VLOOKUP(F289,Declarations!B$6:C$293,2,FALSE)),"",IF(VLOOKUP(F289,Declarations!B$6:C$293,2,FALSE)="","NOTDECLARED",VLOOKUP(F289,Declarations!B$6:C$293,2,FALSE)))</f>
        <v/>
      </c>
      <c r="J289" s="124">
        <f>IF(LOWER(G289)="dnf",1,IF(U289&lt;ScoringTable!C$3,ScoringTable!I$2,VLOOKUP((1000-U289),ScoringTable!H$2:I$95,2)))</f>
        <v>0</v>
      </c>
      <c r="K289" s="120" t="str" cm="1">
        <f t="array" ref="K289">IF(OR(E289="",G289=""),"",_xlfn.IFS(E289="U10B",_xlfn.XLOOKUP(G289,Data!$D$3:$L$3,Data!$D$1:$L$1,"",1,1),E289="U12B",_xlfn.XLOOKUP(G289,Data!$D$9:$L$9,Data!$D$1:$L$1,"",1,1),E289="U10G",_xlfn.XLOOKUP(G289,Data!$D$16:$L$16,Data!$D$1:$L$1,"",1,1),E289="U12G",_xlfn.XLOOKUP(G289,Data!$D$22:$L$22,Data!$D$1:$L$1,"",1,1)))</f>
        <v/>
      </c>
      <c r="L289" s="184" t="str" cm="1">
        <f t="array" ref="L289">IFERROR(_xlfn.IFNA(
                      _xlfn.IFS(
                      G289="", "",
                      G289=0, "",
                      AND(E289="U10B",G289&lt;=Data!$M$3), "U10 Boys record",
                      AND(E289="U12B",G289&lt;=Data!$M$9), "U12 Boys record",
                      AND(E289="U10G",G289&lt;=Data!$M$16), "U10 Girls record",
                      AND(E289="U12G",G289&lt;=Data!$M$22), "U12 Girls record"
                       ),""), "")</f>
        <v/>
      </c>
      <c r="M289" s="19" cm="1">
        <f t="array" ref="M289">_xlfn.IFS(OR($G289="",$G289=0),0, AND(NOT(ISNUMBER($G289)),LOWER($G289)&lt;&gt;"dnf"),"Not a valid time",OR(LOWER($G289)="dnf",$G289&gt;ScoringTable!$N$161),1,RIGHT($E289,1)="B",_xlfn.XLOOKUP($G289,ScoringTable!$N$2:$N$161,ScoringTable!$L$2:$L$161,,1),TRUE,_xlfn.XLOOKUP($G289,ScoringTable!$T$2:$T$161,ScoringTable!$R$2:$R$161,,1))</f>
        <v>0</v>
      </c>
      <c r="Q289" s="125">
        <f t="shared" si="20"/>
        <v>0</v>
      </c>
      <c r="R289" s="126">
        <f t="shared" si="21"/>
        <v>0</v>
      </c>
      <c r="S289" s="127">
        <f t="shared" si="22"/>
        <v>0</v>
      </c>
      <c r="T289" s="126">
        <f t="shared" si="23"/>
        <v>0</v>
      </c>
      <c r="U289" s="128">
        <f t="shared" si="24"/>
        <v>0</v>
      </c>
    </row>
    <row r="290" spans="1:21" s="7" customFormat="1" ht="16" customHeight="1">
      <c r="A290" s="121" t="s">
        <v>3</v>
      </c>
      <c r="B290" s="122" t="str">
        <f>IF(ISNA(VLOOKUP($F290,Declarations!B$6:C$293,2,FALSE)),"",IF(VLOOKUP($F290,Declarations!B$6:C$293,2,FALSE)="","NOT DECLARED",IF(ISNA(_xlfn.TEXTBEFORE(VLOOKUP($F290,Declarations!B$6:C$293,2,FALSE)," ")),VLOOKUP($F290,Declarations!B$6:C$293,2,FALSE),_xlfn.TEXTBEFORE(VLOOKUP($F290,Declarations!B$6:C$293,2,FALSE)," "))))</f>
        <v/>
      </c>
      <c r="C290" s="122" t="str">
        <f>IF(ISNA(VLOOKUP($F290,Declarations!B$6:C$293,2,FALSE)),"",IF(VLOOKUP($F290,Declarations!B$6:C$293,2,FALSE)="","NOT DECLARED",IF(ISNA(_xlfn.TEXTAFTER(VLOOKUP($F290,Declarations!B$6:C$293,2,FALSE)," ")),VLOOKUP($F290,Declarations!B$6:C$293,2,FALSE),_xlfn.TEXTAFTER(VLOOKUP($F290,Declarations!B$6:C$293,2,FALSE)," "))))</f>
        <v/>
      </c>
      <c r="D290" s="122" t="str">
        <f>IF(ISNA(VLOOKUP($F290,Declarations!$B$6:$F$293,5,FALSE)),"",IF(VLOOKUP($F290,Declarations!$B$6:$F$293,5,FALSE)="","NOT DECLARED",VLOOKUP($F290,Declarations!$B$6:$F$293,5,FALSE)))</f>
        <v/>
      </c>
      <c r="E290" s="120" t="str">
        <f>IF(ISNA(VLOOKUP($F290,Declarations!$B$6:$D$293,3,FALSE)),"",IF(VLOOKUP($F290,Declarations!$B$6:$D$293,3,FALSE)="","NOT DECLARED",VLOOKUP($F290,Declarations!$B$6:$D$293,3,FALSE)&amp;LEFT(VLOOKUP($F290,Declarations!$B$6:$E$293,4,FALSE))))</f>
        <v/>
      </c>
      <c r="F290" s="59"/>
      <c r="G290" s="123">
        <v>0</v>
      </c>
      <c r="H290" s="322"/>
      <c r="I290" s="122" t="str">
        <f>IF(ISNA(VLOOKUP(F290,Declarations!B$6:C$293,2,FALSE)),"",IF(VLOOKUP(F290,Declarations!B$6:C$293,2,FALSE)="","NOTDECLARED",VLOOKUP(F290,Declarations!B$6:C$293,2,FALSE)))</f>
        <v/>
      </c>
      <c r="J290" s="124">
        <f>IF(LOWER(G290)="dnf",1,IF(U290&lt;ScoringTable!C$3,ScoringTable!I$2,VLOOKUP((1000-U290),ScoringTable!H$2:I$95,2)))</f>
        <v>0</v>
      </c>
      <c r="K290" s="120" t="str" cm="1">
        <f t="array" ref="K290">IF(OR(E290="",G290=""),"",_xlfn.IFS(E290="U10B",_xlfn.XLOOKUP(G290,Data!$D$3:$L$3,Data!$D$1:$L$1,"",1,1),E290="U12B",_xlfn.XLOOKUP(G290,Data!$D$9:$L$9,Data!$D$1:$L$1,"",1,1),E290="U10G",_xlfn.XLOOKUP(G290,Data!$D$16:$L$16,Data!$D$1:$L$1,"",1,1),E290="U12G",_xlfn.XLOOKUP(G290,Data!$D$22:$L$22,Data!$D$1:$L$1,"",1,1)))</f>
        <v/>
      </c>
      <c r="L290" s="184" t="str" cm="1">
        <f t="array" ref="L290">IFERROR(_xlfn.IFNA(
                      _xlfn.IFS(
                      G290="", "",
                      G290=0, "",
                      AND(E290="U10B",G290&lt;=Data!$M$3), "U10 Boys record",
                      AND(E290="U12B",G290&lt;=Data!$M$9), "U12 Boys record",
                      AND(E290="U10G",G290&lt;=Data!$M$16), "U10 Girls record",
                      AND(E290="U12G",G290&lt;=Data!$M$22), "U12 Girls record"
                       ),""), "")</f>
        <v/>
      </c>
      <c r="M290" s="19" cm="1">
        <f t="array" ref="M290">_xlfn.IFS(OR($G290="",$G290=0),0, AND(NOT(ISNUMBER($G290)),LOWER($G290)&lt;&gt;"dnf"),"Not a valid time",OR(LOWER($G290)="dnf",$G290&gt;ScoringTable!$N$161),1,RIGHT($E290,1)="B",_xlfn.XLOOKUP($G290,ScoringTable!$N$2:$N$161,ScoringTable!$L$2:$L$161,,1),TRUE,_xlfn.XLOOKUP($G290,ScoringTable!$T$2:$T$161,ScoringTable!$R$2:$R$161,,1))</f>
        <v>0</v>
      </c>
      <c r="Q290" s="125">
        <f t="shared" si="20"/>
        <v>0</v>
      </c>
      <c r="R290" s="126">
        <f t="shared" si="21"/>
        <v>0</v>
      </c>
      <c r="S290" s="127">
        <f t="shared" si="22"/>
        <v>0</v>
      </c>
      <c r="T290" s="126">
        <f t="shared" si="23"/>
        <v>0</v>
      </c>
      <c r="U290" s="128">
        <f t="shared" si="24"/>
        <v>0</v>
      </c>
    </row>
    <row r="291" spans="1:21" s="7" customFormat="1" ht="16" customHeight="1">
      <c r="A291" s="121" t="s">
        <v>3</v>
      </c>
      <c r="B291" s="122" t="str">
        <f>IF(ISNA(VLOOKUP($F291,Declarations!B$6:C$293,2,FALSE)),"",IF(VLOOKUP($F291,Declarations!B$6:C$293,2,FALSE)="","NOT DECLARED",IF(ISNA(_xlfn.TEXTBEFORE(VLOOKUP($F291,Declarations!B$6:C$293,2,FALSE)," ")),VLOOKUP($F291,Declarations!B$6:C$293,2,FALSE),_xlfn.TEXTBEFORE(VLOOKUP($F291,Declarations!B$6:C$293,2,FALSE)," "))))</f>
        <v/>
      </c>
      <c r="C291" s="122" t="str">
        <f>IF(ISNA(VLOOKUP($F291,Declarations!B$6:C$293,2,FALSE)),"",IF(VLOOKUP($F291,Declarations!B$6:C$293,2,FALSE)="","NOT DECLARED",IF(ISNA(_xlfn.TEXTAFTER(VLOOKUP($F291,Declarations!B$6:C$293,2,FALSE)," ")),VLOOKUP($F291,Declarations!B$6:C$293,2,FALSE),_xlfn.TEXTAFTER(VLOOKUP($F291,Declarations!B$6:C$293,2,FALSE)," "))))</f>
        <v/>
      </c>
      <c r="D291" s="122" t="str">
        <f>IF(ISNA(VLOOKUP($F291,Declarations!$B$6:$F$293,5,FALSE)),"",IF(VLOOKUP($F291,Declarations!$B$6:$F$293,5,FALSE)="","NOT DECLARED",VLOOKUP($F291,Declarations!$B$6:$F$293,5,FALSE)))</f>
        <v/>
      </c>
      <c r="E291" s="120" t="str">
        <f>IF(ISNA(VLOOKUP($F291,Declarations!$B$6:$D$293,3,FALSE)),"",IF(VLOOKUP($F291,Declarations!$B$6:$D$293,3,FALSE)="","NOT DECLARED",VLOOKUP($F291,Declarations!$B$6:$D$293,3,FALSE)&amp;LEFT(VLOOKUP($F291,Declarations!$B$6:$E$293,4,FALSE))))</f>
        <v/>
      </c>
      <c r="F291" s="59"/>
      <c r="G291" s="123">
        <v>0</v>
      </c>
      <c r="H291" s="322"/>
      <c r="I291" s="122" t="str">
        <f>IF(ISNA(VLOOKUP(F291,Declarations!B$6:C$293,2,FALSE)),"",IF(VLOOKUP(F291,Declarations!B$6:C$293,2,FALSE)="","NOTDECLARED",VLOOKUP(F291,Declarations!B$6:C$293,2,FALSE)))</f>
        <v/>
      </c>
      <c r="J291" s="124">
        <f>IF(LOWER(G291)="dnf",1,IF(U291&lt;ScoringTable!C$3,ScoringTable!I$2,VLOOKUP((1000-U291),ScoringTable!H$2:I$95,2)))</f>
        <v>0</v>
      </c>
      <c r="K291" s="120" t="str" cm="1">
        <f t="array" ref="K291">IF(OR(E291="",G291=""),"",_xlfn.IFS(E291="U10B",_xlfn.XLOOKUP(G291,Data!$D$3:$L$3,Data!$D$1:$L$1,"",1,1),E291="U12B",_xlfn.XLOOKUP(G291,Data!$D$9:$L$9,Data!$D$1:$L$1,"",1,1),E291="U10G",_xlfn.XLOOKUP(G291,Data!$D$16:$L$16,Data!$D$1:$L$1,"",1,1),E291="U12G",_xlfn.XLOOKUP(G291,Data!$D$22:$L$22,Data!$D$1:$L$1,"",1,1)))</f>
        <v/>
      </c>
      <c r="L291" s="184" t="str" cm="1">
        <f t="array" ref="L291">IFERROR(_xlfn.IFNA(
                      _xlfn.IFS(
                      G291="", "",
                      G291=0, "",
                      AND(E291="U10B",G291&lt;=Data!$M$3), "U10 Boys record",
                      AND(E291="U12B",G291&lt;=Data!$M$9), "U12 Boys record",
                      AND(E291="U10G",G291&lt;=Data!$M$16), "U10 Girls record",
                      AND(E291="U12G",G291&lt;=Data!$M$22), "U12 Girls record"
                       ),""), "")</f>
        <v/>
      </c>
      <c r="M291" s="19" cm="1">
        <f t="array" ref="M291">_xlfn.IFS(OR($G291="",$G291=0),0, AND(NOT(ISNUMBER($G291)),LOWER($G291)&lt;&gt;"dnf"),"Not a valid time",OR(LOWER($G291)="dnf",$G291&gt;ScoringTable!$N$161),1,RIGHT($E291,1)="B",_xlfn.XLOOKUP($G291,ScoringTable!$N$2:$N$161,ScoringTable!$L$2:$L$161,,1),TRUE,_xlfn.XLOOKUP($G291,ScoringTable!$T$2:$T$161,ScoringTable!$R$2:$R$161,,1))</f>
        <v>0</v>
      </c>
      <c r="Q291" s="125">
        <f t="shared" si="20"/>
        <v>0</v>
      </c>
      <c r="R291" s="126">
        <f t="shared" si="21"/>
        <v>0</v>
      </c>
      <c r="S291" s="127">
        <f t="shared" si="22"/>
        <v>0</v>
      </c>
      <c r="T291" s="126">
        <f t="shared" si="23"/>
        <v>0</v>
      </c>
      <c r="U291" s="128">
        <f t="shared" si="24"/>
        <v>0</v>
      </c>
    </row>
    <row r="292" spans="1:21" s="7" customFormat="1" ht="16" customHeight="1">
      <c r="A292" s="121" t="s">
        <v>3</v>
      </c>
      <c r="B292" s="122" t="str">
        <f>IF(ISNA(VLOOKUP($F292,Declarations!B$6:C$293,2,FALSE)),"",IF(VLOOKUP($F292,Declarations!B$6:C$293,2,FALSE)="","NOT DECLARED",IF(ISNA(_xlfn.TEXTBEFORE(VLOOKUP($F292,Declarations!B$6:C$293,2,FALSE)," ")),VLOOKUP($F292,Declarations!B$6:C$293,2,FALSE),_xlfn.TEXTBEFORE(VLOOKUP($F292,Declarations!B$6:C$293,2,FALSE)," "))))</f>
        <v/>
      </c>
      <c r="C292" s="122" t="str">
        <f>IF(ISNA(VLOOKUP($F292,Declarations!B$6:C$293,2,FALSE)),"",IF(VLOOKUP($F292,Declarations!B$6:C$293,2,FALSE)="","NOT DECLARED",IF(ISNA(_xlfn.TEXTAFTER(VLOOKUP($F292,Declarations!B$6:C$293,2,FALSE)," ")),VLOOKUP($F292,Declarations!B$6:C$293,2,FALSE),_xlfn.TEXTAFTER(VLOOKUP($F292,Declarations!B$6:C$293,2,FALSE)," "))))</f>
        <v/>
      </c>
      <c r="D292" s="122" t="str">
        <f>IF(ISNA(VLOOKUP($F292,Declarations!$B$6:$F$293,5,FALSE)),"",IF(VLOOKUP($F292,Declarations!$B$6:$F$293,5,FALSE)="","NOT DECLARED",VLOOKUP($F292,Declarations!$B$6:$F$293,5,FALSE)))</f>
        <v/>
      </c>
      <c r="E292" s="120" t="str">
        <f>IF(ISNA(VLOOKUP($F292,Declarations!$B$6:$D$293,3,FALSE)),"",IF(VLOOKUP($F292,Declarations!$B$6:$D$293,3,FALSE)="","NOT DECLARED",VLOOKUP($F292,Declarations!$B$6:$D$293,3,FALSE)&amp;LEFT(VLOOKUP($F292,Declarations!$B$6:$E$293,4,FALSE))))</f>
        <v/>
      </c>
      <c r="F292" s="59"/>
      <c r="G292" s="123">
        <v>0</v>
      </c>
      <c r="H292" s="322"/>
      <c r="I292" s="122" t="str">
        <f>IF(ISNA(VLOOKUP(F292,Declarations!B$6:C$293,2,FALSE)),"",IF(VLOOKUP(F292,Declarations!B$6:C$293,2,FALSE)="","NOTDECLARED",VLOOKUP(F292,Declarations!B$6:C$293,2,FALSE)))</f>
        <v/>
      </c>
      <c r="J292" s="124">
        <f>IF(LOWER(G292)="dnf",1,IF(U292&lt;ScoringTable!C$3,ScoringTable!I$2,VLOOKUP((1000-U292),ScoringTable!H$2:I$95,2)))</f>
        <v>0</v>
      </c>
      <c r="K292" s="120" t="str" cm="1">
        <f t="array" ref="K292">IF(OR(E292="",G292=""),"",_xlfn.IFS(E292="U10B",_xlfn.XLOOKUP(G292,Data!$D$3:$L$3,Data!$D$1:$L$1,"",1,1),E292="U12B",_xlfn.XLOOKUP(G292,Data!$D$9:$L$9,Data!$D$1:$L$1,"",1,1),E292="U10G",_xlfn.XLOOKUP(G292,Data!$D$16:$L$16,Data!$D$1:$L$1,"",1,1),E292="U12G",_xlfn.XLOOKUP(G292,Data!$D$22:$L$22,Data!$D$1:$L$1,"",1,1)))</f>
        <v/>
      </c>
      <c r="L292" s="184" t="str" cm="1">
        <f t="array" ref="L292">IFERROR(_xlfn.IFNA(
                      _xlfn.IFS(
                      G292="", "",
                      G292=0, "",
                      AND(E292="U10B",G292&lt;=Data!$M$3), "U10 Boys record",
                      AND(E292="U12B",G292&lt;=Data!$M$9), "U12 Boys record",
                      AND(E292="U10G",G292&lt;=Data!$M$16), "U10 Girls record",
                      AND(E292="U12G",G292&lt;=Data!$M$22), "U12 Girls record"
                       ),""), "")</f>
        <v/>
      </c>
      <c r="M292" s="19" cm="1">
        <f t="array" ref="M292">_xlfn.IFS(OR($G292="",$G292=0),0, AND(NOT(ISNUMBER($G292)),LOWER($G292)&lt;&gt;"dnf"),"Not a valid time",OR(LOWER($G292)="dnf",$G292&gt;ScoringTable!$N$161),1,RIGHT($E292,1)="B",_xlfn.XLOOKUP($G292,ScoringTable!$N$2:$N$161,ScoringTable!$L$2:$L$161,,1),TRUE,_xlfn.XLOOKUP($G292,ScoringTable!$T$2:$T$161,ScoringTable!$R$2:$R$161,,1))</f>
        <v>0</v>
      </c>
      <c r="Q292" s="125">
        <f t="shared" si="20"/>
        <v>0</v>
      </c>
      <c r="R292" s="126">
        <f t="shared" si="21"/>
        <v>0</v>
      </c>
      <c r="S292" s="127">
        <f t="shared" si="22"/>
        <v>0</v>
      </c>
      <c r="T292" s="126">
        <f t="shared" si="23"/>
        <v>0</v>
      </c>
      <c r="U292" s="128">
        <f t="shared" si="24"/>
        <v>0</v>
      </c>
    </row>
    <row r="293" spans="1:21" s="7" customFormat="1" ht="16" customHeight="1">
      <c r="A293" s="121" t="s">
        <v>3</v>
      </c>
      <c r="B293" s="122" t="str">
        <f>IF(ISNA(VLOOKUP($F293,Declarations!B$6:C$293,2,FALSE)),"",IF(VLOOKUP($F293,Declarations!B$6:C$293,2,FALSE)="","NOT DECLARED",IF(ISNA(_xlfn.TEXTBEFORE(VLOOKUP($F293,Declarations!B$6:C$293,2,FALSE)," ")),VLOOKUP($F293,Declarations!B$6:C$293,2,FALSE),_xlfn.TEXTBEFORE(VLOOKUP($F293,Declarations!B$6:C$293,2,FALSE)," "))))</f>
        <v/>
      </c>
      <c r="C293" s="122" t="str">
        <f>IF(ISNA(VLOOKUP($F293,Declarations!B$6:C$293,2,FALSE)),"",IF(VLOOKUP($F293,Declarations!B$6:C$293,2,FALSE)="","NOT DECLARED",IF(ISNA(_xlfn.TEXTAFTER(VLOOKUP($F293,Declarations!B$6:C$293,2,FALSE)," ")),VLOOKUP($F293,Declarations!B$6:C$293,2,FALSE),_xlfn.TEXTAFTER(VLOOKUP($F293,Declarations!B$6:C$293,2,FALSE)," "))))</f>
        <v/>
      </c>
      <c r="D293" s="122" t="str">
        <f>IF(ISNA(VLOOKUP($F293,Declarations!$B$6:$F$293,5,FALSE)),"",IF(VLOOKUP($F293,Declarations!$B$6:$F$293,5,FALSE)="","NOT DECLARED",VLOOKUP($F293,Declarations!$B$6:$F$293,5,FALSE)))</f>
        <v/>
      </c>
      <c r="E293" s="120" t="str">
        <f>IF(ISNA(VLOOKUP($F293,Declarations!$B$6:$D$293,3,FALSE)),"",IF(VLOOKUP($F293,Declarations!$B$6:$D$293,3,FALSE)="","NOT DECLARED",VLOOKUP($F293,Declarations!$B$6:$D$293,3,FALSE)&amp;LEFT(VLOOKUP($F293,Declarations!$B$6:$E$293,4,FALSE))))</f>
        <v/>
      </c>
      <c r="F293" s="59"/>
      <c r="G293" s="123">
        <v>0</v>
      </c>
      <c r="H293" s="322"/>
      <c r="I293" s="122" t="str">
        <f>IF(ISNA(VLOOKUP(F293,Declarations!B$6:C$293,2,FALSE)),"",IF(VLOOKUP(F293,Declarations!B$6:C$293,2,FALSE)="","NOTDECLARED",VLOOKUP(F293,Declarations!B$6:C$293,2,FALSE)))</f>
        <v/>
      </c>
      <c r="J293" s="124">
        <f>IF(LOWER(G293)="dnf",1,IF(U293&lt;ScoringTable!C$3,ScoringTable!I$2,VLOOKUP((1000-U293),ScoringTable!H$2:I$95,2)))</f>
        <v>0</v>
      </c>
      <c r="K293" s="120" t="str" cm="1">
        <f t="array" ref="K293">IF(OR(E293="",G293=""),"",_xlfn.IFS(E293="U10B",_xlfn.XLOOKUP(G293,Data!$D$3:$L$3,Data!$D$1:$L$1,"",1,1),E293="U12B",_xlfn.XLOOKUP(G293,Data!$D$9:$L$9,Data!$D$1:$L$1,"",1,1),E293="U10G",_xlfn.XLOOKUP(G293,Data!$D$16:$L$16,Data!$D$1:$L$1,"",1,1),E293="U12G",_xlfn.XLOOKUP(G293,Data!$D$22:$L$22,Data!$D$1:$L$1,"",1,1)))</f>
        <v/>
      </c>
      <c r="L293" s="184" t="str" cm="1">
        <f t="array" ref="L293">IFERROR(_xlfn.IFNA(
                      _xlfn.IFS(
                      G293="", "",
                      G293=0, "",
                      AND(E293="U10B",G293&lt;=Data!$M$3), "U10 Boys record",
                      AND(E293="U12B",G293&lt;=Data!$M$9), "U12 Boys record",
                      AND(E293="U10G",G293&lt;=Data!$M$16), "U10 Girls record",
                      AND(E293="U12G",G293&lt;=Data!$M$22), "U12 Girls record"
                       ),""), "")</f>
        <v/>
      </c>
      <c r="M293" s="19" cm="1">
        <f t="array" ref="M293">_xlfn.IFS(OR($G293="",$G293=0),0, AND(NOT(ISNUMBER($G293)),LOWER($G293)&lt;&gt;"dnf"),"Not a valid time",OR(LOWER($G293)="dnf",$G293&gt;ScoringTable!$N$161),1,RIGHT($E293,1)="B",_xlfn.XLOOKUP($G293,ScoringTable!$N$2:$N$161,ScoringTable!$L$2:$L$161,,1),TRUE,_xlfn.XLOOKUP($G293,ScoringTable!$T$2:$T$161,ScoringTable!$R$2:$R$161,,1))</f>
        <v>0</v>
      </c>
      <c r="Q293" s="125">
        <f t="shared" si="20"/>
        <v>0</v>
      </c>
      <c r="R293" s="126">
        <f t="shared" si="21"/>
        <v>0</v>
      </c>
      <c r="S293" s="127">
        <f t="shared" si="22"/>
        <v>0</v>
      </c>
      <c r="T293" s="126">
        <f t="shared" si="23"/>
        <v>0</v>
      </c>
      <c r="U293" s="128">
        <f t="shared" si="24"/>
        <v>0</v>
      </c>
    </row>
    <row r="294" spans="1:21" ht="13" customHeight="1"/>
    <row r="295" spans="1:21" ht="13" customHeight="1"/>
    <row r="296" spans="1:21" ht="13" customHeight="1"/>
    <row r="297" spans="1:21" ht="13" customHeight="1"/>
  </sheetData>
  <sheetProtection sheet="1" objects="1" scenarios="1"/>
  <mergeCells count="7">
    <mergeCell ref="Q4:U4"/>
    <mergeCell ref="A1:D1"/>
    <mergeCell ref="F1:G1"/>
    <mergeCell ref="A2:D2"/>
    <mergeCell ref="F2:G2"/>
    <mergeCell ref="I1:K1"/>
    <mergeCell ref="I2:K2"/>
  </mergeCells>
  <phoneticPr fontId="5" type="noConversion"/>
  <conditionalFormatting sqref="F1:F1048576">
    <cfRule type="duplicateValues" dxfId="12" priority="2"/>
  </conditionalFormatting>
  <pageMargins left="0.75" right="0.75" top="1" bottom="1" header="0.5" footer="0.5"/>
  <pageSetup paperSize="9" scale="46" fitToHeight="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FF6600"/>
    <pageSetUpPr fitToPage="1"/>
  </sheetPr>
  <dimension ref="A1:M293"/>
  <sheetViews>
    <sheetView zoomScaleNormal="100" workbookViewId="0">
      <pane ySplit="5" topLeftCell="A6" activePane="bottomLeft" state="frozen"/>
      <selection activeCell="F147" sqref="F147"/>
      <selection pane="bottomLeft" activeCell="F6" sqref="F6:G9"/>
    </sheetView>
  </sheetViews>
  <sheetFormatPr baseColWidth="10" defaultColWidth="10.6640625" defaultRowHeight="13"/>
  <cols>
    <col min="1" max="1" width="6.6640625" bestFit="1" customWidth="1"/>
    <col min="2" max="2" width="11.6640625" bestFit="1" customWidth="1"/>
    <col min="3" max="3" width="12.83203125" bestFit="1" customWidth="1"/>
    <col min="4" max="4" width="18.1640625" bestFit="1" customWidth="1"/>
    <col min="5" max="5" width="10.83203125" bestFit="1" customWidth="1"/>
    <col min="6" max="6" width="20" style="4" customWidth="1"/>
    <col min="7" max="7" width="20" style="5" customWidth="1"/>
    <col min="8" max="8" width="8.1640625" style="5" customWidth="1"/>
    <col min="9" max="9" width="33.33203125" style="4" customWidth="1"/>
    <col min="10" max="10" width="16.6640625" style="4" customWidth="1"/>
    <col min="11" max="11" width="16.6640625" customWidth="1"/>
    <col min="12" max="12" width="15.83203125" customWidth="1"/>
  </cols>
  <sheetData>
    <row r="1" spans="1:13" ht="40" customHeight="1">
      <c r="A1" s="519" t="str">
        <f>'Read Me First'!A1:F1</f>
        <v>Oxfordshire Track and Field League 2026</v>
      </c>
      <c r="B1" s="519"/>
      <c r="C1" s="519"/>
      <c r="D1" s="519"/>
      <c r="E1" s="76" t="s">
        <v>11</v>
      </c>
      <c r="F1" s="516" t="s">
        <v>13</v>
      </c>
      <c r="G1" s="516"/>
      <c r="H1" s="18"/>
      <c r="I1" s="516" t="s">
        <v>12</v>
      </c>
      <c r="J1" s="516"/>
      <c r="K1" s="516"/>
      <c r="L1" s="88"/>
    </row>
    <row r="2" spans="1:13" ht="40" customHeight="1">
      <c r="A2" s="519" t="s">
        <v>88</v>
      </c>
      <c r="B2" s="519"/>
      <c r="C2" s="519"/>
      <c r="D2" s="519"/>
      <c r="E2" s="90">
        <f>'Read Me First'!C9</f>
        <v>2</v>
      </c>
      <c r="F2" s="517" t="str">
        <f>(VLOOKUP('Read Me First'!F4,'Read Me First'!A22:D24,4,FALSE))</f>
        <v>Banbury</v>
      </c>
      <c r="G2" s="518"/>
      <c r="H2" s="321"/>
      <c r="I2" s="520">
        <f>'Read Me First'!C10</f>
        <v>46250</v>
      </c>
      <c r="J2" s="520"/>
      <c r="K2" s="520"/>
      <c r="L2" s="89"/>
    </row>
    <row r="3" spans="1:13" ht="16" customHeight="1">
      <c r="A3" s="56"/>
      <c r="B3" s="56"/>
      <c r="C3" s="56"/>
      <c r="D3" s="56"/>
      <c r="E3" s="92"/>
      <c r="F3" s="20"/>
      <c r="G3" s="20"/>
      <c r="H3" s="20"/>
      <c r="I3" s="93"/>
      <c r="J3" s="93"/>
      <c r="K3" s="89"/>
      <c r="L3" s="89"/>
    </row>
    <row r="4" spans="1:13" s="3" customFormat="1" ht="26" customHeight="1">
      <c r="A4" s="36" t="s">
        <v>79</v>
      </c>
      <c r="B4" s="36" t="s">
        <v>77</v>
      </c>
      <c r="C4" s="36" t="s">
        <v>78</v>
      </c>
      <c r="D4" s="36" t="s">
        <v>19</v>
      </c>
      <c r="E4" s="36" t="s">
        <v>80</v>
      </c>
      <c r="F4" s="30" t="s">
        <v>8</v>
      </c>
      <c r="G4" s="31" t="s">
        <v>28</v>
      </c>
      <c r="H4" s="31" t="s">
        <v>171</v>
      </c>
      <c r="I4" s="32" t="s">
        <v>7</v>
      </c>
      <c r="J4" s="32" t="s">
        <v>1</v>
      </c>
      <c r="K4" s="36" t="s">
        <v>187</v>
      </c>
      <c r="M4" s="32" t="s">
        <v>164</v>
      </c>
    </row>
    <row r="5" spans="1:13" s="3" customFormat="1" ht="26" customHeight="1">
      <c r="A5" s="84"/>
      <c r="B5" s="84"/>
      <c r="C5" s="84"/>
      <c r="D5" s="84"/>
      <c r="E5" s="84"/>
      <c r="F5" s="33">
        <v>0</v>
      </c>
      <c r="G5" s="37" t="s">
        <v>39</v>
      </c>
      <c r="H5" s="37"/>
      <c r="I5" s="28">
        <v>0</v>
      </c>
      <c r="J5" s="29">
        <v>0</v>
      </c>
      <c r="K5" s="119"/>
    </row>
    <row r="6" spans="1:13" s="3" customFormat="1" ht="16" customHeight="1">
      <c r="A6" s="121" t="s">
        <v>81</v>
      </c>
      <c r="B6" s="122" t="str">
        <f>IF(ISNA(VLOOKUP($F6,Declarations!B$6:C$293,2,FALSE)),"",IF(VLOOKUP($F6,Declarations!B$6:C$293,2,FALSE)="","NOT DECLARED",IF(ISNA(_xlfn.TEXTBEFORE(VLOOKUP($F6,Declarations!B$6:C$293,2,FALSE)," ")),VLOOKUP($F6,Declarations!B$6:C$293,2,FALSE),_xlfn.TEXTBEFORE(VLOOKUP($F6,Declarations!B$6:C$293,2,FALSE)," "))))</f>
        <v/>
      </c>
      <c r="C6" s="122" t="str">
        <f>IF(ISNA(VLOOKUP($F6,Declarations!B$6:C$293,2,FALSE)),"",IF(VLOOKUP($F6,Declarations!B$6:C$293,2,FALSE)="","NOT DECLARED",IF(ISNA(_xlfn.TEXTAFTER(VLOOKUP($F6,Declarations!B$6:C$293,2,FALSE)," ")),VLOOKUP($F6,Declarations!B$6:C$293,2,FALSE),_xlfn.TEXTAFTER(VLOOKUP($F6,Declarations!B$6:C$293,2,FALSE)," "))))</f>
        <v/>
      </c>
      <c r="D6" s="122" t="str">
        <f>IF(ISNA(VLOOKUP($F6,Declarations!$B$6:$F$293,5,FALSE)),"",IF(VLOOKUP($F6,Declarations!$B$6:$F$293,5,FALSE)="","NOT DECLARED",VLOOKUP($F6,Declarations!$B$6:$F$293,5,FALSE)))</f>
        <v/>
      </c>
      <c r="E6" s="120" t="str">
        <f>IF(ISNA(VLOOKUP($F6,Declarations!$B$6:$D$293,3,FALSE)),"",IF(VLOOKUP($F6,Declarations!$B$6:$D$293,3,FALSE)="","NOT DECLARED",VLOOKUP($F6,Declarations!$B$6:$D$293,3,FALSE)&amp;LEFT(VLOOKUP($F6,Declarations!$B$6:$E$293,4,FALSE))))</f>
        <v/>
      </c>
      <c r="F6" s="59"/>
      <c r="G6" s="129"/>
      <c r="H6" s="129"/>
      <c r="I6" s="122" t="str">
        <f>IF(ISNA(VLOOKUP(F6,Declarations!B$6:C$293,2,FALSE)),"",IF(VLOOKUP(F6,Declarations!B$6:C$293,2,FALSE)="","NOT DECLARED",VLOOKUP(F6,Declarations!B$6:C$293,2,FALSE)))</f>
        <v/>
      </c>
      <c r="J6" s="120">
        <f>IF(LOWER(LEFT(G6,1))="n",1,VLOOKUP(G6,ScoringTable!D$2:I$95,6))</f>
        <v>0</v>
      </c>
      <c r="K6" s="120" t="str" cm="1">
        <f t="array" ref="K6">IF(OR(E6="",G6=""),"",_xlfn.IFS(E6="U10B",_xlfn.XLOOKUP(G6,Data!$D$5:$L$5,Data!$D$1:$L$1,"",-1,1),E6="U12B",_xlfn.XLOOKUP(G6,Data!$D$12:$L$12,Data!$D$1:$L$1,"",-1,1),E6="U10G",_xlfn.XLOOKUP(G6,Data!$D$18:$L$18,Data!$D$1:$L$1,"",-1,1),E6="U12G",_xlfn.XLOOKUP(G6,Data!$D$25:$L$25,Data!$D$1:$L$1,"",-1,1)))</f>
        <v/>
      </c>
      <c r="L6" s="184" t="str" cm="1">
        <f t="array" ref="L6">IFERROR(_xlfn.IFNA(
                      _xlfn.IFS(
                      G6="", "",
                      AND(E6="U10B",G6&gt;=Data!$M$5), "U10 Boys record",
                      AND(E6="U12B",G6&gt;=Data!$M$12), "U12 Boys record",
                      AND(E6="U10G",G6&gt;=Data!$M$18), "U10 Girls record",
                      AND(E6="U12G",G6&gt;=Data!$M$25), "U12 Girls record"
                       ),""), "")</f>
        <v/>
      </c>
      <c r="M6" s="19" cm="1">
        <f t="array" ref="M6">_xlfn.IFS($G6="",0, AND(NOT(ISNUMBER($G6)),LOWER(LEFT($G6,1))&lt;&gt;"n"),"Not a valid distance",OR(LOWER(LEFT($G6,1))="n",$G6&lt;ScoringTable!$O$161),1,RIGHT($E6,1)="B",_xlfn.XLOOKUP($G6,ScoringTable!$O$2:$O$161,ScoringTable!$L$2:$L$161,,-1),TRUE,_xlfn.XLOOKUP($G6,ScoringTable!$U$2:$U$161,ScoringTable!$R$2:$R$161,,-1))</f>
        <v>0</v>
      </c>
    </row>
    <row r="7" spans="1:13" s="3" customFormat="1" ht="16" customHeight="1">
      <c r="A7" s="121" t="s">
        <v>81</v>
      </c>
      <c r="B7" s="122" t="str">
        <f>IF(ISNA(VLOOKUP($F7,Declarations!B$6:C$293,2,FALSE)),"",IF(VLOOKUP($F7,Declarations!B$6:C$293,2,FALSE)="","NOT DECLARED",IF(ISNA(_xlfn.TEXTBEFORE(VLOOKUP($F7,Declarations!B$6:C$293,2,FALSE)," ")),VLOOKUP($F7,Declarations!B$6:C$293,2,FALSE),_xlfn.TEXTBEFORE(VLOOKUP($F7,Declarations!B$6:C$293,2,FALSE)," "))))</f>
        <v/>
      </c>
      <c r="C7" s="122" t="str">
        <f>IF(ISNA(VLOOKUP($F7,Declarations!B$6:C$293,2,FALSE)),"",IF(VLOOKUP($F7,Declarations!B$6:C$293,2,FALSE)="","NOT DECLARED",IF(ISNA(_xlfn.TEXTAFTER(VLOOKUP($F7,Declarations!B$6:C$293,2,FALSE)," ")),VLOOKUP($F7,Declarations!B$6:C$293,2,FALSE),_xlfn.TEXTAFTER(VLOOKUP($F7,Declarations!B$6:C$293,2,FALSE)," "))))</f>
        <v/>
      </c>
      <c r="D7" s="122" t="str">
        <f>IF(ISNA(VLOOKUP($F7,Declarations!$B$6:$F$293,5,FALSE)),"",IF(VLOOKUP($F7,Declarations!$B$6:$F$293,5,FALSE)="","NOT DECLARED",VLOOKUP($F7,Declarations!$B$6:$F$293,5,FALSE)))</f>
        <v/>
      </c>
      <c r="E7" s="120" t="str">
        <f>IF(ISNA(VLOOKUP($F7,Declarations!$B$6:$D$293,3,FALSE)),"",IF(VLOOKUP($F7,Declarations!$B$6:$D$293,3,FALSE)="","NOT DECLARED",VLOOKUP($F7,Declarations!$B$6:$D$293,3,FALSE)&amp;LEFT(VLOOKUP($F7,Declarations!$B$6:$E$293,4,FALSE))))</f>
        <v/>
      </c>
      <c r="F7" s="59"/>
      <c r="G7" s="129"/>
      <c r="H7" s="129"/>
      <c r="I7" s="122" t="str">
        <f>IF(ISNA(VLOOKUP(F7,Declarations!B$6:C$293,2,FALSE)),"",IF(VLOOKUP(F7,Declarations!B$6:C$293,2,FALSE)="","NOT DECLARED",VLOOKUP(F7,Declarations!B$6:C$293,2,FALSE)))</f>
        <v/>
      </c>
      <c r="J7" s="120">
        <f>IF(LOWER(LEFT(G7,1))="n",1,VLOOKUP(G7,ScoringTable!D$2:I$95,6))</f>
        <v>0</v>
      </c>
      <c r="K7" s="120" t="str" cm="1">
        <f t="array" ref="K7">IF(OR(E7="",G7=""),"",_xlfn.IFS(E7="U10B",_xlfn.XLOOKUP(G7,Data!$D$5:$L$5,Data!$D$1:$L$1,"",-1,1),E7="U12B",_xlfn.XLOOKUP(G7,Data!$D$12:$L$12,Data!$D$1:$L$1,"",-1,1),E7="U10G",_xlfn.XLOOKUP(G7,Data!$D$18:$L$18,Data!$D$1:$L$1,"",-1,1),E7="U12G",_xlfn.XLOOKUP(G7,Data!$D$25:$L$25,Data!$D$1:$L$1,"",-1,1)))</f>
        <v/>
      </c>
      <c r="L7" s="184" t="str" cm="1">
        <f t="array" ref="L7">IFERROR(_xlfn.IFNA(
                      _xlfn.IFS(
                      G7="", "",
                      AND(E7="U10B",G7&gt;=Data!$M$5), "U10 Boys record",
                      AND(E7="U12B",G7&gt;=Data!$M$12), "U12 Boys record",
                      AND(E7="U10G",G7&gt;=Data!$M$18), "U10 Girls record",
                      AND(E7="U12G",G7&gt;=Data!$M$25), "U12 Girls record"
                       ),""), "")</f>
        <v/>
      </c>
      <c r="M7" s="19" cm="1">
        <f t="array" ref="M7">_xlfn.IFS($G7="",0, AND(NOT(ISNUMBER($G7)),LOWER(LEFT($G7,1))&lt;&gt;"n"),"Not a valid distance",OR(LOWER(LEFT($G7,1))="n",$G7&lt;ScoringTable!$O$161),1,RIGHT($E7,1)="B",_xlfn.XLOOKUP($G7,ScoringTable!$O$2:$O$161,ScoringTable!$L$2:$L$161,,-1),TRUE,_xlfn.XLOOKUP($G7,ScoringTable!$U$2:$U$161,ScoringTable!$R$2:$R$161,,-1))</f>
        <v>0</v>
      </c>
    </row>
    <row r="8" spans="1:13" s="3" customFormat="1" ht="16" customHeight="1">
      <c r="A8" s="121" t="s">
        <v>81</v>
      </c>
      <c r="B8" s="122" t="str">
        <f>IF(ISNA(VLOOKUP($F8,Declarations!B$6:C$293,2,FALSE)),"",IF(VLOOKUP($F8,Declarations!B$6:C$293,2,FALSE)="","NOT DECLARED",IF(ISNA(_xlfn.TEXTBEFORE(VLOOKUP($F8,Declarations!B$6:C$293,2,FALSE)," ")),VLOOKUP($F8,Declarations!B$6:C$293,2,FALSE),_xlfn.TEXTBEFORE(VLOOKUP($F8,Declarations!B$6:C$293,2,FALSE)," "))))</f>
        <v/>
      </c>
      <c r="C8" s="122" t="str">
        <f>IF(ISNA(VLOOKUP($F8,Declarations!B$6:C$293,2,FALSE)),"",IF(VLOOKUP($F8,Declarations!B$6:C$293,2,FALSE)="","NOT DECLARED",IF(ISNA(_xlfn.TEXTAFTER(VLOOKUP($F8,Declarations!B$6:C$293,2,FALSE)," ")),VLOOKUP($F8,Declarations!B$6:C$293,2,FALSE),_xlfn.TEXTAFTER(VLOOKUP($F8,Declarations!B$6:C$293,2,FALSE)," "))))</f>
        <v/>
      </c>
      <c r="D8" s="122" t="str">
        <f>IF(ISNA(VLOOKUP($F8,Declarations!$B$6:$F$293,5,FALSE)),"",IF(VLOOKUP($F8,Declarations!$B$6:$F$293,5,FALSE)="","NOT DECLARED",VLOOKUP($F8,Declarations!$B$6:$F$293,5,FALSE)))</f>
        <v/>
      </c>
      <c r="E8" s="120" t="str">
        <f>IF(ISNA(VLOOKUP($F8,Declarations!$B$6:$D$293,3,FALSE)),"",IF(VLOOKUP($F8,Declarations!$B$6:$D$293,3,FALSE)="","NOT DECLARED",VLOOKUP($F8,Declarations!$B$6:$D$293,3,FALSE)&amp;LEFT(VLOOKUP($F8,Declarations!$B$6:$E$293,4,FALSE))))</f>
        <v/>
      </c>
      <c r="F8" s="59"/>
      <c r="G8" s="129"/>
      <c r="H8" s="129"/>
      <c r="I8" s="122" t="str">
        <f>IF(ISNA(VLOOKUP(F8,Declarations!B$6:C$293,2,FALSE)),"",IF(VLOOKUP(F8,Declarations!B$6:C$293,2,FALSE)="","NOT DECLARED",VLOOKUP(F8,Declarations!B$6:C$293,2,FALSE)))</f>
        <v/>
      </c>
      <c r="J8" s="120">
        <f>IF(LOWER(LEFT(G8,1))="n",1,VLOOKUP(G8,ScoringTable!D$2:I$95,6))</f>
        <v>0</v>
      </c>
      <c r="K8" s="120" t="str" cm="1">
        <f t="array" ref="K8">IF(OR(E8="",G8=""),"",_xlfn.IFS(E8="U10B",_xlfn.XLOOKUP(G8,Data!$D$5:$L$5,Data!$D$1:$L$1,"",-1,1),E8="U12B",_xlfn.XLOOKUP(G8,Data!$D$12:$L$12,Data!$D$1:$L$1,"",-1,1),E8="U10G",_xlfn.XLOOKUP(G8,Data!$D$18:$L$18,Data!$D$1:$L$1,"",-1,1),E8="U12G",_xlfn.XLOOKUP(G8,Data!$D$25:$L$25,Data!$D$1:$L$1,"",-1,1)))</f>
        <v/>
      </c>
      <c r="L8" s="184" t="str" cm="1">
        <f t="array" ref="L8">IFERROR(_xlfn.IFNA(
                      _xlfn.IFS(
                      G8="", "",
                      AND(E8="U10B",G8&gt;=Data!$M$5), "U10 Boys record",
                      AND(E8="U12B",G8&gt;=Data!$M$12), "U12 Boys record",
                      AND(E8="U10G",G8&gt;=Data!$M$18), "U10 Girls record",
                      AND(E8="U12G",G8&gt;=Data!$M$25), "U12 Girls record"
                       ),""), "")</f>
        <v/>
      </c>
      <c r="M8" s="19" cm="1">
        <f t="array" ref="M8">_xlfn.IFS($G8="",0, AND(NOT(ISNUMBER($G8)),LOWER(LEFT($G8,1))&lt;&gt;"n"),"Not a valid distance",OR(LOWER(LEFT($G8,1))="n",$G8&lt;ScoringTable!$O$161),1,RIGHT($E8,1)="B",_xlfn.XLOOKUP($G8,ScoringTable!$O$2:$O$161,ScoringTable!$L$2:$L$161,,-1),TRUE,_xlfn.XLOOKUP($G8,ScoringTable!$U$2:$U$161,ScoringTable!$R$2:$R$161,,-1))</f>
        <v>0</v>
      </c>
    </row>
    <row r="9" spans="1:13" s="7" customFormat="1" ht="16" customHeight="1">
      <c r="A9" s="121" t="s">
        <v>81</v>
      </c>
      <c r="B9" s="122" t="str">
        <f>IF(ISNA(VLOOKUP($F9,Declarations!B$6:C$293,2,FALSE)),"",IF(VLOOKUP($F9,Declarations!B$6:C$293,2,FALSE)="","NOT DECLARED",IF(ISNA(_xlfn.TEXTBEFORE(VLOOKUP($F9,Declarations!B$6:C$293,2,FALSE)," ")),VLOOKUP($F9,Declarations!B$6:C$293,2,FALSE),_xlfn.TEXTBEFORE(VLOOKUP($F9,Declarations!B$6:C$293,2,FALSE)," "))))</f>
        <v/>
      </c>
      <c r="C9" s="122" t="str">
        <f>IF(ISNA(VLOOKUP($F9,Declarations!B$6:C$293,2,FALSE)),"",IF(VLOOKUP($F9,Declarations!B$6:C$293,2,FALSE)="","NOT DECLARED",IF(ISNA(_xlfn.TEXTAFTER(VLOOKUP($F9,Declarations!B$6:C$293,2,FALSE)," ")),VLOOKUP($F9,Declarations!B$6:C$293,2,FALSE),_xlfn.TEXTAFTER(VLOOKUP($F9,Declarations!B$6:C$293,2,FALSE)," "))))</f>
        <v/>
      </c>
      <c r="D9" s="122" t="str">
        <f>IF(ISNA(VLOOKUP($F9,Declarations!$B$6:$F$293,5,FALSE)),"",IF(VLOOKUP($F9,Declarations!$B$6:$F$293,5,FALSE)="","NOT DECLARED",VLOOKUP($F9,Declarations!$B$6:$F$293,5,FALSE)))</f>
        <v/>
      </c>
      <c r="E9" s="120" t="str">
        <f>IF(ISNA(VLOOKUP($F9,Declarations!$B$6:$D$293,3,FALSE)),"",IF(VLOOKUP($F9,Declarations!$B$6:$D$293,3,FALSE)="","NOT DECLARED",VLOOKUP($F9,Declarations!$B$6:$D$293,3,FALSE)&amp;LEFT(VLOOKUP($F9,Declarations!$B$6:$E$293,4,FALSE))))</f>
        <v/>
      </c>
      <c r="F9" s="59"/>
      <c r="G9" s="129"/>
      <c r="H9" s="129"/>
      <c r="I9" s="122" t="str">
        <f>IF(ISNA(VLOOKUP(F9,Declarations!B$6:C$293,2,FALSE)),"",IF(VLOOKUP(F9,Declarations!B$6:C$293,2,FALSE)="","NOT DECLARED",VLOOKUP(F9,Declarations!B$6:C$293,2,FALSE)))</f>
        <v/>
      </c>
      <c r="J9" s="120">
        <f>IF(LOWER(LEFT(G9,1))="n",1,VLOOKUP(G9,ScoringTable!D$2:I$95,6))</f>
        <v>0</v>
      </c>
      <c r="K9" s="120" t="str" cm="1">
        <f t="array" ref="K9">IF(OR(E9="",G9=""),"",_xlfn.IFS(E9="U10B",_xlfn.XLOOKUP(G9,Data!$D$5:$L$5,Data!$D$1:$L$1,"",-1,1),E9="U12B",_xlfn.XLOOKUP(G9,Data!$D$12:$L$12,Data!$D$1:$L$1,"",-1,1),E9="U10G",_xlfn.XLOOKUP(G9,Data!$D$18:$L$18,Data!$D$1:$L$1,"",-1,1),E9="U12G",_xlfn.XLOOKUP(G9,Data!$D$25:$L$25,Data!$D$1:$L$1,"",-1,1)))</f>
        <v/>
      </c>
      <c r="L9" s="184" t="str" cm="1">
        <f t="array" ref="L9">IFERROR(_xlfn.IFNA(
                      _xlfn.IFS(
                      G9="", "",
                      AND(E9="U10B",G9&gt;=Data!$M$5), "U10 Boys record",
                      AND(E9="U12B",G9&gt;=Data!$M$12), "U12 Boys record",
                      AND(E9="U10G",G9&gt;=Data!$M$18), "U10 Girls record",
                      AND(E9="U12G",G9&gt;=Data!$M$25), "U12 Girls record"
                       ),""), "")</f>
        <v/>
      </c>
      <c r="M9" s="19" cm="1">
        <f t="array" ref="M9">_xlfn.IFS($G9="",0, AND(NOT(ISNUMBER($G9)),LOWER(LEFT($G9,1))&lt;&gt;"n"),"Not a valid distance",OR(LOWER(LEFT($G9,1))="n",$G9&lt;ScoringTable!$O$161),1,RIGHT($E9,1)="B",_xlfn.XLOOKUP($G9,ScoringTable!$O$2:$O$161,ScoringTable!$L$2:$L$161,,-1),TRUE,_xlfn.XLOOKUP($G9,ScoringTable!$U$2:$U$161,ScoringTable!$R$2:$R$161,,-1))</f>
        <v>0</v>
      </c>
    </row>
    <row r="10" spans="1:13" s="7" customFormat="1" ht="16" customHeight="1">
      <c r="A10" s="121" t="s">
        <v>81</v>
      </c>
      <c r="B10" s="122" t="str">
        <f>IF(ISNA(VLOOKUP($F10,Declarations!B$6:C$293,2,FALSE)),"",IF(VLOOKUP($F10,Declarations!B$6:C$293,2,FALSE)="","NOT DECLARED",IF(ISNA(_xlfn.TEXTBEFORE(VLOOKUP($F10,Declarations!B$6:C$293,2,FALSE)," ")),VLOOKUP($F10,Declarations!B$6:C$293,2,FALSE),_xlfn.TEXTBEFORE(VLOOKUP($F10,Declarations!B$6:C$293,2,FALSE)," "))))</f>
        <v/>
      </c>
      <c r="C10" s="122" t="str">
        <f>IF(ISNA(VLOOKUP($F10,Declarations!B$6:C$293,2,FALSE)),"",IF(VLOOKUP($F10,Declarations!B$6:C$293,2,FALSE)="","NOT DECLARED",IF(ISNA(_xlfn.TEXTAFTER(VLOOKUP($F10,Declarations!B$6:C$293,2,FALSE)," ")),VLOOKUP($F10,Declarations!B$6:C$293,2,FALSE),_xlfn.TEXTAFTER(VLOOKUP($F10,Declarations!B$6:C$293,2,FALSE)," "))))</f>
        <v/>
      </c>
      <c r="D10" s="122" t="str">
        <f>IF(ISNA(VLOOKUP($F10,Declarations!$B$6:$F$293,5,FALSE)),"",IF(VLOOKUP($F10,Declarations!$B$6:$F$293,5,FALSE)="","NOT DECLARED",VLOOKUP($F10,Declarations!$B$6:$F$293,5,FALSE)))</f>
        <v/>
      </c>
      <c r="E10" s="120" t="str">
        <f>IF(ISNA(VLOOKUP($F10,Declarations!$B$6:$D$293,3,FALSE)),"",IF(VLOOKUP($F10,Declarations!$B$6:$D$293,3,FALSE)="","NOT DECLARED",VLOOKUP($F10,Declarations!$B$6:$D$293,3,FALSE)&amp;LEFT(VLOOKUP($F10,Declarations!$B$6:$E$293,4,FALSE))))</f>
        <v/>
      </c>
      <c r="F10" s="59"/>
      <c r="G10" s="129"/>
      <c r="H10" s="129"/>
      <c r="I10" s="122" t="str">
        <f>IF(ISNA(VLOOKUP(F10,Declarations!B$6:C$293,2,FALSE)),"",IF(VLOOKUP(F10,Declarations!B$6:C$293,2,FALSE)="","NOT DECLARED",VLOOKUP(F10,Declarations!B$6:C$293,2,FALSE)))</f>
        <v/>
      </c>
      <c r="J10" s="120">
        <f>IF(LOWER(LEFT(G10,1))="n",1,VLOOKUP(G10,ScoringTable!D$2:I$95,6))</f>
        <v>0</v>
      </c>
      <c r="K10" s="120" t="str" cm="1">
        <f t="array" ref="K10">IF(OR(E10="",G10=""),"",_xlfn.IFS(E10="U10B",_xlfn.XLOOKUP(G10,Data!$D$5:$L$5,Data!$D$1:$L$1,"",-1,1),E10="U12B",_xlfn.XLOOKUP(G10,Data!$D$12:$L$12,Data!$D$1:$L$1,"",-1,1),E10="U10G",_xlfn.XLOOKUP(G10,Data!$D$18:$L$18,Data!$D$1:$L$1,"",-1,1),E10="U12G",_xlfn.XLOOKUP(G10,Data!$D$25:$L$25,Data!$D$1:$L$1,"",-1,1)))</f>
        <v/>
      </c>
      <c r="L10" s="184" t="str" cm="1">
        <f t="array" ref="L10">IFERROR(_xlfn.IFNA(
                      _xlfn.IFS(
                      G10="", "",
                      AND(E10="U10B",G10&gt;=Data!$M$5), "U10 Boys record",
                      AND(E10="U12B",G10&gt;=Data!$M$12), "U12 Boys record",
                      AND(E10="U10G",G10&gt;=Data!$M$18), "U10 Girls record",
                      AND(E10="U12G",G10&gt;=Data!$M$25), "U12 Girls record"
                       ),""), "")</f>
        <v/>
      </c>
      <c r="M10" s="19" cm="1">
        <f t="array" ref="M10">_xlfn.IFS($G10="",0, AND(NOT(ISNUMBER($G10)),LOWER(LEFT($G10,1))&lt;&gt;"n"),"Not a valid distance",OR(LOWER(LEFT($G10,1))="n",$G10&lt;ScoringTable!$O$161),1,RIGHT($E10,1)="B",_xlfn.XLOOKUP($G10,ScoringTable!$O$2:$O$161,ScoringTable!$L$2:$L$161,,-1),TRUE,_xlfn.XLOOKUP($G10,ScoringTable!$U$2:$U$161,ScoringTable!$R$2:$R$161,,-1))</f>
        <v>0</v>
      </c>
    </row>
    <row r="11" spans="1:13" s="7" customFormat="1" ht="16" customHeight="1">
      <c r="A11" s="121" t="s">
        <v>81</v>
      </c>
      <c r="B11" s="122" t="str">
        <f>IF(ISNA(VLOOKUP($F11,Declarations!B$6:C$293,2,FALSE)),"",IF(VLOOKUP($F11,Declarations!B$6:C$293,2,FALSE)="","NOT DECLARED",IF(ISNA(_xlfn.TEXTBEFORE(VLOOKUP($F11,Declarations!B$6:C$293,2,FALSE)," ")),VLOOKUP($F11,Declarations!B$6:C$293,2,FALSE),_xlfn.TEXTBEFORE(VLOOKUP($F11,Declarations!B$6:C$293,2,FALSE)," "))))</f>
        <v/>
      </c>
      <c r="C11" s="122" t="str">
        <f>IF(ISNA(VLOOKUP($F11,Declarations!B$6:C$293,2,FALSE)),"",IF(VLOOKUP($F11,Declarations!B$6:C$293,2,FALSE)="","NOT DECLARED",IF(ISNA(_xlfn.TEXTAFTER(VLOOKUP($F11,Declarations!B$6:C$293,2,FALSE)," ")),VLOOKUP($F11,Declarations!B$6:C$293,2,FALSE),_xlfn.TEXTAFTER(VLOOKUP($F11,Declarations!B$6:C$293,2,FALSE)," "))))</f>
        <v/>
      </c>
      <c r="D11" s="122" t="str">
        <f>IF(ISNA(VLOOKUP($F11,Declarations!$B$6:$F$293,5,FALSE)),"",IF(VLOOKUP($F11,Declarations!$B$6:$F$293,5,FALSE)="","NOT DECLARED",VLOOKUP($F11,Declarations!$B$6:$F$293,5,FALSE)))</f>
        <v/>
      </c>
      <c r="E11" s="120" t="str">
        <f>IF(ISNA(VLOOKUP($F11,Declarations!$B$6:$D$293,3,FALSE)),"",IF(VLOOKUP($F11,Declarations!$B$6:$D$293,3,FALSE)="","NOT DECLARED",VLOOKUP($F11,Declarations!$B$6:$D$293,3,FALSE)&amp;LEFT(VLOOKUP($F11,Declarations!$B$6:$E$293,4,FALSE))))</f>
        <v/>
      </c>
      <c r="F11" s="59"/>
      <c r="G11" s="129"/>
      <c r="H11" s="129"/>
      <c r="I11" s="122" t="str">
        <f>IF(ISNA(VLOOKUP(F11,Declarations!B$6:C$293,2,FALSE)),"",IF(VLOOKUP(F11,Declarations!B$6:C$293,2,FALSE)="","NOT DECLARED",VLOOKUP(F11,Declarations!B$6:C$293,2,FALSE)))</f>
        <v/>
      </c>
      <c r="J11" s="120">
        <f>IF(LOWER(LEFT(G11,1))="n",1,VLOOKUP(G11,ScoringTable!D$2:I$95,6))</f>
        <v>0</v>
      </c>
      <c r="K11" s="120" t="str" cm="1">
        <f t="array" ref="K11">IF(OR(E11="",G11=""),"",_xlfn.IFS(E11="U10B",_xlfn.XLOOKUP(G11,Data!$D$5:$L$5,Data!$D$1:$L$1,"",-1,1),E11="U12B",_xlfn.XLOOKUP(G11,Data!$D$12:$L$12,Data!$D$1:$L$1,"",-1,1),E11="U10G",_xlfn.XLOOKUP(G11,Data!$D$18:$L$18,Data!$D$1:$L$1,"",-1,1),E11="U12G",_xlfn.XLOOKUP(G11,Data!$D$25:$L$25,Data!$D$1:$L$1,"",-1,1)))</f>
        <v/>
      </c>
      <c r="L11" s="184" t="str" cm="1">
        <f t="array" ref="L11">IFERROR(_xlfn.IFNA(
                      _xlfn.IFS(
                      G11="", "",
                      AND(E11="U10B",G11&gt;=Data!$M$5), "U10 Boys record",
                      AND(E11="U12B",G11&gt;=Data!$M$12), "U12 Boys record",
                      AND(E11="U10G",G11&gt;=Data!$M$18), "U10 Girls record",
                      AND(E11="U12G",G11&gt;=Data!$M$25), "U12 Girls record"
                       ),""), "")</f>
        <v/>
      </c>
      <c r="M11" s="19" cm="1">
        <f t="array" ref="M11">_xlfn.IFS($G11="",0, AND(NOT(ISNUMBER($G11)),LOWER(LEFT($G11,1))&lt;&gt;"n"),"Not a valid distance",OR(LOWER(LEFT($G11,1))="n",$G11&lt;ScoringTable!$O$161),1,RIGHT($E11,1)="B",_xlfn.XLOOKUP($G11,ScoringTable!$O$2:$O$161,ScoringTable!$L$2:$L$161,,-1),TRUE,_xlfn.XLOOKUP($G11,ScoringTable!$U$2:$U$161,ScoringTable!$R$2:$R$161,,-1))</f>
        <v>0</v>
      </c>
    </row>
    <row r="12" spans="1:13" s="7" customFormat="1" ht="16" customHeight="1">
      <c r="A12" s="121" t="s">
        <v>81</v>
      </c>
      <c r="B12" s="122" t="str">
        <f>IF(ISNA(VLOOKUP($F12,Declarations!B$6:C$293,2,FALSE)),"",IF(VLOOKUP($F12,Declarations!B$6:C$293,2,FALSE)="","NOT DECLARED",IF(ISNA(_xlfn.TEXTBEFORE(VLOOKUP($F12,Declarations!B$6:C$293,2,FALSE)," ")),VLOOKUP($F12,Declarations!B$6:C$293,2,FALSE),_xlfn.TEXTBEFORE(VLOOKUP($F12,Declarations!B$6:C$293,2,FALSE)," "))))</f>
        <v/>
      </c>
      <c r="C12" s="122" t="str">
        <f>IF(ISNA(VLOOKUP($F12,Declarations!B$6:C$293,2,FALSE)),"",IF(VLOOKUP($F12,Declarations!B$6:C$293,2,FALSE)="","NOT DECLARED",IF(ISNA(_xlfn.TEXTAFTER(VLOOKUP($F12,Declarations!B$6:C$293,2,FALSE)," ")),VLOOKUP($F12,Declarations!B$6:C$293,2,FALSE),_xlfn.TEXTAFTER(VLOOKUP($F12,Declarations!B$6:C$293,2,FALSE)," "))))</f>
        <v/>
      </c>
      <c r="D12" s="122" t="str">
        <f>IF(ISNA(VLOOKUP($F12,Declarations!$B$6:$F$293,5,FALSE)),"",IF(VLOOKUP($F12,Declarations!$B$6:$F$293,5,FALSE)="","NOT DECLARED",VLOOKUP($F12,Declarations!$B$6:$F$293,5,FALSE)))</f>
        <v/>
      </c>
      <c r="E12" s="120" t="str">
        <f>IF(ISNA(VLOOKUP($F12,Declarations!$B$6:$D$293,3,FALSE)),"",IF(VLOOKUP($F12,Declarations!$B$6:$D$293,3,FALSE)="","NOT DECLARED",VLOOKUP($F12,Declarations!$B$6:$D$293,3,FALSE)&amp;LEFT(VLOOKUP($F12,Declarations!$B$6:$E$293,4,FALSE))))</f>
        <v/>
      </c>
      <c r="F12" s="59"/>
      <c r="G12" s="129"/>
      <c r="H12" s="129"/>
      <c r="I12" s="122" t="str">
        <f>IF(ISNA(VLOOKUP(F12,Declarations!B$6:C$293,2,FALSE)),"",IF(VLOOKUP(F12,Declarations!B$6:C$293,2,FALSE)="","NOT DECLARED",VLOOKUP(F12,Declarations!B$6:C$293,2,FALSE)))</f>
        <v/>
      </c>
      <c r="J12" s="120">
        <f>IF(LOWER(LEFT(G12,1))="n",1,VLOOKUP(G12,ScoringTable!D$2:I$95,6))</f>
        <v>0</v>
      </c>
      <c r="K12" s="120" t="str" cm="1">
        <f t="array" ref="K12">IF(OR(E12="",G12=""),"",_xlfn.IFS(E12="U10B",_xlfn.XLOOKUP(G12,Data!$D$5:$L$5,Data!$D$1:$L$1,"",-1,1),E12="U12B",_xlfn.XLOOKUP(G12,Data!$D$12:$L$12,Data!$D$1:$L$1,"",-1,1),E12="U10G",_xlfn.XLOOKUP(G12,Data!$D$18:$L$18,Data!$D$1:$L$1,"",-1,1),E12="U12G",_xlfn.XLOOKUP(G12,Data!$D$25:$L$25,Data!$D$1:$L$1,"",-1,1)))</f>
        <v/>
      </c>
      <c r="L12" s="184" t="str" cm="1">
        <f t="array" ref="L12">IFERROR(_xlfn.IFNA(
                      _xlfn.IFS(
                      G12="", "",
                      AND(E12="U10B",G12&gt;=Data!$M$5), "U10 Boys record",
                      AND(E12="U12B",G12&gt;=Data!$M$12), "U12 Boys record",
                      AND(E12="U10G",G12&gt;=Data!$M$18), "U10 Girls record",
                      AND(E12="U12G",G12&gt;=Data!$M$25), "U12 Girls record"
                       ),""), "")</f>
        <v/>
      </c>
      <c r="M12" s="19" cm="1">
        <f t="array" ref="M12">_xlfn.IFS($G12="",0, AND(NOT(ISNUMBER($G12)),LOWER(LEFT($G12,1))&lt;&gt;"n"),"Not a valid distance",OR(LOWER(LEFT($G12,1))="n",$G12&lt;ScoringTable!$O$161),1,RIGHT($E12,1)="B",_xlfn.XLOOKUP($G12,ScoringTable!$O$2:$O$161,ScoringTable!$L$2:$L$161,,-1),TRUE,_xlfn.XLOOKUP($G12,ScoringTable!$U$2:$U$161,ScoringTable!$R$2:$R$161,,-1))</f>
        <v>0</v>
      </c>
    </row>
    <row r="13" spans="1:13" s="7" customFormat="1" ht="16" customHeight="1">
      <c r="A13" s="121" t="s">
        <v>81</v>
      </c>
      <c r="B13" s="122" t="str">
        <f>IF(ISNA(VLOOKUP($F13,Declarations!B$6:C$293,2,FALSE)),"",IF(VLOOKUP($F13,Declarations!B$6:C$293,2,FALSE)="","NOT DECLARED",IF(ISNA(_xlfn.TEXTBEFORE(VLOOKUP($F13,Declarations!B$6:C$293,2,FALSE)," ")),VLOOKUP($F13,Declarations!B$6:C$293,2,FALSE),_xlfn.TEXTBEFORE(VLOOKUP($F13,Declarations!B$6:C$293,2,FALSE)," "))))</f>
        <v/>
      </c>
      <c r="C13" s="122" t="str">
        <f>IF(ISNA(VLOOKUP($F13,Declarations!B$6:C$293,2,FALSE)),"",IF(VLOOKUP($F13,Declarations!B$6:C$293,2,FALSE)="","NOT DECLARED",IF(ISNA(_xlfn.TEXTAFTER(VLOOKUP($F13,Declarations!B$6:C$293,2,FALSE)," ")),VLOOKUP($F13,Declarations!B$6:C$293,2,FALSE),_xlfn.TEXTAFTER(VLOOKUP($F13,Declarations!B$6:C$293,2,FALSE)," "))))</f>
        <v/>
      </c>
      <c r="D13" s="122" t="str">
        <f>IF(ISNA(VLOOKUP($F13,Declarations!$B$6:$F$293,5,FALSE)),"",IF(VLOOKUP($F13,Declarations!$B$6:$F$293,5,FALSE)="","NOT DECLARED",VLOOKUP($F13,Declarations!$B$6:$F$293,5,FALSE)))</f>
        <v/>
      </c>
      <c r="E13" s="120" t="str">
        <f>IF(ISNA(VLOOKUP($F13,Declarations!$B$6:$D$293,3,FALSE)),"",IF(VLOOKUP($F13,Declarations!$B$6:$D$293,3,FALSE)="","NOT DECLARED",VLOOKUP($F13,Declarations!$B$6:$D$293,3,FALSE)&amp;LEFT(VLOOKUP($F13,Declarations!$B$6:$E$293,4,FALSE))))</f>
        <v/>
      </c>
      <c r="F13" s="59"/>
      <c r="G13" s="129"/>
      <c r="H13" s="129"/>
      <c r="I13" s="122" t="str">
        <f>IF(ISNA(VLOOKUP(F13,Declarations!B$6:C$293,2,FALSE)),"",IF(VLOOKUP(F13,Declarations!B$6:C$293,2,FALSE)="","NOT DECLARED",VLOOKUP(F13,Declarations!B$6:C$293,2,FALSE)))</f>
        <v/>
      </c>
      <c r="J13" s="120">
        <f>IF(LOWER(LEFT(G13,1))="n",1,VLOOKUP(G13,ScoringTable!D$2:I$95,6))</f>
        <v>0</v>
      </c>
      <c r="K13" s="120" t="str" cm="1">
        <f t="array" ref="K13">IF(OR(E13="",G13=""),"",_xlfn.IFS(E13="U10B",_xlfn.XLOOKUP(G13,Data!$D$5:$L$5,Data!$D$1:$L$1,"",-1,1),E13="U12B",_xlfn.XLOOKUP(G13,Data!$D$12:$L$12,Data!$D$1:$L$1,"",-1,1),E13="U10G",_xlfn.XLOOKUP(G13,Data!$D$18:$L$18,Data!$D$1:$L$1,"",-1,1),E13="U12G",_xlfn.XLOOKUP(G13,Data!$D$25:$L$25,Data!$D$1:$L$1,"",-1,1)))</f>
        <v/>
      </c>
      <c r="L13" s="184" t="str" cm="1">
        <f t="array" ref="L13">IFERROR(_xlfn.IFNA(
                      _xlfn.IFS(
                      G13="", "",
                      AND(E13="U10B",G13&gt;=Data!$M$5), "U10 Boys record",
                      AND(E13="U12B",G13&gt;=Data!$M$12), "U12 Boys record",
                      AND(E13="U10G",G13&gt;=Data!$M$18), "U10 Girls record",
                      AND(E13="U12G",G13&gt;=Data!$M$25), "U12 Girls record"
                       ),""), "")</f>
        <v/>
      </c>
      <c r="M13" s="19" cm="1">
        <f t="array" ref="M13">_xlfn.IFS($G13="",0, AND(NOT(ISNUMBER($G13)),LOWER(LEFT($G13,1))&lt;&gt;"n"),"Not a valid distance",OR(LOWER(LEFT($G13,1))="n",$G13&lt;ScoringTable!$O$161),1,RIGHT($E13,1)="B",_xlfn.XLOOKUP($G13,ScoringTable!$O$2:$O$161,ScoringTable!$L$2:$L$161,,-1),TRUE,_xlfn.XLOOKUP($G13,ScoringTable!$U$2:$U$161,ScoringTable!$R$2:$R$161,,-1))</f>
        <v>0</v>
      </c>
    </row>
    <row r="14" spans="1:13" s="7" customFormat="1" ht="16" customHeight="1">
      <c r="A14" s="121" t="s">
        <v>81</v>
      </c>
      <c r="B14" s="122" t="str">
        <f>IF(ISNA(VLOOKUP($F14,Declarations!B$6:C$293,2,FALSE)),"",IF(VLOOKUP($F14,Declarations!B$6:C$293,2,FALSE)="","NOT DECLARED",IF(ISNA(_xlfn.TEXTBEFORE(VLOOKUP($F14,Declarations!B$6:C$293,2,FALSE)," ")),VLOOKUP($F14,Declarations!B$6:C$293,2,FALSE),_xlfn.TEXTBEFORE(VLOOKUP($F14,Declarations!B$6:C$293,2,FALSE)," "))))</f>
        <v/>
      </c>
      <c r="C14" s="122" t="str">
        <f>IF(ISNA(VLOOKUP($F14,Declarations!B$6:C$293,2,FALSE)),"",IF(VLOOKUP($F14,Declarations!B$6:C$293,2,FALSE)="","NOT DECLARED",IF(ISNA(_xlfn.TEXTAFTER(VLOOKUP($F14,Declarations!B$6:C$293,2,FALSE)," ")),VLOOKUP($F14,Declarations!B$6:C$293,2,FALSE),_xlfn.TEXTAFTER(VLOOKUP($F14,Declarations!B$6:C$293,2,FALSE)," "))))</f>
        <v/>
      </c>
      <c r="D14" s="122" t="str">
        <f>IF(ISNA(VLOOKUP($F14,Declarations!$B$6:$F$293,5,FALSE)),"",IF(VLOOKUP($F14,Declarations!$B$6:$F$293,5,FALSE)="","NOT DECLARED",VLOOKUP($F14,Declarations!$B$6:$F$293,5,FALSE)))</f>
        <v/>
      </c>
      <c r="E14" s="120" t="str">
        <f>IF(ISNA(VLOOKUP($F14,Declarations!$B$6:$D$293,3,FALSE)),"",IF(VLOOKUP($F14,Declarations!$B$6:$D$293,3,FALSE)="","NOT DECLARED",VLOOKUP($F14,Declarations!$B$6:$D$293,3,FALSE)&amp;LEFT(VLOOKUP($F14,Declarations!$B$6:$E$293,4,FALSE))))</f>
        <v/>
      </c>
      <c r="F14" s="59"/>
      <c r="G14" s="129"/>
      <c r="H14" s="129"/>
      <c r="I14" s="122" t="str">
        <f>IF(ISNA(VLOOKUP(F14,Declarations!B$6:C$293,2,FALSE)),"",IF(VLOOKUP(F14,Declarations!B$6:C$293,2,FALSE)="","NOT DECLARED",VLOOKUP(F14,Declarations!B$6:C$293,2,FALSE)))</f>
        <v/>
      </c>
      <c r="J14" s="120">
        <f>IF(LOWER(LEFT(G14,1))="n",1,VLOOKUP(G14,ScoringTable!D$2:I$95,6))</f>
        <v>0</v>
      </c>
      <c r="K14" s="120" t="str" cm="1">
        <f t="array" ref="K14">IF(OR(E14="",G14=""),"",_xlfn.IFS(E14="U10B",_xlfn.XLOOKUP(G14,Data!$D$5:$L$5,Data!$D$1:$L$1,"",-1,1),E14="U12B",_xlfn.XLOOKUP(G14,Data!$D$12:$L$12,Data!$D$1:$L$1,"",-1,1),E14="U10G",_xlfn.XLOOKUP(G14,Data!$D$18:$L$18,Data!$D$1:$L$1,"",-1,1),E14="U12G",_xlfn.XLOOKUP(G14,Data!$D$25:$L$25,Data!$D$1:$L$1,"",-1,1)))</f>
        <v/>
      </c>
      <c r="L14" s="184" t="str" cm="1">
        <f t="array" ref="L14">IFERROR(_xlfn.IFNA(
                      _xlfn.IFS(
                      G14="", "",
                      AND(E14="U10B",G14&gt;=Data!$M$5), "U10 Boys record",
                      AND(E14="U12B",G14&gt;=Data!$M$12), "U12 Boys record",
                      AND(E14="U10G",G14&gt;=Data!$M$18), "U10 Girls record",
                      AND(E14="U12G",G14&gt;=Data!$M$25), "U12 Girls record"
                       ),""), "")</f>
        <v/>
      </c>
      <c r="M14" s="19" cm="1">
        <f t="array" ref="M14">_xlfn.IFS($G14="",0, AND(NOT(ISNUMBER($G14)),LOWER(LEFT($G14,1))&lt;&gt;"n"),"Not a valid distance",OR(LOWER(LEFT($G14,1))="n",$G14&lt;ScoringTable!$O$161),1,RIGHT($E14,1)="B",_xlfn.XLOOKUP($G14,ScoringTable!$O$2:$O$161,ScoringTable!$L$2:$L$161,,-1),TRUE,_xlfn.XLOOKUP($G14,ScoringTable!$U$2:$U$161,ScoringTable!$R$2:$R$161,,-1))</f>
        <v>0</v>
      </c>
    </row>
    <row r="15" spans="1:13" s="7" customFormat="1" ht="16" customHeight="1">
      <c r="A15" s="121" t="s">
        <v>81</v>
      </c>
      <c r="B15" s="122" t="str">
        <f>IF(ISNA(VLOOKUP($F15,Declarations!B$6:C$293,2,FALSE)),"",IF(VLOOKUP($F15,Declarations!B$6:C$293,2,FALSE)="","NOT DECLARED",IF(ISNA(_xlfn.TEXTBEFORE(VLOOKUP($F15,Declarations!B$6:C$293,2,FALSE)," ")),VLOOKUP($F15,Declarations!B$6:C$293,2,FALSE),_xlfn.TEXTBEFORE(VLOOKUP($F15,Declarations!B$6:C$293,2,FALSE)," "))))</f>
        <v/>
      </c>
      <c r="C15" s="122" t="str">
        <f>IF(ISNA(VLOOKUP($F15,Declarations!B$6:C$293,2,FALSE)),"",IF(VLOOKUP($F15,Declarations!B$6:C$293,2,FALSE)="","NOT DECLARED",IF(ISNA(_xlfn.TEXTAFTER(VLOOKUP($F15,Declarations!B$6:C$293,2,FALSE)," ")),VLOOKUP($F15,Declarations!B$6:C$293,2,FALSE),_xlfn.TEXTAFTER(VLOOKUP($F15,Declarations!B$6:C$293,2,FALSE)," "))))</f>
        <v/>
      </c>
      <c r="D15" s="122" t="str">
        <f>IF(ISNA(VLOOKUP($F15,Declarations!$B$6:$F$293,5,FALSE)),"",IF(VLOOKUP($F15,Declarations!$B$6:$F$293,5,FALSE)="","NOT DECLARED",VLOOKUP($F15,Declarations!$B$6:$F$293,5,FALSE)))</f>
        <v/>
      </c>
      <c r="E15" s="120" t="str">
        <f>IF(ISNA(VLOOKUP($F15,Declarations!$B$6:$D$293,3,FALSE)),"",IF(VLOOKUP($F15,Declarations!$B$6:$D$293,3,FALSE)="","NOT DECLARED",VLOOKUP($F15,Declarations!$B$6:$D$293,3,FALSE)&amp;LEFT(VLOOKUP($F15,Declarations!$B$6:$E$293,4,FALSE))))</f>
        <v/>
      </c>
      <c r="F15" s="59"/>
      <c r="G15" s="129"/>
      <c r="H15" s="129"/>
      <c r="I15" s="122" t="str">
        <f>IF(ISNA(VLOOKUP(F15,Declarations!B$6:C$293,2,FALSE)),"",IF(VLOOKUP(F15,Declarations!B$6:C$293,2,FALSE)="","NOT DECLARED",VLOOKUP(F15,Declarations!B$6:C$293,2,FALSE)))</f>
        <v/>
      </c>
      <c r="J15" s="120">
        <f>IF(LOWER(LEFT(G15,1))="n",1,VLOOKUP(G15,ScoringTable!D$2:I$95,6))</f>
        <v>0</v>
      </c>
      <c r="K15" s="120" t="str" cm="1">
        <f t="array" ref="K15">IF(OR(E15="",G15=""),"",_xlfn.IFS(E15="U10B",_xlfn.XLOOKUP(G15,Data!$D$5:$L$5,Data!$D$1:$L$1,"",-1,1),E15="U12B",_xlfn.XLOOKUP(G15,Data!$D$12:$L$12,Data!$D$1:$L$1,"",-1,1),E15="U10G",_xlfn.XLOOKUP(G15,Data!$D$18:$L$18,Data!$D$1:$L$1,"",-1,1),E15="U12G",_xlfn.XLOOKUP(G15,Data!$D$25:$L$25,Data!$D$1:$L$1,"",-1,1)))</f>
        <v/>
      </c>
      <c r="L15" s="184" t="str" cm="1">
        <f t="array" ref="L15">IFERROR(_xlfn.IFNA(
                      _xlfn.IFS(
                      G15="", "",
                      AND(E15="U10B",G15&gt;=Data!$M$5), "U10 Boys record",
                      AND(E15="U12B",G15&gt;=Data!$M$12), "U12 Boys record",
                      AND(E15="U10G",G15&gt;=Data!$M$18), "U10 Girls record",
                      AND(E15="U12G",G15&gt;=Data!$M$25), "U12 Girls record"
                       ),""), "")</f>
        <v/>
      </c>
      <c r="M15" s="19" cm="1">
        <f t="array" ref="M15">_xlfn.IFS($G15="",0, AND(NOT(ISNUMBER($G15)),LOWER(LEFT($G15,1))&lt;&gt;"n"),"Not a valid distance",OR(LOWER(LEFT($G15,1))="n",$G15&lt;ScoringTable!$O$161),1,RIGHT($E15,1)="B",_xlfn.XLOOKUP($G15,ScoringTable!$O$2:$O$161,ScoringTable!$L$2:$L$161,,-1),TRUE,_xlfn.XLOOKUP($G15,ScoringTable!$U$2:$U$161,ScoringTable!$R$2:$R$161,,-1))</f>
        <v>0</v>
      </c>
    </row>
    <row r="16" spans="1:13" s="7" customFormat="1" ht="16" customHeight="1">
      <c r="A16" s="121" t="s">
        <v>81</v>
      </c>
      <c r="B16" s="122" t="str">
        <f>IF(ISNA(VLOOKUP($F16,Declarations!B$6:C$293,2,FALSE)),"",IF(VLOOKUP($F16,Declarations!B$6:C$293,2,FALSE)="","NOT DECLARED",IF(ISNA(_xlfn.TEXTBEFORE(VLOOKUP($F16,Declarations!B$6:C$293,2,FALSE)," ")),VLOOKUP($F16,Declarations!B$6:C$293,2,FALSE),_xlfn.TEXTBEFORE(VLOOKUP($F16,Declarations!B$6:C$293,2,FALSE)," "))))</f>
        <v/>
      </c>
      <c r="C16" s="122" t="str">
        <f>IF(ISNA(VLOOKUP($F16,Declarations!B$6:C$293,2,FALSE)),"",IF(VLOOKUP($F16,Declarations!B$6:C$293,2,FALSE)="","NOT DECLARED",IF(ISNA(_xlfn.TEXTAFTER(VLOOKUP($F16,Declarations!B$6:C$293,2,FALSE)," ")),VLOOKUP($F16,Declarations!B$6:C$293,2,FALSE),_xlfn.TEXTAFTER(VLOOKUP($F16,Declarations!B$6:C$293,2,FALSE)," "))))</f>
        <v/>
      </c>
      <c r="D16" s="122" t="str">
        <f>IF(ISNA(VLOOKUP($F16,Declarations!$B$6:$F$293,5,FALSE)),"",IF(VLOOKUP($F16,Declarations!$B$6:$F$293,5,FALSE)="","NOT DECLARED",VLOOKUP($F16,Declarations!$B$6:$F$293,5,FALSE)))</f>
        <v/>
      </c>
      <c r="E16" s="120" t="str">
        <f>IF(ISNA(VLOOKUP($F16,Declarations!$B$6:$D$293,3,FALSE)),"",IF(VLOOKUP($F16,Declarations!$B$6:$D$293,3,FALSE)="","NOT DECLARED",VLOOKUP($F16,Declarations!$B$6:$D$293,3,FALSE)&amp;LEFT(VLOOKUP($F16,Declarations!$B$6:$E$293,4,FALSE))))</f>
        <v/>
      </c>
      <c r="F16" s="59"/>
      <c r="G16" s="129"/>
      <c r="H16" s="129"/>
      <c r="I16" s="122" t="str">
        <f>IF(ISNA(VLOOKUP(F16,Declarations!B$6:C$293,2,FALSE)),"",IF(VLOOKUP(F16,Declarations!B$6:C$293,2,FALSE)="","NOT DECLARED",VLOOKUP(F16,Declarations!B$6:C$293,2,FALSE)))</f>
        <v/>
      </c>
      <c r="J16" s="120">
        <f>IF(LOWER(LEFT(G16,1))="n",1,VLOOKUP(G16,ScoringTable!D$2:I$95,6))</f>
        <v>0</v>
      </c>
      <c r="K16" s="120" t="str" cm="1">
        <f t="array" ref="K16">IF(OR(E16="",G16=""),"",_xlfn.IFS(E16="U10B",_xlfn.XLOOKUP(G16,Data!$D$5:$L$5,Data!$D$1:$L$1,"",-1,1),E16="U12B",_xlfn.XLOOKUP(G16,Data!$D$12:$L$12,Data!$D$1:$L$1,"",-1,1),E16="U10G",_xlfn.XLOOKUP(G16,Data!$D$18:$L$18,Data!$D$1:$L$1,"",-1,1),E16="U12G",_xlfn.XLOOKUP(G16,Data!$D$25:$L$25,Data!$D$1:$L$1,"",-1,1)))</f>
        <v/>
      </c>
      <c r="L16" s="184" t="str" cm="1">
        <f t="array" ref="L16">IFERROR(_xlfn.IFNA(
                      _xlfn.IFS(
                      G16="", "",
                      AND(E16="U10B",G16&gt;=Data!$M$5), "U10 Boys record",
                      AND(E16="U12B",G16&gt;=Data!$M$12), "U12 Boys record",
                      AND(E16="U10G",G16&gt;=Data!$M$18), "U10 Girls record",
                      AND(E16="U12G",G16&gt;=Data!$M$25), "U12 Girls record"
                       ),""), "")</f>
        <v/>
      </c>
      <c r="M16" s="19" cm="1">
        <f t="array" ref="M16">_xlfn.IFS($G16="",0, AND(NOT(ISNUMBER($G16)),LOWER(LEFT($G16,1))&lt;&gt;"n"),"Not a valid distance",OR(LOWER(LEFT($G16,1))="n",$G16&lt;ScoringTable!$O$161),1,RIGHT($E16,1)="B",_xlfn.XLOOKUP($G16,ScoringTable!$O$2:$O$161,ScoringTable!$L$2:$L$161,,-1),TRUE,_xlfn.XLOOKUP($G16,ScoringTable!$U$2:$U$161,ScoringTable!$R$2:$R$161,,-1))</f>
        <v>0</v>
      </c>
    </row>
    <row r="17" spans="1:13" s="7" customFormat="1" ht="16" customHeight="1">
      <c r="A17" s="121" t="s">
        <v>81</v>
      </c>
      <c r="B17" s="122" t="str">
        <f>IF(ISNA(VLOOKUP($F17,Declarations!B$6:C$293,2,FALSE)),"",IF(VLOOKUP($F17,Declarations!B$6:C$293,2,FALSE)="","NOT DECLARED",IF(ISNA(_xlfn.TEXTBEFORE(VLOOKUP($F17,Declarations!B$6:C$293,2,FALSE)," ")),VLOOKUP($F17,Declarations!B$6:C$293,2,FALSE),_xlfn.TEXTBEFORE(VLOOKUP($F17,Declarations!B$6:C$293,2,FALSE)," "))))</f>
        <v/>
      </c>
      <c r="C17" s="122" t="str">
        <f>IF(ISNA(VLOOKUP($F17,Declarations!B$6:C$293,2,FALSE)),"",IF(VLOOKUP($F17,Declarations!B$6:C$293,2,FALSE)="","NOT DECLARED",IF(ISNA(_xlfn.TEXTAFTER(VLOOKUP($F17,Declarations!B$6:C$293,2,FALSE)," ")),VLOOKUP($F17,Declarations!B$6:C$293,2,FALSE),_xlfn.TEXTAFTER(VLOOKUP($F17,Declarations!B$6:C$293,2,FALSE)," "))))</f>
        <v/>
      </c>
      <c r="D17" s="122" t="str">
        <f>IF(ISNA(VLOOKUP($F17,Declarations!$B$6:$F$293,5,FALSE)),"",IF(VLOOKUP($F17,Declarations!$B$6:$F$293,5,FALSE)="","NOT DECLARED",VLOOKUP($F17,Declarations!$B$6:$F$293,5,FALSE)))</f>
        <v/>
      </c>
      <c r="E17" s="120" t="str">
        <f>IF(ISNA(VLOOKUP($F17,Declarations!$B$6:$D$293,3,FALSE)),"",IF(VLOOKUP($F17,Declarations!$B$6:$D$293,3,FALSE)="","NOT DECLARED",VLOOKUP($F17,Declarations!$B$6:$D$293,3,FALSE)&amp;LEFT(VLOOKUP($F17,Declarations!$B$6:$E$293,4,FALSE))))</f>
        <v/>
      </c>
      <c r="F17" s="59"/>
      <c r="G17" s="129"/>
      <c r="H17" s="129"/>
      <c r="I17" s="122" t="str">
        <f>IF(ISNA(VLOOKUP(F17,Declarations!B$6:C$293,2,FALSE)),"",IF(VLOOKUP(F17,Declarations!B$6:C$293,2,FALSE)="","NOT DECLARED",VLOOKUP(F17,Declarations!B$6:C$293,2,FALSE)))</f>
        <v/>
      </c>
      <c r="J17" s="120">
        <f>IF(LOWER(LEFT(G17,1))="n",1,VLOOKUP(G17,ScoringTable!D$2:I$95,6))</f>
        <v>0</v>
      </c>
      <c r="K17" s="120" t="str" cm="1">
        <f t="array" ref="K17">IF(OR(E17="",G17=""),"",_xlfn.IFS(E17="U10B",_xlfn.XLOOKUP(G17,Data!$D$5:$L$5,Data!$D$1:$L$1,"",-1,1),E17="U12B",_xlfn.XLOOKUP(G17,Data!$D$12:$L$12,Data!$D$1:$L$1,"",-1,1),E17="U10G",_xlfn.XLOOKUP(G17,Data!$D$18:$L$18,Data!$D$1:$L$1,"",-1,1),E17="U12G",_xlfn.XLOOKUP(G17,Data!$D$25:$L$25,Data!$D$1:$L$1,"",-1,1)))</f>
        <v/>
      </c>
      <c r="L17" s="184" t="str" cm="1">
        <f t="array" ref="L17">IFERROR(_xlfn.IFNA(
                      _xlfn.IFS(
                      G17="", "",
                      AND(E17="U10B",G17&gt;=Data!$M$5), "U10 Boys record",
                      AND(E17="U12B",G17&gt;=Data!$M$12), "U12 Boys record",
                      AND(E17="U10G",G17&gt;=Data!$M$18), "U10 Girls record",
                      AND(E17="U12G",G17&gt;=Data!$M$25), "U12 Girls record"
                       ),""), "")</f>
        <v/>
      </c>
      <c r="M17" s="19" cm="1">
        <f t="array" ref="M17">_xlfn.IFS($G17="",0, AND(NOT(ISNUMBER($G17)),LOWER(LEFT($G17,1))&lt;&gt;"n"),"Not a valid distance",OR(LOWER(LEFT($G17,1))="n",$G17&lt;ScoringTable!$O$161),1,RIGHT($E17,1)="B",_xlfn.XLOOKUP($G17,ScoringTable!$O$2:$O$161,ScoringTable!$L$2:$L$161,,-1),TRUE,_xlfn.XLOOKUP($G17,ScoringTable!$U$2:$U$161,ScoringTable!$R$2:$R$161,,-1))</f>
        <v>0</v>
      </c>
    </row>
    <row r="18" spans="1:13" s="7" customFormat="1" ht="16" customHeight="1">
      <c r="A18" s="121" t="s">
        <v>81</v>
      </c>
      <c r="B18" s="122" t="str">
        <f>IF(ISNA(VLOOKUP($F18,Declarations!B$6:C$293,2,FALSE)),"",IF(VLOOKUP($F18,Declarations!B$6:C$293,2,FALSE)="","NOT DECLARED",IF(ISNA(_xlfn.TEXTBEFORE(VLOOKUP($F18,Declarations!B$6:C$293,2,FALSE)," ")),VLOOKUP($F18,Declarations!B$6:C$293,2,FALSE),_xlfn.TEXTBEFORE(VLOOKUP($F18,Declarations!B$6:C$293,2,FALSE)," "))))</f>
        <v/>
      </c>
      <c r="C18" s="122" t="str">
        <f>IF(ISNA(VLOOKUP($F18,Declarations!B$6:C$293,2,FALSE)),"",IF(VLOOKUP($F18,Declarations!B$6:C$293,2,FALSE)="","NOT DECLARED",IF(ISNA(_xlfn.TEXTAFTER(VLOOKUP($F18,Declarations!B$6:C$293,2,FALSE)," ")),VLOOKUP($F18,Declarations!B$6:C$293,2,FALSE),_xlfn.TEXTAFTER(VLOOKUP($F18,Declarations!B$6:C$293,2,FALSE)," "))))</f>
        <v/>
      </c>
      <c r="D18" s="122" t="str">
        <f>IF(ISNA(VLOOKUP($F18,Declarations!$B$6:$F$293,5,FALSE)),"",IF(VLOOKUP($F18,Declarations!$B$6:$F$293,5,FALSE)="","NOT DECLARED",VLOOKUP($F18,Declarations!$B$6:$F$293,5,FALSE)))</f>
        <v/>
      </c>
      <c r="E18" s="120" t="str">
        <f>IF(ISNA(VLOOKUP($F18,Declarations!$B$6:$D$293,3,FALSE)),"",IF(VLOOKUP($F18,Declarations!$B$6:$D$293,3,FALSE)="","NOT DECLARED",VLOOKUP($F18,Declarations!$B$6:$D$293,3,FALSE)&amp;LEFT(VLOOKUP($F18,Declarations!$B$6:$E$293,4,FALSE))))</f>
        <v/>
      </c>
      <c r="F18" s="59"/>
      <c r="G18" s="129"/>
      <c r="H18" s="129"/>
      <c r="I18" s="122" t="str">
        <f>IF(ISNA(VLOOKUP(F18,Declarations!B$6:C$293,2,FALSE)),"",IF(VLOOKUP(F18,Declarations!B$6:C$293,2,FALSE)="","NOT DECLARED",VLOOKUP(F18,Declarations!B$6:C$293,2,FALSE)))</f>
        <v/>
      </c>
      <c r="J18" s="120">
        <f>IF(LOWER(LEFT(G18,1))="n",1,VLOOKUP(G18,ScoringTable!D$2:I$95,6))</f>
        <v>0</v>
      </c>
      <c r="K18" s="120" t="str" cm="1">
        <f t="array" ref="K18">IF(OR(E18="",G18=""),"",_xlfn.IFS(E18="U10B",_xlfn.XLOOKUP(G18,Data!$D$5:$L$5,Data!$D$1:$L$1,"",-1,1),E18="U12B",_xlfn.XLOOKUP(G18,Data!$D$12:$L$12,Data!$D$1:$L$1,"",-1,1),E18="U10G",_xlfn.XLOOKUP(G18,Data!$D$18:$L$18,Data!$D$1:$L$1,"",-1,1),E18="U12G",_xlfn.XLOOKUP(G18,Data!$D$25:$L$25,Data!$D$1:$L$1,"",-1,1)))</f>
        <v/>
      </c>
      <c r="L18" s="184" t="str" cm="1">
        <f t="array" ref="L18">IFERROR(_xlfn.IFNA(
                      _xlfn.IFS(
                      G18="", "",
                      AND(E18="U10B",G18&gt;=Data!$M$5), "U10 Boys record",
                      AND(E18="U12B",G18&gt;=Data!$M$12), "U12 Boys record",
                      AND(E18="U10G",G18&gt;=Data!$M$18), "U10 Girls record",
                      AND(E18="U12G",G18&gt;=Data!$M$25), "U12 Girls record"
                       ),""), "")</f>
        <v/>
      </c>
      <c r="M18" s="19" cm="1">
        <f t="array" ref="M18">_xlfn.IFS($G18="",0, AND(NOT(ISNUMBER($G18)),LOWER(LEFT($G18,1))&lt;&gt;"n"),"Not a valid distance",OR(LOWER(LEFT($G18,1))="n",$G18&lt;ScoringTable!$O$161),1,RIGHT($E18,1)="B",_xlfn.XLOOKUP($G18,ScoringTable!$O$2:$O$161,ScoringTable!$L$2:$L$161,,-1),TRUE,_xlfn.XLOOKUP($G18,ScoringTable!$U$2:$U$161,ScoringTable!$R$2:$R$161,,-1))</f>
        <v>0</v>
      </c>
    </row>
    <row r="19" spans="1:13" s="7" customFormat="1" ht="16" customHeight="1">
      <c r="A19" s="121" t="s">
        <v>81</v>
      </c>
      <c r="B19" s="122" t="str">
        <f>IF(ISNA(VLOOKUP($F19,Declarations!B$6:C$293,2,FALSE)),"",IF(VLOOKUP($F19,Declarations!B$6:C$293,2,FALSE)="","NOT DECLARED",IF(ISNA(_xlfn.TEXTBEFORE(VLOOKUP($F19,Declarations!B$6:C$293,2,FALSE)," ")),VLOOKUP($F19,Declarations!B$6:C$293,2,FALSE),_xlfn.TEXTBEFORE(VLOOKUP($F19,Declarations!B$6:C$293,2,FALSE)," "))))</f>
        <v/>
      </c>
      <c r="C19" s="122" t="str">
        <f>IF(ISNA(VLOOKUP($F19,Declarations!B$6:C$293,2,FALSE)),"",IF(VLOOKUP($F19,Declarations!B$6:C$293,2,FALSE)="","NOT DECLARED",IF(ISNA(_xlfn.TEXTAFTER(VLOOKUP($F19,Declarations!B$6:C$293,2,FALSE)," ")),VLOOKUP($F19,Declarations!B$6:C$293,2,FALSE),_xlfn.TEXTAFTER(VLOOKUP($F19,Declarations!B$6:C$293,2,FALSE)," "))))</f>
        <v/>
      </c>
      <c r="D19" s="122" t="str">
        <f>IF(ISNA(VLOOKUP($F19,Declarations!$B$6:$F$293,5,FALSE)),"",IF(VLOOKUP($F19,Declarations!$B$6:$F$293,5,FALSE)="","NOT DECLARED",VLOOKUP($F19,Declarations!$B$6:$F$293,5,FALSE)))</f>
        <v/>
      </c>
      <c r="E19" s="120" t="str">
        <f>IF(ISNA(VLOOKUP($F19,Declarations!$B$6:$D$293,3,FALSE)),"",IF(VLOOKUP($F19,Declarations!$B$6:$D$293,3,FALSE)="","NOT DECLARED",VLOOKUP($F19,Declarations!$B$6:$D$293,3,FALSE)&amp;LEFT(VLOOKUP($F19,Declarations!$B$6:$E$293,4,FALSE))))</f>
        <v/>
      </c>
      <c r="F19" s="59"/>
      <c r="G19" s="129"/>
      <c r="H19" s="129"/>
      <c r="I19" s="122" t="str">
        <f>IF(ISNA(VLOOKUP(F19,Declarations!B$6:C$293,2,FALSE)),"",IF(VLOOKUP(F19,Declarations!B$6:C$293,2,FALSE)="","NOT DECLARED",VLOOKUP(F19,Declarations!B$6:C$293,2,FALSE)))</f>
        <v/>
      </c>
      <c r="J19" s="120">
        <f>IF(LOWER(LEFT(G19,1))="n",1,VLOOKUP(G19,ScoringTable!D$2:I$95,6))</f>
        <v>0</v>
      </c>
      <c r="K19" s="120" t="str" cm="1">
        <f t="array" ref="K19">IF(OR(E19="",G19=""),"",_xlfn.IFS(E19="U10B",_xlfn.XLOOKUP(G19,Data!$D$5:$L$5,Data!$D$1:$L$1,"",-1,1),E19="U12B",_xlfn.XLOOKUP(G19,Data!$D$12:$L$12,Data!$D$1:$L$1,"",-1,1),E19="U10G",_xlfn.XLOOKUP(G19,Data!$D$18:$L$18,Data!$D$1:$L$1,"",-1,1),E19="U12G",_xlfn.XLOOKUP(G19,Data!$D$25:$L$25,Data!$D$1:$L$1,"",-1,1)))</f>
        <v/>
      </c>
      <c r="L19" s="184" t="str" cm="1">
        <f t="array" ref="L19">IFERROR(_xlfn.IFNA(
                      _xlfn.IFS(
                      G19="", "",
                      AND(E19="U10B",G19&gt;=Data!$M$5), "U10 Boys record",
                      AND(E19="U12B",G19&gt;=Data!$M$12), "U12 Boys record",
                      AND(E19="U10G",G19&gt;=Data!$M$18), "U10 Girls record",
                      AND(E19="U12G",G19&gt;=Data!$M$25), "U12 Girls record"
                       ),""), "")</f>
        <v/>
      </c>
      <c r="M19" s="19" cm="1">
        <f t="array" ref="M19">_xlfn.IFS($G19="",0, AND(NOT(ISNUMBER($G19)),LOWER(LEFT($G19,1))&lt;&gt;"n"),"Not a valid distance",OR(LOWER(LEFT($G19,1))="n",$G19&lt;ScoringTable!$O$161),1,RIGHT($E19,1)="B",_xlfn.XLOOKUP($G19,ScoringTable!$O$2:$O$161,ScoringTable!$L$2:$L$161,,-1),TRUE,_xlfn.XLOOKUP($G19,ScoringTable!$U$2:$U$161,ScoringTable!$R$2:$R$161,,-1))</f>
        <v>0</v>
      </c>
    </row>
    <row r="20" spans="1:13" s="7" customFormat="1" ht="16" customHeight="1">
      <c r="A20" s="121" t="s">
        <v>81</v>
      </c>
      <c r="B20" s="122" t="str">
        <f>IF(ISNA(VLOOKUP($F20,Declarations!B$6:C$293,2,FALSE)),"",IF(VLOOKUP($F20,Declarations!B$6:C$293,2,FALSE)="","NOT DECLARED",IF(ISNA(_xlfn.TEXTBEFORE(VLOOKUP($F20,Declarations!B$6:C$293,2,FALSE)," ")),VLOOKUP($F20,Declarations!B$6:C$293,2,FALSE),_xlfn.TEXTBEFORE(VLOOKUP($F20,Declarations!B$6:C$293,2,FALSE)," "))))</f>
        <v/>
      </c>
      <c r="C20" s="122" t="str">
        <f>IF(ISNA(VLOOKUP($F20,Declarations!B$6:C$293,2,FALSE)),"",IF(VLOOKUP($F20,Declarations!B$6:C$293,2,FALSE)="","NOT DECLARED",IF(ISNA(_xlfn.TEXTAFTER(VLOOKUP($F20,Declarations!B$6:C$293,2,FALSE)," ")),VLOOKUP($F20,Declarations!B$6:C$293,2,FALSE),_xlfn.TEXTAFTER(VLOOKUP($F20,Declarations!B$6:C$293,2,FALSE)," "))))</f>
        <v/>
      </c>
      <c r="D20" s="122" t="str">
        <f>IF(ISNA(VLOOKUP($F20,Declarations!$B$6:$F$293,5,FALSE)),"",IF(VLOOKUP($F20,Declarations!$B$6:$F$293,5,FALSE)="","NOT DECLARED",VLOOKUP($F20,Declarations!$B$6:$F$293,5,FALSE)))</f>
        <v/>
      </c>
      <c r="E20" s="120" t="str">
        <f>IF(ISNA(VLOOKUP($F20,Declarations!$B$6:$D$293,3,FALSE)),"",IF(VLOOKUP($F20,Declarations!$B$6:$D$293,3,FALSE)="","NOT DECLARED",VLOOKUP($F20,Declarations!$B$6:$D$293,3,FALSE)&amp;LEFT(VLOOKUP($F20,Declarations!$B$6:$E$293,4,FALSE))))</f>
        <v/>
      </c>
      <c r="F20" s="59"/>
      <c r="G20" s="129"/>
      <c r="H20" s="129"/>
      <c r="I20" s="122" t="str">
        <f>IF(ISNA(VLOOKUP(F20,Declarations!B$6:C$293,2,FALSE)),"",IF(VLOOKUP(F20,Declarations!B$6:C$293,2,FALSE)="","NOT DECLARED",VLOOKUP(F20,Declarations!B$6:C$293,2,FALSE)))</f>
        <v/>
      </c>
      <c r="J20" s="120">
        <f>IF(LOWER(LEFT(G20,1))="n",1,VLOOKUP(G20,ScoringTable!D$2:I$95,6))</f>
        <v>0</v>
      </c>
      <c r="K20" s="120" t="str" cm="1">
        <f t="array" ref="K20">IF(OR(E20="",G20=""),"",_xlfn.IFS(E20="U10B",_xlfn.XLOOKUP(G20,Data!$D$5:$L$5,Data!$D$1:$L$1,"",-1,1),E20="U12B",_xlfn.XLOOKUP(G20,Data!$D$12:$L$12,Data!$D$1:$L$1,"",-1,1),E20="U10G",_xlfn.XLOOKUP(G20,Data!$D$18:$L$18,Data!$D$1:$L$1,"",-1,1),E20="U12G",_xlfn.XLOOKUP(G20,Data!$D$25:$L$25,Data!$D$1:$L$1,"",-1,1)))</f>
        <v/>
      </c>
      <c r="L20" s="184" t="str" cm="1">
        <f t="array" ref="L20">IFERROR(_xlfn.IFNA(
                      _xlfn.IFS(
                      G20="", "",
                      AND(E20="U10B",G20&gt;=Data!$M$5), "U10 Boys record",
                      AND(E20="U12B",G20&gt;=Data!$M$12), "U12 Boys record",
                      AND(E20="U10G",G20&gt;=Data!$M$18), "U10 Girls record",
                      AND(E20="U12G",G20&gt;=Data!$M$25), "U12 Girls record"
                       ),""), "")</f>
        <v/>
      </c>
      <c r="M20" s="19" cm="1">
        <f t="array" ref="M20">_xlfn.IFS($G20="",0, AND(NOT(ISNUMBER($G20)),LOWER(LEFT($G20,1))&lt;&gt;"n"),"Not a valid distance",OR(LOWER(LEFT($G20,1))="n",$G20&lt;ScoringTable!$O$161),1,RIGHT($E20,1)="B",_xlfn.XLOOKUP($G20,ScoringTable!$O$2:$O$161,ScoringTable!$L$2:$L$161,,-1),TRUE,_xlfn.XLOOKUP($G20,ScoringTable!$U$2:$U$161,ScoringTable!$R$2:$R$161,,-1))</f>
        <v>0</v>
      </c>
    </row>
    <row r="21" spans="1:13" s="3" customFormat="1" ht="16" customHeight="1">
      <c r="A21" s="121" t="s">
        <v>81</v>
      </c>
      <c r="B21" s="122" t="str">
        <f>IF(ISNA(VLOOKUP($F21,Declarations!B$6:C$293,2,FALSE)),"",IF(VLOOKUP($F21,Declarations!B$6:C$293,2,FALSE)="","NOT DECLARED",IF(ISNA(_xlfn.TEXTBEFORE(VLOOKUP($F21,Declarations!B$6:C$293,2,FALSE)," ")),VLOOKUP($F21,Declarations!B$6:C$293,2,FALSE),_xlfn.TEXTBEFORE(VLOOKUP($F21,Declarations!B$6:C$293,2,FALSE)," "))))</f>
        <v/>
      </c>
      <c r="C21" s="122" t="str">
        <f>IF(ISNA(VLOOKUP($F21,Declarations!B$6:C$293,2,FALSE)),"",IF(VLOOKUP($F21,Declarations!B$6:C$293,2,FALSE)="","NOT DECLARED",IF(ISNA(_xlfn.TEXTAFTER(VLOOKUP($F21,Declarations!B$6:C$293,2,FALSE)," ")),VLOOKUP($F21,Declarations!B$6:C$293,2,FALSE),_xlfn.TEXTAFTER(VLOOKUP($F21,Declarations!B$6:C$293,2,FALSE)," "))))</f>
        <v/>
      </c>
      <c r="D21" s="122" t="str">
        <f>IF(ISNA(VLOOKUP($F21,Declarations!$B$6:$F$293,5,FALSE)),"",IF(VLOOKUP($F21,Declarations!$B$6:$F$293,5,FALSE)="","NOT DECLARED",VLOOKUP($F21,Declarations!$B$6:$F$293,5,FALSE)))</f>
        <v/>
      </c>
      <c r="E21" s="120" t="str">
        <f>IF(ISNA(VLOOKUP($F21,Declarations!$B$6:$D$293,3,FALSE)),"",IF(VLOOKUP($F21,Declarations!$B$6:$D$293,3,FALSE)="","NOT DECLARED",VLOOKUP($F21,Declarations!$B$6:$D$293,3,FALSE)&amp;LEFT(VLOOKUP($F21,Declarations!$B$6:$E$293,4,FALSE))))</f>
        <v/>
      </c>
      <c r="F21" s="59"/>
      <c r="G21" s="129"/>
      <c r="H21" s="129"/>
      <c r="I21" s="122" t="str">
        <f>IF(ISNA(VLOOKUP(F21,Declarations!B$6:C$293,2,FALSE)),"",IF(VLOOKUP(F21,Declarations!B$6:C$293,2,FALSE)="","NOT DECLARED",VLOOKUP(F21,Declarations!B$6:C$293,2,FALSE)))</f>
        <v/>
      </c>
      <c r="J21" s="120">
        <f>IF(LOWER(LEFT(G21,1))="n",1,VLOOKUP(G21,ScoringTable!D$2:I$95,6))</f>
        <v>0</v>
      </c>
      <c r="K21" s="120" t="str" cm="1">
        <f t="array" ref="K21">IF(OR(E21="",G21=""),"",_xlfn.IFS(E21="U10B",_xlfn.XLOOKUP(G21,Data!$D$5:$L$5,Data!$D$1:$L$1,"",-1,1),E21="U12B",_xlfn.XLOOKUP(G21,Data!$D$12:$L$12,Data!$D$1:$L$1,"",-1,1),E21="U10G",_xlfn.XLOOKUP(G21,Data!$D$18:$L$18,Data!$D$1:$L$1,"",-1,1),E21="U12G",_xlfn.XLOOKUP(G21,Data!$D$25:$L$25,Data!$D$1:$L$1,"",-1,1)))</f>
        <v/>
      </c>
      <c r="L21" s="184" t="str" cm="1">
        <f t="array" ref="L21">IFERROR(_xlfn.IFNA(
                      _xlfn.IFS(
                      G21="", "",
                      AND(E21="U10B",G21&gt;=Data!$M$5), "U10 Boys record",
                      AND(E21="U12B",G21&gt;=Data!$M$12), "U12 Boys record",
                      AND(E21="U10G",G21&gt;=Data!$M$18), "U10 Girls record",
                      AND(E21="U12G",G21&gt;=Data!$M$25), "U12 Girls record"
                       ),""), "")</f>
        <v/>
      </c>
      <c r="M21" s="19" cm="1">
        <f t="array" ref="M21">_xlfn.IFS($G21="",0, AND(NOT(ISNUMBER($G21)),LOWER(LEFT($G21,1))&lt;&gt;"n"),"Not a valid distance",OR(LOWER(LEFT($G21,1))="n",$G21&lt;ScoringTable!$O$161),1,RIGHT($E21,1)="B",_xlfn.XLOOKUP($G21,ScoringTable!$O$2:$O$161,ScoringTable!$L$2:$L$161,,-1),TRUE,_xlfn.XLOOKUP($G21,ScoringTable!$U$2:$U$161,ScoringTable!$R$2:$R$161,,-1))</f>
        <v>0</v>
      </c>
    </row>
    <row r="22" spans="1:13" s="3" customFormat="1" ht="16" customHeight="1">
      <c r="A22" s="121" t="s">
        <v>81</v>
      </c>
      <c r="B22" s="122" t="str">
        <f>IF(ISNA(VLOOKUP($F22,Declarations!B$6:C$293,2,FALSE)),"",IF(VLOOKUP($F22,Declarations!B$6:C$293,2,FALSE)="","NOT DECLARED",IF(ISNA(_xlfn.TEXTBEFORE(VLOOKUP($F22,Declarations!B$6:C$293,2,FALSE)," ")),VLOOKUP($F22,Declarations!B$6:C$293,2,FALSE),_xlfn.TEXTBEFORE(VLOOKUP($F22,Declarations!B$6:C$293,2,FALSE)," "))))</f>
        <v/>
      </c>
      <c r="C22" s="122" t="str">
        <f>IF(ISNA(VLOOKUP($F22,Declarations!B$6:C$293,2,FALSE)),"",IF(VLOOKUP($F22,Declarations!B$6:C$293,2,FALSE)="","NOT DECLARED",IF(ISNA(_xlfn.TEXTAFTER(VLOOKUP($F22,Declarations!B$6:C$293,2,FALSE)," ")),VLOOKUP($F22,Declarations!B$6:C$293,2,FALSE),_xlfn.TEXTAFTER(VLOOKUP($F22,Declarations!B$6:C$293,2,FALSE)," "))))</f>
        <v/>
      </c>
      <c r="D22" s="122" t="str">
        <f>IF(ISNA(VLOOKUP($F22,Declarations!$B$6:$F$293,5,FALSE)),"",IF(VLOOKUP($F22,Declarations!$B$6:$F$293,5,FALSE)="","NOT DECLARED",VLOOKUP($F22,Declarations!$B$6:$F$293,5,FALSE)))</f>
        <v/>
      </c>
      <c r="E22" s="120" t="str">
        <f>IF(ISNA(VLOOKUP($F22,Declarations!$B$6:$D$293,3,FALSE)),"",IF(VLOOKUP($F22,Declarations!$B$6:$D$293,3,FALSE)="","NOT DECLARED",VLOOKUP($F22,Declarations!$B$6:$D$293,3,FALSE)&amp;LEFT(VLOOKUP($F22,Declarations!$B$6:$E$293,4,FALSE))))</f>
        <v/>
      </c>
      <c r="F22" s="59"/>
      <c r="G22" s="129"/>
      <c r="H22" s="129"/>
      <c r="I22" s="122" t="str">
        <f>IF(ISNA(VLOOKUP(F22,Declarations!B$6:C$293,2,FALSE)),"",IF(VLOOKUP(F22,Declarations!B$6:C$293,2,FALSE)="","NOT DECLARED",VLOOKUP(F22,Declarations!B$6:C$293,2,FALSE)))</f>
        <v/>
      </c>
      <c r="J22" s="120">
        <f>IF(LOWER(LEFT(G22,1))="n",1,VLOOKUP(G22,ScoringTable!D$2:I$95,6))</f>
        <v>0</v>
      </c>
      <c r="K22" s="120" t="str" cm="1">
        <f t="array" ref="K22">IF(OR(E22="",G22=""),"",_xlfn.IFS(E22="U10B",_xlfn.XLOOKUP(G22,Data!$D$5:$L$5,Data!$D$1:$L$1,"",-1,1),E22="U12B",_xlfn.XLOOKUP(G22,Data!$D$12:$L$12,Data!$D$1:$L$1,"",-1,1),E22="U10G",_xlfn.XLOOKUP(G22,Data!$D$18:$L$18,Data!$D$1:$L$1,"",-1,1),E22="U12G",_xlfn.XLOOKUP(G22,Data!$D$25:$L$25,Data!$D$1:$L$1,"",-1,1)))</f>
        <v/>
      </c>
      <c r="L22" s="184" t="str" cm="1">
        <f t="array" ref="L22">IFERROR(_xlfn.IFNA(
                      _xlfn.IFS(
                      G22="", "",
                      AND(E22="U10B",G22&gt;=Data!$M$5), "U10 Boys record",
                      AND(E22="U12B",G22&gt;=Data!$M$12), "U12 Boys record",
                      AND(E22="U10G",G22&gt;=Data!$M$18), "U10 Girls record",
                      AND(E22="U12G",G22&gt;=Data!$M$25), "U12 Girls record"
                       ),""), "")</f>
        <v/>
      </c>
      <c r="M22" s="19" cm="1">
        <f t="array" ref="M22">_xlfn.IFS($G22="",0, AND(NOT(ISNUMBER($G22)),LOWER(LEFT($G22,1))&lt;&gt;"n"),"Not a valid distance",OR(LOWER(LEFT($G22,1))="n",$G22&lt;ScoringTable!$O$161),1,RIGHT($E22,1)="B",_xlfn.XLOOKUP($G22,ScoringTable!$O$2:$O$161,ScoringTable!$L$2:$L$161,,-1),TRUE,_xlfn.XLOOKUP($G22,ScoringTable!$U$2:$U$161,ScoringTable!$R$2:$R$161,,-1))</f>
        <v>0</v>
      </c>
    </row>
    <row r="23" spans="1:13" s="3" customFormat="1" ht="16" customHeight="1">
      <c r="A23" s="121" t="s">
        <v>81</v>
      </c>
      <c r="B23" s="122" t="str">
        <f>IF(ISNA(VLOOKUP($F23,Declarations!B$6:C$293,2,FALSE)),"",IF(VLOOKUP($F23,Declarations!B$6:C$293,2,FALSE)="","NOT DECLARED",IF(ISNA(_xlfn.TEXTBEFORE(VLOOKUP($F23,Declarations!B$6:C$293,2,FALSE)," ")),VLOOKUP($F23,Declarations!B$6:C$293,2,FALSE),_xlfn.TEXTBEFORE(VLOOKUP($F23,Declarations!B$6:C$293,2,FALSE)," "))))</f>
        <v/>
      </c>
      <c r="C23" s="122" t="str">
        <f>IF(ISNA(VLOOKUP($F23,Declarations!B$6:C$293,2,FALSE)),"",IF(VLOOKUP($F23,Declarations!B$6:C$293,2,FALSE)="","NOT DECLARED",IF(ISNA(_xlfn.TEXTAFTER(VLOOKUP($F23,Declarations!B$6:C$293,2,FALSE)," ")),VLOOKUP($F23,Declarations!B$6:C$293,2,FALSE),_xlfn.TEXTAFTER(VLOOKUP($F23,Declarations!B$6:C$293,2,FALSE)," "))))</f>
        <v/>
      </c>
      <c r="D23" s="122" t="str">
        <f>IF(ISNA(VLOOKUP($F23,Declarations!$B$6:$F$293,5,FALSE)),"",IF(VLOOKUP($F23,Declarations!$B$6:$F$293,5,FALSE)="","NOT DECLARED",VLOOKUP($F23,Declarations!$B$6:$F$293,5,FALSE)))</f>
        <v/>
      </c>
      <c r="E23" s="120" t="str">
        <f>IF(ISNA(VLOOKUP($F23,Declarations!$B$6:$D$293,3,FALSE)),"",IF(VLOOKUP($F23,Declarations!$B$6:$D$293,3,FALSE)="","NOT DECLARED",VLOOKUP($F23,Declarations!$B$6:$D$293,3,FALSE)&amp;LEFT(VLOOKUP($F23,Declarations!$B$6:$E$293,4,FALSE))))</f>
        <v/>
      </c>
      <c r="F23" s="59"/>
      <c r="G23" s="129"/>
      <c r="H23" s="129"/>
      <c r="I23" s="122" t="str">
        <f>IF(ISNA(VLOOKUP(F23,Declarations!B$6:C$293,2,FALSE)),"",IF(VLOOKUP(F23,Declarations!B$6:C$293,2,FALSE)="","NOT DECLARED",VLOOKUP(F23,Declarations!B$6:C$293,2,FALSE)))</f>
        <v/>
      </c>
      <c r="J23" s="120">
        <f>IF(LOWER(LEFT(G23,1))="n",1,VLOOKUP(G23,ScoringTable!D$2:I$95,6))</f>
        <v>0</v>
      </c>
      <c r="K23" s="120" t="str" cm="1">
        <f t="array" ref="K23">IF(OR(E23="",G23=""),"",_xlfn.IFS(E23="U10B",_xlfn.XLOOKUP(G23,Data!$D$5:$L$5,Data!$D$1:$L$1,"",-1,1),E23="U12B",_xlfn.XLOOKUP(G23,Data!$D$12:$L$12,Data!$D$1:$L$1,"",-1,1),E23="U10G",_xlfn.XLOOKUP(G23,Data!$D$18:$L$18,Data!$D$1:$L$1,"",-1,1),E23="U12G",_xlfn.XLOOKUP(G23,Data!$D$25:$L$25,Data!$D$1:$L$1,"",-1,1)))</f>
        <v/>
      </c>
      <c r="L23" s="184" t="str" cm="1">
        <f t="array" ref="L23">IFERROR(_xlfn.IFNA(
                      _xlfn.IFS(
                      G23="", "",
                      AND(E23="U10B",G23&gt;=Data!$M$5), "U10 Boys record",
                      AND(E23="U12B",G23&gt;=Data!$M$12), "U12 Boys record",
                      AND(E23="U10G",G23&gt;=Data!$M$18), "U10 Girls record",
                      AND(E23="U12G",G23&gt;=Data!$M$25), "U12 Girls record"
                       ),""), "")</f>
        <v/>
      </c>
      <c r="M23" s="19" cm="1">
        <f t="array" ref="M23">_xlfn.IFS($G23="",0, AND(NOT(ISNUMBER($G23)),LOWER(LEFT($G23,1))&lt;&gt;"n"),"Not a valid distance",OR(LOWER(LEFT($G23,1))="n",$G23&lt;ScoringTable!$O$161),1,RIGHT($E23,1)="B",_xlfn.XLOOKUP($G23,ScoringTable!$O$2:$O$161,ScoringTable!$L$2:$L$161,,-1),TRUE,_xlfn.XLOOKUP($G23,ScoringTable!$U$2:$U$161,ScoringTable!$R$2:$R$161,,-1))</f>
        <v>0</v>
      </c>
    </row>
    <row r="24" spans="1:13" s="7" customFormat="1" ht="16" customHeight="1">
      <c r="A24" s="121" t="s">
        <v>81</v>
      </c>
      <c r="B24" s="122" t="str">
        <f>IF(ISNA(VLOOKUP($F24,Declarations!B$6:C$293,2,FALSE)),"",IF(VLOOKUP($F24,Declarations!B$6:C$293,2,FALSE)="","NOT DECLARED",IF(ISNA(_xlfn.TEXTBEFORE(VLOOKUP($F24,Declarations!B$6:C$293,2,FALSE)," ")),VLOOKUP($F24,Declarations!B$6:C$293,2,FALSE),_xlfn.TEXTBEFORE(VLOOKUP($F24,Declarations!B$6:C$293,2,FALSE)," "))))</f>
        <v/>
      </c>
      <c r="C24" s="122" t="str">
        <f>IF(ISNA(VLOOKUP($F24,Declarations!B$6:C$293,2,FALSE)),"",IF(VLOOKUP($F24,Declarations!B$6:C$293,2,FALSE)="","NOT DECLARED",IF(ISNA(_xlfn.TEXTAFTER(VLOOKUP($F24,Declarations!B$6:C$293,2,FALSE)," ")),VLOOKUP($F24,Declarations!B$6:C$293,2,FALSE),_xlfn.TEXTAFTER(VLOOKUP($F24,Declarations!B$6:C$293,2,FALSE)," "))))</f>
        <v/>
      </c>
      <c r="D24" s="122" t="str">
        <f>IF(ISNA(VLOOKUP($F24,Declarations!$B$6:$F$293,5,FALSE)),"",IF(VLOOKUP($F24,Declarations!$B$6:$F$293,5,FALSE)="","NOT DECLARED",VLOOKUP($F24,Declarations!$B$6:$F$293,5,FALSE)))</f>
        <v/>
      </c>
      <c r="E24" s="120" t="str">
        <f>IF(ISNA(VLOOKUP($F24,Declarations!$B$6:$D$293,3,FALSE)),"",IF(VLOOKUP($F24,Declarations!$B$6:$D$293,3,FALSE)="","NOT DECLARED",VLOOKUP($F24,Declarations!$B$6:$D$293,3,FALSE)&amp;LEFT(VLOOKUP($F24,Declarations!$B$6:$E$293,4,FALSE))))</f>
        <v/>
      </c>
      <c r="F24" s="59"/>
      <c r="G24" s="129"/>
      <c r="H24" s="129"/>
      <c r="I24" s="122" t="str">
        <f>IF(ISNA(VLOOKUP(F24,Declarations!B$6:C$293,2,FALSE)),"",IF(VLOOKUP(F24,Declarations!B$6:C$293,2,FALSE)="","NOT DECLARED",VLOOKUP(F24,Declarations!B$6:C$293,2,FALSE)))</f>
        <v/>
      </c>
      <c r="J24" s="120">
        <f>IF(LOWER(LEFT(G24,1))="n",1,VLOOKUP(G24,ScoringTable!D$2:I$95,6))</f>
        <v>0</v>
      </c>
      <c r="K24" s="120" t="str" cm="1">
        <f t="array" ref="K24">IF(OR(E24="",G24=""),"",_xlfn.IFS(E24="U10B",_xlfn.XLOOKUP(G24,Data!$D$5:$L$5,Data!$D$1:$L$1,"",-1,1),E24="U12B",_xlfn.XLOOKUP(G24,Data!$D$12:$L$12,Data!$D$1:$L$1,"",-1,1),E24="U10G",_xlfn.XLOOKUP(G24,Data!$D$18:$L$18,Data!$D$1:$L$1,"",-1,1),E24="U12G",_xlfn.XLOOKUP(G24,Data!$D$25:$L$25,Data!$D$1:$L$1,"",-1,1)))</f>
        <v/>
      </c>
      <c r="L24" s="184" t="str" cm="1">
        <f t="array" ref="L24">IFERROR(_xlfn.IFNA(
                      _xlfn.IFS(
                      G24="", "",
                      AND(E24="U10B",G24&gt;=Data!$M$5), "U10 Boys record",
                      AND(E24="U12B",G24&gt;=Data!$M$12), "U12 Boys record",
                      AND(E24="U10G",G24&gt;=Data!$M$18), "U10 Girls record",
                      AND(E24="U12G",G24&gt;=Data!$M$25), "U12 Girls record"
                       ),""), "")</f>
        <v/>
      </c>
      <c r="M24" s="19" cm="1">
        <f t="array" ref="M24">_xlfn.IFS($G24="",0, AND(NOT(ISNUMBER($G24)),LOWER(LEFT($G24,1))&lt;&gt;"n"),"Not a valid distance",OR(LOWER(LEFT($G24,1))="n",$G24&lt;ScoringTable!$O$161),1,RIGHT($E24,1)="B",_xlfn.XLOOKUP($G24,ScoringTable!$O$2:$O$161,ScoringTable!$L$2:$L$161,,-1),TRUE,_xlfn.XLOOKUP($G24,ScoringTable!$U$2:$U$161,ScoringTable!$R$2:$R$161,,-1))</f>
        <v>0</v>
      </c>
    </row>
    <row r="25" spans="1:13" s="7" customFormat="1" ht="16" customHeight="1">
      <c r="A25" s="121" t="s">
        <v>81</v>
      </c>
      <c r="B25" s="122" t="str">
        <f>IF(ISNA(VLOOKUP($F25,Declarations!B$6:C$293,2,FALSE)),"",IF(VLOOKUP($F25,Declarations!B$6:C$293,2,FALSE)="","NOT DECLARED",IF(ISNA(_xlfn.TEXTBEFORE(VLOOKUP($F25,Declarations!B$6:C$293,2,FALSE)," ")),VLOOKUP($F25,Declarations!B$6:C$293,2,FALSE),_xlfn.TEXTBEFORE(VLOOKUP($F25,Declarations!B$6:C$293,2,FALSE)," "))))</f>
        <v/>
      </c>
      <c r="C25" s="122" t="str">
        <f>IF(ISNA(VLOOKUP($F25,Declarations!B$6:C$293,2,FALSE)),"",IF(VLOOKUP($F25,Declarations!B$6:C$293,2,FALSE)="","NOT DECLARED",IF(ISNA(_xlfn.TEXTAFTER(VLOOKUP($F25,Declarations!B$6:C$293,2,FALSE)," ")),VLOOKUP($F25,Declarations!B$6:C$293,2,FALSE),_xlfn.TEXTAFTER(VLOOKUP($F25,Declarations!B$6:C$293,2,FALSE)," "))))</f>
        <v/>
      </c>
      <c r="D25" s="122" t="str">
        <f>IF(ISNA(VLOOKUP($F25,Declarations!$B$6:$F$293,5,FALSE)),"",IF(VLOOKUP($F25,Declarations!$B$6:$F$293,5,FALSE)="","NOT DECLARED",VLOOKUP($F25,Declarations!$B$6:$F$293,5,FALSE)))</f>
        <v/>
      </c>
      <c r="E25" s="120" t="str">
        <f>IF(ISNA(VLOOKUP($F25,Declarations!$B$6:$D$293,3,FALSE)),"",IF(VLOOKUP($F25,Declarations!$B$6:$D$293,3,FALSE)="","NOT DECLARED",VLOOKUP($F25,Declarations!$B$6:$D$293,3,FALSE)&amp;LEFT(VLOOKUP($F25,Declarations!$B$6:$E$293,4,FALSE))))</f>
        <v/>
      </c>
      <c r="F25" s="59"/>
      <c r="G25" s="129"/>
      <c r="H25" s="129"/>
      <c r="I25" s="122" t="str">
        <f>IF(ISNA(VLOOKUP(F25,Declarations!B$6:C$293,2,FALSE)),"",IF(VLOOKUP(F25,Declarations!B$6:C$293,2,FALSE)="","NOT DECLARED",VLOOKUP(F25,Declarations!B$6:C$293,2,FALSE)))</f>
        <v/>
      </c>
      <c r="J25" s="120">
        <f>IF(LOWER(LEFT(G25,1))="n",1,VLOOKUP(G25,ScoringTable!D$2:I$95,6))</f>
        <v>0</v>
      </c>
      <c r="K25" s="120" t="str" cm="1">
        <f t="array" ref="K25">IF(OR(E25="",G25=""),"",_xlfn.IFS(E25="U10B",_xlfn.XLOOKUP(G25,Data!$D$5:$L$5,Data!$D$1:$L$1,"",-1,1),E25="U12B",_xlfn.XLOOKUP(G25,Data!$D$12:$L$12,Data!$D$1:$L$1,"",-1,1),E25="U10G",_xlfn.XLOOKUP(G25,Data!$D$18:$L$18,Data!$D$1:$L$1,"",-1,1),E25="U12G",_xlfn.XLOOKUP(G25,Data!$D$25:$L$25,Data!$D$1:$L$1,"",-1,1)))</f>
        <v/>
      </c>
      <c r="L25" s="184" t="str" cm="1">
        <f t="array" ref="L25">IFERROR(_xlfn.IFNA(
                      _xlfn.IFS(
                      G25="", "",
                      AND(E25="U10B",G25&gt;=Data!$M$5), "U10 Boys record",
                      AND(E25="U12B",G25&gt;=Data!$M$12), "U12 Boys record",
                      AND(E25="U10G",G25&gt;=Data!$M$18), "U10 Girls record",
                      AND(E25="U12G",G25&gt;=Data!$M$25), "U12 Girls record"
                       ),""), "")</f>
        <v/>
      </c>
      <c r="M25" s="19" cm="1">
        <f t="array" ref="M25">_xlfn.IFS($G25="",0, AND(NOT(ISNUMBER($G25)),LOWER(LEFT($G25,1))&lt;&gt;"n"),"Not a valid distance",OR(LOWER(LEFT($G25,1))="n",$G25&lt;ScoringTable!$O$161),1,RIGHT($E25,1)="B",_xlfn.XLOOKUP($G25,ScoringTable!$O$2:$O$161,ScoringTable!$L$2:$L$161,,-1),TRUE,_xlfn.XLOOKUP($G25,ScoringTable!$U$2:$U$161,ScoringTable!$R$2:$R$161,,-1))</f>
        <v>0</v>
      </c>
    </row>
    <row r="26" spans="1:13" s="7" customFormat="1" ht="16" customHeight="1">
      <c r="A26" s="121" t="s">
        <v>81</v>
      </c>
      <c r="B26" s="122" t="str">
        <f>IF(ISNA(VLOOKUP($F26,Declarations!B$6:C$293,2,FALSE)),"",IF(VLOOKUP($F26,Declarations!B$6:C$293,2,FALSE)="","NOT DECLARED",IF(ISNA(_xlfn.TEXTBEFORE(VLOOKUP($F26,Declarations!B$6:C$293,2,FALSE)," ")),VLOOKUP($F26,Declarations!B$6:C$293,2,FALSE),_xlfn.TEXTBEFORE(VLOOKUP($F26,Declarations!B$6:C$293,2,FALSE)," "))))</f>
        <v/>
      </c>
      <c r="C26" s="122" t="str">
        <f>IF(ISNA(VLOOKUP($F26,Declarations!B$6:C$293,2,FALSE)),"",IF(VLOOKUP($F26,Declarations!B$6:C$293,2,FALSE)="","NOT DECLARED",IF(ISNA(_xlfn.TEXTAFTER(VLOOKUP($F26,Declarations!B$6:C$293,2,FALSE)," ")),VLOOKUP($F26,Declarations!B$6:C$293,2,FALSE),_xlfn.TEXTAFTER(VLOOKUP($F26,Declarations!B$6:C$293,2,FALSE)," "))))</f>
        <v/>
      </c>
      <c r="D26" s="122" t="str">
        <f>IF(ISNA(VLOOKUP($F26,Declarations!$B$6:$F$293,5,FALSE)),"",IF(VLOOKUP($F26,Declarations!$B$6:$F$293,5,FALSE)="","NOT DECLARED",VLOOKUP($F26,Declarations!$B$6:$F$293,5,FALSE)))</f>
        <v/>
      </c>
      <c r="E26" s="120" t="str">
        <f>IF(ISNA(VLOOKUP($F26,Declarations!$B$6:$D$293,3,FALSE)),"",IF(VLOOKUP($F26,Declarations!$B$6:$D$293,3,FALSE)="","NOT DECLARED",VLOOKUP($F26,Declarations!$B$6:$D$293,3,FALSE)&amp;LEFT(VLOOKUP($F26,Declarations!$B$6:$E$293,4,FALSE))))</f>
        <v/>
      </c>
      <c r="F26" s="59"/>
      <c r="G26" s="129"/>
      <c r="H26" s="129"/>
      <c r="I26" s="122" t="str">
        <f>IF(ISNA(VLOOKUP(F26,Declarations!B$6:C$293,2,FALSE)),"",IF(VLOOKUP(F26,Declarations!B$6:C$293,2,FALSE)="","NOT DECLARED",VLOOKUP(F26,Declarations!B$6:C$293,2,FALSE)))</f>
        <v/>
      </c>
      <c r="J26" s="120">
        <f>IF(LOWER(LEFT(G26,1))="n",1,VLOOKUP(G26,ScoringTable!D$2:I$95,6))</f>
        <v>0</v>
      </c>
      <c r="K26" s="120" t="str" cm="1">
        <f t="array" ref="K26">IF(OR(E26="",G26=""),"",_xlfn.IFS(E26="U10B",_xlfn.XLOOKUP(G26,Data!$D$5:$L$5,Data!$D$1:$L$1,"",-1,1),E26="U12B",_xlfn.XLOOKUP(G26,Data!$D$12:$L$12,Data!$D$1:$L$1,"",-1,1),E26="U10G",_xlfn.XLOOKUP(G26,Data!$D$18:$L$18,Data!$D$1:$L$1,"",-1,1),E26="U12G",_xlfn.XLOOKUP(G26,Data!$D$25:$L$25,Data!$D$1:$L$1,"",-1,1)))</f>
        <v/>
      </c>
      <c r="L26" s="184" t="str" cm="1">
        <f t="array" ref="L26">IFERROR(_xlfn.IFNA(
                      _xlfn.IFS(
                      G26="", "",
                      AND(E26="U10B",G26&gt;=Data!$M$5), "U10 Boys record",
                      AND(E26="U12B",G26&gt;=Data!$M$12), "U12 Boys record",
                      AND(E26="U10G",G26&gt;=Data!$M$18), "U10 Girls record",
                      AND(E26="U12G",G26&gt;=Data!$M$25), "U12 Girls record"
                       ),""), "")</f>
        <v/>
      </c>
      <c r="M26" s="19" cm="1">
        <f t="array" ref="M26">_xlfn.IFS($G26="",0, AND(NOT(ISNUMBER($G26)),LOWER(LEFT($G26,1))&lt;&gt;"n"),"Not a valid distance",OR(LOWER(LEFT($G26,1))="n",$G26&lt;ScoringTable!$O$161),1,RIGHT($E26,1)="B",_xlfn.XLOOKUP($G26,ScoringTable!$O$2:$O$161,ScoringTable!$L$2:$L$161,,-1),TRUE,_xlfn.XLOOKUP($G26,ScoringTable!$U$2:$U$161,ScoringTable!$R$2:$R$161,,-1))</f>
        <v>0</v>
      </c>
    </row>
    <row r="27" spans="1:13" s="7" customFormat="1" ht="16" customHeight="1">
      <c r="A27" s="121" t="s">
        <v>81</v>
      </c>
      <c r="B27" s="122" t="str">
        <f>IF(ISNA(VLOOKUP($F27,Declarations!B$6:C$293,2,FALSE)),"",IF(VLOOKUP($F27,Declarations!B$6:C$293,2,FALSE)="","NOT DECLARED",IF(ISNA(_xlfn.TEXTBEFORE(VLOOKUP($F27,Declarations!B$6:C$293,2,FALSE)," ")),VLOOKUP($F27,Declarations!B$6:C$293,2,FALSE),_xlfn.TEXTBEFORE(VLOOKUP($F27,Declarations!B$6:C$293,2,FALSE)," "))))</f>
        <v/>
      </c>
      <c r="C27" s="122" t="str">
        <f>IF(ISNA(VLOOKUP($F27,Declarations!B$6:C$293,2,FALSE)),"",IF(VLOOKUP($F27,Declarations!B$6:C$293,2,FALSE)="","NOT DECLARED",IF(ISNA(_xlfn.TEXTAFTER(VLOOKUP($F27,Declarations!B$6:C$293,2,FALSE)," ")),VLOOKUP($F27,Declarations!B$6:C$293,2,FALSE),_xlfn.TEXTAFTER(VLOOKUP($F27,Declarations!B$6:C$293,2,FALSE)," "))))</f>
        <v/>
      </c>
      <c r="D27" s="122" t="str">
        <f>IF(ISNA(VLOOKUP($F27,Declarations!$B$6:$F$293,5,FALSE)),"",IF(VLOOKUP($F27,Declarations!$B$6:$F$293,5,FALSE)="","NOT DECLARED",VLOOKUP($F27,Declarations!$B$6:$F$293,5,FALSE)))</f>
        <v/>
      </c>
      <c r="E27" s="120" t="str">
        <f>IF(ISNA(VLOOKUP($F27,Declarations!$B$6:$D$293,3,FALSE)),"",IF(VLOOKUP($F27,Declarations!$B$6:$D$293,3,FALSE)="","NOT DECLARED",VLOOKUP($F27,Declarations!$B$6:$D$293,3,FALSE)&amp;LEFT(VLOOKUP($F27,Declarations!$B$6:$E$293,4,FALSE))))</f>
        <v/>
      </c>
      <c r="F27" s="59"/>
      <c r="G27" s="129"/>
      <c r="H27" s="129"/>
      <c r="I27" s="122" t="str">
        <f>IF(ISNA(VLOOKUP(F27,Declarations!B$6:C$293,2,FALSE)),"",IF(VLOOKUP(F27,Declarations!B$6:C$293,2,FALSE)="","NOT DECLARED",VLOOKUP(F27,Declarations!B$6:C$293,2,FALSE)))</f>
        <v/>
      </c>
      <c r="J27" s="120">
        <f>IF(LOWER(LEFT(G27,1))="n",1,VLOOKUP(G27,ScoringTable!D$2:I$95,6))</f>
        <v>0</v>
      </c>
      <c r="K27" s="120" t="str" cm="1">
        <f t="array" ref="K27">IF(OR(E27="",G27=""),"",_xlfn.IFS(E27="U10B",_xlfn.XLOOKUP(G27,Data!$D$5:$L$5,Data!$D$1:$L$1,"",-1,1),E27="U12B",_xlfn.XLOOKUP(G27,Data!$D$12:$L$12,Data!$D$1:$L$1,"",-1,1),E27="U10G",_xlfn.XLOOKUP(G27,Data!$D$18:$L$18,Data!$D$1:$L$1,"",-1,1),E27="U12G",_xlfn.XLOOKUP(G27,Data!$D$25:$L$25,Data!$D$1:$L$1,"",-1,1)))</f>
        <v/>
      </c>
      <c r="L27" s="184" t="str" cm="1">
        <f t="array" ref="L27">IFERROR(_xlfn.IFNA(
                      _xlfn.IFS(
                      G27="", "",
                      AND(E27="U10B",G27&gt;=Data!$M$5), "U10 Boys record",
                      AND(E27="U12B",G27&gt;=Data!$M$12), "U12 Boys record",
                      AND(E27="U10G",G27&gt;=Data!$M$18), "U10 Girls record",
                      AND(E27="U12G",G27&gt;=Data!$M$25), "U12 Girls record"
                       ),""), "")</f>
        <v/>
      </c>
      <c r="M27" s="19" cm="1">
        <f t="array" ref="M27">_xlfn.IFS($G27="",0, AND(NOT(ISNUMBER($G27)),LOWER(LEFT($G27,1))&lt;&gt;"n"),"Not a valid distance",OR(LOWER(LEFT($G27,1))="n",$G27&lt;ScoringTable!$O$161),1,RIGHT($E27,1)="B",_xlfn.XLOOKUP($G27,ScoringTable!$O$2:$O$161,ScoringTable!$L$2:$L$161,,-1),TRUE,_xlfn.XLOOKUP($G27,ScoringTable!$U$2:$U$161,ScoringTable!$R$2:$R$161,,-1))</f>
        <v>0</v>
      </c>
    </row>
    <row r="28" spans="1:13" s="7" customFormat="1" ht="16" customHeight="1">
      <c r="A28" s="121" t="s">
        <v>81</v>
      </c>
      <c r="B28" s="122" t="str">
        <f>IF(ISNA(VLOOKUP($F28,Declarations!B$6:C$293,2,FALSE)),"",IF(VLOOKUP($F28,Declarations!B$6:C$293,2,FALSE)="","NOT DECLARED",IF(ISNA(_xlfn.TEXTBEFORE(VLOOKUP($F28,Declarations!B$6:C$293,2,FALSE)," ")),VLOOKUP($F28,Declarations!B$6:C$293,2,FALSE),_xlfn.TEXTBEFORE(VLOOKUP($F28,Declarations!B$6:C$293,2,FALSE)," "))))</f>
        <v/>
      </c>
      <c r="C28" s="122" t="str">
        <f>IF(ISNA(VLOOKUP($F28,Declarations!B$6:C$293,2,FALSE)),"",IF(VLOOKUP($F28,Declarations!B$6:C$293,2,FALSE)="","NOT DECLARED",IF(ISNA(_xlfn.TEXTAFTER(VLOOKUP($F28,Declarations!B$6:C$293,2,FALSE)," ")),VLOOKUP($F28,Declarations!B$6:C$293,2,FALSE),_xlfn.TEXTAFTER(VLOOKUP($F28,Declarations!B$6:C$293,2,FALSE)," "))))</f>
        <v/>
      </c>
      <c r="D28" s="122" t="str">
        <f>IF(ISNA(VLOOKUP($F28,Declarations!$B$6:$F$293,5,FALSE)),"",IF(VLOOKUP($F28,Declarations!$B$6:$F$293,5,FALSE)="","NOT DECLARED",VLOOKUP($F28,Declarations!$B$6:$F$293,5,FALSE)))</f>
        <v/>
      </c>
      <c r="E28" s="120" t="str">
        <f>IF(ISNA(VLOOKUP($F28,Declarations!$B$6:$D$293,3,FALSE)),"",IF(VLOOKUP($F28,Declarations!$B$6:$D$293,3,FALSE)="","NOT DECLARED",VLOOKUP($F28,Declarations!$B$6:$D$293,3,FALSE)&amp;LEFT(VLOOKUP($F28,Declarations!$B$6:$E$293,4,FALSE))))</f>
        <v/>
      </c>
      <c r="F28" s="59"/>
      <c r="G28" s="129"/>
      <c r="H28" s="129"/>
      <c r="I28" s="122" t="str">
        <f>IF(ISNA(VLOOKUP(F28,Declarations!B$6:C$293,2,FALSE)),"",IF(VLOOKUP(F28,Declarations!B$6:C$293,2,FALSE)="","NOT DECLARED",VLOOKUP(F28,Declarations!B$6:C$293,2,FALSE)))</f>
        <v/>
      </c>
      <c r="J28" s="120">
        <f>IF(LOWER(LEFT(G28,1))="n",1,VLOOKUP(G28,ScoringTable!D$2:I$95,6))</f>
        <v>0</v>
      </c>
      <c r="K28" s="120" t="str" cm="1">
        <f t="array" ref="K28">IF(OR(E28="",G28=""),"",_xlfn.IFS(E28="U10B",_xlfn.XLOOKUP(G28,Data!$D$5:$L$5,Data!$D$1:$L$1,"",-1,1),E28="U12B",_xlfn.XLOOKUP(G28,Data!$D$12:$L$12,Data!$D$1:$L$1,"",-1,1),E28="U10G",_xlfn.XLOOKUP(G28,Data!$D$18:$L$18,Data!$D$1:$L$1,"",-1,1),E28="U12G",_xlfn.XLOOKUP(G28,Data!$D$25:$L$25,Data!$D$1:$L$1,"",-1,1)))</f>
        <v/>
      </c>
      <c r="L28" s="184" t="str" cm="1">
        <f t="array" ref="L28">IFERROR(_xlfn.IFNA(
                      _xlfn.IFS(
                      G28="", "",
                      AND(E28="U10B",G28&gt;=Data!$M$5), "U10 Boys record",
                      AND(E28="U12B",G28&gt;=Data!$M$12), "U12 Boys record",
                      AND(E28="U10G",G28&gt;=Data!$M$18), "U10 Girls record",
                      AND(E28="U12G",G28&gt;=Data!$M$25), "U12 Girls record"
                       ),""), "")</f>
        <v/>
      </c>
      <c r="M28" s="19" cm="1">
        <f t="array" ref="M28">_xlfn.IFS($G28="",0, AND(NOT(ISNUMBER($G28)),LOWER(LEFT($G28,1))&lt;&gt;"n"),"Not a valid distance",OR(LOWER(LEFT($G28,1))="n",$G28&lt;ScoringTable!$O$161),1,RIGHT($E28,1)="B",_xlfn.XLOOKUP($G28,ScoringTable!$O$2:$O$161,ScoringTable!$L$2:$L$161,,-1),TRUE,_xlfn.XLOOKUP($G28,ScoringTable!$U$2:$U$161,ScoringTable!$R$2:$R$161,,-1))</f>
        <v>0</v>
      </c>
    </row>
    <row r="29" spans="1:13" s="7" customFormat="1" ht="16" customHeight="1">
      <c r="A29" s="121" t="s">
        <v>81</v>
      </c>
      <c r="B29" s="122" t="str">
        <f>IF(ISNA(VLOOKUP($F29,Declarations!B$6:C$293,2,FALSE)),"",IF(VLOOKUP($F29,Declarations!B$6:C$293,2,FALSE)="","NOT DECLARED",IF(ISNA(_xlfn.TEXTBEFORE(VLOOKUP($F29,Declarations!B$6:C$293,2,FALSE)," ")),VLOOKUP($F29,Declarations!B$6:C$293,2,FALSE),_xlfn.TEXTBEFORE(VLOOKUP($F29,Declarations!B$6:C$293,2,FALSE)," "))))</f>
        <v/>
      </c>
      <c r="C29" s="122" t="str">
        <f>IF(ISNA(VLOOKUP($F29,Declarations!B$6:C$293,2,FALSE)),"",IF(VLOOKUP($F29,Declarations!B$6:C$293,2,FALSE)="","NOT DECLARED",IF(ISNA(_xlfn.TEXTAFTER(VLOOKUP($F29,Declarations!B$6:C$293,2,FALSE)," ")),VLOOKUP($F29,Declarations!B$6:C$293,2,FALSE),_xlfn.TEXTAFTER(VLOOKUP($F29,Declarations!B$6:C$293,2,FALSE)," "))))</f>
        <v/>
      </c>
      <c r="D29" s="122" t="str">
        <f>IF(ISNA(VLOOKUP($F29,Declarations!$B$6:$F$293,5,FALSE)),"",IF(VLOOKUP($F29,Declarations!$B$6:$F$293,5,FALSE)="","NOT DECLARED",VLOOKUP($F29,Declarations!$B$6:$F$293,5,FALSE)))</f>
        <v/>
      </c>
      <c r="E29" s="120" t="str">
        <f>IF(ISNA(VLOOKUP($F29,Declarations!$B$6:$D$293,3,FALSE)),"",IF(VLOOKUP($F29,Declarations!$B$6:$D$293,3,FALSE)="","NOT DECLARED",VLOOKUP($F29,Declarations!$B$6:$D$293,3,FALSE)&amp;LEFT(VLOOKUP($F29,Declarations!$B$6:$E$293,4,FALSE))))</f>
        <v/>
      </c>
      <c r="F29" s="59"/>
      <c r="G29" s="129"/>
      <c r="H29" s="129"/>
      <c r="I29" s="122" t="str">
        <f>IF(ISNA(VLOOKUP(F29,Declarations!B$6:C$293,2,FALSE)),"",IF(VLOOKUP(F29,Declarations!B$6:C$293,2,FALSE)="","NOT DECLARED",VLOOKUP(F29,Declarations!B$6:C$293,2,FALSE)))</f>
        <v/>
      </c>
      <c r="J29" s="120">
        <f>IF(LOWER(LEFT(G29,1))="n",1,VLOOKUP(G29,ScoringTable!D$2:I$95,6))</f>
        <v>0</v>
      </c>
      <c r="K29" s="120" t="str" cm="1">
        <f t="array" ref="K29">IF(OR(E29="",G29=""),"",_xlfn.IFS(E29="U10B",_xlfn.XLOOKUP(G29,Data!$D$5:$L$5,Data!$D$1:$L$1,"",-1,1),E29="U12B",_xlfn.XLOOKUP(G29,Data!$D$12:$L$12,Data!$D$1:$L$1,"",-1,1),E29="U10G",_xlfn.XLOOKUP(G29,Data!$D$18:$L$18,Data!$D$1:$L$1,"",-1,1),E29="U12G",_xlfn.XLOOKUP(G29,Data!$D$25:$L$25,Data!$D$1:$L$1,"",-1,1)))</f>
        <v/>
      </c>
      <c r="L29" s="184" t="str" cm="1">
        <f t="array" ref="L29">IFERROR(_xlfn.IFNA(
                      _xlfn.IFS(
                      G29="", "",
                      AND(E29="U10B",G29&gt;=Data!$M$5), "U10 Boys record",
                      AND(E29="U12B",G29&gt;=Data!$M$12), "U12 Boys record",
                      AND(E29="U10G",G29&gt;=Data!$M$18), "U10 Girls record",
                      AND(E29="U12G",G29&gt;=Data!$M$25), "U12 Girls record"
                       ),""), "")</f>
        <v/>
      </c>
      <c r="M29" s="19" cm="1">
        <f t="array" ref="M29">_xlfn.IFS($G29="",0, AND(NOT(ISNUMBER($G29)),LOWER(LEFT($G29,1))&lt;&gt;"n"),"Not a valid distance",OR(LOWER(LEFT($G29,1))="n",$G29&lt;ScoringTable!$O$161),1,RIGHT($E29,1)="B",_xlfn.XLOOKUP($G29,ScoringTable!$O$2:$O$161,ScoringTable!$L$2:$L$161,,-1),TRUE,_xlfn.XLOOKUP($G29,ScoringTable!$U$2:$U$161,ScoringTable!$R$2:$R$161,,-1))</f>
        <v>0</v>
      </c>
    </row>
    <row r="30" spans="1:13" s="7" customFormat="1" ht="16" customHeight="1">
      <c r="A30" s="121" t="s">
        <v>81</v>
      </c>
      <c r="B30" s="122" t="str">
        <f>IF(ISNA(VLOOKUP($F30,Declarations!B$6:C$293,2,FALSE)),"",IF(VLOOKUP($F30,Declarations!B$6:C$293,2,FALSE)="","NOT DECLARED",IF(ISNA(_xlfn.TEXTBEFORE(VLOOKUP($F30,Declarations!B$6:C$293,2,FALSE)," ")),VLOOKUP($F30,Declarations!B$6:C$293,2,FALSE),_xlfn.TEXTBEFORE(VLOOKUP($F30,Declarations!B$6:C$293,2,FALSE)," "))))</f>
        <v/>
      </c>
      <c r="C30" s="122" t="str">
        <f>IF(ISNA(VLOOKUP($F30,Declarations!B$6:C$293,2,FALSE)),"",IF(VLOOKUP($F30,Declarations!B$6:C$293,2,FALSE)="","NOT DECLARED",IF(ISNA(_xlfn.TEXTAFTER(VLOOKUP($F30,Declarations!B$6:C$293,2,FALSE)," ")),VLOOKUP($F30,Declarations!B$6:C$293,2,FALSE),_xlfn.TEXTAFTER(VLOOKUP($F30,Declarations!B$6:C$293,2,FALSE)," "))))</f>
        <v/>
      </c>
      <c r="D30" s="122" t="str">
        <f>IF(ISNA(VLOOKUP($F30,Declarations!$B$6:$F$293,5,FALSE)),"",IF(VLOOKUP($F30,Declarations!$B$6:$F$293,5,FALSE)="","NOT DECLARED",VLOOKUP($F30,Declarations!$B$6:$F$293,5,FALSE)))</f>
        <v/>
      </c>
      <c r="E30" s="120" t="str">
        <f>IF(ISNA(VLOOKUP($F30,Declarations!$B$6:$D$293,3,FALSE)),"",IF(VLOOKUP($F30,Declarations!$B$6:$D$293,3,FALSE)="","NOT DECLARED",VLOOKUP($F30,Declarations!$B$6:$D$293,3,FALSE)&amp;LEFT(VLOOKUP($F30,Declarations!$B$6:$E$293,4,FALSE))))</f>
        <v/>
      </c>
      <c r="F30" s="59"/>
      <c r="G30" s="129"/>
      <c r="H30" s="129"/>
      <c r="I30" s="122" t="str">
        <f>IF(ISNA(VLOOKUP(F30,Declarations!B$6:C$293,2,FALSE)),"",IF(VLOOKUP(F30,Declarations!B$6:C$293,2,FALSE)="","NOT DECLARED",VLOOKUP(F30,Declarations!B$6:C$293,2,FALSE)))</f>
        <v/>
      </c>
      <c r="J30" s="120">
        <f>IF(LOWER(LEFT(G30,1))="n",1,VLOOKUP(G30,ScoringTable!D$2:I$95,6))</f>
        <v>0</v>
      </c>
      <c r="K30" s="120" t="str" cm="1">
        <f t="array" ref="K30">IF(OR(E30="",G30=""),"",_xlfn.IFS(E30="U10B",_xlfn.XLOOKUP(G30,Data!$D$5:$L$5,Data!$D$1:$L$1,"",-1,1),E30="U12B",_xlfn.XLOOKUP(G30,Data!$D$12:$L$12,Data!$D$1:$L$1,"",-1,1),E30="U10G",_xlfn.XLOOKUP(G30,Data!$D$18:$L$18,Data!$D$1:$L$1,"",-1,1),E30="U12G",_xlfn.XLOOKUP(G30,Data!$D$25:$L$25,Data!$D$1:$L$1,"",-1,1)))</f>
        <v/>
      </c>
      <c r="L30" s="184" t="str" cm="1">
        <f t="array" ref="L30">IFERROR(_xlfn.IFNA(
                      _xlfn.IFS(
                      G30="", "",
                      AND(E30="U10B",G30&gt;=Data!$M$5), "U10 Boys record",
                      AND(E30="U12B",G30&gt;=Data!$M$12), "U12 Boys record",
                      AND(E30="U10G",G30&gt;=Data!$M$18), "U10 Girls record",
                      AND(E30="U12G",G30&gt;=Data!$M$25), "U12 Girls record"
                       ),""), "")</f>
        <v/>
      </c>
      <c r="M30" s="19" cm="1">
        <f t="array" ref="M30">_xlfn.IFS($G30="",0, AND(NOT(ISNUMBER($G30)),LOWER(LEFT($G30,1))&lt;&gt;"n"),"Not a valid distance",OR(LOWER(LEFT($G30,1))="n",$G30&lt;ScoringTable!$O$161),1,RIGHT($E30,1)="B",_xlfn.XLOOKUP($G30,ScoringTable!$O$2:$O$161,ScoringTable!$L$2:$L$161,,-1),TRUE,_xlfn.XLOOKUP($G30,ScoringTable!$U$2:$U$161,ScoringTable!$R$2:$R$161,,-1))</f>
        <v>0</v>
      </c>
    </row>
    <row r="31" spans="1:13" s="7" customFormat="1" ht="16" customHeight="1">
      <c r="A31" s="121" t="s">
        <v>81</v>
      </c>
      <c r="B31" s="122" t="str">
        <f>IF(ISNA(VLOOKUP($F31,Declarations!B$6:C$293,2,FALSE)),"",IF(VLOOKUP($F31,Declarations!B$6:C$293,2,FALSE)="","NOT DECLARED",IF(ISNA(_xlfn.TEXTBEFORE(VLOOKUP($F31,Declarations!B$6:C$293,2,FALSE)," ")),VLOOKUP($F31,Declarations!B$6:C$293,2,FALSE),_xlfn.TEXTBEFORE(VLOOKUP($F31,Declarations!B$6:C$293,2,FALSE)," "))))</f>
        <v/>
      </c>
      <c r="C31" s="122" t="str">
        <f>IF(ISNA(VLOOKUP($F31,Declarations!B$6:C$293,2,FALSE)),"",IF(VLOOKUP($F31,Declarations!B$6:C$293,2,FALSE)="","NOT DECLARED",IF(ISNA(_xlfn.TEXTAFTER(VLOOKUP($F31,Declarations!B$6:C$293,2,FALSE)," ")),VLOOKUP($F31,Declarations!B$6:C$293,2,FALSE),_xlfn.TEXTAFTER(VLOOKUP($F31,Declarations!B$6:C$293,2,FALSE)," "))))</f>
        <v/>
      </c>
      <c r="D31" s="122" t="str">
        <f>IF(ISNA(VLOOKUP($F31,Declarations!$B$6:$F$293,5,FALSE)),"",IF(VLOOKUP($F31,Declarations!$B$6:$F$293,5,FALSE)="","NOT DECLARED",VLOOKUP($F31,Declarations!$B$6:$F$293,5,FALSE)))</f>
        <v/>
      </c>
      <c r="E31" s="120" t="str">
        <f>IF(ISNA(VLOOKUP($F31,Declarations!$B$6:$D$293,3,FALSE)),"",IF(VLOOKUP($F31,Declarations!$B$6:$D$293,3,FALSE)="","NOT DECLARED",VLOOKUP($F31,Declarations!$B$6:$D$293,3,FALSE)&amp;LEFT(VLOOKUP($F31,Declarations!$B$6:$E$293,4,FALSE))))</f>
        <v/>
      </c>
      <c r="F31" s="59"/>
      <c r="G31" s="129"/>
      <c r="H31" s="129"/>
      <c r="I31" s="122" t="str">
        <f>IF(ISNA(VLOOKUP(F31,Declarations!B$6:C$293,2,FALSE)),"",IF(VLOOKUP(F31,Declarations!B$6:C$293,2,FALSE)="","NOT DECLARED",VLOOKUP(F31,Declarations!B$6:C$293,2,FALSE)))</f>
        <v/>
      </c>
      <c r="J31" s="120">
        <f>IF(LOWER(LEFT(G31,1))="n",1,VLOOKUP(G31,ScoringTable!D$2:I$95,6))</f>
        <v>0</v>
      </c>
      <c r="K31" s="120" t="str" cm="1">
        <f t="array" ref="K31">IF(OR(E31="",G31=""),"",_xlfn.IFS(E31="U10B",_xlfn.XLOOKUP(G31,Data!$D$5:$L$5,Data!$D$1:$L$1,"",-1,1),E31="U12B",_xlfn.XLOOKUP(G31,Data!$D$12:$L$12,Data!$D$1:$L$1,"",-1,1),E31="U10G",_xlfn.XLOOKUP(G31,Data!$D$18:$L$18,Data!$D$1:$L$1,"",-1,1),E31="U12G",_xlfn.XLOOKUP(G31,Data!$D$25:$L$25,Data!$D$1:$L$1,"",-1,1)))</f>
        <v/>
      </c>
      <c r="L31" s="184" t="str" cm="1">
        <f t="array" ref="L31">IFERROR(_xlfn.IFNA(
                      _xlfn.IFS(
                      G31="", "",
                      AND(E31="U10B",G31&gt;=Data!$M$5), "U10 Boys record",
                      AND(E31="U12B",G31&gt;=Data!$M$12), "U12 Boys record",
                      AND(E31="U10G",G31&gt;=Data!$M$18), "U10 Girls record",
                      AND(E31="U12G",G31&gt;=Data!$M$25), "U12 Girls record"
                       ),""), "")</f>
        <v/>
      </c>
      <c r="M31" s="19" cm="1">
        <f t="array" ref="M31">_xlfn.IFS($G31="",0, AND(NOT(ISNUMBER($G31)),LOWER(LEFT($G31,1))&lt;&gt;"n"),"Not a valid distance",OR(LOWER(LEFT($G31,1))="n",$G31&lt;ScoringTable!$O$161),1,RIGHT($E31,1)="B",_xlfn.XLOOKUP($G31,ScoringTable!$O$2:$O$161,ScoringTable!$L$2:$L$161,,-1),TRUE,_xlfn.XLOOKUP($G31,ScoringTable!$U$2:$U$161,ScoringTable!$R$2:$R$161,,-1))</f>
        <v>0</v>
      </c>
    </row>
    <row r="32" spans="1:13" s="7" customFormat="1" ht="16" customHeight="1">
      <c r="A32" s="121" t="s">
        <v>81</v>
      </c>
      <c r="B32" s="122" t="str">
        <f>IF(ISNA(VLOOKUP($F32,Declarations!B$6:C$293,2,FALSE)),"",IF(VLOOKUP($F32,Declarations!B$6:C$293,2,FALSE)="","NOT DECLARED",IF(ISNA(_xlfn.TEXTBEFORE(VLOOKUP($F32,Declarations!B$6:C$293,2,FALSE)," ")),VLOOKUP($F32,Declarations!B$6:C$293,2,FALSE),_xlfn.TEXTBEFORE(VLOOKUP($F32,Declarations!B$6:C$293,2,FALSE)," "))))</f>
        <v/>
      </c>
      <c r="C32" s="122" t="str">
        <f>IF(ISNA(VLOOKUP($F32,Declarations!B$6:C$293,2,FALSE)),"",IF(VLOOKUP($F32,Declarations!B$6:C$293,2,FALSE)="","NOT DECLARED",IF(ISNA(_xlfn.TEXTAFTER(VLOOKUP($F32,Declarations!B$6:C$293,2,FALSE)," ")),VLOOKUP($F32,Declarations!B$6:C$293,2,FALSE),_xlfn.TEXTAFTER(VLOOKUP($F32,Declarations!B$6:C$293,2,FALSE)," "))))</f>
        <v/>
      </c>
      <c r="D32" s="122" t="str">
        <f>IF(ISNA(VLOOKUP($F32,Declarations!$B$6:$F$293,5,FALSE)),"",IF(VLOOKUP($F32,Declarations!$B$6:$F$293,5,FALSE)="","NOT DECLARED",VLOOKUP($F32,Declarations!$B$6:$F$293,5,FALSE)))</f>
        <v/>
      </c>
      <c r="E32" s="120" t="str">
        <f>IF(ISNA(VLOOKUP($F32,Declarations!$B$6:$D$293,3,FALSE)),"",IF(VLOOKUP($F32,Declarations!$B$6:$D$293,3,FALSE)="","NOT DECLARED",VLOOKUP($F32,Declarations!$B$6:$D$293,3,FALSE)&amp;LEFT(VLOOKUP($F32,Declarations!$B$6:$E$293,4,FALSE))))</f>
        <v/>
      </c>
      <c r="F32" s="59"/>
      <c r="G32" s="129"/>
      <c r="H32" s="129"/>
      <c r="I32" s="122" t="str">
        <f>IF(ISNA(VLOOKUP(F32,Declarations!B$6:C$293,2,FALSE)),"",IF(VLOOKUP(F32,Declarations!B$6:C$293,2,FALSE)="","NOT DECLARED",VLOOKUP(F32,Declarations!B$6:C$293,2,FALSE)))</f>
        <v/>
      </c>
      <c r="J32" s="120">
        <f>IF(LOWER(LEFT(G32,1))="n",1,VLOOKUP(G32,ScoringTable!D$2:I$95,6))</f>
        <v>0</v>
      </c>
      <c r="K32" s="120" t="str" cm="1">
        <f t="array" ref="K32">IF(OR(E32="",G32=""),"",_xlfn.IFS(E32="U10B",_xlfn.XLOOKUP(G32,Data!$D$5:$L$5,Data!$D$1:$L$1,"",-1,1),E32="U12B",_xlfn.XLOOKUP(G32,Data!$D$12:$L$12,Data!$D$1:$L$1,"",-1,1),E32="U10G",_xlfn.XLOOKUP(G32,Data!$D$18:$L$18,Data!$D$1:$L$1,"",-1,1),E32="U12G",_xlfn.XLOOKUP(G32,Data!$D$25:$L$25,Data!$D$1:$L$1,"",-1,1)))</f>
        <v/>
      </c>
      <c r="L32" s="184" t="str" cm="1">
        <f t="array" ref="L32">IFERROR(_xlfn.IFNA(
                      _xlfn.IFS(
                      G32="", "",
                      AND(E32="U10B",G32&gt;=Data!$M$5), "U10 Boys record",
                      AND(E32="U12B",G32&gt;=Data!$M$12), "U12 Boys record",
                      AND(E32="U10G",G32&gt;=Data!$M$18), "U10 Girls record",
                      AND(E32="U12G",G32&gt;=Data!$M$25), "U12 Girls record"
                       ),""), "")</f>
        <v/>
      </c>
      <c r="M32" s="19" cm="1">
        <f t="array" ref="M32">_xlfn.IFS($G32="",0, AND(NOT(ISNUMBER($G32)),LOWER(LEFT($G32,1))&lt;&gt;"n"),"Not a valid distance",OR(LOWER(LEFT($G32,1))="n",$G32&lt;ScoringTable!$O$161),1,RIGHT($E32,1)="B",_xlfn.XLOOKUP($G32,ScoringTable!$O$2:$O$161,ScoringTable!$L$2:$L$161,,-1),TRUE,_xlfn.XLOOKUP($G32,ScoringTable!$U$2:$U$161,ScoringTable!$R$2:$R$161,,-1))</f>
        <v>0</v>
      </c>
    </row>
    <row r="33" spans="1:13" s="7" customFormat="1" ht="16" customHeight="1">
      <c r="A33" s="121" t="s">
        <v>81</v>
      </c>
      <c r="B33" s="122" t="str">
        <f>IF(ISNA(VLOOKUP($F33,Declarations!B$6:C$293,2,FALSE)),"",IF(VLOOKUP($F33,Declarations!B$6:C$293,2,FALSE)="","NOT DECLARED",IF(ISNA(_xlfn.TEXTBEFORE(VLOOKUP($F33,Declarations!B$6:C$293,2,FALSE)," ")),VLOOKUP($F33,Declarations!B$6:C$293,2,FALSE),_xlfn.TEXTBEFORE(VLOOKUP($F33,Declarations!B$6:C$293,2,FALSE)," "))))</f>
        <v/>
      </c>
      <c r="C33" s="122" t="str">
        <f>IF(ISNA(VLOOKUP($F33,Declarations!B$6:C$293,2,FALSE)),"",IF(VLOOKUP($F33,Declarations!B$6:C$293,2,FALSE)="","NOT DECLARED",IF(ISNA(_xlfn.TEXTAFTER(VLOOKUP($F33,Declarations!B$6:C$293,2,FALSE)," ")),VLOOKUP($F33,Declarations!B$6:C$293,2,FALSE),_xlfn.TEXTAFTER(VLOOKUP($F33,Declarations!B$6:C$293,2,FALSE)," "))))</f>
        <v/>
      </c>
      <c r="D33" s="122" t="str">
        <f>IF(ISNA(VLOOKUP($F33,Declarations!$B$6:$F$293,5,FALSE)),"",IF(VLOOKUP($F33,Declarations!$B$6:$F$293,5,FALSE)="","NOT DECLARED",VLOOKUP($F33,Declarations!$B$6:$F$293,5,FALSE)))</f>
        <v/>
      </c>
      <c r="E33" s="120" t="str">
        <f>IF(ISNA(VLOOKUP($F33,Declarations!$B$6:$D$293,3,FALSE)),"",IF(VLOOKUP($F33,Declarations!$B$6:$D$293,3,FALSE)="","NOT DECLARED",VLOOKUP($F33,Declarations!$B$6:$D$293,3,FALSE)&amp;LEFT(VLOOKUP($F33,Declarations!$B$6:$E$293,4,FALSE))))</f>
        <v/>
      </c>
      <c r="F33" s="59"/>
      <c r="G33" s="129"/>
      <c r="H33" s="129"/>
      <c r="I33" s="122" t="str">
        <f>IF(ISNA(VLOOKUP(F33,Declarations!B$6:C$293,2,FALSE)),"",IF(VLOOKUP(F33,Declarations!B$6:C$293,2,FALSE)="","NOT DECLARED",VLOOKUP(F33,Declarations!B$6:C$293,2,FALSE)))</f>
        <v/>
      </c>
      <c r="J33" s="120">
        <f>IF(LOWER(LEFT(G33,1))="n",1,VLOOKUP(G33,ScoringTable!D$2:I$95,6))</f>
        <v>0</v>
      </c>
      <c r="K33" s="120" t="str" cm="1">
        <f t="array" ref="K33">IF(OR(E33="",G33=""),"",_xlfn.IFS(E33="U10B",_xlfn.XLOOKUP(G33,Data!$D$5:$L$5,Data!$D$1:$L$1,"",-1,1),E33="U12B",_xlfn.XLOOKUP(G33,Data!$D$12:$L$12,Data!$D$1:$L$1,"",-1,1),E33="U10G",_xlfn.XLOOKUP(G33,Data!$D$18:$L$18,Data!$D$1:$L$1,"",-1,1),E33="U12G",_xlfn.XLOOKUP(G33,Data!$D$25:$L$25,Data!$D$1:$L$1,"",-1,1)))</f>
        <v/>
      </c>
      <c r="L33" s="184" t="str" cm="1">
        <f t="array" ref="L33">IFERROR(_xlfn.IFNA(
                      _xlfn.IFS(
                      G33="", "",
                      AND(E33="U10B",G33&gt;=Data!$M$5), "U10 Boys record",
                      AND(E33="U12B",G33&gt;=Data!$M$12), "U12 Boys record",
                      AND(E33="U10G",G33&gt;=Data!$M$18), "U10 Girls record",
                      AND(E33="U12G",G33&gt;=Data!$M$25), "U12 Girls record"
                       ),""), "")</f>
        <v/>
      </c>
      <c r="M33" s="19" cm="1">
        <f t="array" ref="M33">_xlfn.IFS($G33="",0, AND(NOT(ISNUMBER($G33)),LOWER(LEFT($G33,1))&lt;&gt;"n"),"Not a valid distance",OR(LOWER(LEFT($G33,1))="n",$G33&lt;ScoringTable!$O$161),1,RIGHT($E33,1)="B",_xlfn.XLOOKUP($G33,ScoringTable!$O$2:$O$161,ScoringTable!$L$2:$L$161,,-1),TRUE,_xlfn.XLOOKUP($G33,ScoringTable!$U$2:$U$161,ScoringTable!$R$2:$R$161,,-1))</f>
        <v>0</v>
      </c>
    </row>
    <row r="34" spans="1:13" s="7" customFormat="1" ht="16" customHeight="1">
      <c r="A34" s="121" t="s">
        <v>81</v>
      </c>
      <c r="B34" s="122" t="str">
        <f>IF(ISNA(VLOOKUP($F34,Declarations!B$6:C$293,2,FALSE)),"",IF(VLOOKUP($F34,Declarations!B$6:C$293,2,FALSE)="","NOT DECLARED",IF(ISNA(_xlfn.TEXTBEFORE(VLOOKUP($F34,Declarations!B$6:C$293,2,FALSE)," ")),VLOOKUP($F34,Declarations!B$6:C$293,2,FALSE),_xlfn.TEXTBEFORE(VLOOKUP($F34,Declarations!B$6:C$293,2,FALSE)," "))))</f>
        <v/>
      </c>
      <c r="C34" s="122" t="str">
        <f>IF(ISNA(VLOOKUP($F34,Declarations!B$6:C$293,2,FALSE)),"",IF(VLOOKUP($F34,Declarations!B$6:C$293,2,FALSE)="","NOT DECLARED",IF(ISNA(_xlfn.TEXTAFTER(VLOOKUP($F34,Declarations!B$6:C$293,2,FALSE)," ")),VLOOKUP($F34,Declarations!B$6:C$293,2,FALSE),_xlfn.TEXTAFTER(VLOOKUP($F34,Declarations!B$6:C$293,2,FALSE)," "))))</f>
        <v/>
      </c>
      <c r="D34" s="122" t="str">
        <f>IF(ISNA(VLOOKUP($F34,Declarations!$B$6:$F$293,5,FALSE)),"",IF(VLOOKUP($F34,Declarations!$B$6:$F$293,5,FALSE)="","NOT DECLARED",VLOOKUP($F34,Declarations!$B$6:$F$293,5,FALSE)))</f>
        <v/>
      </c>
      <c r="E34" s="120" t="str">
        <f>IF(ISNA(VLOOKUP($F34,Declarations!$B$6:$D$293,3,FALSE)),"",IF(VLOOKUP($F34,Declarations!$B$6:$D$293,3,FALSE)="","NOT DECLARED",VLOOKUP($F34,Declarations!$B$6:$D$293,3,FALSE)&amp;LEFT(VLOOKUP($F34,Declarations!$B$6:$E$293,4,FALSE))))</f>
        <v/>
      </c>
      <c r="F34" s="59"/>
      <c r="G34" s="129"/>
      <c r="H34" s="129"/>
      <c r="I34" s="122" t="str">
        <f>IF(ISNA(VLOOKUP(F34,Declarations!B$6:C$293,2,FALSE)),"",IF(VLOOKUP(F34,Declarations!B$6:C$293,2,FALSE)="","NOT DECLARED",VLOOKUP(F34,Declarations!B$6:C$293,2,FALSE)))</f>
        <v/>
      </c>
      <c r="J34" s="120">
        <f>IF(LOWER(LEFT(G34,1))="n",1,VLOOKUP(G34,ScoringTable!D$2:I$95,6))</f>
        <v>0</v>
      </c>
      <c r="K34" s="120" t="str" cm="1">
        <f t="array" ref="K34">IF(OR(E34="",G34=""),"",_xlfn.IFS(E34="U10B",_xlfn.XLOOKUP(G34,Data!$D$5:$L$5,Data!$D$1:$L$1,"",-1,1),E34="U12B",_xlfn.XLOOKUP(G34,Data!$D$12:$L$12,Data!$D$1:$L$1,"",-1,1),E34="U10G",_xlfn.XLOOKUP(G34,Data!$D$18:$L$18,Data!$D$1:$L$1,"",-1,1),E34="U12G",_xlfn.XLOOKUP(G34,Data!$D$25:$L$25,Data!$D$1:$L$1,"",-1,1)))</f>
        <v/>
      </c>
      <c r="L34" s="184" t="str" cm="1">
        <f t="array" ref="L34">IFERROR(_xlfn.IFNA(
                      _xlfn.IFS(
                      G34="", "",
                      AND(E34="U10B",G34&gt;=Data!$M$5), "U10 Boys record",
                      AND(E34="U12B",G34&gt;=Data!$M$12), "U12 Boys record",
                      AND(E34="U10G",G34&gt;=Data!$M$18), "U10 Girls record",
                      AND(E34="U12G",G34&gt;=Data!$M$25), "U12 Girls record"
                       ),""), "")</f>
        <v/>
      </c>
      <c r="M34" s="19" cm="1">
        <f t="array" ref="M34">_xlfn.IFS($G34="",0, AND(NOT(ISNUMBER($G34)),LOWER(LEFT($G34,1))&lt;&gt;"n"),"Not a valid distance",OR(LOWER(LEFT($G34,1))="n",$G34&lt;ScoringTable!$O$161),1,RIGHT($E34,1)="B",_xlfn.XLOOKUP($G34,ScoringTable!$O$2:$O$161,ScoringTable!$L$2:$L$161,,-1),TRUE,_xlfn.XLOOKUP($G34,ScoringTable!$U$2:$U$161,ScoringTable!$R$2:$R$161,,-1))</f>
        <v>0</v>
      </c>
    </row>
    <row r="35" spans="1:13" s="7" customFormat="1" ht="16" customHeight="1">
      <c r="A35" s="121" t="s">
        <v>81</v>
      </c>
      <c r="B35" s="122" t="str">
        <f>IF(ISNA(VLOOKUP($F35,Declarations!B$6:C$293,2,FALSE)),"",IF(VLOOKUP($F35,Declarations!B$6:C$293,2,FALSE)="","NOT DECLARED",IF(ISNA(_xlfn.TEXTBEFORE(VLOOKUP($F35,Declarations!B$6:C$293,2,FALSE)," ")),VLOOKUP($F35,Declarations!B$6:C$293,2,FALSE),_xlfn.TEXTBEFORE(VLOOKUP($F35,Declarations!B$6:C$293,2,FALSE)," "))))</f>
        <v/>
      </c>
      <c r="C35" s="122" t="str">
        <f>IF(ISNA(VLOOKUP($F35,Declarations!B$6:C$293,2,FALSE)),"",IF(VLOOKUP($F35,Declarations!B$6:C$293,2,FALSE)="","NOT DECLARED",IF(ISNA(_xlfn.TEXTAFTER(VLOOKUP($F35,Declarations!B$6:C$293,2,FALSE)," ")),VLOOKUP($F35,Declarations!B$6:C$293,2,FALSE),_xlfn.TEXTAFTER(VLOOKUP($F35,Declarations!B$6:C$293,2,FALSE)," "))))</f>
        <v/>
      </c>
      <c r="D35" s="122" t="str">
        <f>IF(ISNA(VLOOKUP($F35,Declarations!$B$6:$F$293,5,FALSE)),"",IF(VLOOKUP($F35,Declarations!$B$6:$F$293,5,FALSE)="","NOT DECLARED",VLOOKUP($F35,Declarations!$B$6:$F$293,5,FALSE)))</f>
        <v/>
      </c>
      <c r="E35" s="120" t="str">
        <f>IF(ISNA(VLOOKUP($F35,Declarations!$B$6:$D$293,3,FALSE)),"",IF(VLOOKUP($F35,Declarations!$B$6:$D$293,3,FALSE)="","NOT DECLARED",VLOOKUP($F35,Declarations!$B$6:$D$293,3,FALSE)&amp;LEFT(VLOOKUP($F35,Declarations!$B$6:$E$293,4,FALSE))))</f>
        <v/>
      </c>
      <c r="F35" s="59"/>
      <c r="G35" s="129"/>
      <c r="H35" s="129"/>
      <c r="I35" s="122" t="str">
        <f>IF(ISNA(VLOOKUP(F35,Declarations!B$6:C$293,2,FALSE)),"",IF(VLOOKUP(F35,Declarations!B$6:C$293,2,FALSE)="","NOT DECLARED",VLOOKUP(F35,Declarations!B$6:C$293,2,FALSE)))</f>
        <v/>
      </c>
      <c r="J35" s="120">
        <f>IF(LOWER(LEFT(G35,1))="n",1,VLOOKUP(G35,ScoringTable!D$2:I$95,6))</f>
        <v>0</v>
      </c>
      <c r="K35" s="120" t="str" cm="1">
        <f t="array" ref="K35">IF(OR(E35="",G35=""),"",_xlfn.IFS(E35="U10B",_xlfn.XLOOKUP(G35,Data!$D$5:$L$5,Data!$D$1:$L$1,"",-1,1),E35="U12B",_xlfn.XLOOKUP(G35,Data!$D$12:$L$12,Data!$D$1:$L$1,"",-1,1),E35="U10G",_xlfn.XLOOKUP(G35,Data!$D$18:$L$18,Data!$D$1:$L$1,"",-1,1),E35="U12G",_xlfn.XLOOKUP(G35,Data!$D$25:$L$25,Data!$D$1:$L$1,"",-1,1)))</f>
        <v/>
      </c>
      <c r="L35" s="184" t="str" cm="1">
        <f t="array" ref="L35">IFERROR(_xlfn.IFNA(
                      _xlfn.IFS(
                      G35="", "",
                      AND(E35="U10B",G35&gt;=Data!$M$5), "U10 Boys record",
                      AND(E35="U12B",G35&gt;=Data!$M$12), "U12 Boys record",
                      AND(E35="U10G",G35&gt;=Data!$M$18), "U10 Girls record",
                      AND(E35="U12G",G35&gt;=Data!$M$25), "U12 Girls record"
                       ),""), "")</f>
        <v/>
      </c>
      <c r="M35" s="19" cm="1">
        <f t="array" ref="M35">_xlfn.IFS($G35="",0, AND(NOT(ISNUMBER($G35)),LOWER(LEFT($G35,1))&lt;&gt;"n"),"Not a valid distance",OR(LOWER(LEFT($G35,1))="n",$G35&lt;ScoringTable!$O$161),1,RIGHT($E35,1)="B",_xlfn.XLOOKUP($G35,ScoringTable!$O$2:$O$161,ScoringTable!$L$2:$L$161,,-1),TRUE,_xlfn.XLOOKUP($G35,ScoringTable!$U$2:$U$161,ScoringTable!$R$2:$R$161,,-1))</f>
        <v>0</v>
      </c>
    </row>
    <row r="36" spans="1:13" s="7" customFormat="1" ht="16" customHeight="1">
      <c r="A36" s="121" t="s">
        <v>81</v>
      </c>
      <c r="B36" s="122" t="str">
        <f>IF(ISNA(VLOOKUP($F36,Declarations!B$6:C$293,2,FALSE)),"",IF(VLOOKUP($F36,Declarations!B$6:C$293,2,FALSE)="","NOT DECLARED",IF(ISNA(_xlfn.TEXTBEFORE(VLOOKUP($F36,Declarations!B$6:C$293,2,FALSE)," ")),VLOOKUP($F36,Declarations!B$6:C$293,2,FALSE),_xlfn.TEXTBEFORE(VLOOKUP($F36,Declarations!B$6:C$293,2,FALSE)," "))))</f>
        <v/>
      </c>
      <c r="C36" s="122" t="str">
        <f>IF(ISNA(VLOOKUP($F36,Declarations!B$6:C$293,2,FALSE)),"",IF(VLOOKUP($F36,Declarations!B$6:C$293,2,FALSE)="","NOT DECLARED",IF(ISNA(_xlfn.TEXTAFTER(VLOOKUP($F36,Declarations!B$6:C$293,2,FALSE)," ")),VLOOKUP($F36,Declarations!B$6:C$293,2,FALSE),_xlfn.TEXTAFTER(VLOOKUP($F36,Declarations!B$6:C$293,2,FALSE)," "))))</f>
        <v/>
      </c>
      <c r="D36" s="122" t="str">
        <f>IF(ISNA(VLOOKUP($F36,Declarations!$B$6:$F$293,5,FALSE)),"",IF(VLOOKUP($F36,Declarations!$B$6:$F$293,5,FALSE)="","NOT DECLARED",VLOOKUP($F36,Declarations!$B$6:$F$293,5,FALSE)))</f>
        <v/>
      </c>
      <c r="E36" s="120" t="str">
        <f>IF(ISNA(VLOOKUP($F36,Declarations!$B$6:$D$293,3,FALSE)),"",IF(VLOOKUP($F36,Declarations!$B$6:$D$293,3,FALSE)="","NOT DECLARED",VLOOKUP($F36,Declarations!$B$6:$D$293,3,FALSE)&amp;LEFT(VLOOKUP($F36,Declarations!$B$6:$E$293,4,FALSE))))</f>
        <v/>
      </c>
      <c r="F36" s="59"/>
      <c r="G36" s="129"/>
      <c r="H36" s="129"/>
      <c r="I36" s="122" t="str">
        <f>IF(ISNA(VLOOKUP(F36,Declarations!B$6:C$293,2,FALSE)),"",IF(VLOOKUP(F36,Declarations!B$6:C$293,2,FALSE)="","NOT DECLARED",VLOOKUP(F36,Declarations!B$6:C$293,2,FALSE)))</f>
        <v/>
      </c>
      <c r="J36" s="120">
        <f>IF(LOWER(LEFT(G36,1))="n",1,VLOOKUP(G36,ScoringTable!D$2:I$95,6))</f>
        <v>0</v>
      </c>
      <c r="K36" s="120" t="str" cm="1">
        <f t="array" ref="K36">IF(OR(E36="",G36=""),"",_xlfn.IFS(E36="U10B",_xlfn.XLOOKUP(G36,Data!$D$5:$L$5,Data!$D$1:$L$1,"",-1,1),E36="U12B",_xlfn.XLOOKUP(G36,Data!$D$12:$L$12,Data!$D$1:$L$1,"",-1,1),E36="U10G",_xlfn.XLOOKUP(G36,Data!$D$18:$L$18,Data!$D$1:$L$1,"",-1,1),E36="U12G",_xlfn.XLOOKUP(G36,Data!$D$25:$L$25,Data!$D$1:$L$1,"",-1,1)))</f>
        <v/>
      </c>
      <c r="L36" s="184" t="str" cm="1">
        <f t="array" ref="L36">IFERROR(_xlfn.IFNA(
                      _xlfn.IFS(
                      G36="", "",
                      AND(E36="U10B",G36&gt;=Data!$M$5), "U10 Boys record",
                      AND(E36="U12B",G36&gt;=Data!$M$12), "U12 Boys record",
                      AND(E36="U10G",G36&gt;=Data!$M$18), "U10 Girls record",
                      AND(E36="U12G",G36&gt;=Data!$M$25), "U12 Girls record"
                       ),""), "")</f>
        <v/>
      </c>
      <c r="M36" s="19" cm="1">
        <f t="array" ref="M36">_xlfn.IFS($G36="",0, AND(NOT(ISNUMBER($G36)),LOWER(LEFT($G36,1))&lt;&gt;"n"),"Not a valid distance",OR(LOWER(LEFT($G36,1))="n",$G36&lt;ScoringTable!$O$161),1,RIGHT($E36,1)="B",_xlfn.XLOOKUP($G36,ScoringTable!$O$2:$O$161,ScoringTable!$L$2:$L$161,,-1),TRUE,_xlfn.XLOOKUP($G36,ScoringTable!$U$2:$U$161,ScoringTable!$R$2:$R$161,,-1))</f>
        <v>0</v>
      </c>
    </row>
    <row r="37" spans="1:13" s="7" customFormat="1" ht="16" customHeight="1">
      <c r="A37" s="121" t="s">
        <v>81</v>
      </c>
      <c r="B37" s="122" t="str">
        <f>IF(ISNA(VLOOKUP($F37,Declarations!B$6:C$293,2,FALSE)),"",IF(VLOOKUP($F37,Declarations!B$6:C$293,2,FALSE)="","NOT DECLARED",IF(ISNA(_xlfn.TEXTBEFORE(VLOOKUP($F37,Declarations!B$6:C$293,2,FALSE)," ")),VLOOKUP($F37,Declarations!B$6:C$293,2,FALSE),_xlfn.TEXTBEFORE(VLOOKUP($F37,Declarations!B$6:C$293,2,FALSE)," "))))</f>
        <v/>
      </c>
      <c r="C37" s="122" t="str">
        <f>IF(ISNA(VLOOKUP($F37,Declarations!B$6:C$293,2,FALSE)),"",IF(VLOOKUP($F37,Declarations!B$6:C$293,2,FALSE)="","NOT DECLARED",IF(ISNA(_xlfn.TEXTAFTER(VLOOKUP($F37,Declarations!B$6:C$293,2,FALSE)," ")),VLOOKUP($F37,Declarations!B$6:C$293,2,FALSE),_xlfn.TEXTAFTER(VLOOKUP($F37,Declarations!B$6:C$293,2,FALSE)," "))))</f>
        <v/>
      </c>
      <c r="D37" s="122" t="str">
        <f>IF(ISNA(VLOOKUP($F37,Declarations!$B$6:$F$293,5,FALSE)),"",IF(VLOOKUP($F37,Declarations!$B$6:$F$293,5,FALSE)="","NOT DECLARED",VLOOKUP($F37,Declarations!$B$6:$F$293,5,FALSE)))</f>
        <v/>
      </c>
      <c r="E37" s="120" t="str">
        <f>IF(ISNA(VLOOKUP($F37,Declarations!$B$6:$D$293,3,FALSE)),"",IF(VLOOKUP($F37,Declarations!$B$6:$D$293,3,FALSE)="","NOT DECLARED",VLOOKUP($F37,Declarations!$B$6:$D$293,3,FALSE)&amp;LEFT(VLOOKUP($F37,Declarations!$B$6:$E$293,4,FALSE))))</f>
        <v/>
      </c>
      <c r="F37" s="59"/>
      <c r="G37" s="129"/>
      <c r="H37" s="129"/>
      <c r="I37" s="122" t="str">
        <f>IF(ISNA(VLOOKUP(F37,Declarations!B$6:C$293,2,FALSE)),"",IF(VLOOKUP(F37,Declarations!B$6:C$293,2,FALSE)="","NOT DECLARED",VLOOKUP(F37,Declarations!B$6:C$293,2,FALSE)))</f>
        <v/>
      </c>
      <c r="J37" s="120">
        <f>IF(LOWER(LEFT(G37,1))="n",1,VLOOKUP(G37,ScoringTable!D$2:I$95,6))</f>
        <v>0</v>
      </c>
      <c r="K37" s="120" t="str" cm="1">
        <f t="array" ref="K37">IF(OR(E37="",G37=""),"",_xlfn.IFS(E37="U10B",_xlfn.XLOOKUP(G37,Data!$D$5:$L$5,Data!$D$1:$L$1,"",-1,1),E37="U12B",_xlfn.XLOOKUP(G37,Data!$D$12:$L$12,Data!$D$1:$L$1,"",-1,1),E37="U10G",_xlfn.XLOOKUP(G37,Data!$D$18:$L$18,Data!$D$1:$L$1,"",-1,1),E37="U12G",_xlfn.XLOOKUP(G37,Data!$D$25:$L$25,Data!$D$1:$L$1,"",-1,1)))</f>
        <v/>
      </c>
      <c r="L37" s="184" t="str" cm="1">
        <f t="array" ref="L37">IFERROR(_xlfn.IFNA(
                      _xlfn.IFS(
                      G37="", "",
                      AND(E37="U10B",G37&gt;=Data!$M$5), "U10 Boys record",
                      AND(E37="U12B",G37&gt;=Data!$M$12), "U12 Boys record",
                      AND(E37="U10G",G37&gt;=Data!$M$18), "U10 Girls record",
                      AND(E37="U12G",G37&gt;=Data!$M$25), "U12 Girls record"
                       ),""), "")</f>
        <v/>
      </c>
      <c r="M37" s="19" cm="1">
        <f t="array" ref="M37">_xlfn.IFS($G37="",0, AND(NOT(ISNUMBER($G37)),LOWER(LEFT($G37,1))&lt;&gt;"n"),"Not a valid distance",OR(LOWER(LEFT($G37,1))="n",$G37&lt;ScoringTable!$O$161),1,RIGHT($E37,1)="B",_xlfn.XLOOKUP($G37,ScoringTable!$O$2:$O$161,ScoringTable!$L$2:$L$161,,-1),TRUE,_xlfn.XLOOKUP($G37,ScoringTable!$U$2:$U$161,ScoringTable!$R$2:$R$161,,-1))</f>
        <v>0</v>
      </c>
    </row>
    <row r="38" spans="1:13" s="7" customFormat="1" ht="16" customHeight="1">
      <c r="A38" s="121" t="s">
        <v>81</v>
      </c>
      <c r="B38" s="122" t="str">
        <f>IF(ISNA(VLOOKUP($F38,Declarations!B$6:C$293,2,FALSE)),"",IF(VLOOKUP($F38,Declarations!B$6:C$293,2,FALSE)="","NOT DECLARED",IF(ISNA(_xlfn.TEXTBEFORE(VLOOKUP($F38,Declarations!B$6:C$293,2,FALSE)," ")),VLOOKUP($F38,Declarations!B$6:C$293,2,FALSE),_xlfn.TEXTBEFORE(VLOOKUP($F38,Declarations!B$6:C$293,2,FALSE)," "))))</f>
        <v/>
      </c>
      <c r="C38" s="122" t="str">
        <f>IF(ISNA(VLOOKUP($F38,Declarations!B$6:C$293,2,FALSE)),"",IF(VLOOKUP($F38,Declarations!B$6:C$293,2,FALSE)="","NOT DECLARED",IF(ISNA(_xlfn.TEXTAFTER(VLOOKUP($F38,Declarations!B$6:C$293,2,FALSE)," ")),VLOOKUP($F38,Declarations!B$6:C$293,2,FALSE),_xlfn.TEXTAFTER(VLOOKUP($F38,Declarations!B$6:C$293,2,FALSE)," "))))</f>
        <v/>
      </c>
      <c r="D38" s="122" t="str">
        <f>IF(ISNA(VLOOKUP($F38,Declarations!$B$6:$F$293,5,FALSE)),"",IF(VLOOKUP($F38,Declarations!$B$6:$F$293,5,FALSE)="","NOT DECLARED",VLOOKUP($F38,Declarations!$B$6:$F$293,5,FALSE)))</f>
        <v/>
      </c>
      <c r="E38" s="120" t="str">
        <f>IF(ISNA(VLOOKUP($F38,Declarations!$B$6:$D$293,3,FALSE)),"",IF(VLOOKUP($F38,Declarations!$B$6:$D$293,3,FALSE)="","NOT DECLARED",VLOOKUP($F38,Declarations!$B$6:$D$293,3,FALSE)&amp;LEFT(VLOOKUP($F38,Declarations!$B$6:$E$293,4,FALSE))))</f>
        <v/>
      </c>
      <c r="F38" s="59"/>
      <c r="G38" s="129"/>
      <c r="H38" s="129"/>
      <c r="I38" s="122" t="str">
        <f>IF(ISNA(VLOOKUP(F38,Declarations!B$6:C$293,2,FALSE)),"",IF(VLOOKUP(F38,Declarations!B$6:C$293,2,FALSE)="","NOT DECLARED",VLOOKUP(F38,Declarations!B$6:C$293,2,FALSE)))</f>
        <v/>
      </c>
      <c r="J38" s="120">
        <f>IF(LOWER(LEFT(G38,1))="n",1,VLOOKUP(G38,ScoringTable!D$2:I$95,6))</f>
        <v>0</v>
      </c>
      <c r="K38" s="120" t="str" cm="1">
        <f t="array" ref="K38">IF(OR(E38="",G38=""),"",_xlfn.IFS(E38="U10B",_xlfn.XLOOKUP(G38,Data!$D$5:$L$5,Data!$D$1:$L$1,"",-1,1),E38="U12B",_xlfn.XLOOKUP(G38,Data!$D$12:$L$12,Data!$D$1:$L$1,"",-1,1),E38="U10G",_xlfn.XLOOKUP(G38,Data!$D$18:$L$18,Data!$D$1:$L$1,"",-1,1),E38="U12G",_xlfn.XLOOKUP(G38,Data!$D$25:$L$25,Data!$D$1:$L$1,"",-1,1)))</f>
        <v/>
      </c>
      <c r="L38" s="184" t="str" cm="1">
        <f t="array" ref="L38">IFERROR(_xlfn.IFNA(
                      _xlfn.IFS(
                      G38="", "",
                      AND(E38="U10B",G38&gt;=Data!$M$5), "U10 Boys record",
                      AND(E38="U12B",G38&gt;=Data!$M$12), "U12 Boys record",
                      AND(E38="U10G",G38&gt;=Data!$M$18), "U10 Girls record",
                      AND(E38="U12G",G38&gt;=Data!$M$25), "U12 Girls record"
                       ),""), "")</f>
        <v/>
      </c>
      <c r="M38" s="19" cm="1">
        <f t="array" ref="M38">_xlfn.IFS($G38="",0, AND(NOT(ISNUMBER($G38)),LOWER(LEFT($G38,1))&lt;&gt;"n"),"Not a valid distance",OR(LOWER(LEFT($G38,1))="n",$G38&lt;ScoringTable!$O$161),1,RIGHT($E38,1)="B",_xlfn.XLOOKUP($G38,ScoringTable!$O$2:$O$161,ScoringTable!$L$2:$L$161,,-1),TRUE,_xlfn.XLOOKUP($G38,ScoringTable!$U$2:$U$161,ScoringTable!$R$2:$R$161,,-1))</f>
        <v>0</v>
      </c>
    </row>
    <row r="39" spans="1:13" s="7" customFormat="1" ht="16" customHeight="1">
      <c r="A39" s="121" t="s">
        <v>81</v>
      </c>
      <c r="B39" s="122" t="str">
        <f>IF(ISNA(VLOOKUP($F39,Declarations!B$6:C$293,2,FALSE)),"",IF(VLOOKUP($F39,Declarations!B$6:C$293,2,FALSE)="","NOT DECLARED",IF(ISNA(_xlfn.TEXTBEFORE(VLOOKUP($F39,Declarations!B$6:C$293,2,FALSE)," ")),VLOOKUP($F39,Declarations!B$6:C$293,2,FALSE),_xlfn.TEXTBEFORE(VLOOKUP($F39,Declarations!B$6:C$293,2,FALSE)," "))))</f>
        <v/>
      </c>
      <c r="C39" s="122" t="str">
        <f>IF(ISNA(VLOOKUP($F39,Declarations!B$6:C$293,2,FALSE)),"",IF(VLOOKUP($F39,Declarations!B$6:C$293,2,FALSE)="","NOT DECLARED",IF(ISNA(_xlfn.TEXTAFTER(VLOOKUP($F39,Declarations!B$6:C$293,2,FALSE)," ")),VLOOKUP($F39,Declarations!B$6:C$293,2,FALSE),_xlfn.TEXTAFTER(VLOOKUP($F39,Declarations!B$6:C$293,2,FALSE)," "))))</f>
        <v/>
      </c>
      <c r="D39" s="122" t="str">
        <f>IF(ISNA(VLOOKUP($F39,Declarations!$B$6:$F$293,5,FALSE)),"",IF(VLOOKUP($F39,Declarations!$B$6:$F$293,5,FALSE)="","NOT DECLARED",VLOOKUP($F39,Declarations!$B$6:$F$293,5,FALSE)))</f>
        <v/>
      </c>
      <c r="E39" s="120" t="str">
        <f>IF(ISNA(VLOOKUP($F39,Declarations!$B$6:$D$293,3,FALSE)),"",IF(VLOOKUP($F39,Declarations!$B$6:$D$293,3,FALSE)="","NOT DECLARED",VLOOKUP($F39,Declarations!$B$6:$D$293,3,FALSE)&amp;LEFT(VLOOKUP($F39,Declarations!$B$6:$E$293,4,FALSE))))</f>
        <v/>
      </c>
      <c r="F39" s="59"/>
      <c r="G39" s="129"/>
      <c r="H39" s="129"/>
      <c r="I39" s="122" t="str">
        <f>IF(ISNA(VLOOKUP(F39,Declarations!B$6:C$293,2,FALSE)),"",IF(VLOOKUP(F39,Declarations!B$6:C$293,2,FALSE)="","NOT DECLARED",VLOOKUP(F39,Declarations!B$6:C$293,2,FALSE)))</f>
        <v/>
      </c>
      <c r="J39" s="120">
        <f>IF(LOWER(LEFT(G39,1))="n",1,VLOOKUP(G39,ScoringTable!D$2:I$95,6))</f>
        <v>0</v>
      </c>
      <c r="K39" s="120" t="str" cm="1">
        <f t="array" ref="K39">IF(OR(E39="",G39=""),"",_xlfn.IFS(E39="U10B",_xlfn.XLOOKUP(G39,Data!$D$5:$L$5,Data!$D$1:$L$1,"",-1,1),E39="U12B",_xlfn.XLOOKUP(G39,Data!$D$12:$L$12,Data!$D$1:$L$1,"",-1,1),E39="U10G",_xlfn.XLOOKUP(G39,Data!$D$18:$L$18,Data!$D$1:$L$1,"",-1,1),E39="U12G",_xlfn.XLOOKUP(G39,Data!$D$25:$L$25,Data!$D$1:$L$1,"",-1,1)))</f>
        <v/>
      </c>
      <c r="L39" s="184" t="str" cm="1">
        <f t="array" ref="L39">IFERROR(_xlfn.IFNA(
                      _xlfn.IFS(
                      G39="", "",
                      AND(E39="U10B",G39&gt;=Data!$M$5), "U10 Boys record",
                      AND(E39="U12B",G39&gt;=Data!$M$12), "U12 Boys record",
                      AND(E39="U10G",G39&gt;=Data!$M$18), "U10 Girls record",
                      AND(E39="U12G",G39&gt;=Data!$M$25), "U12 Girls record"
                       ),""), "")</f>
        <v/>
      </c>
      <c r="M39" s="19" cm="1">
        <f t="array" ref="M39">_xlfn.IFS($G39="",0, AND(NOT(ISNUMBER($G39)),LOWER(LEFT($G39,1))&lt;&gt;"n"),"Not a valid distance",OR(LOWER(LEFT($G39,1))="n",$G39&lt;ScoringTable!$O$161),1,RIGHT($E39,1)="B",_xlfn.XLOOKUP($G39,ScoringTable!$O$2:$O$161,ScoringTable!$L$2:$L$161,,-1),TRUE,_xlfn.XLOOKUP($G39,ScoringTable!$U$2:$U$161,ScoringTable!$R$2:$R$161,,-1))</f>
        <v>0</v>
      </c>
    </row>
    <row r="40" spans="1:13" s="7" customFormat="1" ht="16" customHeight="1">
      <c r="A40" s="121" t="s">
        <v>81</v>
      </c>
      <c r="B40" s="122" t="str">
        <f>IF(ISNA(VLOOKUP($F40,Declarations!B$6:C$293,2,FALSE)),"",IF(VLOOKUP($F40,Declarations!B$6:C$293,2,FALSE)="","NOT DECLARED",IF(ISNA(_xlfn.TEXTBEFORE(VLOOKUP($F40,Declarations!B$6:C$293,2,FALSE)," ")),VLOOKUP($F40,Declarations!B$6:C$293,2,FALSE),_xlfn.TEXTBEFORE(VLOOKUP($F40,Declarations!B$6:C$293,2,FALSE)," "))))</f>
        <v/>
      </c>
      <c r="C40" s="122" t="str">
        <f>IF(ISNA(VLOOKUP($F40,Declarations!B$6:C$293,2,FALSE)),"",IF(VLOOKUP($F40,Declarations!B$6:C$293,2,FALSE)="","NOT DECLARED",IF(ISNA(_xlfn.TEXTAFTER(VLOOKUP($F40,Declarations!B$6:C$293,2,FALSE)," ")),VLOOKUP($F40,Declarations!B$6:C$293,2,FALSE),_xlfn.TEXTAFTER(VLOOKUP($F40,Declarations!B$6:C$293,2,FALSE)," "))))</f>
        <v/>
      </c>
      <c r="D40" s="122" t="str">
        <f>IF(ISNA(VLOOKUP($F40,Declarations!$B$6:$F$293,5,FALSE)),"",IF(VLOOKUP($F40,Declarations!$B$6:$F$293,5,FALSE)="","NOT DECLARED",VLOOKUP($F40,Declarations!$B$6:$F$293,5,FALSE)))</f>
        <v/>
      </c>
      <c r="E40" s="120" t="str">
        <f>IF(ISNA(VLOOKUP($F40,Declarations!$B$6:$D$293,3,FALSE)),"",IF(VLOOKUP($F40,Declarations!$B$6:$D$293,3,FALSE)="","NOT DECLARED",VLOOKUP($F40,Declarations!$B$6:$D$293,3,FALSE)&amp;LEFT(VLOOKUP($F40,Declarations!$B$6:$E$293,4,FALSE))))</f>
        <v/>
      </c>
      <c r="F40" s="59"/>
      <c r="G40" s="129"/>
      <c r="H40" s="129"/>
      <c r="I40" s="122" t="str">
        <f>IF(ISNA(VLOOKUP(F40,Declarations!B$6:C$293,2,FALSE)),"",IF(VLOOKUP(F40,Declarations!B$6:C$293,2,FALSE)="","NOT DECLARED",VLOOKUP(F40,Declarations!B$6:C$293,2,FALSE)))</f>
        <v/>
      </c>
      <c r="J40" s="120">
        <f>IF(LOWER(LEFT(G40,1))="n",1,VLOOKUP(G40,ScoringTable!D$2:I$95,6))</f>
        <v>0</v>
      </c>
      <c r="K40" s="120" t="str" cm="1">
        <f t="array" ref="K40">IF(OR(E40="",G40=""),"",_xlfn.IFS(E40="U10B",_xlfn.XLOOKUP(G40,Data!$D$5:$L$5,Data!$D$1:$L$1,"",-1,1),E40="U12B",_xlfn.XLOOKUP(G40,Data!$D$12:$L$12,Data!$D$1:$L$1,"",-1,1),E40="U10G",_xlfn.XLOOKUP(G40,Data!$D$18:$L$18,Data!$D$1:$L$1,"",-1,1),E40="U12G",_xlfn.XLOOKUP(G40,Data!$D$25:$L$25,Data!$D$1:$L$1,"",-1,1)))</f>
        <v/>
      </c>
      <c r="L40" s="184" t="str" cm="1">
        <f t="array" ref="L40">IFERROR(_xlfn.IFNA(
                      _xlfn.IFS(
                      G40="", "",
                      AND(E40="U10B",G40&gt;=Data!$M$5), "U10 Boys record",
                      AND(E40="U12B",G40&gt;=Data!$M$12), "U12 Boys record",
                      AND(E40="U10G",G40&gt;=Data!$M$18), "U10 Girls record",
                      AND(E40="U12G",G40&gt;=Data!$M$25), "U12 Girls record"
                       ),""), "")</f>
        <v/>
      </c>
      <c r="M40" s="19" cm="1">
        <f t="array" ref="M40">_xlfn.IFS($G40="",0, AND(NOT(ISNUMBER($G40)),LOWER(LEFT($G40,1))&lt;&gt;"n"),"Not a valid distance",OR(LOWER(LEFT($G40,1))="n",$G40&lt;ScoringTable!$O$161),1,RIGHT($E40,1)="B",_xlfn.XLOOKUP($G40,ScoringTable!$O$2:$O$161,ScoringTable!$L$2:$L$161,,-1),TRUE,_xlfn.XLOOKUP($G40,ScoringTable!$U$2:$U$161,ScoringTable!$R$2:$R$161,,-1))</f>
        <v>0</v>
      </c>
    </row>
    <row r="41" spans="1:13" s="7" customFormat="1" ht="16" customHeight="1">
      <c r="A41" s="121" t="s">
        <v>81</v>
      </c>
      <c r="B41" s="122" t="str">
        <f>IF(ISNA(VLOOKUP($F41,Declarations!B$6:C$293,2,FALSE)),"",IF(VLOOKUP($F41,Declarations!B$6:C$293,2,FALSE)="","NOT DECLARED",IF(ISNA(_xlfn.TEXTBEFORE(VLOOKUP($F41,Declarations!B$6:C$293,2,FALSE)," ")),VLOOKUP($F41,Declarations!B$6:C$293,2,FALSE),_xlfn.TEXTBEFORE(VLOOKUP($F41,Declarations!B$6:C$293,2,FALSE)," "))))</f>
        <v/>
      </c>
      <c r="C41" s="122" t="str">
        <f>IF(ISNA(VLOOKUP($F41,Declarations!B$6:C$293,2,FALSE)),"",IF(VLOOKUP($F41,Declarations!B$6:C$293,2,FALSE)="","NOT DECLARED",IF(ISNA(_xlfn.TEXTAFTER(VLOOKUP($F41,Declarations!B$6:C$293,2,FALSE)," ")),VLOOKUP($F41,Declarations!B$6:C$293,2,FALSE),_xlfn.TEXTAFTER(VLOOKUP($F41,Declarations!B$6:C$293,2,FALSE)," "))))</f>
        <v/>
      </c>
      <c r="D41" s="122" t="str">
        <f>IF(ISNA(VLOOKUP($F41,Declarations!$B$6:$F$293,5,FALSE)),"",IF(VLOOKUP($F41,Declarations!$B$6:$F$293,5,FALSE)="","NOT DECLARED",VLOOKUP($F41,Declarations!$B$6:$F$293,5,FALSE)))</f>
        <v/>
      </c>
      <c r="E41" s="120" t="str">
        <f>IF(ISNA(VLOOKUP($F41,Declarations!$B$6:$D$293,3,FALSE)),"",IF(VLOOKUP($F41,Declarations!$B$6:$D$293,3,FALSE)="","NOT DECLARED",VLOOKUP($F41,Declarations!$B$6:$D$293,3,FALSE)&amp;LEFT(VLOOKUP($F41,Declarations!$B$6:$E$293,4,FALSE))))</f>
        <v/>
      </c>
      <c r="F41" s="59"/>
      <c r="G41" s="129"/>
      <c r="H41" s="129"/>
      <c r="I41" s="122" t="str">
        <f>IF(ISNA(VLOOKUP(F41,Declarations!B$6:C$293,2,FALSE)),"",IF(VLOOKUP(F41,Declarations!B$6:C$293,2,FALSE)="","NOT DECLARED",VLOOKUP(F41,Declarations!B$6:C$293,2,FALSE)))</f>
        <v/>
      </c>
      <c r="J41" s="120">
        <f>IF(LOWER(LEFT(G41,1))="n",1,VLOOKUP(G41,ScoringTable!D$2:I$95,6))</f>
        <v>0</v>
      </c>
      <c r="K41" s="120" t="str" cm="1">
        <f t="array" ref="K41">IF(OR(E41="",G41=""),"",_xlfn.IFS(E41="U10B",_xlfn.XLOOKUP(G41,Data!$D$5:$L$5,Data!$D$1:$L$1,"",-1,1),E41="U12B",_xlfn.XLOOKUP(G41,Data!$D$12:$L$12,Data!$D$1:$L$1,"",-1,1),E41="U10G",_xlfn.XLOOKUP(G41,Data!$D$18:$L$18,Data!$D$1:$L$1,"",-1,1),E41="U12G",_xlfn.XLOOKUP(G41,Data!$D$25:$L$25,Data!$D$1:$L$1,"",-1,1)))</f>
        <v/>
      </c>
      <c r="L41" s="184" t="str" cm="1">
        <f t="array" ref="L41">IFERROR(_xlfn.IFNA(
                      _xlfn.IFS(
                      G41="", "",
                      AND(E41="U10B",G41&gt;=Data!$M$5), "U10 Boys record",
                      AND(E41="U12B",G41&gt;=Data!$M$12), "U12 Boys record",
                      AND(E41="U10G",G41&gt;=Data!$M$18), "U10 Girls record",
                      AND(E41="U12G",G41&gt;=Data!$M$25), "U12 Girls record"
                       ),""), "")</f>
        <v/>
      </c>
      <c r="M41" s="19" cm="1">
        <f t="array" ref="M41">_xlfn.IFS($G41="",0, AND(NOT(ISNUMBER($G41)),LOWER(LEFT($G41,1))&lt;&gt;"n"),"Not a valid distance",OR(LOWER(LEFT($G41,1))="n",$G41&lt;ScoringTable!$O$161),1,RIGHT($E41,1)="B",_xlfn.XLOOKUP($G41,ScoringTable!$O$2:$O$161,ScoringTable!$L$2:$L$161,,-1),TRUE,_xlfn.XLOOKUP($G41,ScoringTable!$U$2:$U$161,ScoringTable!$R$2:$R$161,,-1))</f>
        <v>0</v>
      </c>
    </row>
    <row r="42" spans="1:13" s="7" customFormat="1" ht="16" customHeight="1">
      <c r="A42" s="121" t="s">
        <v>81</v>
      </c>
      <c r="B42" s="122" t="str">
        <f>IF(ISNA(VLOOKUP($F42,Declarations!B$6:C$293,2,FALSE)),"",IF(VLOOKUP($F42,Declarations!B$6:C$293,2,FALSE)="","NOT DECLARED",IF(ISNA(_xlfn.TEXTBEFORE(VLOOKUP($F42,Declarations!B$6:C$293,2,FALSE)," ")),VLOOKUP($F42,Declarations!B$6:C$293,2,FALSE),_xlfn.TEXTBEFORE(VLOOKUP($F42,Declarations!B$6:C$293,2,FALSE)," "))))</f>
        <v/>
      </c>
      <c r="C42" s="122" t="str">
        <f>IF(ISNA(VLOOKUP($F42,Declarations!B$6:C$293,2,FALSE)),"",IF(VLOOKUP($F42,Declarations!B$6:C$293,2,FALSE)="","NOT DECLARED",IF(ISNA(_xlfn.TEXTAFTER(VLOOKUP($F42,Declarations!B$6:C$293,2,FALSE)," ")),VLOOKUP($F42,Declarations!B$6:C$293,2,FALSE),_xlfn.TEXTAFTER(VLOOKUP($F42,Declarations!B$6:C$293,2,FALSE)," "))))</f>
        <v/>
      </c>
      <c r="D42" s="122" t="str">
        <f>IF(ISNA(VLOOKUP($F42,Declarations!$B$6:$F$293,5,FALSE)),"",IF(VLOOKUP($F42,Declarations!$B$6:$F$293,5,FALSE)="","NOT DECLARED",VLOOKUP($F42,Declarations!$B$6:$F$293,5,FALSE)))</f>
        <v/>
      </c>
      <c r="E42" s="120" t="str">
        <f>IF(ISNA(VLOOKUP($F42,Declarations!$B$6:$D$293,3,FALSE)),"",IF(VLOOKUP($F42,Declarations!$B$6:$D$293,3,FALSE)="","NOT DECLARED",VLOOKUP($F42,Declarations!$B$6:$D$293,3,FALSE)&amp;LEFT(VLOOKUP($F42,Declarations!$B$6:$E$293,4,FALSE))))</f>
        <v/>
      </c>
      <c r="F42" s="59"/>
      <c r="G42" s="129"/>
      <c r="H42" s="129"/>
      <c r="I42" s="122" t="str">
        <f>IF(ISNA(VLOOKUP(F42,Declarations!B$6:C$293,2,FALSE)),"",IF(VLOOKUP(F42,Declarations!B$6:C$293,2,FALSE)="","NOT DECLARED",VLOOKUP(F42,Declarations!B$6:C$293,2,FALSE)))</f>
        <v/>
      </c>
      <c r="J42" s="120">
        <f>IF(LOWER(LEFT(G42,1))="n",1,VLOOKUP(G42,ScoringTable!D$2:I$95,6))</f>
        <v>0</v>
      </c>
      <c r="K42" s="120" t="str" cm="1">
        <f t="array" ref="K42">IF(OR(E42="",G42=""),"",_xlfn.IFS(E42="U10B",_xlfn.XLOOKUP(G42,Data!$D$5:$L$5,Data!$D$1:$L$1,"",-1,1),E42="U12B",_xlfn.XLOOKUP(G42,Data!$D$12:$L$12,Data!$D$1:$L$1,"",-1,1),E42="U10G",_xlfn.XLOOKUP(G42,Data!$D$18:$L$18,Data!$D$1:$L$1,"",-1,1),E42="U12G",_xlfn.XLOOKUP(G42,Data!$D$25:$L$25,Data!$D$1:$L$1,"",-1,1)))</f>
        <v/>
      </c>
      <c r="L42" s="184" t="str" cm="1">
        <f t="array" ref="L42">IFERROR(_xlfn.IFNA(
                      _xlfn.IFS(
                      G42="", "",
                      AND(E42="U10B",G42&gt;=Data!$M$5), "U10 Boys record",
                      AND(E42="U12B",G42&gt;=Data!$M$12), "U12 Boys record",
                      AND(E42="U10G",G42&gt;=Data!$M$18), "U10 Girls record",
                      AND(E42="U12G",G42&gt;=Data!$M$25), "U12 Girls record"
                       ),""), "")</f>
        <v/>
      </c>
      <c r="M42" s="19" cm="1">
        <f t="array" ref="M42">_xlfn.IFS($G42="",0, AND(NOT(ISNUMBER($G42)),LOWER(LEFT($G42,1))&lt;&gt;"n"),"Not a valid distance",OR(LOWER(LEFT($G42,1))="n",$G42&lt;ScoringTable!$O$161),1,RIGHT($E42,1)="B",_xlfn.XLOOKUP($G42,ScoringTable!$O$2:$O$161,ScoringTable!$L$2:$L$161,,-1),TRUE,_xlfn.XLOOKUP($G42,ScoringTable!$U$2:$U$161,ScoringTable!$R$2:$R$161,,-1))</f>
        <v>0</v>
      </c>
    </row>
    <row r="43" spans="1:13" s="7" customFormat="1" ht="16" customHeight="1">
      <c r="A43" s="121" t="s">
        <v>81</v>
      </c>
      <c r="B43" s="122" t="str">
        <f>IF(ISNA(VLOOKUP($F43,Declarations!B$6:C$293,2,FALSE)),"",IF(VLOOKUP($F43,Declarations!B$6:C$293,2,FALSE)="","NOT DECLARED",IF(ISNA(_xlfn.TEXTBEFORE(VLOOKUP($F43,Declarations!B$6:C$293,2,FALSE)," ")),VLOOKUP($F43,Declarations!B$6:C$293,2,FALSE),_xlfn.TEXTBEFORE(VLOOKUP($F43,Declarations!B$6:C$293,2,FALSE)," "))))</f>
        <v/>
      </c>
      <c r="C43" s="122" t="str">
        <f>IF(ISNA(VLOOKUP($F43,Declarations!B$6:C$293,2,FALSE)),"",IF(VLOOKUP($F43,Declarations!B$6:C$293,2,FALSE)="","NOT DECLARED",IF(ISNA(_xlfn.TEXTAFTER(VLOOKUP($F43,Declarations!B$6:C$293,2,FALSE)," ")),VLOOKUP($F43,Declarations!B$6:C$293,2,FALSE),_xlfn.TEXTAFTER(VLOOKUP($F43,Declarations!B$6:C$293,2,FALSE)," "))))</f>
        <v/>
      </c>
      <c r="D43" s="122" t="str">
        <f>IF(ISNA(VLOOKUP($F43,Declarations!$B$6:$F$293,5,FALSE)),"",IF(VLOOKUP($F43,Declarations!$B$6:$F$293,5,FALSE)="","NOT DECLARED",VLOOKUP($F43,Declarations!$B$6:$F$293,5,FALSE)))</f>
        <v/>
      </c>
      <c r="E43" s="120" t="str">
        <f>IF(ISNA(VLOOKUP($F43,Declarations!$B$6:$D$293,3,FALSE)),"",IF(VLOOKUP($F43,Declarations!$B$6:$D$293,3,FALSE)="","NOT DECLARED",VLOOKUP($F43,Declarations!$B$6:$D$293,3,FALSE)&amp;LEFT(VLOOKUP($F43,Declarations!$B$6:$E$293,4,FALSE))))</f>
        <v/>
      </c>
      <c r="F43" s="59"/>
      <c r="G43" s="129"/>
      <c r="H43" s="129"/>
      <c r="I43" s="122" t="str">
        <f>IF(ISNA(VLOOKUP(F43,Declarations!B$6:C$293,2,FALSE)),"",IF(VLOOKUP(F43,Declarations!B$6:C$293,2,FALSE)="","NOT DECLARED",VLOOKUP(F43,Declarations!B$6:C$293,2,FALSE)))</f>
        <v/>
      </c>
      <c r="J43" s="120">
        <f>IF(LOWER(LEFT(G43,1))="n",1,VLOOKUP(G43,ScoringTable!D$2:I$95,6))</f>
        <v>0</v>
      </c>
      <c r="K43" s="120" t="str" cm="1">
        <f t="array" ref="K43">IF(OR(E43="",G43=""),"",_xlfn.IFS(E43="U10B",_xlfn.XLOOKUP(G43,Data!$D$5:$L$5,Data!$D$1:$L$1,"",-1,1),E43="U12B",_xlfn.XLOOKUP(G43,Data!$D$12:$L$12,Data!$D$1:$L$1,"",-1,1),E43="U10G",_xlfn.XLOOKUP(G43,Data!$D$18:$L$18,Data!$D$1:$L$1,"",-1,1),E43="U12G",_xlfn.XLOOKUP(G43,Data!$D$25:$L$25,Data!$D$1:$L$1,"",-1,1)))</f>
        <v/>
      </c>
      <c r="L43" s="184" t="str" cm="1">
        <f t="array" ref="L43">IFERROR(_xlfn.IFNA(
                      _xlfn.IFS(
                      G43="", "",
                      AND(E43="U10B",G43&gt;=Data!$M$5), "U10 Boys record",
                      AND(E43="U12B",G43&gt;=Data!$M$12), "U12 Boys record",
                      AND(E43="U10G",G43&gt;=Data!$M$18), "U10 Girls record",
                      AND(E43="U12G",G43&gt;=Data!$M$25), "U12 Girls record"
                       ),""), "")</f>
        <v/>
      </c>
      <c r="M43" s="19" cm="1">
        <f t="array" ref="M43">_xlfn.IFS($G43="",0, AND(NOT(ISNUMBER($G43)),LOWER(LEFT($G43,1))&lt;&gt;"n"),"Not a valid distance",OR(LOWER(LEFT($G43,1))="n",$G43&lt;ScoringTable!$O$161),1,RIGHT($E43,1)="B",_xlfn.XLOOKUP($G43,ScoringTable!$O$2:$O$161,ScoringTable!$L$2:$L$161,,-1),TRUE,_xlfn.XLOOKUP($G43,ScoringTable!$U$2:$U$161,ScoringTable!$R$2:$R$161,,-1))</f>
        <v>0</v>
      </c>
    </row>
    <row r="44" spans="1:13" s="7" customFormat="1" ht="16" customHeight="1">
      <c r="A44" s="121" t="s">
        <v>81</v>
      </c>
      <c r="B44" s="122" t="str">
        <f>IF(ISNA(VLOOKUP($F44,Declarations!B$6:C$293,2,FALSE)),"",IF(VLOOKUP($F44,Declarations!B$6:C$293,2,FALSE)="","NOT DECLARED",IF(ISNA(_xlfn.TEXTBEFORE(VLOOKUP($F44,Declarations!B$6:C$293,2,FALSE)," ")),VLOOKUP($F44,Declarations!B$6:C$293,2,FALSE),_xlfn.TEXTBEFORE(VLOOKUP($F44,Declarations!B$6:C$293,2,FALSE)," "))))</f>
        <v/>
      </c>
      <c r="C44" s="122" t="str">
        <f>IF(ISNA(VLOOKUP($F44,Declarations!B$6:C$293,2,FALSE)),"",IF(VLOOKUP($F44,Declarations!B$6:C$293,2,FALSE)="","NOT DECLARED",IF(ISNA(_xlfn.TEXTAFTER(VLOOKUP($F44,Declarations!B$6:C$293,2,FALSE)," ")),VLOOKUP($F44,Declarations!B$6:C$293,2,FALSE),_xlfn.TEXTAFTER(VLOOKUP($F44,Declarations!B$6:C$293,2,FALSE)," "))))</f>
        <v/>
      </c>
      <c r="D44" s="122" t="str">
        <f>IF(ISNA(VLOOKUP($F44,Declarations!$B$6:$F$293,5,FALSE)),"",IF(VLOOKUP($F44,Declarations!$B$6:$F$293,5,FALSE)="","NOT DECLARED",VLOOKUP($F44,Declarations!$B$6:$F$293,5,FALSE)))</f>
        <v/>
      </c>
      <c r="E44" s="120" t="str">
        <f>IF(ISNA(VLOOKUP($F44,Declarations!$B$6:$D$293,3,FALSE)),"",IF(VLOOKUP($F44,Declarations!$B$6:$D$293,3,FALSE)="","NOT DECLARED",VLOOKUP($F44,Declarations!$B$6:$D$293,3,FALSE)&amp;LEFT(VLOOKUP($F44,Declarations!$B$6:$E$293,4,FALSE))))</f>
        <v/>
      </c>
      <c r="F44" s="59"/>
      <c r="G44" s="129"/>
      <c r="H44" s="129"/>
      <c r="I44" s="122" t="str">
        <f>IF(ISNA(VLOOKUP(F44,Declarations!B$6:C$293,2,FALSE)),"",IF(VLOOKUP(F44,Declarations!B$6:C$293,2,FALSE)="","NOT DECLARED",VLOOKUP(F44,Declarations!B$6:C$293,2,FALSE)))</f>
        <v/>
      </c>
      <c r="J44" s="120">
        <f>IF(LOWER(LEFT(G44,1))="n",1,VLOOKUP(G44,ScoringTable!D$2:I$95,6))</f>
        <v>0</v>
      </c>
      <c r="K44" s="120" t="str" cm="1">
        <f t="array" ref="K44">IF(OR(E44="",G44=""),"",_xlfn.IFS(E44="U10B",_xlfn.XLOOKUP(G44,Data!$D$5:$L$5,Data!$D$1:$L$1,"",-1,1),E44="U12B",_xlfn.XLOOKUP(G44,Data!$D$12:$L$12,Data!$D$1:$L$1,"",-1,1),E44="U10G",_xlfn.XLOOKUP(G44,Data!$D$18:$L$18,Data!$D$1:$L$1,"",-1,1),E44="U12G",_xlfn.XLOOKUP(G44,Data!$D$25:$L$25,Data!$D$1:$L$1,"",-1,1)))</f>
        <v/>
      </c>
      <c r="L44" s="184" t="str" cm="1">
        <f t="array" ref="L44">IFERROR(_xlfn.IFNA(
                      _xlfn.IFS(
                      G44="", "",
                      AND(E44="U10B",G44&gt;=Data!$M$5), "U10 Boys record",
                      AND(E44="U12B",G44&gt;=Data!$M$12), "U12 Boys record",
                      AND(E44="U10G",G44&gt;=Data!$M$18), "U10 Girls record",
                      AND(E44="U12G",G44&gt;=Data!$M$25), "U12 Girls record"
                       ),""), "")</f>
        <v/>
      </c>
      <c r="M44" s="19" cm="1">
        <f t="array" ref="M44">_xlfn.IFS($G44="",0, AND(NOT(ISNUMBER($G44)),LOWER(LEFT($G44,1))&lt;&gt;"n"),"Not a valid distance",OR(LOWER(LEFT($G44,1))="n",$G44&lt;ScoringTable!$O$161),1,RIGHT($E44,1)="B",_xlfn.XLOOKUP($G44,ScoringTable!$O$2:$O$161,ScoringTable!$L$2:$L$161,,-1),TRUE,_xlfn.XLOOKUP($G44,ScoringTable!$U$2:$U$161,ScoringTable!$R$2:$R$161,,-1))</f>
        <v>0</v>
      </c>
    </row>
    <row r="45" spans="1:13" s="7" customFormat="1" ht="16" customHeight="1">
      <c r="A45" s="121" t="s">
        <v>81</v>
      </c>
      <c r="B45" s="122" t="str">
        <f>IF(ISNA(VLOOKUP($F45,Declarations!B$6:C$293,2,FALSE)),"",IF(VLOOKUP($F45,Declarations!B$6:C$293,2,FALSE)="","NOT DECLARED",IF(ISNA(_xlfn.TEXTBEFORE(VLOOKUP($F45,Declarations!B$6:C$293,2,FALSE)," ")),VLOOKUP($F45,Declarations!B$6:C$293,2,FALSE),_xlfn.TEXTBEFORE(VLOOKUP($F45,Declarations!B$6:C$293,2,FALSE)," "))))</f>
        <v/>
      </c>
      <c r="C45" s="122" t="str">
        <f>IF(ISNA(VLOOKUP($F45,Declarations!B$6:C$293,2,FALSE)),"",IF(VLOOKUP($F45,Declarations!B$6:C$293,2,FALSE)="","NOT DECLARED",IF(ISNA(_xlfn.TEXTAFTER(VLOOKUP($F45,Declarations!B$6:C$293,2,FALSE)," ")),VLOOKUP($F45,Declarations!B$6:C$293,2,FALSE),_xlfn.TEXTAFTER(VLOOKUP($F45,Declarations!B$6:C$293,2,FALSE)," "))))</f>
        <v/>
      </c>
      <c r="D45" s="122" t="str">
        <f>IF(ISNA(VLOOKUP($F45,Declarations!$B$6:$F$293,5,FALSE)),"",IF(VLOOKUP($F45,Declarations!$B$6:$F$293,5,FALSE)="","NOT DECLARED",VLOOKUP($F45,Declarations!$B$6:$F$293,5,FALSE)))</f>
        <v/>
      </c>
      <c r="E45" s="120" t="str">
        <f>IF(ISNA(VLOOKUP($F45,Declarations!$B$6:$D$293,3,FALSE)),"",IF(VLOOKUP($F45,Declarations!$B$6:$D$293,3,FALSE)="","NOT DECLARED",VLOOKUP($F45,Declarations!$B$6:$D$293,3,FALSE)&amp;LEFT(VLOOKUP($F45,Declarations!$B$6:$E$293,4,FALSE))))</f>
        <v/>
      </c>
      <c r="F45" s="59"/>
      <c r="G45" s="129"/>
      <c r="H45" s="129"/>
      <c r="I45" s="122" t="str">
        <f>IF(ISNA(VLOOKUP(F45,Declarations!B$6:C$293,2,FALSE)),"",IF(VLOOKUP(F45,Declarations!B$6:C$293,2,FALSE)="","NOT DECLARED",VLOOKUP(F45,Declarations!B$6:C$293,2,FALSE)))</f>
        <v/>
      </c>
      <c r="J45" s="120">
        <f>IF(LOWER(LEFT(G45,1))="n",1,VLOOKUP(G45,ScoringTable!D$2:I$95,6))</f>
        <v>0</v>
      </c>
      <c r="K45" s="120" t="str" cm="1">
        <f t="array" ref="K45">IF(OR(E45="",G45=""),"",_xlfn.IFS(E45="U10B",_xlfn.XLOOKUP(G45,Data!$D$5:$L$5,Data!$D$1:$L$1,"",-1,1),E45="U12B",_xlfn.XLOOKUP(G45,Data!$D$12:$L$12,Data!$D$1:$L$1,"",-1,1),E45="U10G",_xlfn.XLOOKUP(G45,Data!$D$18:$L$18,Data!$D$1:$L$1,"",-1,1),E45="U12G",_xlfn.XLOOKUP(G45,Data!$D$25:$L$25,Data!$D$1:$L$1,"",-1,1)))</f>
        <v/>
      </c>
      <c r="L45" s="184" t="str" cm="1">
        <f t="array" ref="L45">IFERROR(_xlfn.IFNA(
                      _xlfn.IFS(
                      G45="", "",
                      AND(E45="U10B",G45&gt;=Data!$M$5), "U10 Boys record",
                      AND(E45="U12B",G45&gt;=Data!$M$12), "U12 Boys record",
                      AND(E45="U10G",G45&gt;=Data!$M$18), "U10 Girls record",
                      AND(E45="U12G",G45&gt;=Data!$M$25), "U12 Girls record"
                       ),""), "")</f>
        <v/>
      </c>
      <c r="M45" s="19" cm="1">
        <f t="array" ref="M45">_xlfn.IFS($G45="",0, AND(NOT(ISNUMBER($G45)),LOWER(LEFT($G45,1))&lt;&gt;"n"),"Not a valid distance",OR(LOWER(LEFT($G45,1))="n",$G45&lt;ScoringTable!$O$161),1,RIGHT($E45,1)="B",_xlfn.XLOOKUP($G45,ScoringTable!$O$2:$O$161,ScoringTable!$L$2:$L$161,,-1),TRUE,_xlfn.XLOOKUP($G45,ScoringTable!$U$2:$U$161,ScoringTable!$R$2:$R$161,,-1))</f>
        <v>0</v>
      </c>
    </row>
    <row r="46" spans="1:13" s="7" customFormat="1" ht="16" customHeight="1">
      <c r="A46" s="121" t="s">
        <v>81</v>
      </c>
      <c r="B46" s="122" t="str">
        <f>IF(ISNA(VLOOKUP($F46,Declarations!B$6:C$293,2,FALSE)),"",IF(VLOOKUP($F46,Declarations!B$6:C$293,2,FALSE)="","NOT DECLARED",IF(ISNA(_xlfn.TEXTBEFORE(VLOOKUP($F46,Declarations!B$6:C$293,2,FALSE)," ")),VLOOKUP($F46,Declarations!B$6:C$293,2,FALSE),_xlfn.TEXTBEFORE(VLOOKUP($F46,Declarations!B$6:C$293,2,FALSE)," "))))</f>
        <v/>
      </c>
      <c r="C46" s="122" t="str">
        <f>IF(ISNA(VLOOKUP($F46,Declarations!B$6:C$293,2,FALSE)),"",IF(VLOOKUP($F46,Declarations!B$6:C$293,2,FALSE)="","NOT DECLARED",IF(ISNA(_xlfn.TEXTAFTER(VLOOKUP($F46,Declarations!B$6:C$293,2,FALSE)," ")),VLOOKUP($F46,Declarations!B$6:C$293,2,FALSE),_xlfn.TEXTAFTER(VLOOKUP($F46,Declarations!B$6:C$293,2,FALSE)," "))))</f>
        <v/>
      </c>
      <c r="D46" s="122" t="str">
        <f>IF(ISNA(VLOOKUP($F46,Declarations!$B$6:$F$293,5,FALSE)),"",IF(VLOOKUP($F46,Declarations!$B$6:$F$293,5,FALSE)="","NOT DECLARED",VLOOKUP($F46,Declarations!$B$6:$F$293,5,FALSE)))</f>
        <v/>
      </c>
      <c r="E46" s="120" t="str">
        <f>IF(ISNA(VLOOKUP($F46,Declarations!$B$6:$D$293,3,FALSE)),"",IF(VLOOKUP($F46,Declarations!$B$6:$D$293,3,FALSE)="","NOT DECLARED",VLOOKUP($F46,Declarations!$B$6:$D$293,3,FALSE)&amp;LEFT(VLOOKUP($F46,Declarations!$B$6:$E$293,4,FALSE))))</f>
        <v/>
      </c>
      <c r="F46" s="59"/>
      <c r="G46" s="129"/>
      <c r="H46" s="129"/>
      <c r="I46" s="122" t="str">
        <f>IF(ISNA(VLOOKUP(F46,Declarations!B$6:C$293,2,FALSE)),"",IF(VLOOKUP(F46,Declarations!B$6:C$293,2,FALSE)="","NOT DECLARED",VLOOKUP(F46,Declarations!B$6:C$293,2,FALSE)))</f>
        <v/>
      </c>
      <c r="J46" s="120">
        <f>IF(LOWER(LEFT(G46,1))="n",1,VLOOKUP(G46,ScoringTable!D$2:I$95,6))</f>
        <v>0</v>
      </c>
      <c r="K46" s="120" t="str" cm="1">
        <f t="array" ref="K46">IF(OR(E46="",G46=""),"",_xlfn.IFS(E46="U10B",_xlfn.XLOOKUP(G46,Data!$D$5:$L$5,Data!$D$1:$L$1,"",-1,1),E46="U12B",_xlfn.XLOOKUP(G46,Data!$D$12:$L$12,Data!$D$1:$L$1,"",-1,1),E46="U10G",_xlfn.XLOOKUP(G46,Data!$D$18:$L$18,Data!$D$1:$L$1,"",-1,1),E46="U12G",_xlfn.XLOOKUP(G46,Data!$D$25:$L$25,Data!$D$1:$L$1,"",-1,1)))</f>
        <v/>
      </c>
      <c r="L46" s="184" t="str" cm="1">
        <f t="array" ref="L46">IFERROR(_xlfn.IFNA(
                      _xlfn.IFS(
                      G46="", "",
                      AND(E46="U10B",G46&gt;=Data!$M$5), "U10 Boys record",
                      AND(E46="U12B",G46&gt;=Data!$M$12), "U12 Boys record",
                      AND(E46="U10G",G46&gt;=Data!$M$18), "U10 Girls record",
                      AND(E46="U12G",G46&gt;=Data!$M$25), "U12 Girls record"
                       ),""), "")</f>
        <v/>
      </c>
      <c r="M46" s="19" cm="1">
        <f t="array" ref="M46">_xlfn.IFS($G46="",0, AND(NOT(ISNUMBER($G46)),LOWER(LEFT($G46,1))&lt;&gt;"n"),"Not a valid distance",OR(LOWER(LEFT($G46,1))="n",$G46&lt;ScoringTable!$O$161),1,RIGHT($E46,1)="B",_xlfn.XLOOKUP($G46,ScoringTable!$O$2:$O$161,ScoringTable!$L$2:$L$161,,-1),TRUE,_xlfn.XLOOKUP($G46,ScoringTable!$U$2:$U$161,ScoringTable!$R$2:$R$161,,-1))</f>
        <v>0</v>
      </c>
    </row>
    <row r="47" spans="1:13" s="7" customFormat="1" ht="16" customHeight="1">
      <c r="A47" s="121" t="s">
        <v>81</v>
      </c>
      <c r="B47" s="122" t="str">
        <f>IF(ISNA(VLOOKUP($F47,Declarations!B$6:C$293,2,FALSE)),"",IF(VLOOKUP($F47,Declarations!B$6:C$293,2,FALSE)="","NOT DECLARED",IF(ISNA(_xlfn.TEXTBEFORE(VLOOKUP($F47,Declarations!B$6:C$293,2,FALSE)," ")),VLOOKUP($F47,Declarations!B$6:C$293,2,FALSE),_xlfn.TEXTBEFORE(VLOOKUP($F47,Declarations!B$6:C$293,2,FALSE)," "))))</f>
        <v/>
      </c>
      <c r="C47" s="122" t="str">
        <f>IF(ISNA(VLOOKUP($F47,Declarations!B$6:C$293,2,FALSE)),"",IF(VLOOKUP($F47,Declarations!B$6:C$293,2,FALSE)="","NOT DECLARED",IF(ISNA(_xlfn.TEXTAFTER(VLOOKUP($F47,Declarations!B$6:C$293,2,FALSE)," ")),VLOOKUP($F47,Declarations!B$6:C$293,2,FALSE),_xlfn.TEXTAFTER(VLOOKUP($F47,Declarations!B$6:C$293,2,FALSE)," "))))</f>
        <v/>
      </c>
      <c r="D47" s="122" t="str">
        <f>IF(ISNA(VLOOKUP($F47,Declarations!$B$6:$F$293,5,FALSE)),"",IF(VLOOKUP($F47,Declarations!$B$6:$F$293,5,FALSE)="","NOT DECLARED",VLOOKUP($F47,Declarations!$B$6:$F$293,5,FALSE)))</f>
        <v/>
      </c>
      <c r="E47" s="120" t="str">
        <f>IF(ISNA(VLOOKUP($F47,Declarations!$B$6:$D$293,3,FALSE)),"",IF(VLOOKUP($F47,Declarations!$B$6:$D$293,3,FALSE)="","NOT DECLARED",VLOOKUP($F47,Declarations!$B$6:$D$293,3,FALSE)&amp;LEFT(VLOOKUP($F47,Declarations!$B$6:$E$293,4,FALSE))))</f>
        <v/>
      </c>
      <c r="F47" s="59"/>
      <c r="G47" s="129"/>
      <c r="H47" s="129"/>
      <c r="I47" s="122" t="str">
        <f>IF(ISNA(VLOOKUP(F47,Declarations!B$6:C$293,2,FALSE)),"",IF(VLOOKUP(F47,Declarations!B$6:C$293,2,FALSE)="","NOT DECLARED",VLOOKUP(F47,Declarations!B$6:C$293,2,FALSE)))</f>
        <v/>
      </c>
      <c r="J47" s="120">
        <f>IF(LOWER(LEFT(G47,1))="n",1,VLOOKUP(G47,ScoringTable!D$2:I$95,6))</f>
        <v>0</v>
      </c>
      <c r="K47" s="120" t="str" cm="1">
        <f t="array" ref="K47">IF(OR(E47="",G47=""),"",_xlfn.IFS(E47="U10B",_xlfn.XLOOKUP(G47,Data!$D$5:$L$5,Data!$D$1:$L$1,"",-1,1),E47="U12B",_xlfn.XLOOKUP(G47,Data!$D$12:$L$12,Data!$D$1:$L$1,"",-1,1),E47="U10G",_xlfn.XLOOKUP(G47,Data!$D$18:$L$18,Data!$D$1:$L$1,"",-1,1),E47="U12G",_xlfn.XLOOKUP(G47,Data!$D$25:$L$25,Data!$D$1:$L$1,"",-1,1)))</f>
        <v/>
      </c>
      <c r="L47" s="184" t="str" cm="1">
        <f t="array" ref="L47">IFERROR(_xlfn.IFNA(
                      _xlfn.IFS(
                      G47="", "",
                      AND(E47="U10B",G47&gt;=Data!$M$5), "U10 Boys record",
                      AND(E47="U12B",G47&gt;=Data!$M$12), "U12 Boys record",
                      AND(E47="U10G",G47&gt;=Data!$M$18), "U10 Girls record",
                      AND(E47="U12G",G47&gt;=Data!$M$25), "U12 Girls record"
                       ),""), "")</f>
        <v/>
      </c>
      <c r="M47" s="19" cm="1">
        <f t="array" ref="M47">_xlfn.IFS($G47="",0, AND(NOT(ISNUMBER($G47)),LOWER(LEFT($G47,1))&lt;&gt;"n"),"Not a valid distance",OR(LOWER(LEFT($G47,1))="n",$G47&lt;ScoringTable!$O$161),1,RIGHT($E47,1)="B",_xlfn.XLOOKUP($G47,ScoringTable!$O$2:$O$161,ScoringTable!$L$2:$L$161,,-1),TRUE,_xlfn.XLOOKUP($G47,ScoringTable!$U$2:$U$161,ScoringTable!$R$2:$R$161,,-1))</f>
        <v>0</v>
      </c>
    </row>
    <row r="48" spans="1:13" s="7" customFormat="1" ht="16" customHeight="1">
      <c r="A48" s="121" t="s">
        <v>81</v>
      </c>
      <c r="B48" s="122" t="str">
        <f>IF(ISNA(VLOOKUP($F48,Declarations!B$6:C$293,2,FALSE)),"",IF(VLOOKUP($F48,Declarations!B$6:C$293,2,FALSE)="","NOT DECLARED",IF(ISNA(_xlfn.TEXTBEFORE(VLOOKUP($F48,Declarations!B$6:C$293,2,FALSE)," ")),VLOOKUP($F48,Declarations!B$6:C$293,2,FALSE),_xlfn.TEXTBEFORE(VLOOKUP($F48,Declarations!B$6:C$293,2,FALSE)," "))))</f>
        <v/>
      </c>
      <c r="C48" s="122" t="str">
        <f>IF(ISNA(VLOOKUP($F48,Declarations!B$6:C$293,2,FALSE)),"",IF(VLOOKUP($F48,Declarations!B$6:C$293,2,FALSE)="","NOT DECLARED",IF(ISNA(_xlfn.TEXTAFTER(VLOOKUP($F48,Declarations!B$6:C$293,2,FALSE)," ")),VLOOKUP($F48,Declarations!B$6:C$293,2,FALSE),_xlfn.TEXTAFTER(VLOOKUP($F48,Declarations!B$6:C$293,2,FALSE)," "))))</f>
        <v/>
      </c>
      <c r="D48" s="122" t="str">
        <f>IF(ISNA(VLOOKUP($F48,Declarations!$B$6:$F$293,5,FALSE)),"",IF(VLOOKUP($F48,Declarations!$B$6:$F$293,5,FALSE)="","NOT DECLARED",VLOOKUP($F48,Declarations!$B$6:$F$293,5,FALSE)))</f>
        <v/>
      </c>
      <c r="E48" s="120" t="str">
        <f>IF(ISNA(VLOOKUP($F48,Declarations!$B$6:$D$293,3,FALSE)),"",IF(VLOOKUP($F48,Declarations!$B$6:$D$293,3,FALSE)="","NOT DECLARED",VLOOKUP($F48,Declarations!$B$6:$D$293,3,FALSE)&amp;LEFT(VLOOKUP($F48,Declarations!$B$6:$E$293,4,FALSE))))</f>
        <v/>
      </c>
      <c r="F48" s="59"/>
      <c r="G48" s="129"/>
      <c r="H48" s="129"/>
      <c r="I48" s="122" t="str">
        <f>IF(ISNA(VLOOKUP(F48,Declarations!B$6:C$293,2,FALSE)),"",IF(VLOOKUP(F48,Declarations!B$6:C$293,2,FALSE)="","NOT DECLARED",VLOOKUP(F48,Declarations!B$6:C$293,2,FALSE)))</f>
        <v/>
      </c>
      <c r="J48" s="120">
        <f>IF(LOWER(LEFT(G48,1))="n",1,VLOOKUP(G48,ScoringTable!D$2:I$95,6))</f>
        <v>0</v>
      </c>
      <c r="K48" s="120" t="str" cm="1">
        <f t="array" ref="K48">IF(OR(E48="",G48=""),"",_xlfn.IFS(E48="U10B",_xlfn.XLOOKUP(G48,Data!$D$5:$L$5,Data!$D$1:$L$1,"",-1,1),E48="U12B",_xlfn.XLOOKUP(G48,Data!$D$12:$L$12,Data!$D$1:$L$1,"",-1,1),E48="U10G",_xlfn.XLOOKUP(G48,Data!$D$18:$L$18,Data!$D$1:$L$1,"",-1,1),E48="U12G",_xlfn.XLOOKUP(G48,Data!$D$25:$L$25,Data!$D$1:$L$1,"",-1,1)))</f>
        <v/>
      </c>
      <c r="L48" s="184" t="str" cm="1">
        <f t="array" ref="L48">IFERROR(_xlfn.IFNA(
                      _xlfn.IFS(
                      G48="", "",
                      AND(E48="U10B",G48&gt;=Data!$M$5), "U10 Boys record",
                      AND(E48="U12B",G48&gt;=Data!$M$12), "U12 Boys record",
                      AND(E48="U10G",G48&gt;=Data!$M$18), "U10 Girls record",
                      AND(E48="U12G",G48&gt;=Data!$M$25), "U12 Girls record"
                       ),""), "")</f>
        <v/>
      </c>
      <c r="M48" s="19" cm="1">
        <f t="array" ref="M48">_xlfn.IFS($G48="",0, AND(NOT(ISNUMBER($G48)),LOWER(LEFT($G48,1))&lt;&gt;"n"),"Not a valid distance",OR(LOWER(LEFT($G48,1))="n",$G48&lt;ScoringTable!$O$161),1,RIGHT($E48,1)="B",_xlfn.XLOOKUP($G48,ScoringTable!$O$2:$O$161,ScoringTable!$L$2:$L$161,,-1),TRUE,_xlfn.XLOOKUP($G48,ScoringTable!$U$2:$U$161,ScoringTable!$R$2:$R$161,,-1))</f>
        <v>0</v>
      </c>
    </row>
    <row r="49" spans="1:13" s="7" customFormat="1" ht="16" customHeight="1">
      <c r="A49" s="121" t="s">
        <v>81</v>
      </c>
      <c r="B49" s="122" t="str">
        <f>IF(ISNA(VLOOKUP($F49,Declarations!B$6:C$293,2,FALSE)),"",IF(VLOOKUP($F49,Declarations!B$6:C$293,2,FALSE)="","NOT DECLARED",IF(ISNA(_xlfn.TEXTBEFORE(VLOOKUP($F49,Declarations!B$6:C$293,2,FALSE)," ")),VLOOKUP($F49,Declarations!B$6:C$293,2,FALSE),_xlfn.TEXTBEFORE(VLOOKUP($F49,Declarations!B$6:C$293,2,FALSE)," "))))</f>
        <v/>
      </c>
      <c r="C49" s="122" t="str">
        <f>IF(ISNA(VLOOKUP($F49,Declarations!B$6:C$293,2,FALSE)),"",IF(VLOOKUP($F49,Declarations!B$6:C$293,2,FALSE)="","NOT DECLARED",IF(ISNA(_xlfn.TEXTAFTER(VLOOKUP($F49,Declarations!B$6:C$293,2,FALSE)," ")),VLOOKUP($F49,Declarations!B$6:C$293,2,FALSE),_xlfn.TEXTAFTER(VLOOKUP($F49,Declarations!B$6:C$293,2,FALSE)," "))))</f>
        <v/>
      </c>
      <c r="D49" s="122" t="str">
        <f>IF(ISNA(VLOOKUP($F49,Declarations!$B$6:$F$293,5,FALSE)),"",IF(VLOOKUP($F49,Declarations!$B$6:$F$293,5,FALSE)="","NOT DECLARED",VLOOKUP($F49,Declarations!$B$6:$F$293,5,FALSE)))</f>
        <v/>
      </c>
      <c r="E49" s="120" t="str">
        <f>IF(ISNA(VLOOKUP($F49,Declarations!$B$6:$D$293,3,FALSE)),"",IF(VLOOKUP($F49,Declarations!$B$6:$D$293,3,FALSE)="","NOT DECLARED",VLOOKUP($F49,Declarations!$B$6:$D$293,3,FALSE)&amp;LEFT(VLOOKUP($F49,Declarations!$B$6:$E$293,4,FALSE))))</f>
        <v/>
      </c>
      <c r="F49" s="59"/>
      <c r="G49" s="129"/>
      <c r="H49" s="129"/>
      <c r="I49" s="122" t="str">
        <f>IF(ISNA(VLOOKUP(F49,Declarations!B$6:C$293,2,FALSE)),"",IF(VLOOKUP(F49,Declarations!B$6:C$293,2,FALSE)="","NOT DECLARED",VLOOKUP(F49,Declarations!B$6:C$293,2,FALSE)))</f>
        <v/>
      </c>
      <c r="J49" s="120">
        <f>IF(LOWER(LEFT(G49,1))="n",1,VLOOKUP(G49,ScoringTable!D$2:I$95,6))</f>
        <v>0</v>
      </c>
      <c r="K49" s="120" t="str" cm="1">
        <f t="array" ref="K49">IF(OR(E49="",G49=""),"",_xlfn.IFS(E49="U10B",_xlfn.XLOOKUP(G49,Data!$D$5:$L$5,Data!$D$1:$L$1,"",-1,1),E49="U12B",_xlfn.XLOOKUP(G49,Data!$D$12:$L$12,Data!$D$1:$L$1,"",-1,1),E49="U10G",_xlfn.XLOOKUP(G49,Data!$D$18:$L$18,Data!$D$1:$L$1,"",-1,1),E49="U12G",_xlfn.XLOOKUP(G49,Data!$D$25:$L$25,Data!$D$1:$L$1,"",-1,1)))</f>
        <v/>
      </c>
      <c r="L49" s="184" t="str" cm="1">
        <f t="array" ref="L49">IFERROR(_xlfn.IFNA(
                      _xlfn.IFS(
                      G49="", "",
                      AND(E49="U10B",G49&gt;=Data!$M$5), "U10 Boys record",
                      AND(E49="U12B",G49&gt;=Data!$M$12), "U12 Boys record",
                      AND(E49="U10G",G49&gt;=Data!$M$18), "U10 Girls record",
                      AND(E49="U12G",G49&gt;=Data!$M$25), "U12 Girls record"
                       ),""), "")</f>
        <v/>
      </c>
      <c r="M49" s="19" cm="1">
        <f t="array" ref="M49">_xlfn.IFS($G49="",0, AND(NOT(ISNUMBER($G49)),LOWER(LEFT($G49,1))&lt;&gt;"n"),"Not a valid distance",OR(LOWER(LEFT($G49,1))="n",$G49&lt;ScoringTable!$O$161),1,RIGHT($E49,1)="B",_xlfn.XLOOKUP($G49,ScoringTable!$O$2:$O$161,ScoringTable!$L$2:$L$161,,-1),TRUE,_xlfn.XLOOKUP($G49,ScoringTable!$U$2:$U$161,ScoringTable!$R$2:$R$161,,-1))</f>
        <v>0</v>
      </c>
    </row>
    <row r="50" spans="1:13" s="7" customFormat="1" ht="16" customHeight="1">
      <c r="A50" s="121" t="s">
        <v>81</v>
      </c>
      <c r="B50" s="122" t="str">
        <f>IF(ISNA(VLOOKUP($F50,Declarations!B$6:C$293,2,FALSE)),"",IF(VLOOKUP($F50,Declarations!B$6:C$293,2,FALSE)="","NOT DECLARED",IF(ISNA(_xlfn.TEXTBEFORE(VLOOKUP($F50,Declarations!B$6:C$293,2,FALSE)," ")),VLOOKUP($F50,Declarations!B$6:C$293,2,FALSE),_xlfn.TEXTBEFORE(VLOOKUP($F50,Declarations!B$6:C$293,2,FALSE)," "))))</f>
        <v/>
      </c>
      <c r="C50" s="122" t="str">
        <f>IF(ISNA(VLOOKUP($F50,Declarations!B$6:C$293,2,FALSE)),"",IF(VLOOKUP($F50,Declarations!B$6:C$293,2,FALSE)="","NOT DECLARED",IF(ISNA(_xlfn.TEXTAFTER(VLOOKUP($F50,Declarations!B$6:C$293,2,FALSE)," ")),VLOOKUP($F50,Declarations!B$6:C$293,2,FALSE),_xlfn.TEXTAFTER(VLOOKUP($F50,Declarations!B$6:C$293,2,FALSE)," "))))</f>
        <v/>
      </c>
      <c r="D50" s="122" t="str">
        <f>IF(ISNA(VLOOKUP($F50,Declarations!$B$6:$F$293,5,FALSE)),"",IF(VLOOKUP($F50,Declarations!$B$6:$F$293,5,FALSE)="","NOT DECLARED",VLOOKUP($F50,Declarations!$B$6:$F$293,5,FALSE)))</f>
        <v/>
      </c>
      <c r="E50" s="120" t="str">
        <f>IF(ISNA(VLOOKUP($F50,Declarations!$B$6:$D$293,3,FALSE)),"",IF(VLOOKUP($F50,Declarations!$B$6:$D$293,3,FALSE)="","NOT DECLARED",VLOOKUP($F50,Declarations!$B$6:$D$293,3,FALSE)&amp;LEFT(VLOOKUP($F50,Declarations!$B$6:$E$293,4,FALSE))))</f>
        <v/>
      </c>
      <c r="F50" s="59"/>
      <c r="G50" s="129"/>
      <c r="H50" s="129"/>
      <c r="I50" s="122" t="str">
        <f>IF(ISNA(VLOOKUP(F50,Declarations!B$6:C$293,2,FALSE)),"",IF(VLOOKUP(F50,Declarations!B$6:C$293,2,FALSE)="","NOT DECLARED",VLOOKUP(F50,Declarations!B$6:C$293,2,FALSE)))</f>
        <v/>
      </c>
      <c r="J50" s="120">
        <f>IF(LOWER(LEFT(G50,1))="n",1,VLOOKUP(G50,ScoringTable!D$2:I$95,6))</f>
        <v>0</v>
      </c>
      <c r="K50" s="120" t="str" cm="1">
        <f t="array" ref="K50">IF(OR(E50="",G50=""),"",_xlfn.IFS(E50="U10B",_xlfn.XLOOKUP(G50,Data!$D$5:$L$5,Data!$D$1:$L$1,"",-1,1),E50="U12B",_xlfn.XLOOKUP(G50,Data!$D$12:$L$12,Data!$D$1:$L$1,"",-1,1),E50="U10G",_xlfn.XLOOKUP(G50,Data!$D$18:$L$18,Data!$D$1:$L$1,"",-1,1),E50="U12G",_xlfn.XLOOKUP(G50,Data!$D$25:$L$25,Data!$D$1:$L$1,"",-1,1)))</f>
        <v/>
      </c>
      <c r="L50" s="184" t="str" cm="1">
        <f t="array" ref="L50">IFERROR(_xlfn.IFNA(
                      _xlfn.IFS(
                      G50="", "",
                      AND(E50="U10B",G50&gt;=Data!$M$5), "U10 Boys record",
                      AND(E50="U12B",G50&gt;=Data!$M$12), "U12 Boys record",
                      AND(E50="U10G",G50&gt;=Data!$M$18), "U10 Girls record",
                      AND(E50="U12G",G50&gt;=Data!$M$25), "U12 Girls record"
                       ),""), "")</f>
        <v/>
      </c>
      <c r="M50" s="19" cm="1">
        <f t="array" ref="M50">_xlfn.IFS($G50="",0, AND(NOT(ISNUMBER($G50)),LOWER(LEFT($G50,1))&lt;&gt;"n"),"Not a valid distance",OR(LOWER(LEFT($G50,1))="n",$G50&lt;ScoringTable!$O$161),1,RIGHT($E50,1)="B",_xlfn.XLOOKUP($G50,ScoringTable!$O$2:$O$161,ScoringTable!$L$2:$L$161,,-1),TRUE,_xlfn.XLOOKUP($G50,ScoringTable!$U$2:$U$161,ScoringTable!$R$2:$R$161,,-1))</f>
        <v>0</v>
      </c>
    </row>
    <row r="51" spans="1:13" s="7" customFormat="1" ht="16" customHeight="1">
      <c r="A51" s="121" t="s">
        <v>81</v>
      </c>
      <c r="B51" s="122" t="str">
        <f>IF(ISNA(VLOOKUP($F51,Declarations!B$6:C$293,2,FALSE)),"",IF(VLOOKUP($F51,Declarations!B$6:C$293,2,FALSE)="","NOT DECLARED",IF(ISNA(_xlfn.TEXTBEFORE(VLOOKUP($F51,Declarations!B$6:C$293,2,FALSE)," ")),VLOOKUP($F51,Declarations!B$6:C$293,2,FALSE),_xlfn.TEXTBEFORE(VLOOKUP($F51,Declarations!B$6:C$293,2,FALSE)," "))))</f>
        <v/>
      </c>
      <c r="C51" s="122" t="str">
        <f>IF(ISNA(VLOOKUP($F51,Declarations!B$6:C$293,2,FALSE)),"",IF(VLOOKUP($F51,Declarations!B$6:C$293,2,FALSE)="","NOT DECLARED",IF(ISNA(_xlfn.TEXTAFTER(VLOOKUP($F51,Declarations!B$6:C$293,2,FALSE)," ")),VLOOKUP($F51,Declarations!B$6:C$293,2,FALSE),_xlfn.TEXTAFTER(VLOOKUP($F51,Declarations!B$6:C$293,2,FALSE)," "))))</f>
        <v/>
      </c>
      <c r="D51" s="122" t="str">
        <f>IF(ISNA(VLOOKUP($F51,Declarations!$B$6:$F$293,5,FALSE)),"",IF(VLOOKUP($F51,Declarations!$B$6:$F$293,5,FALSE)="","NOT DECLARED",VLOOKUP($F51,Declarations!$B$6:$F$293,5,FALSE)))</f>
        <v/>
      </c>
      <c r="E51" s="120" t="str">
        <f>IF(ISNA(VLOOKUP($F51,Declarations!$B$6:$D$293,3,FALSE)),"",IF(VLOOKUP($F51,Declarations!$B$6:$D$293,3,FALSE)="","NOT DECLARED",VLOOKUP($F51,Declarations!$B$6:$D$293,3,FALSE)&amp;LEFT(VLOOKUP($F51,Declarations!$B$6:$E$293,4,FALSE))))</f>
        <v/>
      </c>
      <c r="F51" s="59"/>
      <c r="G51" s="129"/>
      <c r="H51" s="129"/>
      <c r="I51" s="122" t="str">
        <f>IF(ISNA(VLOOKUP(F51,Declarations!B$6:C$293,2,FALSE)),"",IF(VLOOKUP(F51,Declarations!B$6:C$293,2,FALSE)="","NOT DECLARED",VLOOKUP(F51,Declarations!B$6:C$293,2,FALSE)))</f>
        <v/>
      </c>
      <c r="J51" s="120">
        <f>IF(LOWER(LEFT(G51,1))="n",1,VLOOKUP(G51,ScoringTable!D$2:I$95,6))</f>
        <v>0</v>
      </c>
      <c r="K51" s="120" t="str" cm="1">
        <f t="array" ref="K51">IF(OR(E51="",G51=""),"",_xlfn.IFS(E51="U10B",_xlfn.XLOOKUP(G51,Data!$D$5:$L$5,Data!$D$1:$L$1,"",-1,1),E51="U12B",_xlfn.XLOOKUP(G51,Data!$D$12:$L$12,Data!$D$1:$L$1,"",-1,1),E51="U10G",_xlfn.XLOOKUP(G51,Data!$D$18:$L$18,Data!$D$1:$L$1,"",-1,1),E51="U12G",_xlfn.XLOOKUP(G51,Data!$D$25:$L$25,Data!$D$1:$L$1,"",-1,1)))</f>
        <v/>
      </c>
      <c r="L51" s="184" t="str" cm="1">
        <f t="array" ref="L51">IFERROR(_xlfn.IFNA(
                      _xlfn.IFS(
                      G51="", "",
                      AND(E51="U10B",G51&gt;=Data!$M$5), "U10 Boys record",
                      AND(E51="U12B",G51&gt;=Data!$M$12), "U12 Boys record",
                      AND(E51="U10G",G51&gt;=Data!$M$18), "U10 Girls record",
                      AND(E51="U12G",G51&gt;=Data!$M$25), "U12 Girls record"
                       ),""), "")</f>
        <v/>
      </c>
      <c r="M51" s="19" cm="1">
        <f t="array" ref="M51">_xlfn.IFS($G51="",0, AND(NOT(ISNUMBER($G51)),LOWER(LEFT($G51,1))&lt;&gt;"n"),"Not a valid distance",OR(LOWER(LEFT($G51,1))="n",$G51&lt;ScoringTable!$O$161),1,RIGHT($E51,1)="B",_xlfn.XLOOKUP($G51,ScoringTable!$O$2:$O$161,ScoringTable!$L$2:$L$161,,-1),TRUE,_xlfn.XLOOKUP($G51,ScoringTable!$U$2:$U$161,ScoringTable!$R$2:$R$161,,-1))</f>
        <v>0</v>
      </c>
    </row>
    <row r="52" spans="1:13" s="7" customFormat="1" ht="16" customHeight="1">
      <c r="A52" s="121" t="s">
        <v>81</v>
      </c>
      <c r="B52" s="122" t="str">
        <f>IF(ISNA(VLOOKUP($F52,Declarations!B$6:C$293,2,FALSE)),"",IF(VLOOKUP($F52,Declarations!B$6:C$293,2,FALSE)="","NOT DECLARED",IF(ISNA(_xlfn.TEXTBEFORE(VLOOKUP($F52,Declarations!B$6:C$293,2,FALSE)," ")),VLOOKUP($F52,Declarations!B$6:C$293,2,FALSE),_xlfn.TEXTBEFORE(VLOOKUP($F52,Declarations!B$6:C$293,2,FALSE)," "))))</f>
        <v/>
      </c>
      <c r="C52" s="122" t="str">
        <f>IF(ISNA(VLOOKUP($F52,Declarations!B$6:C$293,2,FALSE)),"",IF(VLOOKUP($F52,Declarations!B$6:C$293,2,FALSE)="","NOT DECLARED",IF(ISNA(_xlfn.TEXTAFTER(VLOOKUP($F52,Declarations!B$6:C$293,2,FALSE)," ")),VLOOKUP($F52,Declarations!B$6:C$293,2,FALSE),_xlfn.TEXTAFTER(VLOOKUP($F52,Declarations!B$6:C$293,2,FALSE)," "))))</f>
        <v/>
      </c>
      <c r="D52" s="122" t="str">
        <f>IF(ISNA(VLOOKUP($F52,Declarations!$B$6:$F$293,5,FALSE)),"",IF(VLOOKUP($F52,Declarations!$B$6:$F$293,5,FALSE)="","NOT DECLARED",VLOOKUP($F52,Declarations!$B$6:$F$293,5,FALSE)))</f>
        <v/>
      </c>
      <c r="E52" s="120" t="str">
        <f>IF(ISNA(VLOOKUP($F52,Declarations!$B$6:$D$293,3,FALSE)),"",IF(VLOOKUP($F52,Declarations!$B$6:$D$293,3,FALSE)="","NOT DECLARED",VLOOKUP($F52,Declarations!$B$6:$D$293,3,FALSE)&amp;LEFT(VLOOKUP($F52,Declarations!$B$6:$E$293,4,FALSE))))</f>
        <v/>
      </c>
      <c r="F52" s="59"/>
      <c r="G52" s="129"/>
      <c r="H52" s="129"/>
      <c r="I52" s="122" t="str">
        <f>IF(ISNA(VLOOKUP(F52,Declarations!B$6:C$293,2,FALSE)),"",IF(VLOOKUP(F52,Declarations!B$6:C$293,2,FALSE)="","NOT DECLARED",VLOOKUP(F52,Declarations!B$6:C$293,2,FALSE)))</f>
        <v/>
      </c>
      <c r="J52" s="120">
        <f>IF(LOWER(LEFT(G52,1))="n",1,VLOOKUP(G52,ScoringTable!D$2:I$95,6))</f>
        <v>0</v>
      </c>
      <c r="K52" s="120" t="str" cm="1">
        <f t="array" ref="K52">IF(OR(E52="",G52=""),"",_xlfn.IFS(E52="U10B",_xlfn.XLOOKUP(G52,Data!$D$5:$L$5,Data!$D$1:$L$1,"",-1,1),E52="U12B",_xlfn.XLOOKUP(G52,Data!$D$12:$L$12,Data!$D$1:$L$1,"",-1,1),E52="U10G",_xlfn.XLOOKUP(G52,Data!$D$18:$L$18,Data!$D$1:$L$1,"",-1,1),E52="U12G",_xlfn.XLOOKUP(G52,Data!$D$25:$L$25,Data!$D$1:$L$1,"",-1,1)))</f>
        <v/>
      </c>
      <c r="L52" s="184" t="str" cm="1">
        <f t="array" ref="L52">IFERROR(_xlfn.IFNA(
                      _xlfn.IFS(
                      G52="", "",
                      AND(E52="U10B",G52&gt;=Data!$M$5), "U10 Boys record",
                      AND(E52="U12B",G52&gt;=Data!$M$12), "U12 Boys record",
                      AND(E52="U10G",G52&gt;=Data!$M$18), "U10 Girls record",
                      AND(E52="U12G",G52&gt;=Data!$M$25), "U12 Girls record"
                       ),""), "")</f>
        <v/>
      </c>
      <c r="M52" s="19" cm="1">
        <f t="array" ref="M52">_xlfn.IFS($G52="",0, AND(NOT(ISNUMBER($G52)),LOWER(LEFT($G52,1))&lt;&gt;"n"),"Not a valid distance",OR(LOWER(LEFT($G52,1))="n",$G52&lt;ScoringTable!$O$161),1,RIGHT($E52,1)="B",_xlfn.XLOOKUP($G52,ScoringTable!$O$2:$O$161,ScoringTable!$L$2:$L$161,,-1),TRUE,_xlfn.XLOOKUP($G52,ScoringTable!$U$2:$U$161,ScoringTable!$R$2:$R$161,,-1))</f>
        <v>0</v>
      </c>
    </row>
    <row r="53" spans="1:13" s="7" customFormat="1" ht="16" customHeight="1">
      <c r="A53" s="121" t="s">
        <v>81</v>
      </c>
      <c r="B53" s="122" t="str">
        <f>IF(ISNA(VLOOKUP($F53,Declarations!B$6:C$293,2,FALSE)),"",IF(VLOOKUP($F53,Declarations!B$6:C$293,2,FALSE)="","NOT DECLARED",IF(ISNA(_xlfn.TEXTBEFORE(VLOOKUP($F53,Declarations!B$6:C$293,2,FALSE)," ")),VLOOKUP($F53,Declarations!B$6:C$293,2,FALSE),_xlfn.TEXTBEFORE(VLOOKUP($F53,Declarations!B$6:C$293,2,FALSE)," "))))</f>
        <v/>
      </c>
      <c r="C53" s="122" t="str">
        <f>IF(ISNA(VLOOKUP($F53,Declarations!B$6:C$293,2,FALSE)),"",IF(VLOOKUP($F53,Declarations!B$6:C$293,2,FALSE)="","NOT DECLARED",IF(ISNA(_xlfn.TEXTAFTER(VLOOKUP($F53,Declarations!B$6:C$293,2,FALSE)," ")),VLOOKUP($F53,Declarations!B$6:C$293,2,FALSE),_xlfn.TEXTAFTER(VLOOKUP($F53,Declarations!B$6:C$293,2,FALSE)," "))))</f>
        <v/>
      </c>
      <c r="D53" s="122" t="str">
        <f>IF(ISNA(VLOOKUP($F53,Declarations!$B$6:$F$293,5,FALSE)),"",IF(VLOOKUP($F53,Declarations!$B$6:$F$293,5,FALSE)="","NOT DECLARED",VLOOKUP($F53,Declarations!$B$6:$F$293,5,FALSE)))</f>
        <v/>
      </c>
      <c r="E53" s="120" t="str">
        <f>IF(ISNA(VLOOKUP($F53,Declarations!$B$6:$D$293,3,FALSE)),"",IF(VLOOKUP($F53,Declarations!$B$6:$D$293,3,FALSE)="","NOT DECLARED",VLOOKUP($F53,Declarations!$B$6:$D$293,3,FALSE)&amp;LEFT(VLOOKUP($F53,Declarations!$B$6:$E$293,4,FALSE))))</f>
        <v/>
      </c>
      <c r="F53" s="59"/>
      <c r="G53" s="129"/>
      <c r="H53" s="129"/>
      <c r="I53" s="122" t="str">
        <f>IF(ISNA(VLOOKUP(F53,Declarations!B$6:C$293,2,FALSE)),"",IF(VLOOKUP(F53,Declarations!B$6:C$293,2,FALSE)="","NOT DECLARED",VLOOKUP(F53,Declarations!B$6:C$293,2,FALSE)))</f>
        <v/>
      </c>
      <c r="J53" s="120">
        <f>IF(LOWER(LEFT(G53,1))="n",1,VLOOKUP(G53,ScoringTable!D$2:I$95,6))</f>
        <v>0</v>
      </c>
      <c r="K53" s="120" t="str" cm="1">
        <f t="array" ref="K53">IF(OR(E53="",G53=""),"",_xlfn.IFS(E53="U10B",_xlfn.XLOOKUP(G53,Data!$D$5:$L$5,Data!$D$1:$L$1,"",-1,1),E53="U12B",_xlfn.XLOOKUP(G53,Data!$D$12:$L$12,Data!$D$1:$L$1,"",-1,1),E53="U10G",_xlfn.XLOOKUP(G53,Data!$D$18:$L$18,Data!$D$1:$L$1,"",-1,1),E53="U12G",_xlfn.XLOOKUP(G53,Data!$D$25:$L$25,Data!$D$1:$L$1,"",-1,1)))</f>
        <v/>
      </c>
      <c r="L53" s="184" t="str" cm="1">
        <f t="array" ref="L53">IFERROR(_xlfn.IFNA(
                      _xlfn.IFS(
                      G53="", "",
                      AND(E53="U10B",G53&gt;=Data!$M$5), "U10 Boys record",
                      AND(E53="U12B",G53&gt;=Data!$M$12), "U12 Boys record",
                      AND(E53="U10G",G53&gt;=Data!$M$18), "U10 Girls record",
                      AND(E53="U12G",G53&gt;=Data!$M$25), "U12 Girls record"
                       ),""), "")</f>
        <v/>
      </c>
      <c r="M53" s="19" cm="1">
        <f t="array" ref="M53">_xlfn.IFS($G53="",0, AND(NOT(ISNUMBER($G53)),LOWER(LEFT($G53,1))&lt;&gt;"n"),"Not a valid distance",OR(LOWER(LEFT($G53,1))="n",$G53&lt;ScoringTable!$O$161),1,RIGHT($E53,1)="B",_xlfn.XLOOKUP($G53,ScoringTable!$O$2:$O$161,ScoringTable!$L$2:$L$161,,-1),TRUE,_xlfn.XLOOKUP($G53,ScoringTable!$U$2:$U$161,ScoringTable!$R$2:$R$161,,-1))</f>
        <v>0</v>
      </c>
    </row>
    <row r="54" spans="1:13" s="7" customFormat="1" ht="16" customHeight="1">
      <c r="A54" s="121" t="s">
        <v>81</v>
      </c>
      <c r="B54" s="122" t="str">
        <f>IF(ISNA(VLOOKUP($F54,Declarations!B$6:C$293,2,FALSE)),"",IF(VLOOKUP($F54,Declarations!B$6:C$293,2,FALSE)="","NOT DECLARED",IF(ISNA(_xlfn.TEXTBEFORE(VLOOKUP($F54,Declarations!B$6:C$293,2,FALSE)," ")),VLOOKUP($F54,Declarations!B$6:C$293,2,FALSE),_xlfn.TEXTBEFORE(VLOOKUP($F54,Declarations!B$6:C$293,2,FALSE)," "))))</f>
        <v/>
      </c>
      <c r="C54" s="122" t="str">
        <f>IF(ISNA(VLOOKUP($F54,Declarations!B$6:C$293,2,FALSE)),"",IF(VLOOKUP($F54,Declarations!B$6:C$293,2,FALSE)="","NOT DECLARED",IF(ISNA(_xlfn.TEXTAFTER(VLOOKUP($F54,Declarations!B$6:C$293,2,FALSE)," ")),VLOOKUP($F54,Declarations!B$6:C$293,2,FALSE),_xlfn.TEXTAFTER(VLOOKUP($F54,Declarations!B$6:C$293,2,FALSE)," "))))</f>
        <v/>
      </c>
      <c r="D54" s="122" t="str">
        <f>IF(ISNA(VLOOKUP($F54,Declarations!$B$6:$F$293,5,FALSE)),"",IF(VLOOKUP($F54,Declarations!$B$6:$F$293,5,FALSE)="","NOT DECLARED",VLOOKUP($F54,Declarations!$B$6:$F$293,5,FALSE)))</f>
        <v/>
      </c>
      <c r="E54" s="120" t="str">
        <f>IF(ISNA(VLOOKUP($F54,Declarations!$B$6:$D$293,3,FALSE)),"",IF(VLOOKUP($F54,Declarations!$B$6:$D$293,3,FALSE)="","NOT DECLARED",VLOOKUP($F54,Declarations!$B$6:$D$293,3,FALSE)&amp;LEFT(VLOOKUP($F54,Declarations!$B$6:$E$293,4,FALSE))))</f>
        <v/>
      </c>
      <c r="F54" s="59"/>
      <c r="G54" s="129"/>
      <c r="H54" s="129"/>
      <c r="I54" s="122" t="str">
        <f>IF(ISNA(VLOOKUP(F54,Declarations!B$6:C$293,2,FALSE)),"",IF(VLOOKUP(F54,Declarations!B$6:C$293,2,FALSE)="","NOT DECLARED",VLOOKUP(F54,Declarations!B$6:C$293,2,FALSE)))</f>
        <v/>
      </c>
      <c r="J54" s="120">
        <f>IF(LOWER(LEFT(G54,1))="n",1,VLOOKUP(G54,ScoringTable!D$2:I$95,6))</f>
        <v>0</v>
      </c>
      <c r="K54" s="120" t="str" cm="1">
        <f t="array" ref="K54">IF(OR(E54="",G54=""),"",_xlfn.IFS(E54="U10B",_xlfn.XLOOKUP(G54,Data!$D$5:$L$5,Data!$D$1:$L$1,"",-1,1),E54="U12B",_xlfn.XLOOKUP(G54,Data!$D$12:$L$12,Data!$D$1:$L$1,"",-1,1),E54="U10G",_xlfn.XLOOKUP(G54,Data!$D$18:$L$18,Data!$D$1:$L$1,"",-1,1),E54="U12G",_xlfn.XLOOKUP(G54,Data!$D$25:$L$25,Data!$D$1:$L$1,"",-1,1)))</f>
        <v/>
      </c>
      <c r="L54" s="184" t="str" cm="1">
        <f t="array" ref="L54">IFERROR(_xlfn.IFNA(
                      _xlfn.IFS(
                      G54="", "",
                      AND(E54="U10B",G54&gt;=Data!$M$5), "U10 Boys record",
                      AND(E54="U12B",G54&gt;=Data!$M$12), "U12 Boys record",
                      AND(E54="U10G",G54&gt;=Data!$M$18), "U10 Girls record",
                      AND(E54="U12G",G54&gt;=Data!$M$25), "U12 Girls record"
                       ),""), "")</f>
        <v/>
      </c>
      <c r="M54" s="19" cm="1">
        <f t="array" ref="M54">_xlfn.IFS($G54="",0, AND(NOT(ISNUMBER($G54)),LOWER(LEFT($G54,1))&lt;&gt;"n"),"Not a valid distance",OR(LOWER(LEFT($G54,1))="n",$G54&lt;ScoringTable!$O$161),1,RIGHT($E54,1)="B",_xlfn.XLOOKUP($G54,ScoringTable!$O$2:$O$161,ScoringTable!$L$2:$L$161,,-1),TRUE,_xlfn.XLOOKUP($G54,ScoringTable!$U$2:$U$161,ScoringTable!$R$2:$R$161,,-1))</f>
        <v>0</v>
      </c>
    </row>
    <row r="55" spans="1:13" s="7" customFormat="1" ht="16" customHeight="1">
      <c r="A55" s="121" t="s">
        <v>81</v>
      </c>
      <c r="B55" s="122" t="str">
        <f>IF(ISNA(VLOOKUP($F55,Declarations!B$6:C$293,2,FALSE)),"",IF(VLOOKUP($F55,Declarations!B$6:C$293,2,FALSE)="","NOT DECLARED",IF(ISNA(_xlfn.TEXTBEFORE(VLOOKUP($F55,Declarations!B$6:C$293,2,FALSE)," ")),VLOOKUP($F55,Declarations!B$6:C$293,2,FALSE),_xlfn.TEXTBEFORE(VLOOKUP($F55,Declarations!B$6:C$293,2,FALSE)," "))))</f>
        <v/>
      </c>
      <c r="C55" s="122" t="str">
        <f>IF(ISNA(VLOOKUP($F55,Declarations!B$6:C$293,2,FALSE)),"",IF(VLOOKUP($F55,Declarations!B$6:C$293,2,FALSE)="","NOT DECLARED",IF(ISNA(_xlfn.TEXTAFTER(VLOOKUP($F55,Declarations!B$6:C$293,2,FALSE)," ")),VLOOKUP($F55,Declarations!B$6:C$293,2,FALSE),_xlfn.TEXTAFTER(VLOOKUP($F55,Declarations!B$6:C$293,2,FALSE)," "))))</f>
        <v/>
      </c>
      <c r="D55" s="122" t="str">
        <f>IF(ISNA(VLOOKUP($F55,Declarations!$B$6:$F$293,5,FALSE)),"",IF(VLOOKUP($F55,Declarations!$B$6:$F$293,5,FALSE)="","NOT DECLARED",VLOOKUP($F55,Declarations!$B$6:$F$293,5,FALSE)))</f>
        <v/>
      </c>
      <c r="E55" s="120" t="str">
        <f>IF(ISNA(VLOOKUP($F55,Declarations!$B$6:$D$293,3,FALSE)),"",IF(VLOOKUP($F55,Declarations!$B$6:$D$293,3,FALSE)="","NOT DECLARED",VLOOKUP($F55,Declarations!$B$6:$D$293,3,FALSE)&amp;LEFT(VLOOKUP($F55,Declarations!$B$6:$E$293,4,FALSE))))</f>
        <v/>
      </c>
      <c r="F55" s="59"/>
      <c r="G55" s="129"/>
      <c r="H55" s="129"/>
      <c r="I55" s="122" t="str">
        <f>IF(ISNA(VLOOKUP(F55,Declarations!B$6:C$293,2,FALSE)),"",IF(VLOOKUP(F55,Declarations!B$6:C$293,2,FALSE)="","NOT DECLARED",VLOOKUP(F55,Declarations!B$6:C$293,2,FALSE)))</f>
        <v/>
      </c>
      <c r="J55" s="120">
        <f>IF(LOWER(LEFT(G55,1))="n",1,VLOOKUP(G55,ScoringTable!D$2:I$95,6))</f>
        <v>0</v>
      </c>
      <c r="K55" s="120" t="str" cm="1">
        <f t="array" ref="K55">IF(OR(E55="",G55=""),"",_xlfn.IFS(E55="U10B",_xlfn.XLOOKUP(G55,Data!$D$5:$L$5,Data!$D$1:$L$1,"",-1,1),E55="U12B",_xlfn.XLOOKUP(G55,Data!$D$12:$L$12,Data!$D$1:$L$1,"",-1,1),E55="U10G",_xlfn.XLOOKUP(G55,Data!$D$18:$L$18,Data!$D$1:$L$1,"",-1,1),E55="U12G",_xlfn.XLOOKUP(G55,Data!$D$25:$L$25,Data!$D$1:$L$1,"",-1,1)))</f>
        <v/>
      </c>
      <c r="L55" s="184" t="str" cm="1">
        <f t="array" ref="L55">IFERROR(_xlfn.IFNA(
                      _xlfn.IFS(
                      G55="", "",
                      AND(E55="U10B",G55&gt;=Data!$M$5), "U10 Boys record",
                      AND(E55="U12B",G55&gt;=Data!$M$12), "U12 Boys record",
                      AND(E55="U10G",G55&gt;=Data!$M$18), "U10 Girls record",
                      AND(E55="U12G",G55&gt;=Data!$M$25), "U12 Girls record"
                       ),""), "")</f>
        <v/>
      </c>
      <c r="M55" s="19" cm="1">
        <f t="array" ref="M55">_xlfn.IFS($G55="",0, AND(NOT(ISNUMBER($G55)),LOWER(LEFT($G55,1))&lt;&gt;"n"),"Not a valid distance",OR(LOWER(LEFT($G55,1))="n",$G55&lt;ScoringTable!$O$161),1,RIGHT($E55,1)="B",_xlfn.XLOOKUP($G55,ScoringTable!$O$2:$O$161,ScoringTable!$L$2:$L$161,,-1),TRUE,_xlfn.XLOOKUP($G55,ScoringTable!$U$2:$U$161,ScoringTable!$R$2:$R$161,,-1))</f>
        <v>0</v>
      </c>
    </row>
    <row r="56" spans="1:13" s="7" customFormat="1" ht="16" customHeight="1">
      <c r="A56" s="121" t="s">
        <v>81</v>
      </c>
      <c r="B56" s="122" t="str">
        <f>IF(ISNA(VLOOKUP($F56,Declarations!B$6:C$293,2,FALSE)),"",IF(VLOOKUP($F56,Declarations!B$6:C$293,2,FALSE)="","NOT DECLARED",IF(ISNA(_xlfn.TEXTBEFORE(VLOOKUP($F56,Declarations!B$6:C$293,2,FALSE)," ")),VLOOKUP($F56,Declarations!B$6:C$293,2,FALSE),_xlfn.TEXTBEFORE(VLOOKUP($F56,Declarations!B$6:C$293,2,FALSE)," "))))</f>
        <v/>
      </c>
      <c r="C56" s="122" t="str">
        <f>IF(ISNA(VLOOKUP($F56,Declarations!B$6:C$293,2,FALSE)),"",IF(VLOOKUP($F56,Declarations!B$6:C$293,2,FALSE)="","NOT DECLARED",IF(ISNA(_xlfn.TEXTAFTER(VLOOKUP($F56,Declarations!B$6:C$293,2,FALSE)," ")),VLOOKUP($F56,Declarations!B$6:C$293,2,FALSE),_xlfn.TEXTAFTER(VLOOKUP($F56,Declarations!B$6:C$293,2,FALSE)," "))))</f>
        <v/>
      </c>
      <c r="D56" s="122" t="str">
        <f>IF(ISNA(VLOOKUP($F56,Declarations!$B$6:$F$293,5,FALSE)),"",IF(VLOOKUP($F56,Declarations!$B$6:$F$293,5,FALSE)="","NOT DECLARED",VLOOKUP($F56,Declarations!$B$6:$F$293,5,FALSE)))</f>
        <v/>
      </c>
      <c r="E56" s="120" t="str">
        <f>IF(ISNA(VLOOKUP($F56,Declarations!$B$6:$D$293,3,FALSE)),"",IF(VLOOKUP($F56,Declarations!$B$6:$D$293,3,FALSE)="","NOT DECLARED",VLOOKUP($F56,Declarations!$B$6:$D$293,3,FALSE)&amp;LEFT(VLOOKUP($F56,Declarations!$B$6:$E$293,4,FALSE))))</f>
        <v/>
      </c>
      <c r="F56" s="59"/>
      <c r="G56" s="129"/>
      <c r="H56" s="129"/>
      <c r="I56" s="122" t="str">
        <f>IF(ISNA(VLOOKUP(F56,Declarations!B$6:C$293,2,FALSE)),"",IF(VLOOKUP(F56,Declarations!B$6:C$293,2,FALSE)="","NOT DECLARED",VLOOKUP(F56,Declarations!B$6:C$293,2,FALSE)))</f>
        <v/>
      </c>
      <c r="J56" s="120">
        <f>IF(LOWER(LEFT(G56,1))="n",1,VLOOKUP(G56,ScoringTable!D$2:I$95,6))</f>
        <v>0</v>
      </c>
      <c r="K56" s="120" t="str" cm="1">
        <f t="array" ref="K56">IF(OR(E56="",G56=""),"",_xlfn.IFS(E56="U10B",_xlfn.XLOOKUP(G56,Data!$D$5:$L$5,Data!$D$1:$L$1,"",-1,1),E56="U12B",_xlfn.XLOOKUP(G56,Data!$D$12:$L$12,Data!$D$1:$L$1,"",-1,1),E56="U10G",_xlfn.XLOOKUP(G56,Data!$D$18:$L$18,Data!$D$1:$L$1,"",-1,1),E56="U12G",_xlfn.XLOOKUP(G56,Data!$D$25:$L$25,Data!$D$1:$L$1,"",-1,1)))</f>
        <v/>
      </c>
      <c r="L56" s="184" t="str" cm="1">
        <f t="array" ref="L56">IFERROR(_xlfn.IFNA(
                      _xlfn.IFS(
                      G56="", "",
                      AND(E56="U10B",G56&gt;=Data!$M$5), "U10 Boys record",
                      AND(E56="U12B",G56&gt;=Data!$M$12), "U12 Boys record",
                      AND(E56="U10G",G56&gt;=Data!$M$18), "U10 Girls record",
                      AND(E56="U12G",G56&gt;=Data!$M$25), "U12 Girls record"
                       ),""), "")</f>
        <v/>
      </c>
      <c r="M56" s="19" cm="1">
        <f t="array" ref="M56">_xlfn.IFS($G56="",0, AND(NOT(ISNUMBER($G56)),LOWER(LEFT($G56,1))&lt;&gt;"n"),"Not a valid distance",OR(LOWER(LEFT($G56,1))="n",$G56&lt;ScoringTable!$O$161),1,RIGHT($E56,1)="B",_xlfn.XLOOKUP($G56,ScoringTable!$O$2:$O$161,ScoringTable!$L$2:$L$161,,-1),TRUE,_xlfn.XLOOKUP($G56,ScoringTable!$U$2:$U$161,ScoringTable!$R$2:$R$161,,-1))</f>
        <v>0</v>
      </c>
    </row>
    <row r="57" spans="1:13" s="7" customFormat="1" ht="16" customHeight="1">
      <c r="A57" s="121" t="s">
        <v>81</v>
      </c>
      <c r="B57" s="122" t="str">
        <f>IF(ISNA(VLOOKUP($F57,Declarations!B$6:C$293,2,FALSE)),"",IF(VLOOKUP($F57,Declarations!B$6:C$293,2,FALSE)="","NOT DECLARED",IF(ISNA(_xlfn.TEXTBEFORE(VLOOKUP($F57,Declarations!B$6:C$293,2,FALSE)," ")),VLOOKUP($F57,Declarations!B$6:C$293,2,FALSE),_xlfn.TEXTBEFORE(VLOOKUP($F57,Declarations!B$6:C$293,2,FALSE)," "))))</f>
        <v/>
      </c>
      <c r="C57" s="122" t="str">
        <f>IF(ISNA(VLOOKUP($F57,Declarations!B$6:C$293,2,FALSE)),"",IF(VLOOKUP($F57,Declarations!B$6:C$293,2,FALSE)="","NOT DECLARED",IF(ISNA(_xlfn.TEXTAFTER(VLOOKUP($F57,Declarations!B$6:C$293,2,FALSE)," ")),VLOOKUP($F57,Declarations!B$6:C$293,2,FALSE),_xlfn.TEXTAFTER(VLOOKUP($F57,Declarations!B$6:C$293,2,FALSE)," "))))</f>
        <v/>
      </c>
      <c r="D57" s="122" t="str">
        <f>IF(ISNA(VLOOKUP($F57,Declarations!$B$6:$F$293,5,FALSE)),"",IF(VLOOKUP($F57,Declarations!$B$6:$F$293,5,FALSE)="","NOT DECLARED",VLOOKUP($F57,Declarations!$B$6:$F$293,5,FALSE)))</f>
        <v/>
      </c>
      <c r="E57" s="120" t="str">
        <f>IF(ISNA(VLOOKUP($F57,Declarations!$B$6:$D$293,3,FALSE)),"",IF(VLOOKUP($F57,Declarations!$B$6:$D$293,3,FALSE)="","NOT DECLARED",VLOOKUP($F57,Declarations!$B$6:$D$293,3,FALSE)&amp;LEFT(VLOOKUP($F57,Declarations!$B$6:$E$293,4,FALSE))))</f>
        <v/>
      </c>
      <c r="F57" s="59"/>
      <c r="G57" s="129"/>
      <c r="H57" s="129"/>
      <c r="I57" s="122" t="str">
        <f>IF(ISNA(VLOOKUP(F57,Declarations!B$6:C$293,2,FALSE)),"",IF(VLOOKUP(F57,Declarations!B$6:C$293,2,FALSE)="","NOT DECLARED",VLOOKUP(F57,Declarations!B$6:C$293,2,FALSE)))</f>
        <v/>
      </c>
      <c r="J57" s="120">
        <f>IF(LOWER(LEFT(G57,1))="n",1,VLOOKUP(G57,ScoringTable!D$2:I$95,6))</f>
        <v>0</v>
      </c>
      <c r="K57" s="120" t="str" cm="1">
        <f t="array" ref="K57">IF(OR(E57="",G57=""),"",_xlfn.IFS(E57="U10B",_xlfn.XLOOKUP(G57,Data!$D$5:$L$5,Data!$D$1:$L$1,"",-1,1),E57="U12B",_xlfn.XLOOKUP(G57,Data!$D$12:$L$12,Data!$D$1:$L$1,"",-1,1),E57="U10G",_xlfn.XLOOKUP(G57,Data!$D$18:$L$18,Data!$D$1:$L$1,"",-1,1),E57="U12G",_xlfn.XLOOKUP(G57,Data!$D$25:$L$25,Data!$D$1:$L$1,"",-1,1)))</f>
        <v/>
      </c>
      <c r="L57" s="184" t="str" cm="1">
        <f t="array" ref="L57">IFERROR(_xlfn.IFNA(
                      _xlfn.IFS(
                      G57="", "",
                      AND(E57="U10B",G57&gt;=Data!$M$5), "U10 Boys record",
                      AND(E57="U12B",G57&gt;=Data!$M$12), "U12 Boys record",
                      AND(E57="U10G",G57&gt;=Data!$M$18), "U10 Girls record",
                      AND(E57="U12G",G57&gt;=Data!$M$25), "U12 Girls record"
                       ),""), "")</f>
        <v/>
      </c>
      <c r="M57" s="19" cm="1">
        <f t="array" ref="M57">_xlfn.IFS($G57="",0, AND(NOT(ISNUMBER($G57)),LOWER(LEFT($G57,1))&lt;&gt;"n"),"Not a valid distance",OR(LOWER(LEFT($G57,1))="n",$G57&lt;ScoringTable!$O$161),1,RIGHT($E57,1)="B",_xlfn.XLOOKUP($G57,ScoringTable!$O$2:$O$161,ScoringTable!$L$2:$L$161,,-1),TRUE,_xlfn.XLOOKUP($G57,ScoringTable!$U$2:$U$161,ScoringTable!$R$2:$R$161,,-1))</f>
        <v>0</v>
      </c>
    </row>
    <row r="58" spans="1:13" s="7" customFormat="1" ht="16" customHeight="1">
      <c r="A58" s="121" t="s">
        <v>81</v>
      </c>
      <c r="B58" s="122" t="str">
        <f>IF(ISNA(VLOOKUP($F58,Declarations!B$6:C$293,2,FALSE)),"",IF(VLOOKUP($F58,Declarations!B$6:C$293,2,FALSE)="","NOT DECLARED",IF(ISNA(_xlfn.TEXTBEFORE(VLOOKUP($F58,Declarations!B$6:C$293,2,FALSE)," ")),VLOOKUP($F58,Declarations!B$6:C$293,2,FALSE),_xlfn.TEXTBEFORE(VLOOKUP($F58,Declarations!B$6:C$293,2,FALSE)," "))))</f>
        <v/>
      </c>
      <c r="C58" s="122" t="str">
        <f>IF(ISNA(VLOOKUP($F58,Declarations!B$6:C$293,2,FALSE)),"",IF(VLOOKUP($F58,Declarations!B$6:C$293,2,FALSE)="","NOT DECLARED",IF(ISNA(_xlfn.TEXTAFTER(VLOOKUP($F58,Declarations!B$6:C$293,2,FALSE)," ")),VLOOKUP($F58,Declarations!B$6:C$293,2,FALSE),_xlfn.TEXTAFTER(VLOOKUP($F58,Declarations!B$6:C$293,2,FALSE)," "))))</f>
        <v/>
      </c>
      <c r="D58" s="122" t="str">
        <f>IF(ISNA(VLOOKUP($F58,Declarations!$B$6:$F$293,5,FALSE)),"",IF(VLOOKUP($F58,Declarations!$B$6:$F$293,5,FALSE)="","NOT DECLARED",VLOOKUP($F58,Declarations!$B$6:$F$293,5,FALSE)))</f>
        <v/>
      </c>
      <c r="E58" s="120" t="str">
        <f>IF(ISNA(VLOOKUP($F58,Declarations!$B$6:$D$293,3,FALSE)),"",IF(VLOOKUP($F58,Declarations!$B$6:$D$293,3,FALSE)="","NOT DECLARED",VLOOKUP($F58,Declarations!$B$6:$D$293,3,FALSE)&amp;LEFT(VLOOKUP($F58,Declarations!$B$6:$E$293,4,FALSE))))</f>
        <v/>
      </c>
      <c r="F58" s="59"/>
      <c r="G58" s="129"/>
      <c r="H58" s="129"/>
      <c r="I58" s="122" t="str">
        <f>IF(ISNA(VLOOKUP(F58,Declarations!B$6:C$293,2,FALSE)),"",IF(VLOOKUP(F58,Declarations!B$6:C$293,2,FALSE)="","NOT DECLARED",VLOOKUP(F58,Declarations!B$6:C$293,2,FALSE)))</f>
        <v/>
      </c>
      <c r="J58" s="120">
        <f>IF(LOWER(LEFT(G58,1))="n",1,VLOOKUP(G58,ScoringTable!D$2:I$95,6))</f>
        <v>0</v>
      </c>
      <c r="K58" s="120" t="str" cm="1">
        <f t="array" ref="K58">IF(OR(E58="",G58=""),"",_xlfn.IFS(E58="U10B",_xlfn.XLOOKUP(G58,Data!$D$5:$L$5,Data!$D$1:$L$1,"",-1,1),E58="U12B",_xlfn.XLOOKUP(G58,Data!$D$12:$L$12,Data!$D$1:$L$1,"",-1,1),E58="U10G",_xlfn.XLOOKUP(G58,Data!$D$18:$L$18,Data!$D$1:$L$1,"",-1,1),E58="U12G",_xlfn.XLOOKUP(G58,Data!$D$25:$L$25,Data!$D$1:$L$1,"",-1,1)))</f>
        <v/>
      </c>
      <c r="L58" s="184" t="str" cm="1">
        <f t="array" ref="L58">IFERROR(_xlfn.IFNA(
                      _xlfn.IFS(
                      G58="", "",
                      AND(E58="U10B",G58&gt;=Data!$M$5), "U10 Boys record",
                      AND(E58="U12B",G58&gt;=Data!$M$12), "U12 Boys record",
                      AND(E58="U10G",G58&gt;=Data!$M$18), "U10 Girls record",
                      AND(E58="U12G",G58&gt;=Data!$M$25), "U12 Girls record"
                       ),""), "")</f>
        <v/>
      </c>
      <c r="M58" s="19" cm="1">
        <f t="array" ref="M58">_xlfn.IFS($G58="",0, AND(NOT(ISNUMBER($G58)),LOWER(LEFT($G58,1))&lt;&gt;"n"),"Not a valid distance",OR(LOWER(LEFT($G58,1))="n",$G58&lt;ScoringTable!$O$161),1,RIGHT($E58,1)="B",_xlfn.XLOOKUP($G58,ScoringTable!$O$2:$O$161,ScoringTable!$L$2:$L$161,,-1),TRUE,_xlfn.XLOOKUP($G58,ScoringTable!$U$2:$U$161,ScoringTable!$R$2:$R$161,,-1))</f>
        <v>0</v>
      </c>
    </row>
    <row r="59" spans="1:13" s="7" customFormat="1" ht="16" customHeight="1">
      <c r="A59" s="121" t="s">
        <v>81</v>
      </c>
      <c r="B59" s="122" t="str">
        <f>IF(ISNA(VLOOKUP($F59,Declarations!B$6:C$293,2,FALSE)),"",IF(VLOOKUP($F59,Declarations!B$6:C$293,2,FALSE)="","NOT DECLARED",IF(ISNA(_xlfn.TEXTBEFORE(VLOOKUP($F59,Declarations!B$6:C$293,2,FALSE)," ")),VLOOKUP($F59,Declarations!B$6:C$293,2,FALSE),_xlfn.TEXTBEFORE(VLOOKUP($F59,Declarations!B$6:C$293,2,FALSE)," "))))</f>
        <v/>
      </c>
      <c r="C59" s="122" t="str">
        <f>IF(ISNA(VLOOKUP($F59,Declarations!B$6:C$293,2,FALSE)),"",IF(VLOOKUP($F59,Declarations!B$6:C$293,2,FALSE)="","NOT DECLARED",IF(ISNA(_xlfn.TEXTAFTER(VLOOKUP($F59,Declarations!B$6:C$293,2,FALSE)," ")),VLOOKUP($F59,Declarations!B$6:C$293,2,FALSE),_xlfn.TEXTAFTER(VLOOKUP($F59,Declarations!B$6:C$293,2,FALSE)," "))))</f>
        <v/>
      </c>
      <c r="D59" s="122" t="str">
        <f>IF(ISNA(VLOOKUP($F59,Declarations!$B$6:$F$293,5,FALSE)),"",IF(VLOOKUP($F59,Declarations!$B$6:$F$293,5,FALSE)="","NOT DECLARED",VLOOKUP($F59,Declarations!$B$6:$F$293,5,FALSE)))</f>
        <v/>
      </c>
      <c r="E59" s="120" t="str">
        <f>IF(ISNA(VLOOKUP($F59,Declarations!$B$6:$D$293,3,FALSE)),"",IF(VLOOKUP($F59,Declarations!$B$6:$D$293,3,FALSE)="","NOT DECLARED",VLOOKUP($F59,Declarations!$B$6:$D$293,3,FALSE)&amp;LEFT(VLOOKUP($F59,Declarations!$B$6:$E$293,4,FALSE))))</f>
        <v/>
      </c>
      <c r="F59" s="59"/>
      <c r="G59" s="129"/>
      <c r="H59" s="129"/>
      <c r="I59" s="122" t="str">
        <f>IF(ISNA(VLOOKUP(F59,Declarations!B$6:C$293,2,FALSE)),"",IF(VLOOKUP(F59,Declarations!B$6:C$293,2,FALSE)="","NOT DECLARED",VLOOKUP(F59,Declarations!B$6:C$293,2,FALSE)))</f>
        <v/>
      </c>
      <c r="J59" s="120">
        <f>IF(LOWER(LEFT(G59,1))="n",1,VLOOKUP(G59,ScoringTable!D$2:I$95,6))</f>
        <v>0</v>
      </c>
      <c r="K59" s="120" t="str" cm="1">
        <f t="array" ref="K59">IF(OR(E59="",G59=""),"",_xlfn.IFS(E59="U10B",_xlfn.XLOOKUP(G59,Data!$D$5:$L$5,Data!$D$1:$L$1,"",-1,1),E59="U12B",_xlfn.XLOOKUP(G59,Data!$D$12:$L$12,Data!$D$1:$L$1,"",-1,1),E59="U10G",_xlfn.XLOOKUP(G59,Data!$D$18:$L$18,Data!$D$1:$L$1,"",-1,1),E59="U12G",_xlfn.XLOOKUP(G59,Data!$D$25:$L$25,Data!$D$1:$L$1,"",-1,1)))</f>
        <v/>
      </c>
      <c r="L59" s="184" t="str" cm="1">
        <f t="array" ref="L59">IFERROR(_xlfn.IFNA(
                      _xlfn.IFS(
                      G59="", "",
                      AND(E59="U10B",G59&gt;=Data!$M$5), "U10 Boys record",
                      AND(E59="U12B",G59&gt;=Data!$M$12), "U12 Boys record",
                      AND(E59="U10G",G59&gt;=Data!$M$18), "U10 Girls record",
                      AND(E59="U12G",G59&gt;=Data!$M$25), "U12 Girls record"
                       ),""), "")</f>
        <v/>
      </c>
      <c r="M59" s="19" cm="1">
        <f t="array" ref="M59">_xlfn.IFS($G59="",0, AND(NOT(ISNUMBER($G59)),LOWER(LEFT($G59,1))&lt;&gt;"n"),"Not a valid distance",OR(LOWER(LEFT($G59,1))="n",$G59&lt;ScoringTable!$O$161),1,RIGHT($E59,1)="B",_xlfn.XLOOKUP($G59,ScoringTable!$O$2:$O$161,ScoringTable!$L$2:$L$161,,-1),TRUE,_xlfn.XLOOKUP($G59,ScoringTable!$U$2:$U$161,ScoringTable!$R$2:$R$161,,-1))</f>
        <v>0</v>
      </c>
    </row>
    <row r="60" spans="1:13" s="7" customFormat="1" ht="16" customHeight="1">
      <c r="A60" s="121" t="s">
        <v>81</v>
      </c>
      <c r="B60" s="122" t="str">
        <f>IF(ISNA(VLOOKUP($F60,Declarations!B$6:C$293,2,FALSE)),"",IF(VLOOKUP($F60,Declarations!B$6:C$293,2,FALSE)="","NOT DECLARED",IF(ISNA(_xlfn.TEXTBEFORE(VLOOKUP($F60,Declarations!B$6:C$293,2,FALSE)," ")),VLOOKUP($F60,Declarations!B$6:C$293,2,FALSE),_xlfn.TEXTBEFORE(VLOOKUP($F60,Declarations!B$6:C$293,2,FALSE)," "))))</f>
        <v/>
      </c>
      <c r="C60" s="122" t="str">
        <f>IF(ISNA(VLOOKUP($F60,Declarations!B$6:C$293,2,FALSE)),"",IF(VLOOKUP($F60,Declarations!B$6:C$293,2,FALSE)="","NOT DECLARED",IF(ISNA(_xlfn.TEXTAFTER(VLOOKUP($F60,Declarations!B$6:C$293,2,FALSE)," ")),VLOOKUP($F60,Declarations!B$6:C$293,2,FALSE),_xlfn.TEXTAFTER(VLOOKUP($F60,Declarations!B$6:C$293,2,FALSE)," "))))</f>
        <v/>
      </c>
      <c r="D60" s="122" t="str">
        <f>IF(ISNA(VLOOKUP($F60,Declarations!$B$6:$F$293,5,FALSE)),"",IF(VLOOKUP($F60,Declarations!$B$6:$F$293,5,FALSE)="","NOT DECLARED",VLOOKUP($F60,Declarations!$B$6:$F$293,5,FALSE)))</f>
        <v/>
      </c>
      <c r="E60" s="120" t="str">
        <f>IF(ISNA(VLOOKUP($F60,Declarations!$B$6:$D$293,3,FALSE)),"",IF(VLOOKUP($F60,Declarations!$B$6:$D$293,3,FALSE)="","NOT DECLARED",VLOOKUP($F60,Declarations!$B$6:$D$293,3,FALSE)&amp;LEFT(VLOOKUP($F60,Declarations!$B$6:$E$293,4,FALSE))))</f>
        <v/>
      </c>
      <c r="F60" s="59"/>
      <c r="G60" s="129"/>
      <c r="H60" s="129"/>
      <c r="I60" s="122" t="str">
        <f>IF(ISNA(VLOOKUP(F60,Declarations!B$6:C$293,2,FALSE)),"",IF(VLOOKUP(F60,Declarations!B$6:C$293,2,FALSE)="","NOT DECLARED",VLOOKUP(F60,Declarations!B$6:C$293,2,FALSE)))</f>
        <v/>
      </c>
      <c r="J60" s="120">
        <f>IF(LOWER(LEFT(G60,1))="n",1,VLOOKUP(G60,ScoringTable!D$2:I$95,6))</f>
        <v>0</v>
      </c>
      <c r="K60" s="120" t="str" cm="1">
        <f t="array" ref="K60">IF(OR(E60="",G60=""),"",_xlfn.IFS(E60="U10B",_xlfn.XLOOKUP(G60,Data!$D$5:$L$5,Data!$D$1:$L$1,"",-1,1),E60="U12B",_xlfn.XLOOKUP(G60,Data!$D$12:$L$12,Data!$D$1:$L$1,"",-1,1),E60="U10G",_xlfn.XLOOKUP(G60,Data!$D$18:$L$18,Data!$D$1:$L$1,"",-1,1),E60="U12G",_xlfn.XLOOKUP(G60,Data!$D$25:$L$25,Data!$D$1:$L$1,"",-1,1)))</f>
        <v/>
      </c>
      <c r="L60" s="184" t="str" cm="1">
        <f t="array" ref="L60">IFERROR(_xlfn.IFNA(
                      _xlfn.IFS(
                      G60="", "",
                      AND(E60="U10B",G60&gt;=Data!$M$5), "U10 Boys record",
                      AND(E60="U12B",G60&gt;=Data!$M$12), "U12 Boys record",
                      AND(E60="U10G",G60&gt;=Data!$M$18), "U10 Girls record",
                      AND(E60="U12G",G60&gt;=Data!$M$25), "U12 Girls record"
                       ),""), "")</f>
        <v/>
      </c>
      <c r="M60" s="19" cm="1">
        <f t="array" ref="M60">_xlfn.IFS($G60="",0, AND(NOT(ISNUMBER($G60)),LOWER(LEFT($G60,1))&lt;&gt;"n"),"Not a valid distance",OR(LOWER(LEFT($G60,1))="n",$G60&lt;ScoringTable!$O$161),1,RIGHT($E60,1)="B",_xlfn.XLOOKUP($G60,ScoringTable!$O$2:$O$161,ScoringTable!$L$2:$L$161,,-1),TRUE,_xlfn.XLOOKUP($G60,ScoringTable!$U$2:$U$161,ScoringTable!$R$2:$R$161,,-1))</f>
        <v>0</v>
      </c>
    </row>
    <row r="61" spans="1:13" s="7" customFormat="1" ht="16" customHeight="1">
      <c r="A61" s="121" t="s">
        <v>81</v>
      </c>
      <c r="B61" s="122" t="str">
        <f>IF(ISNA(VLOOKUP($F61,Declarations!B$6:C$293,2,FALSE)),"",IF(VLOOKUP($F61,Declarations!B$6:C$293,2,FALSE)="","NOT DECLARED",IF(ISNA(_xlfn.TEXTBEFORE(VLOOKUP($F61,Declarations!B$6:C$293,2,FALSE)," ")),VLOOKUP($F61,Declarations!B$6:C$293,2,FALSE),_xlfn.TEXTBEFORE(VLOOKUP($F61,Declarations!B$6:C$293,2,FALSE)," "))))</f>
        <v/>
      </c>
      <c r="C61" s="122" t="str">
        <f>IF(ISNA(VLOOKUP($F61,Declarations!B$6:C$293,2,FALSE)),"",IF(VLOOKUP($F61,Declarations!B$6:C$293,2,FALSE)="","NOT DECLARED",IF(ISNA(_xlfn.TEXTAFTER(VLOOKUP($F61,Declarations!B$6:C$293,2,FALSE)," ")),VLOOKUP($F61,Declarations!B$6:C$293,2,FALSE),_xlfn.TEXTAFTER(VLOOKUP($F61,Declarations!B$6:C$293,2,FALSE)," "))))</f>
        <v/>
      </c>
      <c r="D61" s="122" t="str">
        <f>IF(ISNA(VLOOKUP($F61,Declarations!$B$6:$F$293,5,FALSE)),"",IF(VLOOKUP($F61,Declarations!$B$6:$F$293,5,FALSE)="","NOT DECLARED",VLOOKUP($F61,Declarations!$B$6:$F$293,5,FALSE)))</f>
        <v/>
      </c>
      <c r="E61" s="120" t="str">
        <f>IF(ISNA(VLOOKUP($F61,Declarations!$B$6:$D$293,3,FALSE)),"",IF(VLOOKUP($F61,Declarations!$B$6:$D$293,3,FALSE)="","NOT DECLARED",VLOOKUP($F61,Declarations!$B$6:$D$293,3,FALSE)&amp;LEFT(VLOOKUP($F61,Declarations!$B$6:$E$293,4,FALSE))))</f>
        <v/>
      </c>
      <c r="F61" s="59"/>
      <c r="G61" s="129"/>
      <c r="H61" s="129"/>
      <c r="I61" s="122" t="str">
        <f>IF(ISNA(VLOOKUP(F61,Declarations!B$6:C$293,2,FALSE)),"",IF(VLOOKUP(F61,Declarations!B$6:C$293,2,FALSE)="","NOT DECLARED",VLOOKUP(F61,Declarations!B$6:C$293,2,FALSE)))</f>
        <v/>
      </c>
      <c r="J61" s="120">
        <f>IF(LOWER(LEFT(G61,1))="n",1,VLOOKUP(G61,ScoringTable!D$2:I$95,6))</f>
        <v>0</v>
      </c>
      <c r="K61" s="120" t="str" cm="1">
        <f t="array" ref="K61">IF(OR(E61="",G61=""),"",_xlfn.IFS(E61="U10B",_xlfn.XLOOKUP(G61,Data!$D$5:$L$5,Data!$D$1:$L$1,"",-1,1),E61="U12B",_xlfn.XLOOKUP(G61,Data!$D$12:$L$12,Data!$D$1:$L$1,"",-1,1),E61="U10G",_xlfn.XLOOKUP(G61,Data!$D$18:$L$18,Data!$D$1:$L$1,"",-1,1),E61="U12G",_xlfn.XLOOKUP(G61,Data!$D$25:$L$25,Data!$D$1:$L$1,"",-1,1)))</f>
        <v/>
      </c>
      <c r="L61" s="184" t="str" cm="1">
        <f t="array" ref="L61">IFERROR(_xlfn.IFNA(
                      _xlfn.IFS(
                      G61="", "",
                      AND(E61="U10B",G61&gt;=Data!$M$5), "U10 Boys record",
                      AND(E61="U12B",G61&gt;=Data!$M$12), "U12 Boys record",
                      AND(E61="U10G",G61&gt;=Data!$M$18), "U10 Girls record",
                      AND(E61="U12G",G61&gt;=Data!$M$25), "U12 Girls record"
                       ),""), "")</f>
        <v/>
      </c>
      <c r="M61" s="19" cm="1">
        <f t="array" ref="M61">_xlfn.IFS($G61="",0, AND(NOT(ISNUMBER($G61)),LOWER(LEFT($G61,1))&lt;&gt;"n"),"Not a valid distance",OR(LOWER(LEFT($G61,1))="n",$G61&lt;ScoringTable!$O$161),1,RIGHT($E61,1)="B",_xlfn.XLOOKUP($G61,ScoringTable!$O$2:$O$161,ScoringTable!$L$2:$L$161,,-1),TRUE,_xlfn.XLOOKUP($G61,ScoringTable!$U$2:$U$161,ScoringTable!$R$2:$R$161,,-1))</f>
        <v>0</v>
      </c>
    </row>
    <row r="62" spans="1:13" s="7" customFormat="1" ht="16" customHeight="1">
      <c r="A62" s="121" t="s">
        <v>81</v>
      </c>
      <c r="B62" s="122" t="str">
        <f>IF(ISNA(VLOOKUP($F62,Declarations!B$6:C$293,2,FALSE)),"",IF(VLOOKUP($F62,Declarations!B$6:C$293,2,FALSE)="","NOT DECLARED",IF(ISNA(_xlfn.TEXTBEFORE(VLOOKUP($F62,Declarations!B$6:C$293,2,FALSE)," ")),VLOOKUP($F62,Declarations!B$6:C$293,2,FALSE),_xlfn.TEXTBEFORE(VLOOKUP($F62,Declarations!B$6:C$293,2,FALSE)," "))))</f>
        <v/>
      </c>
      <c r="C62" s="122" t="str">
        <f>IF(ISNA(VLOOKUP($F62,Declarations!B$6:C$293,2,FALSE)),"",IF(VLOOKUP($F62,Declarations!B$6:C$293,2,FALSE)="","NOT DECLARED",IF(ISNA(_xlfn.TEXTAFTER(VLOOKUP($F62,Declarations!B$6:C$293,2,FALSE)," ")),VLOOKUP($F62,Declarations!B$6:C$293,2,FALSE),_xlfn.TEXTAFTER(VLOOKUP($F62,Declarations!B$6:C$293,2,FALSE)," "))))</f>
        <v/>
      </c>
      <c r="D62" s="122" t="str">
        <f>IF(ISNA(VLOOKUP($F62,Declarations!$B$6:$F$293,5,FALSE)),"",IF(VLOOKUP($F62,Declarations!$B$6:$F$293,5,FALSE)="","NOT DECLARED",VLOOKUP($F62,Declarations!$B$6:$F$293,5,FALSE)))</f>
        <v/>
      </c>
      <c r="E62" s="120" t="str">
        <f>IF(ISNA(VLOOKUP($F62,Declarations!$B$6:$D$293,3,FALSE)),"",IF(VLOOKUP($F62,Declarations!$B$6:$D$293,3,FALSE)="","NOT DECLARED",VLOOKUP($F62,Declarations!$B$6:$D$293,3,FALSE)&amp;LEFT(VLOOKUP($F62,Declarations!$B$6:$E$293,4,FALSE))))</f>
        <v/>
      </c>
      <c r="F62" s="59"/>
      <c r="G62" s="129"/>
      <c r="H62" s="129"/>
      <c r="I62" s="122" t="str">
        <f>IF(ISNA(VLOOKUP(F62,Declarations!B$6:C$293,2,FALSE)),"",IF(VLOOKUP(F62,Declarations!B$6:C$293,2,FALSE)="","NOT DECLARED",VLOOKUP(F62,Declarations!B$6:C$293,2,FALSE)))</f>
        <v/>
      </c>
      <c r="J62" s="120">
        <f>IF(LOWER(LEFT(G62,1))="n",1,VLOOKUP(G62,ScoringTable!D$2:I$95,6))</f>
        <v>0</v>
      </c>
      <c r="K62" s="120" t="str" cm="1">
        <f t="array" ref="K62">IF(OR(E62="",G62=""),"",_xlfn.IFS(E62="U10B",_xlfn.XLOOKUP(G62,Data!$D$5:$L$5,Data!$D$1:$L$1,"",-1,1),E62="U12B",_xlfn.XLOOKUP(G62,Data!$D$12:$L$12,Data!$D$1:$L$1,"",-1,1),E62="U10G",_xlfn.XLOOKUP(G62,Data!$D$18:$L$18,Data!$D$1:$L$1,"",-1,1),E62="U12G",_xlfn.XLOOKUP(G62,Data!$D$25:$L$25,Data!$D$1:$L$1,"",-1,1)))</f>
        <v/>
      </c>
      <c r="L62" s="184" t="str" cm="1">
        <f t="array" ref="L62">IFERROR(_xlfn.IFNA(
                      _xlfn.IFS(
                      G62="", "",
                      AND(E62="U10B",G62&gt;=Data!$M$5), "U10 Boys record",
                      AND(E62="U12B",G62&gt;=Data!$M$12), "U12 Boys record",
                      AND(E62="U10G",G62&gt;=Data!$M$18), "U10 Girls record",
                      AND(E62="U12G",G62&gt;=Data!$M$25), "U12 Girls record"
                       ),""), "")</f>
        <v/>
      </c>
      <c r="M62" s="19" cm="1">
        <f t="array" ref="M62">_xlfn.IFS($G62="",0, AND(NOT(ISNUMBER($G62)),LOWER(LEFT($G62,1))&lt;&gt;"n"),"Not a valid distance",OR(LOWER(LEFT($G62,1))="n",$G62&lt;ScoringTable!$O$161),1,RIGHT($E62,1)="B",_xlfn.XLOOKUP($G62,ScoringTable!$O$2:$O$161,ScoringTable!$L$2:$L$161,,-1),TRUE,_xlfn.XLOOKUP($G62,ScoringTable!$U$2:$U$161,ScoringTable!$R$2:$R$161,,-1))</f>
        <v>0</v>
      </c>
    </row>
    <row r="63" spans="1:13" s="7" customFormat="1" ht="16" customHeight="1">
      <c r="A63" s="121" t="s">
        <v>81</v>
      </c>
      <c r="B63" s="122" t="str">
        <f>IF(ISNA(VLOOKUP($F63,Declarations!B$6:C$293,2,FALSE)),"",IF(VLOOKUP($F63,Declarations!B$6:C$293,2,FALSE)="","NOT DECLARED",IF(ISNA(_xlfn.TEXTBEFORE(VLOOKUP($F63,Declarations!B$6:C$293,2,FALSE)," ")),VLOOKUP($F63,Declarations!B$6:C$293,2,FALSE),_xlfn.TEXTBEFORE(VLOOKUP($F63,Declarations!B$6:C$293,2,FALSE)," "))))</f>
        <v/>
      </c>
      <c r="C63" s="122" t="str">
        <f>IF(ISNA(VLOOKUP($F63,Declarations!B$6:C$293,2,FALSE)),"",IF(VLOOKUP($F63,Declarations!B$6:C$293,2,FALSE)="","NOT DECLARED",IF(ISNA(_xlfn.TEXTAFTER(VLOOKUP($F63,Declarations!B$6:C$293,2,FALSE)," ")),VLOOKUP($F63,Declarations!B$6:C$293,2,FALSE),_xlfn.TEXTAFTER(VLOOKUP($F63,Declarations!B$6:C$293,2,FALSE)," "))))</f>
        <v/>
      </c>
      <c r="D63" s="122" t="str">
        <f>IF(ISNA(VLOOKUP($F63,Declarations!$B$6:$F$293,5,FALSE)),"",IF(VLOOKUP($F63,Declarations!$B$6:$F$293,5,FALSE)="","NOT DECLARED",VLOOKUP($F63,Declarations!$B$6:$F$293,5,FALSE)))</f>
        <v/>
      </c>
      <c r="E63" s="120" t="str">
        <f>IF(ISNA(VLOOKUP($F63,Declarations!$B$6:$D$293,3,FALSE)),"",IF(VLOOKUP($F63,Declarations!$B$6:$D$293,3,FALSE)="","NOT DECLARED",VLOOKUP($F63,Declarations!$B$6:$D$293,3,FALSE)&amp;LEFT(VLOOKUP($F63,Declarations!$B$6:$E$293,4,FALSE))))</f>
        <v/>
      </c>
      <c r="F63" s="59"/>
      <c r="G63" s="129"/>
      <c r="H63" s="129"/>
      <c r="I63" s="122" t="str">
        <f>IF(ISNA(VLOOKUP(F63,Declarations!B$6:C$293,2,FALSE)),"",IF(VLOOKUP(F63,Declarations!B$6:C$293,2,FALSE)="","NOT DECLARED",VLOOKUP(F63,Declarations!B$6:C$293,2,FALSE)))</f>
        <v/>
      </c>
      <c r="J63" s="120">
        <f>IF(LOWER(LEFT(G63,1))="n",1,VLOOKUP(G63,ScoringTable!D$2:I$95,6))</f>
        <v>0</v>
      </c>
      <c r="K63" s="120" t="str" cm="1">
        <f t="array" ref="K63">IF(OR(E63="",G63=""),"",_xlfn.IFS(E63="U10B",_xlfn.XLOOKUP(G63,Data!$D$5:$L$5,Data!$D$1:$L$1,"",-1,1),E63="U12B",_xlfn.XLOOKUP(G63,Data!$D$12:$L$12,Data!$D$1:$L$1,"",-1,1),E63="U10G",_xlfn.XLOOKUP(G63,Data!$D$18:$L$18,Data!$D$1:$L$1,"",-1,1),E63="U12G",_xlfn.XLOOKUP(G63,Data!$D$25:$L$25,Data!$D$1:$L$1,"",-1,1)))</f>
        <v/>
      </c>
      <c r="L63" s="184" t="str" cm="1">
        <f t="array" ref="L63">IFERROR(_xlfn.IFNA(
                      _xlfn.IFS(
                      G63="", "",
                      AND(E63="U10B",G63&gt;=Data!$M$5), "U10 Boys record",
                      AND(E63="U12B",G63&gt;=Data!$M$12), "U12 Boys record",
                      AND(E63="U10G",G63&gt;=Data!$M$18), "U10 Girls record",
                      AND(E63="U12G",G63&gt;=Data!$M$25), "U12 Girls record"
                       ),""), "")</f>
        <v/>
      </c>
      <c r="M63" s="19" cm="1">
        <f t="array" ref="M63">_xlfn.IFS($G63="",0, AND(NOT(ISNUMBER($G63)),LOWER(LEFT($G63,1))&lt;&gt;"n"),"Not a valid distance",OR(LOWER(LEFT($G63,1))="n",$G63&lt;ScoringTable!$O$161),1,RIGHT($E63,1)="B",_xlfn.XLOOKUP($G63,ScoringTable!$O$2:$O$161,ScoringTable!$L$2:$L$161,,-1),TRUE,_xlfn.XLOOKUP($G63,ScoringTable!$U$2:$U$161,ScoringTable!$R$2:$R$161,,-1))</f>
        <v>0</v>
      </c>
    </row>
    <row r="64" spans="1:13" s="7" customFormat="1" ht="16" customHeight="1">
      <c r="A64" s="121" t="s">
        <v>81</v>
      </c>
      <c r="B64" s="122" t="str">
        <f>IF(ISNA(VLOOKUP($F64,Declarations!B$6:C$293,2,FALSE)),"",IF(VLOOKUP($F64,Declarations!B$6:C$293,2,FALSE)="","NOT DECLARED",IF(ISNA(_xlfn.TEXTBEFORE(VLOOKUP($F64,Declarations!B$6:C$293,2,FALSE)," ")),VLOOKUP($F64,Declarations!B$6:C$293,2,FALSE),_xlfn.TEXTBEFORE(VLOOKUP($F64,Declarations!B$6:C$293,2,FALSE)," "))))</f>
        <v/>
      </c>
      <c r="C64" s="122" t="str">
        <f>IF(ISNA(VLOOKUP($F64,Declarations!B$6:C$293,2,FALSE)),"",IF(VLOOKUP($F64,Declarations!B$6:C$293,2,FALSE)="","NOT DECLARED",IF(ISNA(_xlfn.TEXTAFTER(VLOOKUP($F64,Declarations!B$6:C$293,2,FALSE)," ")),VLOOKUP($F64,Declarations!B$6:C$293,2,FALSE),_xlfn.TEXTAFTER(VLOOKUP($F64,Declarations!B$6:C$293,2,FALSE)," "))))</f>
        <v/>
      </c>
      <c r="D64" s="122" t="str">
        <f>IF(ISNA(VLOOKUP($F64,Declarations!$B$6:$F$293,5,FALSE)),"",IF(VLOOKUP($F64,Declarations!$B$6:$F$293,5,FALSE)="","NOT DECLARED",VLOOKUP($F64,Declarations!$B$6:$F$293,5,FALSE)))</f>
        <v/>
      </c>
      <c r="E64" s="120" t="str">
        <f>IF(ISNA(VLOOKUP($F64,Declarations!$B$6:$D$293,3,FALSE)),"",IF(VLOOKUP($F64,Declarations!$B$6:$D$293,3,FALSE)="","NOT DECLARED",VLOOKUP($F64,Declarations!$B$6:$D$293,3,FALSE)&amp;LEFT(VLOOKUP($F64,Declarations!$B$6:$E$293,4,FALSE))))</f>
        <v/>
      </c>
      <c r="F64" s="59"/>
      <c r="G64" s="129"/>
      <c r="H64" s="129"/>
      <c r="I64" s="122" t="str">
        <f>IF(ISNA(VLOOKUP(F64,Declarations!B$6:C$293,2,FALSE)),"",IF(VLOOKUP(F64,Declarations!B$6:C$293,2,FALSE)="","NOT DECLARED",VLOOKUP(F64,Declarations!B$6:C$293,2,FALSE)))</f>
        <v/>
      </c>
      <c r="J64" s="120">
        <f>IF(LOWER(LEFT(G64,1))="n",1,VLOOKUP(G64,ScoringTable!D$2:I$95,6))</f>
        <v>0</v>
      </c>
      <c r="K64" s="120" t="str" cm="1">
        <f t="array" ref="K64">IF(OR(E64="",G64=""),"",_xlfn.IFS(E64="U10B",_xlfn.XLOOKUP(G64,Data!$D$5:$L$5,Data!$D$1:$L$1,"",-1,1),E64="U12B",_xlfn.XLOOKUP(G64,Data!$D$12:$L$12,Data!$D$1:$L$1,"",-1,1),E64="U10G",_xlfn.XLOOKUP(G64,Data!$D$18:$L$18,Data!$D$1:$L$1,"",-1,1),E64="U12G",_xlfn.XLOOKUP(G64,Data!$D$25:$L$25,Data!$D$1:$L$1,"",-1,1)))</f>
        <v/>
      </c>
      <c r="L64" s="184" t="str" cm="1">
        <f t="array" ref="L64">IFERROR(_xlfn.IFNA(
                      _xlfn.IFS(
                      G64="", "",
                      AND(E64="U10B",G64&gt;=Data!$M$5), "U10 Boys record",
                      AND(E64="U12B",G64&gt;=Data!$M$12), "U12 Boys record",
                      AND(E64="U10G",G64&gt;=Data!$M$18), "U10 Girls record",
                      AND(E64="U12G",G64&gt;=Data!$M$25), "U12 Girls record"
                       ),""), "")</f>
        <v/>
      </c>
      <c r="M64" s="19" cm="1">
        <f t="array" ref="M64">_xlfn.IFS($G64="",0, AND(NOT(ISNUMBER($G64)),LOWER(LEFT($G64,1))&lt;&gt;"n"),"Not a valid distance",OR(LOWER(LEFT($G64,1))="n",$G64&lt;ScoringTable!$O$161),1,RIGHT($E64,1)="B",_xlfn.XLOOKUP($G64,ScoringTable!$O$2:$O$161,ScoringTable!$L$2:$L$161,,-1),TRUE,_xlfn.XLOOKUP($G64,ScoringTable!$U$2:$U$161,ScoringTable!$R$2:$R$161,,-1))</f>
        <v>0</v>
      </c>
    </row>
    <row r="65" spans="1:13" s="7" customFormat="1" ht="16" customHeight="1">
      <c r="A65" s="121" t="s">
        <v>81</v>
      </c>
      <c r="B65" s="122" t="str">
        <f>IF(ISNA(VLOOKUP($F65,Declarations!B$6:C$293,2,FALSE)),"",IF(VLOOKUP($F65,Declarations!B$6:C$293,2,FALSE)="","NOT DECLARED",IF(ISNA(_xlfn.TEXTBEFORE(VLOOKUP($F65,Declarations!B$6:C$293,2,FALSE)," ")),VLOOKUP($F65,Declarations!B$6:C$293,2,FALSE),_xlfn.TEXTBEFORE(VLOOKUP($F65,Declarations!B$6:C$293,2,FALSE)," "))))</f>
        <v/>
      </c>
      <c r="C65" s="122" t="str">
        <f>IF(ISNA(VLOOKUP($F65,Declarations!B$6:C$293,2,FALSE)),"",IF(VLOOKUP($F65,Declarations!B$6:C$293,2,FALSE)="","NOT DECLARED",IF(ISNA(_xlfn.TEXTAFTER(VLOOKUP($F65,Declarations!B$6:C$293,2,FALSE)," ")),VLOOKUP($F65,Declarations!B$6:C$293,2,FALSE),_xlfn.TEXTAFTER(VLOOKUP($F65,Declarations!B$6:C$293,2,FALSE)," "))))</f>
        <v/>
      </c>
      <c r="D65" s="122" t="str">
        <f>IF(ISNA(VLOOKUP($F65,Declarations!$B$6:$F$293,5,FALSE)),"",IF(VLOOKUP($F65,Declarations!$B$6:$F$293,5,FALSE)="","NOT DECLARED",VLOOKUP($F65,Declarations!$B$6:$F$293,5,FALSE)))</f>
        <v/>
      </c>
      <c r="E65" s="120" t="str">
        <f>IF(ISNA(VLOOKUP($F65,Declarations!$B$6:$D$293,3,FALSE)),"",IF(VLOOKUP($F65,Declarations!$B$6:$D$293,3,FALSE)="","NOT DECLARED",VLOOKUP($F65,Declarations!$B$6:$D$293,3,FALSE)&amp;LEFT(VLOOKUP($F65,Declarations!$B$6:$E$293,4,FALSE))))</f>
        <v/>
      </c>
      <c r="F65" s="59"/>
      <c r="G65" s="129"/>
      <c r="H65" s="129"/>
      <c r="I65" s="122" t="str">
        <f>IF(ISNA(VLOOKUP(F65,Declarations!B$6:C$293,2,FALSE)),"",IF(VLOOKUP(F65,Declarations!B$6:C$293,2,FALSE)="","NOT DECLARED",VLOOKUP(F65,Declarations!B$6:C$293,2,FALSE)))</f>
        <v/>
      </c>
      <c r="J65" s="120">
        <f>IF(LOWER(LEFT(G65,1))="n",1,VLOOKUP(G65,ScoringTable!D$2:I$95,6))</f>
        <v>0</v>
      </c>
      <c r="K65" s="120" t="str" cm="1">
        <f t="array" ref="K65">IF(OR(E65="",G65=""),"",_xlfn.IFS(E65="U10B",_xlfn.XLOOKUP(G65,Data!$D$5:$L$5,Data!$D$1:$L$1,"",-1,1),E65="U12B",_xlfn.XLOOKUP(G65,Data!$D$12:$L$12,Data!$D$1:$L$1,"",-1,1),E65="U10G",_xlfn.XLOOKUP(G65,Data!$D$18:$L$18,Data!$D$1:$L$1,"",-1,1),E65="U12G",_xlfn.XLOOKUP(G65,Data!$D$25:$L$25,Data!$D$1:$L$1,"",-1,1)))</f>
        <v/>
      </c>
      <c r="L65" s="184" t="str" cm="1">
        <f t="array" ref="L65">IFERROR(_xlfn.IFNA(
                      _xlfn.IFS(
                      G65="", "",
                      AND(E65="U10B",G65&gt;=Data!$M$5), "U10 Boys record",
                      AND(E65="U12B",G65&gt;=Data!$M$12), "U12 Boys record",
                      AND(E65="U10G",G65&gt;=Data!$M$18), "U10 Girls record",
                      AND(E65="U12G",G65&gt;=Data!$M$25), "U12 Girls record"
                       ),""), "")</f>
        <v/>
      </c>
      <c r="M65" s="19" cm="1">
        <f t="array" ref="M65">_xlfn.IFS($G65="",0, AND(NOT(ISNUMBER($G65)),LOWER(LEFT($G65,1))&lt;&gt;"n"),"Not a valid distance",OR(LOWER(LEFT($G65,1))="n",$G65&lt;ScoringTable!$O$161),1,RIGHT($E65,1)="B",_xlfn.XLOOKUP($G65,ScoringTable!$O$2:$O$161,ScoringTable!$L$2:$L$161,,-1),TRUE,_xlfn.XLOOKUP($G65,ScoringTable!$U$2:$U$161,ScoringTable!$R$2:$R$161,,-1))</f>
        <v>0</v>
      </c>
    </row>
    <row r="66" spans="1:13" s="7" customFormat="1" ht="16" customHeight="1">
      <c r="A66" s="121" t="s">
        <v>81</v>
      </c>
      <c r="B66" s="122" t="str">
        <f>IF(ISNA(VLOOKUP($F66,Declarations!B$6:C$293,2,FALSE)),"",IF(VLOOKUP($F66,Declarations!B$6:C$293,2,FALSE)="","NOT DECLARED",IF(ISNA(_xlfn.TEXTBEFORE(VLOOKUP($F66,Declarations!B$6:C$293,2,FALSE)," ")),VLOOKUP($F66,Declarations!B$6:C$293,2,FALSE),_xlfn.TEXTBEFORE(VLOOKUP($F66,Declarations!B$6:C$293,2,FALSE)," "))))</f>
        <v/>
      </c>
      <c r="C66" s="122" t="str">
        <f>IF(ISNA(VLOOKUP($F66,Declarations!B$6:C$293,2,FALSE)),"",IF(VLOOKUP($F66,Declarations!B$6:C$293,2,FALSE)="","NOT DECLARED",IF(ISNA(_xlfn.TEXTAFTER(VLOOKUP($F66,Declarations!B$6:C$293,2,FALSE)," ")),VLOOKUP($F66,Declarations!B$6:C$293,2,FALSE),_xlfn.TEXTAFTER(VLOOKUP($F66,Declarations!B$6:C$293,2,FALSE)," "))))</f>
        <v/>
      </c>
      <c r="D66" s="122" t="str">
        <f>IF(ISNA(VLOOKUP($F66,Declarations!$B$6:$F$293,5,FALSE)),"",IF(VLOOKUP($F66,Declarations!$B$6:$F$293,5,FALSE)="","NOT DECLARED",VLOOKUP($F66,Declarations!$B$6:$F$293,5,FALSE)))</f>
        <v/>
      </c>
      <c r="E66" s="120" t="str">
        <f>IF(ISNA(VLOOKUP($F66,Declarations!$B$6:$D$293,3,FALSE)),"",IF(VLOOKUP($F66,Declarations!$B$6:$D$293,3,FALSE)="","NOT DECLARED",VLOOKUP($F66,Declarations!$B$6:$D$293,3,FALSE)&amp;LEFT(VLOOKUP($F66,Declarations!$B$6:$E$293,4,FALSE))))</f>
        <v/>
      </c>
      <c r="F66" s="59"/>
      <c r="G66" s="129"/>
      <c r="H66" s="129"/>
      <c r="I66" s="122" t="str">
        <f>IF(ISNA(VLOOKUP(F66,Declarations!B$6:C$293,2,FALSE)),"",IF(VLOOKUP(F66,Declarations!B$6:C$293,2,FALSE)="","NOT DECLARED",VLOOKUP(F66,Declarations!B$6:C$293,2,FALSE)))</f>
        <v/>
      </c>
      <c r="J66" s="120">
        <f>IF(LOWER(LEFT(G66,1))="n",1,VLOOKUP(G66,ScoringTable!D$2:I$95,6))</f>
        <v>0</v>
      </c>
      <c r="K66" s="120" t="str" cm="1">
        <f t="array" ref="K66">IF(OR(E66="",G66=""),"",_xlfn.IFS(E66="U10B",_xlfn.XLOOKUP(G66,Data!$D$5:$L$5,Data!$D$1:$L$1,"",-1,1),E66="U12B",_xlfn.XLOOKUP(G66,Data!$D$12:$L$12,Data!$D$1:$L$1,"",-1,1),E66="U10G",_xlfn.XLOOKUP(G66,Data!$D$18:$L$18,Data!$D$1:$L$1,"",-1,1),E66="U12G",_xlfn.XLOOKUP(G66,Data!$D$25:$L$25,Data!$D$1:$L$1,"",-1,1)))</f>
        <v/>
      </c>
      <c r="L66" s="184" t="str" cm="1">
        <f t="array" ref="L66">IFERROR(_xlfn.IFNA(
                      _xlfn.IFS(
                      G66="", "",
                      AND(E66="U10B",G66&gt;=Data!$M$5), "U10 Boys record",
                      AND(E66="U12B",G66&gt;=Data!$M$12), "U12 Boys record",
                      AND(E66="U10G",G66&gt;=Data!$M$18), "U10 Girls record",
                      AND(E66="U12G",G66&gt;=Data!$M$25), "U12 Girls record"
                       ),""), "")</f>
        <v/>
      </c>
      <c r="M66" s="19" cm="1">
        <f t="array" ref="M66">_xlfn.IFS($G66="",0, AND(NOT(ISNUMBER($G66)),LOWER(LEFT($G66,1))&lt;&gt;"n"),"Not a valid distance",OR(LOWER(LEFT($G66,1))="n",$G66&lt;ScoringTable!$O$161),1,RIGHT($E66,1)="B",_xlfn.XLOOKUP($G66,ScoringTable!$O$2:$O$161,ScoringTable!$L$2:$L$161,,-1),TRUE,_xlfn.XLOOKUP($G66,ScoringTable!$U$2:$U$161,ScoringTable!$R$2:$R$161,,-1))</f>
        <v>0</v>
      </c>
    </row>
    <row r="67" spans="1:13" s="7" customFormat="1" ht="16" customHeight="1">
      <c r="A67" s="121" t="s">
        <v>81</v>
      </c>
      <c r="B67" s="122" t="str">
        <f>IF(ISNA(VLOOKUP($F67,Declarations!B$6:C$293,2,FALSE)),"",IF(VLOOKUP($F67,Declarations!B$6:C$293,2,FALSE)="","NOT DECLARED",IF(ISNA(_xlfn.TEXTBEFORE(VLOOKUP($F67,Declarations!B$6:C$293,2,FALSE)," ")),VLOOKUP($F67,Declarations!B$6:C$293,2,FALSE),_xlfn.TEXTBEFORE(VLOOKUP($F67,Declarations!B$6:C$293,2,FALSE)," "))))</f>
        <v/>
      </c>
      <c r="C67" s="122" t="str">
        <f>IF(ISNA(VLOOKUP($F67,Declarations!B$6:C$293,2,FALSE)),"",IF(VLOOKUP($F67,Declarations!B$6:C$293,2,FALSE)="","NOT DECLARED",IF(ISNA(_xlfn.TEXTAFTER(VLOOKUP($F67,Declarations!B$6:C$293,2,FALSE)," ")),VLOOKUP($F67,Declarations!B$6:C$293,2,FALSE),_xlfn.TEXTAFTER(VLOOKUP($F67,Declarations!B$6:C$293,2,FALSE)," "))))</f>
        <v/>
      </c>
      <c r="D67" s="122" t="str">
        <f>IF(ISNA(VLOOKUP($F67,Declarations!$B$6:$F$293,5,FALSE)),"",IF(VLOOKUP($F67,Declarations!$B$6:$F$293,5,FALSE)="","NOT DECLARED",VLOOKUP($F67,Declarations!$B$6:$F$293,5,FALSE)))</f>
        <v/>
      </c>
      <c r="E67" s="120" t="str">
        <f>IF(ISNA(VLOOKUP($F67,Declarations!$B$6:$D$293,3,FALSE)),"",IF(VLOOKUP($F67,Declarations!$B$6:$D$293,3,FALSE)="","NOT DECLARED",VLOOKUP($F67,Declarations!$B$6:$D$293,3,FALSE)&amp;LEFT(VLOOKUP($F67,Declarations!$B$6:$E$293,4,FALSE))))</f>
        <v/>
      </c>
      <c r="F67" s="59"/>
      <c r="G67" s="129"/>
      <c r="H67" s="129"/>
      <c r="I67" s="122" t="str">
        <f>IF(ISNA(VLOOKUP(F67,Declarations!B$6:C$293,2,FALSE)),"",IF(VLOOKUP(F67,Declarations!B$6:C$293,2,FALSE)="","NOT DECLARED",VLOOKUP(F67,Declarations!B$6:C$293,2,FALSE)))</f>
        <v/>
      </c>
      <c r="J67" s="120">
        <f>IF(LOWER(LEFT(G67,1))="n",1,VLOOKUP(G67,ScoringTable!D$2:I$95,6))</f>
        <v>0</v>
      </c>
      <c r="K67" s="120" t="str" cm="1">
        <f t="array" ref="K67">IF(OR(E67="",G67=""),"",_xlfn.IFS(E67="U10B",_xlfn.XLOOKUP(G67,Data!$D$5:$L$5,Data!$D$1:$L$1,"",-1,1),E67="U12B",_xlfn.XLOOKUP(G67,Data!$D$12:$L$12,Data!$D$1:$L$1,"",-1,1),E67="U10G",_xlfn.XLOOKUP(G67,Data!$D$18:$L$18,Data!$D$1:$L$1,"",-1,1),E67="U12G",_xlfn.XLOOKUP(G67,Data!$D$25:$L$25,Data!$D$1:$L$1,"",-1,1)))</f>
        <v/>
      </c>
      <c r="L67" s="184" t="str" cm="1">
        <f t="array" ref="L67">IFERROR(_xlfn.IFNA(
                      _xlfn.IFS(
                      G67="", "",
                      AND(E67="U10B",G67&gt;=Data!$M$5), "U10 Boys record",
                      AND(E67="U12B",G67&gt;=Data!$M$12), "U12 Boys record",
                      AND(E67="U10G",G67&gt;=Data!$M$18), "U10 Girls record",
                      AND(E67="U12G",G67&gt;=Data!$M$25), "U12 Girls record"
                       ),""), "")</f>
        <v/>
      </c>
      <c r="M67" s="19" cm="1">
        <f t="array" ref="M67">_xlfn.IFS($G67="",0, AND(NOT(ISNUMBER($G67)),LOWER(LEFT($G67,1))&lt;&gt;"n"),"Not a valid distance",OR(LOWER(LEFT($G67,1))="n",$G67&lt;ScoringTable!$O$161),1,RIGHT($E67,1)="B",_xlfn.XLOOKUP($G67,ScoringTable!$O$2:$O$161,ScoringTable!$L$2:$L$161,,-1),TRUE,_xlfn.XLOOKUP($G67,ScoringTable!$U$2:$U$161,ScoringTable!$R$2:$R$161,,-1))</f>
        <v>0</v>
      </c>
    </row>
    <row r="68" spans="1:13" s="7" customFormat="1" ht="16" customHeight="1">
      <c r="A68" s="121" t="s">
        <v>81</v>
      </c>
      <c r="B68" s="122" t="str">
        <f>IF(ISNA(VLOOKUP($F68,Declarations!B$6:C$293,2,FALSE)),"",IF(VLOOKUP($F68,Declarations!B$6:C$293,2,FALSE)="","NOT DECLARED",IF(ISNA(_xlfn.TEXTBEFORE(VLOOKUP($F68,Declarations!B$6:C$293,2,FALSE)," ")),VLOOKUP($F68,Declarations!B$6:C$293,2,FALSE),_xlfn.TEXTBEFORE(VLOOKUP($F68,Declarations!B$6:C$293,2,FALSE)," "))))</f>
        <v/>
      </c>
      <c r="C68" s="122" t="str">
        <f>IF(ISNA(VLOOKUP($F68,Declarations!B$6:C$293,2,FALSE)),"",IF(VLOOKUP($F68,Declarations!B$6:C$293,2,FALSE)="","NOT DECLARED",IF(ISNA(_xlfn.TEXTAFTER(VLOOKUP($F68,Declarations!B$6:C$293,2,FALSE)," ")),VLOOKUP($F68,Declarations!B$6:C$293,2,FALSE),_xlfn.TEXTAFTER(VLOOKUP($F68,Declarations!B$6:C$293,2,FALSE)," "))))</f>
        <v/>
      </c>
      <c r="D68" s="122" t="str">
        <f>IF(ISNA(VLOOKUP($F68,Declarations!$B$6:$F$293,5,FALSE)),"",IF(VLOOKUP($F68,Declarations!$B$6:$F$293,5,FALSE)="","NOT DECLARED",VLOOKUP($F68,Declarations!$B$6:$F$293,5,FALSE)))</f>
        <v/>
      </c>
      <c r="E68" s="120" t="str">
        <f>IF(ISNA(VLOOKUP($F68,Declarations!$B$6:$D$293,3,FALSE)),"",IF(VLOOKUP($F68,Declarations!$B$6:$D$293,3,FALSE)="","NOT DECLARED",VLOOKUP($F68,Declarations!$B$6:$D$293,3,FALSE)&amp;LEFT(VLOOKUP($F68,Declarations!$B$6:$E$293,4,FALSE))))</f>
        <v/>
      </c>
      <c r="F68" s="59"/>
      <c r="G68" s="129"/>
      <c r="H68" s="129"/>
      <c r="I68" s="122" t="str">
        <f>IF(ISNA(VLOOKUP(F68,Declarations!B$6:C$293,2,FALSE)),"",IF(VLOOKUP(F68,Declarations!B$6:C$293,2,FALSE)="","NOT DECLARED",VLOOKUP(F68,Declarations!B$6:C$293,2,FALSE)))</f>
        <v/>
      </c>
      <c r="J68" s="120">
        <f>IF(LOWER(LEFT(G68,1))="n",1,VLOOKUP(G68,ScoringTable!D$2:I$95,6))</f>
        <v>0</v>
      </c>
      <c r="K68" s="120" t="str" cm="1">
        <f t="array" ref="K68">IF(OR(E68="",G68=""),"",_xlfn.IFS(E68="U10B",_xlfn.XLOOKUP(G68,Data!$D$5:$L$5,Data!$D$1:$L$1,"",-1,1),E68="U12B",_xlfn.XLOOKUP(G68,Data!$D$12:$L$12,Data!$D$1:$L$1,"",-1,1),E68="U10G",_xlfn.XLOOKUP(G68,Data!$D$18:$L$18,Data!$D$1:$L$1,"",-1,1),E68="U12G",_xlfn.XLOOKUP(G68,Data!$D$25:$L$25,Data!$D$1:$L$1,"",-1,1)))</f>
        <v/>
      </c>
      <c r="L68" s="184" t="str" cm="1">
        <f t="array" ref="L68">IFERROR(_xlfn.IFNA(
                      _xlfn.IFS(
                      G68="", "",
                      AND(E68="U10B",G68&gt;=Data!$M$5), "U10 Boys record",
                      AND(E68="U12B",G68&gt;=Data!$M$12), "U12 Boys record",
                      AND(E68="U10G",G68&gt;=Data!$M$18), "U10 Girls record",
                      AND(E68="U12G",G68&gt;=Data!$M$25), "U12 Girls record"
                       ),""), "")</f>
        <v/>
      </c>
      <c r="M68" s="19" cm="1">
        <f t="array" ref="M68">_xlfn.IFS($G68="",0, AND(NOT(ISNUMBER($G68)),LOWER(LEFT($G68,1))&lt;&gt;"n"),"Not a valid distance",OR(LOWER(LEFT($G68,1))="n",$G68&lt;ScoringTable!$O$161),1,RIGHT($E68,1)="B",_xlfn.XLOOKUP($G68,ScoringTable!$O$2:$O$161,ScoringTable!$L$2:$L$161,,-1),TRUE,_xlfn.XLOOKUP($G68,ScoringTable!$U$2:$U$161,ScoringTable!$R$2:$R$161,,-1))</f>
        <v>0</v>
      </c>
    </row>
    <row r="69" spans="1:13" s="7" customFormat="1" ht="16" customHeight="1">
      <c r="A69" s="121" t="s">
        <v>81</v>
      </c>
      <c r="B69" s="122" t="str">
        <f>IF(ISNA(VLOOKUP($F69,Declarations!B$6:C$293,2,FALSE)),"",IF(VLOOKUP($F69,Declarations!B$6:C$293,2,FALSE)="","NOT DECLARED",IF(ISNA(_xlfn.TEXTBEFORE(VLOOKUP($F69,Declarations!B$6:C$293,2,FALSE)," ")),VLOOKUP($F69,Declarations!B$6:C$293,2,FALSE),_xlfn.TEXTBEFORE(VLOOKUP($F69,Declarations!B$6:C$293,2,FALSE)," "))))</f>
        <v/>
      </c>
      <c r="C69" s="122" t="str">
        <f>IF(ISNA(VLOOKUP($F69,Declarations!B$6:C$293,2,FALSE)),"",IF(VLOOKUP($F69,Declarations!B$6:C$293,2,FALSE)="","NOT DECLARED",IF(ISNA(_xlfn.TEXTAFTER(VLOOKUP($F69,Declarations!B$6:C$293,2,FALSE)," ")),VLOOKUP($F69,Declarations!B$6:C$293,2,FALSE),_xlfn.TEXTAFTER(VLOOKUP($F69,Declarations!B$6:C$293,2,FALSE)," "))))</f>
        <v/>
      </c>
      <c r="D69" s="122" t="str">
        <f>IF(ISNA(VLOOKUP($F69,Declarations!$B$6:$F$293,5,FALSE)),"",IF(VLOOKUP($F69,Declarations!$B$6:$F$293,5,FALSE)="","NOT DECLARED",VLOOKUP($F69,Declarations!$B$6:$F$293,5,FALSE)))</f>
        <v/>
      </c>
      <c r="E69" s="120" t="str">
        <f>IF(ISNA(VLOOKUP($F69,Declarations!$B$6:$D$293,3,FALSE)),"",IF(VLOOKUP($F69,Declarations!$B$6:$D$293,3,FALSE)="","NOT DECLARED",VLOOKUP($F69,Declarations!$B$6:$D$293,3,FALSE)&amp;LEFT(VLOOKUP($F69,Declarations!$B$6:$E$293,4,FALSE))))</f>
        <v/>
      </c>
      <c r="F69" s="59"/>
      <c r="G69" s="129"/>
      <c r="H69" s="129"/>
      <c r="I69" s="122" t="str">
        <f>IF(ISNA(VLOOKUP(F69,Declarations!B$6:C$293,2,FALSE)),"",IF(VLOOKUP(F69,Declarations!B$6:C$293,2,FALSE)="","NOT DECLARED",VLOOKUP(F69,Declarations!B$6:C$293,2,FALSE)))</f>
        <v/>
      </c>
      <c r="J69" s="120">
        <f>IF(LOWER(LEFT(G69,1))="n",1,VLOOKUP(G69,ScoringTable!D$2:I$95,6))</f>
        <v>0</v>
      </c>
      <c r="K69" s="120" t="str" cm="1">
        <f t="array" ref="K69">IF(OR(E69="",G69=""),"",_xlfn.IFS(E69="U10B",_xlfn.XLOOKUP(G69,Data!$D$5:$L$5,Data!$D$1:$L$1,"",-1,1),E69="U12B",_xlfn.XLOOKUP(G69,Data!$D$12:$L$12,Data!$D$1:$L$1,"",-1,1),E69="U10G",_xlfn.XLOOKUP(G69,Data!$D$18:$L$18,Data!$D$1:$L$1,"",-1,1),E69="U12G",_xlfn.XLOOKUP(G69,Data!$D$25:$L$25,Data!$D$1:$L$1,"",-1,1)))</f>
        <v/>
      </c>
      <c r="L69" s="184" t="str" cm="1">
        <f t="array" ref="L69">IFERROR(_xlfn.IFNA(
                      _xlfn.IFS(
                      G69="", "",
                      AND(E69="U10B",G69&gt;=Data!$M$5), "U10 Boys record",
                      AND(E69="U12B",G69&gt;=Data!$M$12), "U12 Boys record",
                      AND(E69="U10G",G69&gt;=Data!$M$18), "U10 Girls record",
                      AND(E69="U12G",G69&gt;=Data!$M$25), "U12 Girls record"
                       ),""), "")</f>
        <v/>
      </c>
      <c r="M69" s="19" cm="1">
        <f t="array" ref="M69">_xlfn.IFS($G69="",0, AND(NOT(ISNUMBER($G69)),LOWER(LEFT($G69,1))&lt;&gt;"n"),"Not a valid distance",OR(LOWER(LEFT($G69,1))="n",$G69&lt;ScoringTable!$O$161),1,RIGHT($E69,1)="B",_xlfn.XLOOKUP($G69,ScoringTable!$O$2:$O$161,ScoringTable!$L$2:$L$161,,-1),TRUE,_xlfn.XLOOKUP($G69,ScoringTable!$U$2:$U$161,ScoringTable!$R$2:$R$161,,-1))</f>
        <v>0</v>
      </c>
    </row>
    <row r="70" spans="1:13" s="7" customFormat="1" ht="16" customHeight="1">
      <c r="A70" s="121" t="s">
        <v>81</v>
      </c>
      <c r="B70" s="122" t="str">
        <f>IF(ISNA(VLOOKUP($F70,Declarations!B$6:C$293,2,FALSE)),"",IF(VLOOKUP($F70,Declarations!B$6:C$293,2,FALSE)="","NOT DECLARED",IF(ISNA(_xlfn.TEXTBEFORE(VLOOKUP($F70,Declarations!B$6:C$293,2,FALSE)," ")),VLOOKUP($F70,Declarations!B$6:C$293,2,FALSE),_xlfn.TEXTBEFORE(VLOOKUP($F70,Declarations!B$6:C$293,2,FALSE)," "))))</f>
        <v/>
      </c>
      <c r="C70" s="122" t="str">
        <f>IF(ISNA(VLOOKUP($F70,Declarations!B$6:C$293,2,FALSE)),"",IF(VLOOKUP($F70,Declarations!B$6:C$293,2,FALSE)="","NOT DECLARED",IF(ISNA(_xlfn.TEXTAFTER(VLOOKUP($F70,Declarations!B$6:C$293,2,FALSE)," ")),VLOOKUP($F70,Declarations!B$6:C$293,2,FALSE),_xlfn.TEXTAFTER(VLOOKUP($F70,Declarations!B$6:C$293,2,FALSE)," "))))</f>
        <v/>
      </c>
      <c r="D70" s="122" t="str">
        <f>IF(ISNA(VLOOKUP($F70,Declarations!$B$6:$F$293,5,FALSE)),"",IF(VLOOKUP($F70,Declarations!$B$6:$F$293,5,FALSE)="","NOT DECLARED",VLOOKUP($F70,Declarations!$B$6:$F$293,5,FALSE)))</f>
        <v/>
      </c>
      <c r="E70" s="120" t="str">
        <f>IF(ISNA(VLOOKUP($F70,Declarations!$B$6:$D$293,3,FALSE)),"",IF(VLOOKUP($F70,Declarations!$B$6:$D$293,3,FALSE)="","NOT DECLARED",VLOOKUP($F70,Declarations!$B$6:$D$293,3,FALSE)&amp;LEFT(VLOOKUP($F70,Declarations!$B$6:$E$293,4,FALSE))))</f>
        <v/>
      </c>
      <c r="F70" s="59"/>
      <c r="G70" s="129"/>
      <c r="H70" s="129"/>
      <c r="I70" s="122" t="str">
        <f>IF(ISNA(VLOOKUP(F70,Declarations!B$6:C$293,2,FALSE)),"",IF(VLOOKUP(F70,Declarations!B$6:C$293,2,FALSE)="","NOT DECLARED",VLOOKUP(F70,Declarations!B$6:C$293,2,FALSE)))</f>
        <v/>
      </c>
      <c r="J70" s="120">
        <f>IF(LOWER(LEFT(G70,1))="n",1,VLOOKUP(G70,ScoringTable!D$2:I$95,6))</f>
        <v>0</v>
      </c>
      <c r="K70" s="120" t="str" cm="1">
        <f t="array" ref="K70">IF(OR(E70="",G70=""),"",_xlfn.IFS(E70="U10B",_xlfn.XLOOKUP(G70,Data!$D$5:$L$5,Data!$D$1:$L$1,"",-1,1),E70="U12B",_xlfn.XLOOKUP(G70,Data!$D$12:$L$12,Data!$D$1:$L$1,"",-1,1),E70="U10G",_xlfn.XLOOKUP(G70,Data!$D$18:$L$18,Data!$D$1:$L$1,"",-1,1),E70="U12G",_xlfn.XLOOKUP(G70,Data!$D$25:$L$25,Data!$D$1:$L$1,"",-1,1)))</f>
        <v/>
      </c>
      <c r="L70" s="184" t="str" cm="1">
        <f t="array" ref="L70">IFERROR(_xlfn.IFNA(
                      _xlfn.IFS(
                      G70="", "",
                      AND(E70="U10B",G70&gt;=Data!$M$5), "U10 Boys record",
                      AND(E70="U12B",G70&gt;=Data!$M$12), "U12 Boys record",
                      AND(E70="U10G",G70&gt;=Data!$M$18), "U10 Girls record",
                      AND(E70="U12G",G70&gt;=Data!$M$25), "U12 Girls record"
                       ),""), "")</f>
        <v/>
      </c>
      <c r="M70" s="19" cm="1">
        <f t="array" ref="M70">_xlfn.IFS($G70="",0, AND(NOT(ISNUMBER($G70)),LOWER(LEFT($G70,1))&lt;&gt;"n"),"Not a valid distance",OR(LOWER(LEFT($G70,1))="n",$G70&lt;ScoringTable!$O$161),1,RIGHT($E70,1)="B",_xlfn.XLOOKUP($G70,ScoringTable!$O$2:$O$161,ScoringTable!$L$2:$L$161,,-1),TRUE,_xlfn.XLOOKUP($G70,ScoringTable!$U$2:$U$161,ScoringTable!$R$2:$R$161,,-1))</f>
        <v>0</v>
      </c>
    </row>
    <row r="71" spans="1:13" s="7" customFormat="1" ht="16" customHeight="1">
      <c r="A71" s="121" t="s">
        <v>81</v>
      </c>
      <c r="B71" s="122" t="str">
        <f>IF(ISNA(VLOOKUP($F71,Declarations!B$6:C$293,2,FALSE)),"",IF(VLOOKUP($F71,Declarations!B$6:C$293,2,FALSE)="","NOT DECLARED",IF(ISNA(_xlfn.TEXTBEFORE(VLOOKUP($F71,Declarations!B$6:C$293,2,FALSE)," ")),VLOOKUP($F71,Declarations!B$6:C$293,2,FALSE),_xlfn.TEXTBEFORE(VLOOKUP($F71,Declarations!B$6:C$293,2,FALSE)," "))))</f>
        <v/>
      </c>
      <c r="C71" s="122" t="str">
        <f>IF(ISNA(VLOOKUP($F71,Declarations!B$6:C$293,2,FALSE)),"",IF(VLOOKUP($F71,Declarations!B$6:C$293,2,FALSE)="","NOT DECLARED",IF(ISNA(_xlfn.TEXTAFTER(VLOOKUP($F71,Declarations!B$6:C$293,2,FALSE)," ")),VLOOKUP($F71,Declarations!B$6:C$293,2,FALSE),_xlfn.TEXTAFTER(VLOOKUP($F71,Declarations!B$6:C$293,2,FALSE)," "))))</f>
        <v/>
      </c>
      <c r="D71" s="122" t="str">
        <f>IF(ISNA(VLOOKUP($F71,Declarations!$B$6:$F$293,5,FALSE)),"",IF(VLOOKUP($F71,Declarations!$B$6:$F$293,5,FALSE)="","NOT DECLARED",VLOOKUP($F71,Declarations!$B$6:$F$293,5,FALSE)))</f>
        <v/>
      </c>
      <c r="E71" s="120" t="str">
        <f>IF(ISNA(VLOOKUP($F71,Declarations!$B$6:$D$293,3,FALSE)),"",IF(VLOOKUP($F71,Declarations!$B$6:$D$293,3,FALSE)="","NOT DECLARED",VLOOKUP($F71,Declarations!$B$6:$D$293,3,FALSE)&amp;LEFT(VLOOKUP($F71,Declarations!$B$6:$E$293,4,FALSE))))</f>
        <v/>
      </c>
      <c r="F71" s="59"/>
      <c r="G71" s="129"/>
      <c r="H71" s="129"/>
      <c r="I71" s="122" t="str">
        <f>IF(ISNA(VLOOKUP(F71,Declarations!B$6:C$293,2,FALSE)),"",IF(VLOOKUP(F71,Declarations!B$6:C$293,2,FALSE)="","NOT DECLARED",VLOOKUP(F71,Declarations!B$6:C$293,2,FALSE)))</f>
        <v/>
      </c>
      <c r="J71" s="120">
        <f>IF(LOWER(LEFT(G71,1))="n",1,VLOOKUP(G71,ScoringTable!D$2:I$95,6))</f>
        <v>0</v>
      </c>
      <c r="K71" s="120" t="str" cm="1">
        <f t="array" ref="K71">IF(OR(E71="",G71=""),"",_xlfn.IFS(E71="U10B",_xlfn.XLOOKUP(G71,Data!$D$5:$L$5,Data!$D$1:$L$1,"",-1,1),E71="U12B",_xlfn.XLOOKUP(G71,Data!$D$12:$L$12,Data!$D$1:$L$1,"",-1,1),E71="U10G",_xlfn.XLOOKUP(G71,Data!$D$18:$L$18,Data!$D$1:$L$1,"",-1,1),E71="U12G",_xlfn.XLOOKUP(G71,Data!$D$25:$L$25,Data!$D$1:$L$1,"",-1,1)))</f>
        <v/>
      </c>
      <c r="L71" s="184" t="str" cm="1">
        <f t="array" ref="L71">IFERROR(_xlfn.IFNA(
                      _xlfn.IFS(
                      G71="", "",
                      AND(E71="U10B",G71&gt;=Data!$M$5), "U10 Boys record",
                      AND(E71="U12B",G71&gt;=Data!$M$12), "U12 Boys record",
                      AND(E71="U10G",G71&gt;=Data!$M$18), "U10 Girls record",
                      AND(E71="U12G",G71&gt;=Data!$M$25), "U12 Girls record"
                       ),""), "")</f>
        <v/>
      </c>
      <c r="M71" s="19" cm="1">
        <f t="array" ref="M71">_xlfn.IFS($G71="",0, AND(NOT(ISNUMBER($G71)),LOWER(LEFT($G71,1))&lt;&gt;"n"),"Not a valid distance",OR(LOWER(LEFT($G71,1))="n",$G71&lt;ScoringTable!$O$161),1,RIGHT($E71,1)="B",_xlfn.XLOOKUP($G71,ScoringTable!$O$2:$O$161,ScoringTable!$L$2:$L$161,,-1),TRUE,_xlfn.XLOOKUP($G71,ScoringTable!$U$2:$U$161,ScoringTable!$R$2:$R$161,,-1))</f>
        <v>0</v>
      </c>
    </row>
    <row r="72" spans="1:13" s="7" customFormat="1" ht="16" customHeight="1">
      <c r="A72" s="121" t="s">
        <v>81</v>
      </c>
      <c r="B72" s="122" t="str">
        <f>IF(ISNA(VLOOKUP($F72,Declarations!B$6:C$293,2,FALSE)),"",IF(VLOOKUP($F72,Declarations!B$6:C$293,2,FALSE)="","NOT DECLARED",IF(ISNA(_xlfn.TEXTBEFORE(VLOOKUP($F72,Declarations!B$6:C$293,2,FALSE)," ")),VLOOKUP($F72,Declarations!B$6:C$293,2,FALSE),_xlfn.TEXTBEFORE(VLOOKUP($F72,Declarations!B$6:C$293,2,FALSE)," "))))</f>
        <v/>
      </c>
      <c r="C72" s="122" t="str">
        <f>IF(ISNA(VLOOKUP($F72,Declarations!B$6:C$293,2,FALSE)),"",IF(VLOOKUP($F72,Declarations!B$6:C$293,2,FALSE)="","NOT DECLARED",IF(ISNA(_xlfn.TEXTAFTER(VLOOKUP($F72,Declarations!B$6:C$293,2,FALSE)," ")),VLOOKUP($F72,Declarations!B$6:C$293,2,FALSE),_xlfn.TEXTAFTER(VLOOKUP($F72,Declarations!B$6:C$293,2,FALSE)," "))))</f>
        <v/>
      </c>
      <c r="D72" s="122" t="str">
        <f>IF(ISNA(VLOOKUP($F72,Declarations!$B$6:$F$293,5,FALSE)),"",IF(VLOOKUP($F72,Declarations!$B$6:$F$293,5,FALSE)="","NOT DECLARED",VLOOKUP($F72,Declarations!$B$6:$F$293,5,FALSE)))</f>
        <v/>
      </c>
      <c r="E72" s="120" t="str">
        <f>IF(ISNA(VLOOKUP($F72,Declarations!$B$6:$D$293,3,FALSE)),"",IF(VLOOKUP($F72,Declarations!$B$6:$D$293,3,FALSE)="","NOT DECLARED",VLOOKUP($F72,Declarations!$B$6:$D$293,3,FALSE)&amp;LEFT(VLOOKUP($F72,Declarations!$B$6:$E$293,4,FALSE))))</f>
        <v/>
      </c>
      <c r="F72" s="59"/>
      <c r="G72" s="129"/>
      <c r="H72" s="129"/>
      <c r="I72" s="122" t="str">
        <f>IF(ISNA(VLOOKUP(F72,Declarations!B$6:C$293,2,FALSE)),"",IF(VLOOKUP(F72,Declarations!B$6:C$293,2,FALSE)="","NOT DECLARED",VLOOKUP(F72,Declarations!B$6:C$293,2,FALSE)))</f>
        <v/>
      </c>
      <c r="J72" s="120">
        <f>IF(LOWER(LEFT(G72,1))="n",1,VLOOKUP(G72,ScoringTable!D$2:I$95,6))</f>
        <v>0</v>
      </c>
      <c r="K72" s="120" t="str" cm="1">
        <f t="array" ref="K72">IF(OR(E72="",G72=""),"",_xlfn.IFS(E72="U10B",_xlfn.XLOOKUP(G72,Data!$D$5:$L$5,Data!$D$1:$L$1,"",-1,1),E72="U12B",_xlfn.XLOOKUP(G72,Data!$D$12:$L$12,Data!$D$1:$L$1,"",-1,1),E72="U10G",_xlfn.XLOOKUP(G72,Data!$D$18:$L$18,Data!$D$1:$L$1,"",-1,1),E72="U12G",_xlfn.XLOOKUP(G72,Data!$D$25:$L$25,Data!$D$1:$L$1,"",-1,1)))</f>
        <v/>
      </c>
      <c r="L72" s="184" t="str" cm="1">
        <f t="array" ref="L72">IFERROR(_xlfn.IFNA(
                      _xlfn.IFS(
                      G72="", "",
                      AND(E72="U10B",G72&gt;=Data!$M$5), "U10 Boys record",
                      AND(E72="U12B",G72&gt;=Data!$M$12), "U12 Boys record",
                      AND(E72="U10G",G72&gt;=Data!$M$18), "U10 Girls record",
                      AND(E72="U12G",G72&gt;=Data!$M$25), "U12 Girls record"
                       ),""), "")</f>
        <v/>
      </c>
      <c r="M72" s="19" cm="1">
        <f t="array" ref="M72">_xlfn.IFS($G72="",0, AND(NOT(ISNUMBER($G72)),LOWER(LEFT($G72,1))&lt;&gt;"n"),"Not a valid distance",OR(LOWER(LEFT($G72,1))="n",$G72&lt;ScoringTable!$O$161),1,RIGHT($E72,1)="B",_xlfn.XLOOKUP($G72,ScoringTable!$O$2:$O$161,ScoringTable!$L$2:$L$161,,-1),TRUE,_xlfn.XLOOKUP($G72,ScoringTable!$U$2:$U$161,ScoringTable!$R$2:$R$161,,-1))</f>
        <v>0</v>
      </c>
    </row>
    <row r="73" spans="1:13" s="7" customFormat="1" ht="16" customHeight="1">
      <c r="A73" s="121" t="s">
        <v>81</v>
      </c>
      <c r="B73" s="122" t="str">
        <f>IF(ISNA(VLOOKUP($F73,Declarations!B$6:C$293,2,FALSE)),"",IF(VLOOKUP($F73,Declarations!B$6:C$293,2,FALSE)="","NOT DECLARED",IF(ISNA(_xlfn.TEXTBEFORE(VLOOKUP($F73,Declarations!B$6:C$293,2,FALSE)," ")),VLOOKUP($F73,Declarations!B$6:C$293,2,FALSE),_xlfn.TEXTBEFORE(VLOOKUP($F73,Declarations!B$6:C$293,2,FALSE)," "))))</f>
        <v/>
      </c>
      <c r="C73" s="122" t="str">
        <f>IF(ISNA(VLOOKUP($F73,Declarations!B$6:C$293,2,FALSE)),"",IF(VLOOKUP($F73,Declarations!B$6:C$293,2,FALSE)="","NOT DECLARED",IF(ISNA(_xlfn.TEXTAFTER(VLOOKUP($F73,Declarations!B$6:C$293,2,FALSE)," ")),VLOOKUP($F73,Declarations!B$6:C$293,2,FALSE),_xlfn.TEXTAFTER(VLOOKUP($F73,Declarations!B$6:C$293,2,FALSE)," "))))</f>
        <v/>
      </c>
      <c r="D73" s="122" t="str">
        <f>IF(ISNA(VLOOKUP($F73,Declarations!$B$6:$F$293,5,FALSE)),"",IF(VLOOKUP($F73,Declarations!$B$6:$F$293,5,FALSE)="","NOT DECLARED",VLOOKUP($F73,Declarations!$B$6:$F$293,5,FALSE)))</f>
        <v/>
      </c>
      <c r="E73" s="120" t="str">
        <f>IF(ISNA(VLOOKUP($F73,Declarations!$B$6:$D$293,3,FALSE)),"",IF(VLOOKUP($F73,Declarations!$B$6:$D$293,3,FALSE)="","NOT DECLARED",VLOOKUP($F73,Declarations!$B$6:$D$293,3,FALSE)&amp;LEFT(VLOOKUP($F73,Declarations!$B$6:$E$293,4,FALSE))))</f>
        <v/>
      </c>
      <c r="F73" s="59"/>
      <c r="G73" s="129"/>
      <c r="H73" s="129"/>
      <c r="I73" s="122" t="str">
        <f>IF(ISNA(VLOOKUP(F73,Declarations!B$6:C$293,2,FALSE)),"",IF(VLOOKUP(F73,Declarations!B$6:C$293,2,FALSE)="","NOT DECLARED",VLOOKUP(F73,Declarations!B$6:C$293,2,FALSE)))</f>
        <v/>
      </c>
      <c r="J73" s="120">
        <f>IF(LOWER(LEFT(G73,1))="n",1,VLOOKUP(G73,ScoringTable!D$2:I$95,6))</f>
        <v>0</v>
      </c>
      <c r="K73" s="120" t="str" cm="1">
        <f t="array" ref="K73">IF(OR(E73="",G73=""),"",_xlfn.IFS(E73="U10B",_xlfn.XLOOKUP(G73,Data!$D$5:$L$5,Data!$D$1:$L$1,"",-1,1),E73="U12B",_xlfn.XLOOKUP(G73,Data!$D$12:$L$12,Data!$D$1:$L$1,"",-1,1),E73="U10G",_xlfn.XLOOKUP(G73,Data!$D$18:$L$18,Data!$D$1:$L$1,"",-1,1),E73="U12G",_xlfn.XLOOKUP(G73,Data!$D$25:$L$25,Data!$D$1:$L$1,"",-1,1)))</f>
        <v/>
      </c>
      <c r="L73" s="184" t="str" cm="1">
        <f t="array" ref="L73">IFERROR(_xlfn.IFNA(
                      _xlfn.IFS(
                      G73="", "",
                      AND(E73="U10B",G73&gt;=Data!$M$5), "U10 Boys record",
                      AND(E73="U12B",G73&gt;=Data!$M$12), "U12 Boys record",
                      AND(E73="U10G",G73&gt;=Data!$M$18), "U10 Girls record",
                      AND(E73="U12G",G73&gt;=Data!$M$25), "U12 Girls record"
                       ),""), "")</f>
        <v/>
      </c>
      <c r="M73" s="19" cm="1">
        <f t="array" ref="M73">_xlfn.IFS($G73="",0, AND(NOT(ISNUMBER($G73)),LOWER(LEFT($G73,1))&lt;&gt;"n"),"Not a valid distance",OR(LOWER(LEFT($G73,1))="n",$G73&lt;ScoringTable!$O$161),1,RIGHT($E73,1)="B",_xlfn.XLOOKUP($G73,ScoringTable!$O$2:$O$161,ScoringTable!$L$2:$L$161,,-1),TRUE,_xlfn.XLOOKUP($G73,ScoringTable!$U$2:$U$161,ScoringTable!$R$2:$R$161,,-1))</f>
        <v>0</v>
      </c>
    </row>
    <row r="74" spans="1:13" s="7" customFormat="1" ht="16" customHeight="1">
      <c r="A74" s="121" t="s">
        <v>81</v>
      </c>
      <c r="B74" s="122" t="str">
        <f>IF(ISNA(VLOOKUP($F74,Declarations!B$6:C$293,2,FALSE)),"",IF(VLOOKUP($F74,Declarations!B$6:C$293,2,FALSE)="","NOT DECLARED",IF(ISNA(_xlfn.TEXTBEFORE(VLOOKUP($F74,Declarations!B$6:C$293,2,FALSE)," ")),VLOOKUP($F74,Declarations!B$6:C$293,2,FALSE),_xlfn.TEXTBEFORE(VLOOKUP($F74,Declarations!B$6:C$293,2,FALSE)," "))))</f>
        <v/>
      </c>
      <c r="C74" s="122" t="str">
        <f>IF(ISNA(VLOOKUP($F74,Declarations!B$6:C$293,2,FALSE)),"",IF(VLOOKUP($F74,Declarations!B$6:C$293,2,FALSE)="","NOT DECLARED",IF(ISNA(_xlfn.TEXTAFTER(VLOOKUP($F74,Declarations!B$6:C$293,2,FALSE)," ")),VLOOKUP($F74,Declarations!B$6:C$293,2,FALSE),_xlfn.TEXTAFTER(VLOOKUP($F74,Declarations!B$6:C$293,2,FALSE)," "))))</f>
        <v/>
      </c>
      <c r="D74" s="122" t="str">
        <f>IF(ISNA(VLOOKUP($F74,Declarations!$B$6:$F$293,5,FALSE)),"",IF(VLOOKUP($F74,Declarations!$B$6:$F$293,5,FALSE)="","NOT DECLARED",VLOOKUP($F74,Declarations!$B$6:$F$293,5,FALSE)))</f>
        <v/>
      </c>
      <c r="E74" s="120" t="str">
        <f>IF(ISNA(VLOOKUP($F74,Declarations!$B$6:$D$293,3,FALSE)),"",IF(VLOOKUP($F74,Declarations!$B$6:$D$293,3,FALSE)="","NOT DECLARED",VLOOKUP($F74,Declarations!$B$6:$D$293,3,FALSE)&amp;LEFT(VLOOKUP($F74,Declarations!$B$6:$E$293,4,FALSE))))</f>
        <v/>
      </c>
      <c r="F74" s="59"/>
      <c r="G74" s="129"/>
      <c r="H74" s="129"/>
      <c r="I74" s="122" t="str">
        <f>IF(ISNA(VLOOKUP(F74,Declarations!B$6:C$293,2,FALSE)),"",IF(VLOOKUP(F74,Declarations!B$6:C$293,2,FALSE)="","NOT DECLARED",VLOOKUP(F74,Declarations!B$6:C$293,2,FALSE)))</f>
        <v/>
      </c>
      <c r="J74" s="120">
        <f>IF(LOWER(LEFT(G74,1))="n",1,VLOOKUP(G74,ScoringTable!D$2:I$95,6))</f>
        <v>0</v>
      </c>
      <c r="K74" s="120" t="str" cm="1">
        <f t="array" ref="K74">IF(OR(E74="",G74=""),"",_xlfn.IFS(E74="U10B",_xlfn.XLOOKUP(G74,Data!$D$5:$L$5,Data!$D$1:$L$1,"",-1,1),E74="U12B",_xlfn.XLOOKUP(G74,Data!$D$12:$L$12,Data!$D$1:$L$1,"",-1,1),E74="U10G",_xlfn.XLOOKUP(G74,Data!$D$18:$L$18,Data!$D$1:$L$1,"",-1,1),E74="U12G",_xlfn.XLOOKUP(G74,Data!$D$25:$L$25,Data!$D$1:$L$1,"",-1,1)))</f>
        <v/>
      </c>
      <c r="L74" s="184" t="str" cm="1">
        <f t="array" ref="L74">IFERROR(_xlfn.IFNA(
                      _xlfn.IFS(
                      G74="", "",
                      AND(E74="U10B",G74&gt;=Data!$M$5), "U10 Boys record",
                      AND(E74="U12B",G74&gt;=Data!$M$12), "U12 Boys record",
                      AND(E74="U10G",G74&gt;=Data!$M$18), "U10 Girls record",
                      AND(E74="U12G",G74&gt;=Data!$M$25), "U12 Girls record"
                       ),""), "")</f>
        <v/>
      </c>
      <c r="M74" s="19" cm="1">
        <f t="array" ref="M74">_xlfn.IFS($G74="",0, AND(NOT(ISNUMBER($G74)),LOWER(LEFT($G74,1))&lt;&gt;"n"),"Not a valid distance",OR(LOWER(LEFT($G74,1))="n",$G74&lt;ScoringTable!$O$161),1,RIGHT($E74,1)="B",_xlfn.XLOOKUP($G74,ScoringTable!$O$2:$O$161,ScoringTable!$L$2:$L$161,,-1),TRUE,_xlfn.XLOOKUP($G74,ScoringTable!$U$2:$U$161,ScoringTable!$R$2:$R$161,,-1))</f>
        <v>0</v>
      </c>
    </row>
    <row r="75" spans="1:13" s="7" customFormat="1" ht="16" customHeight="1">
      <c r="A75" s="121" t="s">
        <v>81</v>
      </c>
      <c r="B75" s="122" t="str">
        <f>IF(ISNA(VLOOKUP($F75,Declarations!B$6:C$293,2,FALSE)),"",IF(VLOOKUP($F75,Declarations!B$6:C$293,2,FALSE)="","NOT DECLARED",IF(ISNA(_xlfn.TEXTBEFORE(VLOOKUP($F75,Declarations!B$6:C$293,2,FALSE)," ")),VLOOKUP($F75,Declarations!B$6:C$293,2,FALSE),_xlfn.TEXTBEFORE(VLOOKUP($F75,Declarations!B$6:C$293,2,FALSE)," "))))</f>
        <v/>
      </c>
      <c r="C75" s="122" t="str">
        <f>IF(ISNA(VLOOKUP($F75,Declarations!B$6:C$293,2,FALSE)),"",IF(VLOOKUP($F75,Declarations!B$6:C$293,2,FALSE)="","NOT DECLARED",IF(ISNA(_xlfn.TEXTAFTER(VLOOKUP($F75,Declarations!B$6:C$293,2,FALSE)," ")),VLOOKUP($F75,Declarations!B$6:C$293,2,FALSE),_xlfn.TEXTAFTER(VLOOKUP($F75,Declarations!B$6:C$293,2,FALSE)," "))))</f>
        <v/>
      </c>
      <c r="D75" s="122" t="str">
        <f>IF(ISNA(VLOOKUP($F75,Declarations!$B$6:$F$293,5,FALSE)),"",IF(VLOOKUP($F75,Declarations!$B$6:$F$293,5,FALSE)="","NOT DECLARED",VLOOKUP($F75,Declarations!$B$6:$F$293,5,FALSE)))</f>
        <v/>
      </c>
      <c r="E75" s="120" t="str">
        <f>IF(ISNA(VLOOKUP($F75,Declarations!$B$6:$D$293,3,FALSE)),"",IF(VLOOKUP($F75,Declarations!$B$6:$D$293,3,FALSE)="","NOT DECLARED",VLOOKUP($F75,Declarations!$B$6:$D$293,3,FALSE)&amp;LEFT(VLOOKUP($F75,Declarations!$B$6:$E$293,4,FALSE))))</f>
        <v/>
      </c>
      <c r="F75" s="59"/>
      <c r="G75" s="129"/>
      <c r="H75" s="129"/>
      <c r="I75" s="122" t="str">
        <f>IF(ISNA(VLOOKUP(F75,Declarations!B$6:C$293,2,FALSE)),"",IF(VLOOKUP(F75,Declarations!B$6:C$293,2,FALSE)="","NOT DECLARED",VLOOKUP(F75,Declarations!B$6:C$293,2,FALSE)))</f>
        <v/>
      </c>
      <c r="J75" s="120">
        <f>IF(LOWER(LEFT(G75,1))="n",1,VLOOKUP(G75,ScoringTable!D$2:I$95,6))</f>
        <v>0</v>
      </c>
      <c r="K75" s="120" t="str" cm="1">
        <f t="array" ref="K75">IF(OR(E75="",G75=""),"",_xlfn.IFS(E75="U10B",_xlfn.XLOOKUP(G75,Data!$D$5:$L$5,Data!$D$1:$L$1,"",-1,1),E75="U12B",_xlfn.XLOOKUP(G75,Data!$D$12:$L$12,Data!$D$1:$L$1,"",-1,1),E75="U10G",_xlfn.XLOOKUP(G75,Data!$D$18:$L$18,Data!$D$1:$L$1,"",-1,1),E75="U12G",_xlfn.XLOOKUP(G75,Data!$D$25:$L$25,Data!$D$1:$L$1,"",-1,1)))</f>
        <v/>
      </c>
      <c r="L75" s="184" t="str" cm="1">
        <f t="array" ref="L75">IFERROR(_xlfn.IFNA(
                      _xlfn.IFS(
                      G75="", "",
                      AND(E75="U10B",G75&gt;=Data!$M$5), "U10 Boys record",
                      AND(E75="U12B",G75&gt;=Data!$M$12), "U12 Boys record",
                      AND(E75="U10G",G75&gt;=Data!$M$18), "U10 Girls record",
                      AND(E75="U12G",G75&gt;=Data!$M$25), "U12 Girls record"
                       ),""), "")</f>
        <v/>
      </c>
      <c r="M75" s="19" cm="1">
        <f t="array" ref="M75">_xlfn.IFS($G75="",0, AND(NOT(ISNUMBER($G75)),LOWER(LEFT($G75,1))&lt;&gt;"n"),"Not a valid distance",OR(LOWER(LEFT($G75,1))="n",$G75&lt;ScoringTable!$O$161),1,RIGHT($E75,1)="B",_xlfn.XLOOKUP($G75,ScoringTable!$O$2:$O$161,ScoringTable!$L$2:$L$161,,-1),TRUE,_xlfn.XLOOKUP($G75,ScoringTable!$U$2:$U$161,ScoringTable!$R$2:$R$161,,-1))</f>
        <v>0</v>
      </c>
    </row>
    <row r="76" spans="1:13" s="7" customFormat="1" ht="16" customHeight="1">
      <c r="A76" s="121" t="s">
        <v>81</v>
      </c>
      <c r="B76" s="122" t="str">
        <f>IF(ISNA(VLOOKUP($F76,Declarations!B$6:C$293,2,FALSE)),"",IF(VLOOKUP($F76,Declarations!B$6:C$293,2,FALSE)="","NOT DECLARED",IF(ISNA(_xlfn.TEXTBEFORE(VLOOKUP($F76,Declarations!B$6:C$293,2,FALSE)," ")),VLOOKUP($F76,Declarations!B$6:C$293,2,FALSE),_xlfn.TEXTBEFORE(VLOOKUP($F76,Declarations!B$6:C$293,2,FALSE)," "))))</f>
        <v/>
      </c>
      <c r="C76" s="122" t="str">
        <f>IF(ISNA(VLOOKUP($F76,Declarations!B$6:C$293,2,FALSE)),"",IF(VLOOKUP($F76,Declarations!B$6:C$293,2,FALSE)="","NOT DECLARED",IF(ISNA(_xlfn.TEXTAFTER(VLOOKUP($F76,Declarations!B$6:C$293,2,FALSE)," ")),VLOOKUP($F76,Declarations!B$6:C$293,2,FALSE),_xlfn.TEXTAFTER(VLOOKUP($F76,Declarations!B$6:C$293,2,FALSE)," "))))</f>
        <v/>
      </c>
      <c r="D76" s="122" t="str">
        <f>IF(ISNA(VLOOKUP($F76,Declarations!$B$6:$F$293,5,FALSE)),"",IF(VLOOKUP($F76,Declarations!$B$6:$F$293,5,FALSE)="","NOT DECLARED",VLOOKUP($F76,Declarations!$B$6:$F$293,5,FALSE)))</f>
        <v/>
      </c>
      <c r="E76" s="120" t="str">
        <f>IF(ISNA(VLOOKUP($F76,Declarations!$B$6:$D$293,3,FALSE)),"",IF(VLOOKUP($F76,Declarations!$B$6:$D$293,3,FALSE)="","NOT DECLARED",VLOOKUP($F76,Declarations!$B$6:$D$293,3,FALSE)&amp;LEFT(VLOOKUP($F76,Declarations!$B$6:$E$293,4,FALSE))))</f>
        <v/>
      </c>
      <c r="F76" s="59"/>
      <c r="G76" s="129"/>
      <c r="H76" s="129"/>
      <c r="I76" s="122" t="str">
        <f>IF(ISNA(VLOOKUP(F76,Declarations!B$6:C$293,2,FALSE)),"",IF(VLOOKUP(F76,Declarations!B$6:C$293,2,FALSE)="","NOT DECLARED",VLOOKUP(F76,Declarations!B$6:C$293,2,FALSE)))</f>
        <v/>
      </c>
      <c r="J76" s="120">
        <f>IF(LOWER(LEFT(G76,1))="n",1,VLOOKUP(G76,ScoringTable!D$2:I$95,6))</f>
        <v>0</v>
      </c>
      <c r="K76" s="120" t="str" cm="1">
        <f t="array" ref="K76">IF(OR(E76="",G76=""),"",_xlfn.IFS(E76="U10B",_xlfn.XLOOKUP(G76,Data!$D$5:$L$5,Data!$D$1:$L$1,"",-1,1),E76="U12B",_xlfn.XLOOKUP(G76,Data!$D$12:$L$12,Data!$D$1:$L$1,"",-1,1),E76="U10G",_xlfn.XLOOKUP(G76,Data!$D$18:$L$18,Data!$D$1:$L$1,"",-1,1),E76="U12G",_xlfn.XLOOKUP(G76,Data!$D$25:$L$25,Data!$D$1:$L$1,"",-1,1)))</f>
        <v/>
      </c>
      <c r="L76" s="184" t="str" cm="1">
        <f t="array" ref="L76">IFERROR(_xlfn.IFNA(
                      _xlfn.IFS(
                      G76="", "",
                      AND(E76="U10B",G76&gt;=Data!$M$5), "U10 Boys record",
                      AND(E76="U12B",G76&gt;=Data!$M$12), "U12 Boys record",
                      AND(E76="U10G",G76&gt;=Data!$M$18), "U10 Girls record",
                      AND(E76="U12G",G76&gt;=Data!$M$25), "U12 Girls record"
                       ),""), "")</f>
        <v/>
      </c>
      <c r="M76" s="19" cm="1">
        <f t="array" ref="M76">_xlfn.IFS($G76="",0, AND(NOT(ISNUMBER($G76)),LOWER(LEFT($G76,1))&lt;&gt;"n"),"Not a valid distance",OR(LOWER(LEFT($G76,1))="n",$G76&lt;ScoringTable!$O$161),1,RIGHT($E76,1)="B",_xlfn.XLOOKUP($G76,ScoringTable!$O$2:$O$161,ScoringTable!$L$2:$L$161,,-1),TRUE,_xlfn.XLOOKUP($G76,ScoringTable!$U$2:$U$161,ScoringTable!$R$2:$R$161,,-1))</f>
        <v>0</v>
      </c>
    </row>
    <row r="77" spans="1:13" s="7" customFormat="1" ht="16" customHeight="1">
      <c r="A77" s="121" t="s">
        <v>81</v>
      </c>
      <c r="B77" s="122" t="str">
        <f>IF(ISNA(VLOOKUP($F77,Declarations!B$6:C$293,2,FALSE)),"",IF(VLOOKUP($F77,Declarations!B$6:C$293,2,FALSE)="","NOT DECLARED",IF(ISNA(_xlfn.TEXTBEFORE(VLOOKUP($F77,Declarations!B$6:C$293,2,FALSE)," ")),VLOOKUP($F77,Declarations!B$6:C$293,2,FALSE),_xlfn.TEXTBEFORE(VLOOKUP($F77,Declarations!B$6:C$293,2,FALSE)," "))))</f>
        <v/>
      </c>
      <c r="C77" s="122" t="str">
        <f>IF(ISNA(VLOOKUP($F77,Declarations!B$6:C$293,2,FALSE)),"",IF(VLOOKUP($F77,Declarations!B$6:C$293,2,FALSE)="","NOT DECLARED",IF(ISNA(_xlfn.TEXTAFTER(VLOOKUP($F77,Declarations!B$6:C$293,2,FALSE)," ")),VLOOKUP($F77,Declarations!B$6:C$293,2,FALSE),_xlfn.TEXTAFTER(VLOOKUP($F77,Declarations!B$6:C$293,2,FALSE)," "))))</f>
        <v/>
      </c>
      <c r="D77" s="122" t="str">
        <f>IF(ISNA(VLOOKUP($F77,Declarations!$B$6:$F$293,5,FALSE)),"",IF(VLOOKUP($F77,Declarations!$B$6:$F$293,5,FALSE)="","NOT DECLARED",VLOOKUP($F77,Declarations!$B$6:$F$293,5,FALSE)))</f>
        <v/>
      </c>
      <c r="E77" s="120" t="str">
        <f>IF(ISNA(VLOOKUP($F77,Declarations!$B$6:$D$293,3,FALSE)),"",IF(VLOOKUP($F77,Declarations!$B$6:$D$293,3,FALSE)="","NOT DECLARED",VLOOKUP($F77,Declarations!$B$6:$D$293,3,FALSE)&amp;LEFT(VLOOKUP($F77,Declarations!$B$6:$E$293,4,FALSE))))</f>
        <v/>
      </c>
      <c r="F77" s="59"/>
      <c r="G77" s="129"/>
      <c r="H77" s="129"/>
      <c r="I77" s="122" t="str">
        <f>IF(ISNA(VLOOKUP(F77,Declarations!B$6:C$293,2,FALSE)),"",IF(VLOOKUP(F77,Declarations!B$6:C$293,2,FALSE)="","NOT DECLARED",VLOOKUP(F77,Declarations!B$6:C$293,2,FALSE)))</f>
        <v/>
      </c>
      <c r="J77" s="120">
        <f>IF(LOWER(LEFT(G77,1))="n",1,VLOOKUP(G77,ScoringTable!D$2:I$95,6))</f>
        <v>0</v>
      </c>
      <c r="K77" s="120" t="str" cm="1">
        <f t="array" ref="K77">IF(OR(E77="",G77=""),"",_xlfn.IFS(E77="U10B",_xlfn.XLOOKUP(G77,Data!$D$5:$L$5,Data!$D$1:$L$1,"",-1,1),E77="U12B",_xlfn.XLOOKUP(G77,Data!$D$12:$L$12,Data!$D$1:$L$1,"",-1,1),E77="U10G",_xlfn.XLOOKUP(G77,Data!$D$18:$L$18,Data!$D$1:$L$1,"",-1,1),E77="U12G",_xlfn.XLOOKUP(G77,Data!$D$25:$L$25,Data!$D$1:$L$1,"",-1,1)))</f>
        <v/>
      </c>
      <c r="L77" s="184" t="str" cm="1">
        <f t="array" ref="L77">IFERROR(_xlfn.IFNA(
                      _xlfn.IFS(
                      G77="", "",
                      AND(E77="U10B",G77&gt;=Data!$M$5), "U10 Boys record",
                      AND(E77="U12B",G77&gt;=Data!$M$12), "U12 Boys record",
                      AND(E77="U10G",G77&gt;=Data!$M$18), "U10 Girls record",
                      AND(E77="U12G",G77&gt;=Data!$M$25), "U12 Girls record"
                       ),""), "")</f>
        <v/>
      </c>
      <c r="M77" s="19" cm="1">
        <f t="array" ref="M77">_xlfn.IFS($G77="",0, AND(NOT(ISNUMBER($G77)),LOWER(LEFT($G77,1))&lt;&gt;"n"),"Not a valid distance",OR(LOWER(LEFT($G77,1))="n",$G77&lt;ScoringTable!$O$161),1,RIGHT($E77,1)="B",_xlfn.XLOOKUP($G77,ScoringTable!$O$2:$O$161,ScoringTable!$L$2:$L$161,,-1),TRUE,_xlfn.XLOOKUP($G77,ScoringTable!$U$2:$U$161,ScoringTable!$R$2:$R$161,,-1))</f>
        <v>0</v>
      </c>
    </row>
    <row r="78" spans="1:13" s="7" customFormat="1" ht="16" customHeight="1">
      <c r="A78" s="121" t="s">
        <v>81</v>
      </c>
      <c r="B78" s="122" t="str">
        <f>IF(ISNA(VLOOKUP($F78,Declarations!B$6:C$293,2,FALSE)),"",IF(VLOOKUP($F78,Declarations!B$6:C$293,2,FALSE)="","NOT DECLARED",IF(ISNA(_xlfn.TEXTBEFORE(VLOOKUP($F78,Declarations!B$6:C$293,2,FALSE)," ")),VLOOKUP($F78,Declarations!B$6:C$293,2,FALSE),_xlfn.TEXTBEFORE(VLOOKUP($F78,Declarations!B$6:C$293,2,FALSE)," "))))</f>
        <v/>
      </c>
      <c r="C78" s="122" t="str">
        <f>IF(ISNA(VLOOKUP($F78,Declarations!B$6:C$293,2,FALSE)),"",IF(VLOOKUP($F78,Declarations!B$6:C$293,2,FALSE)="","NOT DECLARED",IF(ISNA(_xlfn.TEXTAFTER(VLOOKUP($F78,Declarations!B$6:C$293,2,FALSE)," ")),VLOOKUP($F78,Declarations!B$6:C$293,2,FALSE),_xlfn.TEXTAFTER(VLOOKUP($F78,Declarations!B$6:C$293,2,FALSE)," "))))</f>
        <v/>
      </c>
      <c r="D78" s="122" t="str">
        <f>IF(ISNA(VLOOKUP($F78,Declarations!$B$6:$F$293,5,FALSE)),"",IF(VLOOKUP($F78,Declarations!$B$6:$F$293,5,FALSE)="","NOT DECLARED",VLOOKUP($F78,Declarations!$B$6:$F$293,5,FALSE)))</f>
        <v/>
      </c>
      <c r="E78" s="120" t="str">
        <f>IF(ISNA(VLOOKUP($F78,Declarations!$B$6:$D$293,3,FALSE)),"",IF(VLOOKUP($F78,Declarations!$B$6:$D$293,3,FALSE)="","NOT DECLARED",VLOOKUP($F78,Declarations!$B$6:$D$293,3,FALSE)&amp;LEFT(VLOOKUP($F78,Declarations!$B$6:$E$293,4,FALSE))))</f>
        <v/>
      </c>
      <c r="F78" s="59"/>
      <c r="G78" s="129"/>
      <c r="H78" s="129"/>
      <c r="I78" s="122" t="str">
        <f>IF(ISNA(VLOOKUP(F78,Declarations!B$6:C$293,2,FALSE)),"",IF(VLOOKUP(F78,Declarations!B$6:C$293,2,FALSE)="","NOT DECLARED",VLOOKUP(F78,Declarations!B$6:C$293,2,FALSE)))</f>
        <v/>
      </c>
      <c r="J78" s="120">
        <f>IF(LOWER(LEFT(G78,1))="n",1,VLOOKUP(G78,ScoringTable!D$2:I$95,6))</f>
        <v>0</v>
      </c>
      <c r="K78" s="120" t="str" cm="1">
        <f t="array" ref="K78">IF(OR(E78="",G78=""),"",_xlfn.IFS(E78="U10B",_xlfn.XLOOKUP(G78,Data!$D$5:$L$5,Data!$D$1:$L$1,"",-1,1),E78="U12B",_xlfn.XLOOKUP(G78,Data!$D$12:$L$12,Data!$D$1:$L$1,"",-1,1),E78="U10G",_xlfn.XLOOKUP(G78,Data!$D$18:$L$18,Data!$D$1:$L$1,"",-1,1),E78="U12G",_xlfn.XLOOKUP(G78,Data!$D$25:$L$25,Data!$D$1:$L$1,"",-1,1)))</f>
        <v/>
      </c>
      <c r="L78" s="184" t="str" cm="1">
        <f t="array" ref="L78">IFERROR(_xlfn.IFNA(
                      _xlfn.IFS(
                      G78="", "",
                      AND(E78="U10B",G78&gt;=Data!$M$5), "U10 Boys record",
                      AND(E78="U12B",G78&gt;=Data!$M$12), "U12 Boys record",
                      AND(E78="U10G",G78&gt;=Data!$M$18), "U10 Girls record",
                      AND(E78="U12G",G78&gt;=Data!$M$25), "U12 Girls record"
                       ),""), "")</f>
        <v/>
      </c>
      <c r="M78" s="19" cm="1">
        <f t="array" ref="M78">_xlfn.IFS($G78="",0, AND(NOT(ISNUMBER($G78)),LOWER(LEFT($G78,1))&lt;&gt;"n"),"Not a valid distance",OR(LOWER(LEFT($G78,1))="n",$G78&lt;ScoringTable!$O$161),1,RIGHT($E78,1)="B",_xlfn.XLOOKUP($G78,ScoringTable!$O$2:$O$161,ScoringTable!$L$2:$L$161,,-1),TRUE,_xlfn.XLOOKUP($G78,ScoringTable!$U$2:$U$161,ScoringTable!$R$2:$R$161,,-1))</f>
        <v>0</v>
      </c>
    </row>
    <row r="79" spans="1:13" s="7" customFormat="1" ht="16" customHeight="1">
      <c r="A79" s="121" t="s">
        <v>81</v>
      </c>
      <c r="B79" s="122" t="str">
        <f>IF(ISNA(VLOOKUP($F79,Declarations!B$6:C$293,2,FALSE)),"",IF(VLOOKUP($F79,Declarations!B$6:C$293,2,FALSE)="","NOT DECLARED",IF(ISNA(_xlfn.TEXTBEFORE(VLOOKUP($F79,Declarations!B$6:C$293,2,FALSE)," ")),VLOOKUP($F79,Declarations!B$6:C$293,2,FALSE),_xlfn.TEXTBEFORE(VLOOKUP($F79,Declarations!B$6:C$293,2,FALSE)," "))))</f>
        <v/>
      </c>
      <c r="C79" s="122" t="str">
        <f>IF(ISNA(VLOOKUP($F79,Declarations!B$6:C$293,2,FALSE)),"",IF(VLOOKUP($F79,Declarations!B$6:C$293,2,FALSE)="","NOT DECLARED",IF(ISNA(_xlfn.TEXTAFTER(VLOOKUP($F79,Declarations!B$6:C$293,2,FALSE)," ")),VLOOKUP($F79,Declarations!B$6:C$293,2,FALSE),_xlfn.TEXTAFTER(VLOOKUP($F79,Declarations!B$6:C$293,2,FALSE)," "))))</f>
        <v/>
      </c>
      <c r="D79" s="122" t="str">
        <f>IF(ISNA(VLOOKUP($F79,Declarations!$B$6:$F$293,5,FALSE)),"",IF(VLOOKUP($F79,Declarations!$B$6:$F$293,5,FALSE)="","NOT DECLARED",VLOOKUP($F79,Declarations!$B$6:$F$293,5,FALSE)))</f>
        <v/>
      </c>
      <c r="E79" s="120" t="str">
        <f>IF(ISNA(VLOOKUP($F79,Declarations!$B$6:$D$293,3,FALSE)),"",IF(VLOOKUP($F79,Declarations!$B$6:$D$293,3,FALSE)="","NOT DECLARED",VLOOKUP($F79,Declarations!$B$6:$D$293,3,FALSE)&amp;LEFT(VLOOKUP($F79,Declarations!$B$6:$E$293,4,FALSE))))</f>
        <v/>
      </c>
      <c r="F79" s="59"/>
      <c r="G79" s="129"/>
      <c r="H79" s="129"/>
      <c r="I79" s="122" t="str">
        <f>IF(ISNA(VLOOKUP(F79,Declarations!B$6:C$293,2,FALSE)),"",IF(VLOOKUP(F79,Declarations!B$6:C$293,2,FALSE)="","NOT DECLARED",VLOOKUP(F79,Declarations!B$6:C$293,2,FALSE)))</f>
        <v/>
      </c>
      <c r="J79" s="120">
        <f>IF(LOWER(LEFT(G79,1))="n",1,VLOOKUP(G79,ScoringTable!D$2:I$95,6))</f>
        <v>0</v>
      </c>
      <c r="K79" s="120" t="str" cm="1">
        <f t="array" ref="K79">IF(OR(E79="",G79=""),"",_xlfn.IFS(E79="U10B",_xlfn.XLOOKUP(G79,Data!$D$5:$L$5,Data!$D$1:$L$1,"",-1,1),E79="U12B",_xlfn.XLOOKUP(G79,Data!$D$12:$L$12,Data!$D$1:$L$1,"",-1,1),E79="U10G",_xlfn.XLOOKUP(G79,Data!$D$18:$L$18,Data!$D$1:$L$1,"",-1,1),E79="U12G",_xlfn.XLOOKUP(G79,Data!$D$25:$L$25,Data!$D$1:$L$1,"",-1,1)))</f>
        <v/>
      </c>
      <c r="L79" s="184" t="str" cm="1">
        <f t="array" ref="L79">IFERROR(_xlfn.IFNA(
                      _xlfn.IFS(
                      G79="", "",
                      AND(E79="U10B",G79&gt;=Data!$M$5), "U10 Boys record",
                      AND(E79="U12B",G79&gt;=Data!$M$12), "U12 Boys record",
                      AND(E79="U10G",G79&gt;=Data!$M$18), "U10 Girls record",
                      AND(E79="U12G",G79&gt;=Data!$M$25), "U12 Girls record"
                       ),""), "")</f>
        <v/>
      </c>
      <c r="M79" s="19" cm="1">
        <f t="array" ref="M79">_xlfn.IFS($G79="",0, AND(NOT(ISNUMBER($G79)),LOWER(LEFT($G79,1))&lt;&gt;"n"),"Not a valid distance",OR(LOWER(LEFT($G79,1))="n",$G79&lt;ScoringTable!$O$161),1,RIGHT($E79,1)="B",_xlfn.XLOOKUP($G79,ScoringTable!$O$2:$O$161,ScoringTable!$L$2:$L$161,,-1),TRUE,_xlfn.XLOOKUP($G79,ScoringTable!$U$2:$U$161,ScoringTable!$R$2:$R$161,,-1))</f>
        <v>0</v>
      </c>
    </row>
    <row r="80" spans="1:13" s="7" customFormat="1" ht="16" customHeight="1">
      <c r="A80" s="121" t="s">
        <v>81</v>
      </c>
      <c r="B80" s="122" t="str">
        <f>IF(ISNA(VLOOKUP($F80,Declarations!B$6:C$293,2,FALSE)),"",IF(VLOOKUP($F80,Declarations!B$6:C$293,2,FALSE)="","NOT DECLARED",IF(ISNA(_xlfn.TEXTBEFORE(VLOOKUP($F80,Declarations!B$6:C$293,2,FALSE)," ")),VLOOKUP($F80,Declarations!B$6:C$293,2,FALSE),_xlfn.TEXTBEFORE(VLOOKUP($F80,Declarations!B$6:C$293,2,FALSE)," "))))</f>
        <v/>
      </c>
      <c r="C80" s="122" t="str">
        <f>IF(ISNA(VLOOKUP($F80,Declarations!B$6:C$293,2,FALSE)),"",IF(VLOOKUP($F80,Declarations!B$6:C$293,2,FALSE)="","NOT DECLARED",IF(ISNA(_xlfn.TEXTAFTER(VLOOKUP($F80,Declarations!B$6:C$293,2,FALSE)," ")),VLOOKUP($F80,Declarations!B$6:C$293,2,FALSE),_xlfn.TEXTAFTER(VLOOKUP($F80,Declarations!B$6:C$293,2,FALSE)," "))))</f>
        <v/>
      </c>
      <c r="D80" s="122" t="str">
        <f>IF(ISNA(VLOOKUP($F80,Declarations!$B$6:$F$293,5,FALSE)),"",IF(VLOOKUP($F80,Declarations!$B$6:$F$293,5,FALSE)="","NOT DECLARED",VLOOKUP($F80,Declarations!$B$6:$F$293,5,FALSE)))</f>
        <v/>
      </c>
      <c r="E80" s="120" t="str">
        <f>IF(ISNA(VLOOKUP($F80,Declarations!$B$6:$D$293,3,FALSE)),"",IF(VLOOKUP($F80,Declarations!$B$6:$D$293,3,FALSE)="","NOT DECLARED",VLOOKUP($F80,Declarations!$B$6:$D$293,3,FALSE)&amp;LEFT(VLOOKUP($F80,Declarations!$B$6:$E$293,4,FALSE))))</f>
        <v/>
      </c>
      <c r="F80" s="59"/>
      <c r="G80" s="129"/>
      <c r="H80" s="129"/>
      <c r="I80" s="122" t="str">
        <f>IF(ISNA(VLOOKUP(F80,Declarations!B$6:C$293,2,FALSE)),"",IF(VLOOKUP(F80,Declarations!B$6:C$293,2,FALSE)="","NOT DECLARED",VLOOKUP(F80,Declarations!B$6:C$293,2,FALSE)))</f>
        <v/>
      </c>
      <c r="J80" s="120">
        <f>IF(LOWER(LEFT(G80,1))="n",1,VLOOKUP(G80,ScoringTable!D$2:I$95,6))</f>
        <v>0</v>
      </c>
      <c r="K80" s="120" t="str" cm="1">
        <f t="array" ref="K80">IF(OR(E80="",G80=""),"",_xlfn.IFS(E80="U10B",_xlfn.XLOOKUP(G80,Data!$D$5:$L$5,Data!$D$1:$L$1,"",-1,1),E80="U12B",_xlfn.XLOOKUP(G80,Data!$D$12:$L$12,Data!$D$1:$L$1,"",-1,1),E80="U10G",_xlfn.XLOOKUP(G80,Data!$D$18:$L$18,Data!$D$1:$L$1,"",-1,1),E80="U12G",_xlfn.XLOOKUP(G80,Data!$D$25:$L$25,Data!$D$1:$L$1,"",-1,1)))</f>
        <v/>
      </c>
      <c r="L80" s="184" t="str" cm="1">
        <f t="array" ref="L80">IFERROR(_xlfn.IFNA(
                      _xlfn.IFS(
                      G80="", "",
                      AND(E80="U10B",G80&gt;=Data!$M$5), "U10 Boys record",
                      AND(E80="U12B",G80&gt;=Data!$M$12), "U12 Boys record",
                      AND(E80="U10G",G80&gt;=Data!$M$18), "U10 Girls record",
                      AND(E80="U12G",G80&gt;=Data!$M$25), "U12 Girls record"
                       ),""), "")</f>
        <v/>
      </c>
      <c r="M80" s="19" cm="1">
        <f t="array" ref="M80">_xlfn.IFS($G80="",0, AND(NOT(ISNUMBER($G80)),LOWER(LEFT($G80,1))&lt;&gt;"n"),"Not a valid distance",OR(LOWER(LEFT($G80,1))="n",$G80&lt;ScoringTable!$O$161),1,RIGHT($E80,1)="B",_xlfn.XLOOKUP($G80,ScoringTable!$O$2:$O$161,ScoringTable!$L$2:$L$161,,-1),TRUE,_xlfn.XLOOKUP($G80,ScoringTable!$U$2:$U$161,ScoringTable!$R$2:$R$161,,-1))</f>
        <v>0</v>
      </c>
    </row>
    <row r="81" spans="1:13" s="7" customFormat="1" ht="16" customHeight="1">
      <c r="A81" s="121" t="s">
        <v>81</v>
      </c>
      <c r="B81" s="122" t="str">
        <f>IF(ISNA(VLOOKUP($F81,Declarations!B$6:C$293,2,FALSE)),"",IF(VLOOKUP($F81,Declarations!B$6:C$293,2,FALSE)="","NOT DECLARED",IF(ISNA(_xlfn.TEXTBEFORE(VLOOKUP($F81,Declarations!B$6:C$293,2,FALSE)," ")),VLOOKUP($F81,Declarations!B$6:C$293,2,FALSE),_xlfn.TEXTBEFORE(VLOOKUP($F81,Declarations!B$6:C$293,2,FALSE)," "))))</f>
        <v/>
      </c>
      <c r="C81" s="122" t="str">
        <f>IF(ISNA(VLOOKUP($F81,Declarations!B$6:C$293,2,FALSE)),"",IF(VLOOKUP($F81,Declarations!B$6:C$293,2,FALSE)="","NOT DECLARED",IF(ISNA(_xlfn.TEXTAFTER(VLOOKUP($F81,Declarations!B$6:C$293,2,FALSE)," ")),VLOOKUP($F81,Declarations!B$6:C$293,2,FALSE),_xlfn.TEXTAFTER(VLOOKUP($F81,Declarations!B$6:C$293,2,FALSE)," "))))</f>
        <v/>
      </c>
      <c r="D81" s="122" t="str">
        <f>IF(ISNA(VLOOKUP($F81,Declarations!$B$6:$F$293,5,FALSE)),"",IF(VLOOKUP($F81,Declarations!$B$6:$F$293,5,FALSE)="","NOT DECLARED",VLOOKUP($F81,Declarations!$B$6:$F$293,5,FALSE)))</f>
        <v/>
      </c>
      <c r="E81" s="120" t="str">
        <f>IF(ISNA(VLOOKUP($F81,Declarations!$B$6:$D$293,3,FALSE)),"",IF(VLOOKUP($F81,Declarations!$B$6:$D$293,3,FALSE)="","NOT DECLARED",VLOOKUP($F81,Declarations!$B$6:$D$293,3,FALSE)&amp;LEFT(VLOOKUP($F81,Declarations!$B$6:$E$293,4,FALSE))))</f>
        <v/>
      </c>
      <c r="F81" s="59"/>
      <c r="G81" s="129"/>
      <c r="H81" s="129"/>
      <c r="I81" s="122" t="str">
        <f>IF(ISNA(VLOOKUP(F81,Declarations!B$6:C$293,2,FALSE)),"",IF(VLOOKUP(F81,Declarations!B$6:C$293,2,FALSE)="","NOT DECLARED",VLOOKUP(F81,Declarations!B$6:C$293,2,FALSE)))</f>
        <v/>
      </c>
      <c r="J81" s="120">
        <f>IF(LOWER(LEFT(G81,1))="n",1,VLOOKUP(G81,ScoringTable!D$2:I$95,6))</f>
        <v>0</v>
      </c>
      <c r="K81" s="120" t="str" cm="1">
        <f t="array" ref="K81">IF(OR(E81="",G81=""),"",_xlfn.IFS(E81="U10B",_xlfn.XLOOKUP(G81,Data!$D$5:$L$5,Data!$D$1:$L$1,"",-1,1),E81="U12B",_xlfn.XLOOKUP(G81,Data!$D$12:$L$12,Data!$D$1:$L$1,"",-1,1),E81="U10G",_xlfn.XLOOKUP(G81,Data!$D$18:$L$18,Data!$D$1:$L$1,"",-1,1),E81="U12G",_xlfn.XLOOKUP(G81,Data!$D$25:$L$25,Data!$D$1:$L$1,"",-1,1)))</f>
        <v/>
      </c>
      <c r="L81" s="184" t="str" cm="1">
        <f t="array" ref="L81">IFERROR(_xlfn.IFNA(
                      _xlfn.IFS(
                      G81="", "",
                      AND(E81="U10B",G81&gt;=Data!$M$5), "U10 Boys record",
                      AND(E81="U12B",G81&gt;=Data!$M$12), "U12 Boys record",
                      AND(E81="U10G",G81&gt;=Data!$M$18), "U10 Girls record",
                      AND(E81="U12G",G81&gt;=Data!$M$25), "U12 Girls record"
                       ),""), "")</f>
        <v/>
      </c>
      <c r="M81" s="19" cm="1">
        <f t="array" ref="M81">_xlfn.IFS($G81="",0, AND(NOT(ISNUMBER($G81)),LOWER(LEFT($G81,1))&lt;&gt;"n"),"Not a valid distance",OR(LOWER(LEFT($G81,1))="n",$G81&lt;ScoringTable!$O$161),1,RIGHT($E81,1)="B",_xlfn.XLOOKUP($G81,ScoringTable!$O$2:$O$161,ScoringTable!$L$2:$L$161,,-1),TRUE,_xlfn.XLOOKUP($G81,ScoringTable!$U$2:$U$161,ScoringTable!$R$2:$R$161,,-1))</f>
        <v>0</v>
      </c>
    </row>
    <row r="82" spans="1:13" s="7" customFormat="1" ht="16" customHeight="1">
      <c r="A82" s="121" t="s">
        <v>81</v>
      </c>
      <c r="B82" s="122" t="str">
        <f>IF(ISNA(VLOOKUP($F82,Declarations!B$6:C$293,2,FALSE)),"",IF(VLOOKUP($F82,Declarations!B$6:C$293,2,FALSE)="","NOT DECLARED",IF(ISNA(_xlfn.TEXTBEFORE(VLOOKUP($F82,Declarations!B$6:C$293,2,FALSE)," ")),VLOOKUP($F82,Declarations!B$6:C$293,2,FALSE),_xlfn.TEXTBEFORE(VLOOKUP($F82,Declarations!B$6:C$293,2,FALSE)," "))))</f>
        <v/>
      </c>
      <c r="C82" s="122" t="str">
        <f>IF(ISNA(VLOOKUP($F82,Declarations!B$6:C$293,2,FALSE)),"",IF(VLOOKUP($F82,Declarations!B$6:C$293,2,FALSE)="","NOT DECLARED",IF(ISNA(_xlfn.TEXTAFTER(VLOOKUP($F82,Declarations!B$6:C$293,2,FALSE)," ")),VLOOKUP($F82,Declarations!B$6:C$293,2,FALSE),_xlfn.TEXTAFTER(VLOOKUP($F82,Declarations!B$6:C$293,2,FALSE)," "))))</f>
        <v/>
      </c>
      <c r="D82" s="122" t="str">
        <f>IF(ISNA(VLOOKUP($F82,Declarations!$B$6:$F$293,5,FALSE)),"",IF(VLOOKUP($F82,Declarations!$B$6:$F$293,5,FALSE)="","NOT DECLARED",VLOOKUP($F82,Declarations!$B$6:$F$293,5,FALSE)))</f>
        <v/>
      </c>
      <c r="E82" s="120" t="str">
        <f>IF(ISNA(VLOOKUP($F82,Declarations!$B$6:$D$293,3,FALSE)),"",IF(VLOOKUP($F82,Declarations!$B$6:$D$293,3,FALSE)="","NOT DECLARED",VLOOKUP($F82,Declarations!$B$6:$D$293,3,FALSE)&amp;LEFT(VLOOKUP($F82,Declarations!$B$6:$E$293,4,FALSE))))</f>
        <v/>
      </c>
      <c r="F82" s="59"/>
      <c r="G82" s="129"/>
      <c r="H82" s="129"/>
      <c r="I82" s="122" t="str">
        <f>IF(ISNA(VLOOKUP(F82,Declarations!B$6:C$293,2,FALSE)),"",IF(VLOOKUP(F82,Declarations!B$6:C$293,2,FALSE)="","NOT DECLARED",VLOOKUP(F82,Declarations!B$6:C$293,2,FALSE)))</f>
        <v/>
      </c>
      <c r="J82" s="120">
        <f>IF(LOWER(LEFT(G82,1))="n",1,VLOOKUP(G82,ScoringTable!D$2:I$95,6))</f>
        <v>0</v>
      </c>
      <c r="K82" s="120" t="str" cm="1">
        <f t="array" ref="K82">IF(OR(E82="",G82=""),"",_xlfn.IFS(E82="U10B",_xlfn.XLOOKUP(G82,Data!$D$5:$L$5,Data!$D$1:$L$1,"",-1,1),E82="U12B",_xlfn.XLOOKUP(G82,Data!$D$12:$L$12,Data!$D$1:$L$1,"",-1,1),E82="U10G",_xlfn.XLOOKUP(G82,Data!$D$18:$L$18,Data!$D$1:$L$1,"",-1,1),E82="U12G",_xlfn.XLOOKUP(G82,Data!$D$25:$L$25,Data!$D$1:$L$1,"",-1,1)))</f>
        <v/>
      </c>
      <c r="L82" s="184" t="str" cm="1">
        <f t="array" ref="L82">IFERROR(_xlfn.IFNA(
                      _xlfn.IFS(
                      G82="", "",
                      AND(E82="U10B",G82&gt;=Data!$M$5), "U10 Boys record",
                      AND(E82="U12B",G82&gt;=Data!$M$12), "U12 Boys record",
                      AND(E82="U10G",G82&gt;=Data!$M$18), "U10 Girls record",
                      AND(E82="U12G",G82&gt;=Data!$M$25), "U12 Girls record"
                       ),""), "")</f>
        <v/>
      </c>
      <c r="M82" s="19" cm="1">
        <f t="array" ref="M82">_xlfn.IFS($G82="",0, AND(NOT(ISNUMBER($G82)),LOWER(LEFT($G82,1))&lt;&gt;"n"),"Not a valid distance",OR(LOWER(LEFT($G82,1))="n",$G82&lt;ScoringTable!$O$161),1,RIGHT($E82,1)="B",_xlfn.XLOOKUP($G82,ScoringTable!$O$2:$O$161,ScoringTable!$L$2:$L$161,,-1),TRUE,_xlfn.XLOOKUP($G82,ScoringTable!$U$2:$U$161,ScoringTable!$R$2:$R$161,,-1))</f>
        <v>0</v>
      </c>
    </row>
    <row r="83" spans="1:13" s="7" customFormat="1" ht="16" customHeight="1">
      <c r="A83" s="121" t="s">
        <v>81</v>
      </c>
      <c r="B83" s="122" t="str">
        <f>IF(ISNA(VLOOKUP($F83,Declarations!B$6:C$293,2,FALSE)),"",IF(VLOOKUP($F83,Declarations!B$6:C$293,2,FALSE)="","NOT DECLARED",IF(ISNA(_xlfn.TEXTBEFORE(VLOOKUP($F83,Declarations!B$6:C$293,2,FALSE)," ")),VLOOKUP($F83,Declarations!B$6:C$293,2,FALSE),_xlfn.TEXTBEFORE(VLOOKUP($F83,Declarations!B$6:C$293,2,FALSE)," "))))</f>
        <v/>
      </c>
      <c r="C83" s="122" t="str">
        <f>IF(ISNA(VLOOKUP($F83,Declarations!B$6:C$293,2,FALSE)),"",IF(VLOOKUP($F83,Declarations!B$6:C$293,2,FALSE)="","NOT DECLARED",IF(ISNA(_xlfn.TEXTAFTER(VLOOKUP($F83,Declarations!B$6:C$293,2,FALSE)," ")),VLOOKUP($F83,Declarations!B$6:C$293,2,FALSE),_xlfn.TEXTAFTER(VLOOKUP($F83,Declarations!B$6:C$293,2,FALSE)," "))))</f>
        <v/>
      </c>
      <c r="D83" s="122" t="str">
        <f>IF(ISNA(VLOOKUP($F83,Declarations!$B$6:$F$293,5,FALSE)),"",IF(VLOOKUP($F83,Declarations!$B$6:$F$293,5,FALSE)="","NOT DECLARED",VLOOKUP($F83,Declarations!$B$6:$F$293,5,FALSE)))</f>
        <v/>
      </c>
      <c r="E83" s="120" t="str">
        <f>IF(ISNA(VLOOKUP($F83,Declarations!$B$6:$D$293,3,FALSE)),"",IF(VLOOKUP($F83,Declarations!$B$6:$D$293,3,FALSE)="","NOT DECLARED",VLOOKUP($F83,Declarations!$B$6:$D$293,3,FALSE)&amp;LEFT(VLOOKUP($F83,Declarations!$B$6:$E$293,4,FALSE))))</f>
        <v/>
      </c>
      <c r="F83" s="59"/>
      <c r="G83" s="129"/>
      <c r="H83" s="129"/>
      <c r="I83" s="122" t="str">
        <f>IF(ISNA(VLOOKUP(F83,Declarations!B$6:C$293,2,FALSE)),"",IF(VLOOKUP(F83,Declarations!B$6:C$293,2,FALSE)="","NOT DECLARED",VLOOKUP(F83,Declarations!B$6:C$293,2,FALSE)))</f>
        <v/>
      </c>
      <c r="J83" s="120">
        <f>IF(LOWER(LEFT(G83,1))="n",1,VLOOKUP(G83,ScoringTable!D$2:I$95,6))</f>
        <v>0</v>
      </c>
      <c r="K83" s="120" t="str" cm="1">
        <f t="array" ref="K83">IF(OR(E83="",G83=""),"",_xlfn.IFS(E83="U10B",_xlfn.XLOOKUP(G83,Data!$D$5:$L$5,Data!$D$1:$L$1,"",-1,1),E83="U12B",_xlfn.XLOOKUP(G83,Data!$D$12:$L$12,Data!$D$1:$L$1,"",-1,1),E83="U10G",_xlfn.XLOOKUP(G83,Data!$D$18:$L$18,Data!$D$1:$L$1,"",-1,1),E83="U12G",_xlfn.XLOOKUP(G83,Data!$D$25:$L$25,Data!$D$1:$L$1,"",-1,1)))</f>
        <v/>
      </c>
      <c r="L83" s="184" t="str" cm="1">
        <f t="array" ref="L83">IFERROR(_xlfn.IFNA(
                      _xlfn.IFS(
                      G83="", "",
                      AND(E83="U10B",G83&gt;=Data!$M$5), "U10 Boys record",
                      AND(E83="U12B",G83&gt;=Data!$M$12), "U12 Boys record",
                      AND(E83="U10G",G83&gt;=Data!$M$18), "U10 Girls record",
                      AND(E83="U12G",G83&gt;=Data!$M$25), "U12 Girls record"
                       ),""), "")</f>
        <v/>
      </c>
      <c r="M83" s="19" cm="1">
        <f t="array" ref="M83">_xlfn.IFS($G83="",0, AND(NOT(ISNUMBER($G83)),LOWER(LEFT($G83,1))&lt;&gt;"n"),"Not a valid distance",OR(LOWER(LEFT($G83,1))="n",$G83&lt;ScoringTable!$O$161),1,RIGHT($E83,1)="B",_xlfn.XLOOKUP($G83,ScoringTable!$O$2:$O$161,ScoringTable!$L$2:$L$161,,-1),TRUE,_xlfn.XLOOKUP($G83,ScoringTable!$U$2:$U$161,ScoringTable!$R$2:$R$161,,-1))</f>
        <v>0</v>
      </c>
    </row>
    <row r="84" spans="1:13" s="7" customFormat="1" ht="16" customHeight="1">
      <c r="A84" s="121" t="s">
        <v>81</v>
      </c>
      <c r="B84" s="122" t="str">
        <f>IF(ISNA(VLOOKUP($F84,Declarations!B$6:C$293,2,FALSE)),"",IF(VLOOKUP($F84,Declarations!B$6:C$293,2,FALSE)="","NOT DECLARED",IF(ISNA(_xlfn.TEXTBEFORE(VLOOKUP($F84,Declarations!B$6:C$293,2,FALSE)," ")),VLOOKUP($F84,Declarations!B$6:C$293,2,FALSE),_xlfn.TEXTBEFORE(VLOOKUP($F84,Declarations!B$6:C$293,2,FALSE)," "))))</f>
        <v/>
      </c>
      <c r="C84" s="122" t="str">
        <f>IF(ISNA(VLOOKUP($F84,Declarations!B$6:C$293,2,FALSE)),"",IF(VLOOKUP($F84,Declarations!B$6:C$293,2,FALSE)="","NOT DECLARED",IF(ISNA(_xlfn.TEXTAFTER(VLOOKUP($F84,Declarations!B$6:C$293,2,FALSE)," ")),VLOOKUP($F84,Declarations!B$6:C$293,2,FALSE),_xlfn.TEXTAFTER(VLOOKUP($F84,Declarations!B$6:C$293,2,FALSE)," "))))</f>
        <v/>
      </c>
      <c r="D84" s="122" t="str">
        <f>IF(ISNA(VLOOKUP($F84,Declarations!$B$6:$F$293,5,FALSE)),"",IF(VLOOKUP($F84,Declarations!$B$6:$F$293,5,FALSE)="","NOT DECLARED",VLOOKUP($F84,Declarations!$B$6:$F$293,5,FALSE)))</f>
        <v/>
      </c>
      <c r="E84" s="120" t="str">
        <f>IF(ISNA(VLOOKUP($F84,Declarations!$B$6:$D$293,3,FALSE)),"",IF(VLOOKUP($F84,Declarations!$B$6:$D$293,3,FALSE)="","NOT DECLARED",VLOOKUP($F84,Declarations!$B$6:$D$293,3,FALSE)&amp;LEFT(VLOOKUP($F84,Declarations!$B$6:$E$293,4,FALSE))))</f>
        <v/>
      </c>
      <c r="F84" s="59"/>
      <c r="G84" s="129"/>
      <c r="H84" s="129"/>
      <c r="I84" s="122" t="str">
        <f>IF(ISNA(VLOOKUP(F84,Declarations!B$6:C$293,2,FALSE)),"",IF(VLOOKUP(F84,Declarations!B$6:C$293,2,FALSE)="","NOT DECLARED",VLOOKUP(F84,Declarations!B$6:C$293,2,FALSE)))</f>
        <v/>
      </c>
      <c r="J84" s="120">
        <f>IF(LOWER(LEFT(G84,1))="n",1,VLOOKUP(G84,ScoringTable!D$2:I$95,6))</f>
        <v>0</v>
      </c>
      <c r="K84" s="120" t="str" cm="1">
        <f t="array" ref="K84">IF(OR(E84="",G84=""),"",_xlfn.IFS(E84="U10B",_xlfn.XLOOKUP(G84,Data!$D$5:$L$5,Data!$D$1:$L$1,"",-1,1),E84="U12B",_xlfn.XLOOKUP(G84,Data!$D$12:$L$12,Data!$D$1:$L$1,"",-1,1),E84="U10G",_xlfn.XLOOKUP(G84,Data!$D$18:$L$18,Data!$D$1:$L$1,"",-1,1),E84="U12G",_xlfn.XLOOKUP(G84,Data!$D$25:$L$25,Data!$D$1:$L$1,"",-1,1)))</f>
        <v/>
      </c>
      <c r="L84" s="184" t="str" cm="1">
        <f t="array" ref="L84">IFERROR(_xlfn.IFNA(
                      _xlfn.IFS(
                      G84="", "",
                      AND(E84="U10B",G84&gt;=Data!$M$5), "U10 Boys record",
                      AND(E84="U12B",G84&gt;=Data!$M$12), "U12 Boys record",
                      AND(E84="U10G",G84&gt;=Data!$M$18), "U10 Girls record",
                      AND(E84="U12G",G84&gt;=Data!$M$25), "U12 Girls record"
                       ),""), "")</f>
        <v/>
      </c>
      <c r="M84" s="19" cm="1">
        <f t="array" ref="M84">_xlfn.IFS($G84="",0, AND(NOT(ISNUMBER($G84)),LOWER(LEFT($G84,1))&lt;&gt;"n"),"Not a valid distance",OR(LOWER(LEFT($G84,1))="n",$G84&lt;ScoringTable!$O$161),1,RIGHT($E84,1)="B",_xlfn.XLOOKUP($G84,ScoringTable!$O$2:$O$161,ScoringTable!$L$2:$L$161,,-1),TRUE,_xlfn.XLOOKUP($G84,ScoringTable!$U$2:$U$161,ScoringTable!$R$2:$R$161,,-1))</f>
        <v>0</v>
      </c>
    </row>
    <row r="85" spans="1:13" s="7" customFormat="1" ht="16" customHeight="1">
      <c r="A85" s="121" t="s">
        <v>81</v>
      </c>
      <c r="B85" s="122" t="str">
        <f>IF(ISNA(VLOOKUP($F85,Declarations!B$6:C$293,2,FALSE)),"",IF(VLOOKUP($F85,Declarations!B$6:C$293,2,FALSE)="","NOT DECLARED",IF(ISNA(_xlfn.TEXTBEFORE(VLOOKUP($F85,Declarations!B$6:C$293,2,FALSE)," ")),VLOOKUP($F85,Declarations!B$6:C$293,2,FALSE),_xlfn.TEXTBEFORE(VLOOKUP($F85,Declarations!B$6:C$293,2,FALSE)," "))))</f>
        <v/>
      </c>
      <c r="C85" s="122" t="str">
        <f>IF(ISNA(VLOOKUP($F85,Declarations!B$6:C$293,2,FALSE)),"",IF(VLOOKUP($F85,Declarations!B$6:C$293,2,FALSE)="","NOT DECLARED",IF(ISNA(_xlfn.TEXTAFTER(VLOOKUP($F85,Declarations!B$6:C$293,2,FALSE)," ")),VLOOKUP($F85,Declarations!B$6:C$293,2,FALSE),_xlfn.TEXTAFTER(VLOOKUP($F85,Declarations!B$6:C$293,2,FALSE)," "))))</f>
        <v/>
      </c>
      <c r="D85" s="122" t="str">
        <f>IF(ISNA(VLOOKUP($F85,Declarations!$B$6:$F$293,5,FALSE)),"",IF(VLOOKUP($F85,Declarations!$B$6:$F$293,5,FALSE)="","NOT DECLARED",VLOOKUP($F85,Declarations!$B$6:$F$293,5,FALSE)))</f>
        <v/>
      </c>
      <c r="E85" s="120" t="str">
        <f>IF(ISNA(VLOOKUP($F85,Declarations!$B$6:$D$293,3,FALSE)),"",IF(VLOOKUP($F85,Declarations!$B$6:$D$293,3,FALSE)="","NOT DECLARED",VLOOKUP($F85,Declarations!$B$6:$D$293,3,FALSE)&amp;LEFT(VLOOKUP($F85,Declarations!$B$6:$E$293,4,FALSE))))</f>
        <v/>
      </c>
      <c r="F85" s="59"/>
      <c r="G85" s="129"/>
      <c r="H85" s="129"/>
      <c r="I85" s="122" t="str">
        <f>IF(ISNA(VLOOKUP(F85,Declarations!B$6:C$293,2,FALSE)),"",IF(VLOOKUP(F85,Declarations!B$6:C$293,2,FALSE)="","NOT DECLARED",VLOOKUP(F85,Declarations!B$6:C$293,2,FALSE)))</f>
        <v/>
      </c>
      <c r="J85" s="120">
        <f>IF(LOWER(LEFT(G85,1))="n",1,VLOOKUP(G85,ScoringTable!D$2:I$95,6))</f>
        <v>0</v>
      </c>
      <c r="K85" s="120" t="str" cm="1">
        <f t="array" ref="K85">IF(OR(E85="",G85=""),"",_xlfn.IFS(E85="U10B",_xlfn.XLOOKUP(G85,Data!$D$5:$L$5,Data!$D$1:$L$1,"",-1,1),E85="U12B",_xlfn.XLOOKUP(G85,Data!$D$12:$L$12,Data!$D$1:$L$1,"",-1,1),E85="U10G",_xlfn.XLOOKUP(G85,Data!$D$18:$L$18,Data!$D$1:$L$1,"",-1,1),E85="U12G",_xlfn.XLOOKUP(G85,Data!$D$25:$L$25,Data!$D$1:$L$1,"",-1,1)))</f>
        <v/>
      </c>
      <c r="L85" s="184" t="str" cm="1">
        <f t="array" ref="L85">IFERROR(_xlfn.IFNA(
                      _xlfn.IFS(
                      G85="", "",
                      AND(E85="U10B",G85&gt;=Data!$M$5), "U10 Boys record",
                      AND(E85="U12B",G85&gt;=Data!$M$12), "U12 Boys record",
                      AND(E85="U10G",G85&gt;=Data!$M$18), "U10 Girls record",
                      AND(E85="U12G",G85&gt;=Data!$M$25), "U12 Girls record"
                       ),""), "")</f>
        <v/>
      </c>
      <c r="M85" s="19" cm="1">
        <f t="array" ref="M85">_xlfn.IFS($G85="",0, AND(NOT(ISNUMBER($G85)),LOWER(LEFT($G85,1))&lt;&gt;"n"),"Not a valid distance",OR(LOWER(LEFT($G85,1))="n",$G85&lt;ScoringTable!$O$161),1,RIGHT($E85,1)="B",_xlfn.XLOOKUP($G85,ScoringTable!$O$2:$O$161,ScoringTable!$L$2:$L$161,,-1),TRUE,_xlfn.XLOOKUP($G85,ScoringTable!$U$2:$U$161,ScoringTable!$R$2:$R$161,,-1))</f>
        <v>0</v>
      </c>
    </row>
    <row r="86" spans="1:13" s="7" customFormat="1" ht="16" customHeight="1">
      <c r="A86" s="121" t="s">
        <v>81</v>
      </c>
      <c r="B86" s="122" t="str">
        <f>IF(ISNA(VLOOKUP($F86,Declarations!B$6:C$293,2,FALSE)),"",IF(VLOOKUP($F86,Declarations!B$6:C$293,2,FALSE)="","NOT DECLARED",IF(ISNA(_xlfn.TEXTBEFORE(VLOOKUP($F86,Declarations!B$6:C$293,2,FALSE)," ")),VLOOKUP($F86,Declarations!B$6:C$293,2,FALSE),_xlfn.TEXTBEFORE(VLOOKUP($F86,Declarations!B$6:C$293,2,FALSE)," "))))</f>
        <v/>
      </c>
      <c r="C86" s="122" t="str">
        <f>IF(ISNA(VLOOKUP($F86,Declarations!B$6:C$293,2,FALSE)),"",IF(VLOOKUP($F86,Declarations!B$6:C$293,2,FALSE)="","NOT DECLARED",IF(ISNA(_xlfn.TEXTAFTER(VLOOKUP($F86,Declarations!B$6:C$293,2,FALSE)," ")),VLOOKUP($F86,Declarations!B$6:C$293,2,FALSE),_xlfn.TEXTAFTER(VLOOKUP($F86,Declarations!B$6:C$293,2,FALSE)," "))))</f>
        <v/>
      </c>
      <c r="D86" s="122" t="str">
        <f>IF(ISNA(VLOOKUP($F86,Declarations!$B$6:$F$293,5,FALSE)),"",IF(VLOOKUP($F86,Declarations!$B$6:$F$293,5,FALSE)="","NOT DECLARED",VLOOKUP($F86,Declarations!$B$6:$F$293,5,FALSE)))</f>
        <v/>
      </c>
      <c r="E86" s="120" t="str">
        <f>IF(ISNA(VLOOKUP($F86,Declarations!$B$6:$D$293,3,FALSE)),"",IF(VLOOKUP($F86,Declarations!$B$6:$D$293,3,FALSE)="","NOT DECLARED",VLOOKUP($F86,Declarations!$B$6:$D$293,3,FALSE)&amp;LEFT(VLOOKUP($F86,Declarations!$B$6:$E$293,4,FALSE))))</f>
        <v/>
      </c>
      <c r="F86" s="59"/>
      <c r="G86" s="129"/>
      <c r="H86" s="129"/>
      <c r="I86" s="122" t="str">
        <f>IF(ISNA(VLOOKUP(F86,Declarations!B$6:C$293,2,FALSE)),"",IF(VLOOKUP(F86,Declarations!B$6:C$293,2,FALSE)="","NOT DECLARED",VLOOKUP(F86,Declarations!B$6:C$293,2,FALSE)))</f>
        <v/>
      </c>
      <c r="J86" s="120">
        <f>IF(LOWER(LEFT(G86,1))="n",1,VLOOKUP(G86,ScoringTable!D$2:I$95,6))</f>
        <v>0</v>
      </c>
      <c r="K86" s="120" t="str" cm="1">
        <f t="array" ref="K86">IF(OR(E86="",G86=""),"",_xlfn.IFS(E86="U10B",_xlfn.XLOOKUP(G86,Data!$D$5:$L$5,Data!$D$1:$L$1,"",-1,1),E86="U12B",_xlfn.XLOOKUP(G86,Data!$D$12:$L$12,Data!$D$1:$L$1,"",-1,1),E86="U10G",_xlfn.XLOOKUP(G86,Data!$D$18:$L$18,Data!$D$1:$L$1,"",-1,1),E86="U12G",_xlfn.XLOOKUP(G86,Data!$D$25:$L$25,Data!$D$1:$L$1,"",-1,1)))</f>
        <v/>
      </c>
      <c r="L86" s="184" t="str" cm="1">
        <f t="array" ref="L86">IFERROR(_xlfn.IFNA(
                      _xlfn.IFS(
                      G86="", "",
                      AND(E86="U10B",G86&gt;=Data!$M$5), "U10 Boys record",
                      AND(E86="U12B",G86&gt;=Data!$M$12), "U12 Boys record",
                      AND(E86="U10G",G86&gt;=Data!$M$18), "U10 Girls record",
                      AND(E86="U12G",G86&gt;=Data!$M$25), "U12 Girls record"
                       ),""), "")</f>
        <v/>
      </c>
      <c r="M86" s="19" cm="1">
        <f t="array" ref="M86">_xlfn.IFS($G86="",0, AND(NOT(ISNUMBER($G86)),LOWER(LEFT($G86,1))&lt;&gt;"n"),"Not a valid distance",OR(LOWER(LEFT($G86,1))="n",$G86&lt;ScoringTable!$O$161),1,RIGHT($E86,1)="B",_xlfn.XLOOKUP($G86,ScoringTable!$O$2:$O$161,ScoringTable!$L$2:$L$161,,-1),TRUE,_xlfn.XLOOKUP($G86,ScoringTable!$U$2:$U$161,ScoringTable!$R$2:$R$161,,-1))</f>
        <v>0</v>
      </c>
    </row>
    <row r="87" spans="1:13" s="7" customFormat="1" ht="16" customHeight="1">
      <c r="A87" s="121" t="s">
        <v>81</v>
      </c>
      <c r="B87" s="122" t="str">
        <f>IF(ISNA(VLOOKUP($F87,Declarations!B$6:C$293,2,FALSE)),"",IF(VLOOKUP($F87,Declarations!B$6:C$293,2,FALSE)="","NOT DECLARED",IF(ISNA(_xlfn.TEXTBEFORE(VLOOKUP($F87,Declarations!B$6:C$293,2,FALSE)," ")),VLOOKUP($F87,Declarations!B$6:C$293,2,FALSE),_xlfn.TEXTBEFORE(VLOOKUP($F87,Declarations!B$6:C$293,2,FALSE)," "))))</f>
        <v/>
      </c>
      <c r="C87" s="122" t="str">
        <f>IF(ISNA(VLOOKUP($F87,Declarations!B$6:C$293,2,FALSE)),"",IF(VLOOKUP($F87,Declarations!B$6:C$293,2,FALSE)="","NOT DECLARED",IF(ISNA(_xlfn.TEXTAFTER(VLOOKUP($F87,Declarations!B$6:C$293,2,FALSE)," ")),VLOOKUP($F87,Declarations!B$6:C$293,2,FALSE),_xlfn.TEXTAFTER(VLOOKUP($F87,Declarations!B$6:C$293,2,FALSE)," "))))</f>
        <v/>
      </c>
      <c r="D87" s="122" t="str">
        <f>IF(ISNA(VLOOKUP($F87,Declarations!$B$6:$F$293,5,FALSE)),"",IF(VLOOKUP($F87,Declarations!$B$6:$F$293,5,FALSE)="","NOT DECLARED",VLOOKUP($F87,Declarations!$B$6:$F$293,5,FALSE)))</f>
        <v/>
      </c>
      <c r="E87" s="120" t="str">
        <f>IF(ISNA(VLOOKUP($F87,Declarations!$B$6:$D$293,3,FALSE)),"",IF(VLOOKUP($F87,Declarations!$B$6:$D$293,3,FALSE)="","NOT DECLARED",VLOOKUP($F87,Declarations!$B$6:$D$293,3,FALSE)&amp;LEFT(VLOOKUP($F87,Declarations!$B$6:$E$293,4,FALSE))))</f>
        <v/>
      </c>
      <c r="F87" s="59"/>
      <c r="G87" s="129"/>
      <c r="H87" s="129"/>
      <c r="I87" s="122" t="str">
        <f>IF(ISNA(VLOOKUP(F87,Declarations!B$6:C$293,2,FALSE)),"",IF(VLOOKUP(F87,Declarations!B$6:C$293,2,FALSE)="","NOT DECLARED",VLOOKUP(F87,Declarations!B$6:C$293,2,FALSE)))</f>
        <v/>
      </c>
      <c r="J87" s="120">
        <f>IF(LOWER(LEFT(G87,1))="n",1,VLOOKUP(G87,ScoringTable!D$2:I$95,6))</f>
        <v>0</v>
      </c>
      <c r="K87" s="120" t="str" cm="1">
        <f t="array" ref="K87">IF(OR(E87="",G87=""),"",_xlfn.IFS(E87="U10B",_xlfn.XLOOKUP(G87,Data!$D$5:$L$5,Data!$D$1:$L$1,"",-1,1),E87="U12B",_xlfn.XLOOKUP(G87,Data!$D$12:$L$12,Data!$D$1:$L$1,"",-1,1),E87="U10G",_xlfn.XLOOKUP(G87,Data!$D$18:$L$18,Data!$D$1:$L$1,"",-1,1),E87="U12G",_xlfn.XLOOKUP(G87,Data!$D$25:$L$25,Data!$D$1:$L$1,"",-1,1)))</f>
        <v/>
      </c>
      <c r="L87" s="184" t="str" cm="1">
        <f t="array" ref="L87">IFERROR(_xlfn.IFNA(
                      _xlfn.IFS(
                      G87="", "",
                      AND(E87="U10B",G87&gt;=Data!$M$5), "U10 Boys record",
                      AND(E87="U12B",G87&gt;=Data!$M$12), "U12 Boys record",
                      AND(E87="U10G",G87&gt;=Data!$M$18), "U10 Girls record",
                      AND(E87="U12G",G87&gt;=Data!$M$25), "U12 Girls record"
                       ),""), "")</f>
        <v/>
      </c>
      <c r="M87" s="19" cm="1">
        <f t="array" ref="M87">_xlfn.IFS($G87="",0, AND(NOT(ISNUMBER($G87)),LOWER(LEFT($G87,1))&lt;&gt;"n"),"Not a valid distance",OR(LOWER(LEFT($G87,1))="n",$G87&lt;ScoringTable!$O$161),1,RIGHT($E87,1)="B",_xlfn.XLOOKUP($G87,ScoringTable!$O$2:$O$161,ScoringTable!$L$2:$L$161,,-1),TRUE,_xlfn.XLOOKUP($G87,ScoringTable!$U$2:$U$161,ScoringTable!$R$2:$R$161,,-1))</f>
        <v>0</v>
      </c>
    </row>
    <row r="88" spans="1:13" s="7" customFormat="1" ht="16" customHeight="1">
      <c r="A88" s="121" t="s">
        <v>81</v>
      </c>
      <c r="B88" s="122" t="str">
        <f>IF(ISNA(VLOOKUP($F88,Declarations!B$6:C$293,2,FALSE)),"",IF(VLOOKUP($F88,Declarations!B$6:C$293,2,FALSE)="","NOT DECLARED",IF(ISNA(_xlfn.TEXTBEFORE(VLOOKUP($F88,Declarations!B$6:C$293,2,FALSE)," ")),VLOOKUP($F88,Declarations!B$6:C$293,2,FALSE),_xlfn.TEXTBEFORE(VLOOKUP($F88,Declarations!B$6:C$293,2,FALSE)," "))))</f>
        <v/>
      </c>
      <c r="C88" s="122" t="str">
        <f>IF(ISNA(VLOOKUP($F88,Declarations!B$6:C$293,2,FALSE)),"",IF(VLOOKUP($F88,Declarations!B$6:C$293,2,FALSE)="","NOT DECLARED",IF(ISNA(_xlfn.TEXTAFTER(VLOOKUP($F88,Declarations!B$6:C$293,2,FALSE)," ")),VLOOKUP($F88,Declarations!B$6:C$293,2,FALSE),_xlfn.TEXTAFTER(VLOOKUP($F88,Declarations!B$6:C$293,2,FALSE)," "))))</f>
        <v/>
      </c>
      <c r="D88" s="122" t="str">
        <f>IF(ISNA(VLOOKUP($F88,Declarations!$B$6:$F$293,5,FALSE)),"",IF(VLOOKUP($F88,Declarations!$B$6:$F$293,5,FALSE)="","NOT DECLARED",VLOOKUP($F88,Declarations!$B$6:$F$293,5,FALSE)))</f>
        <v/>
      </c>
      <c r="E88" s="120" t="str">
        <f>IF(ISNA(VLOOKUP($F88,Declarations!$B$6:$D$293,3,FALSE)),"",IF(VLOOKUP($F88,Declarations!$B$6:$D$293,3,FALSE)="","NOT DECLARED",VLOOKUP($F88,Declarations!$B$6:$D$293,3,FALSE)&amp;LEFT(VLOOKUP($F88,Declarations!$B$6:$E$293,4,FALSE))))</f>
        <v/>
      </c>
      <c r="F88" s="59"/>
      <c r="G88" s="129"/>
      <c r="H88" s="129"/>
      <c r="I88" s="122" t="str">
        <f>IF(ISNA(VLOOKUP(F88,Declarations!B$6:C$293,2,FALSE)),"",IF(VLOOKUP(F88,Declarations!B$6:C$293,2,FALSE)="","NOT DECLARED",VLOOKUP(F88,Declarations!B$6:C$293,2,FALSE)))</f>
        <v/>
      </c>
      <c r="J88" s="120">
        <f>IF(LOWER(LEFT(G88,1))="n",1,VLOOKUP(G88,ScoringTable!D$2:I$95,6))</f>
        <v>0</v>
      </c>
      <c r="K88" s="120" t="str" cm="1">
        <f t="array" ref="K88">IF(OR(E88="",G88=""),"",_xlfn.IFS(E88="U10B",_xlfn.XLOOKUP(G88,Data!$D$5:$L$5,Data!$D$1:$L$1,"",-1,1),E88="U12B",_xlfn.XLOOKUP(G88,Data!$D$12:$L$12,Data!$D$1:$L$1,"",-1,1),E88="U10G",_xlfn.XLOOKUP(G88,Data!$D$18:$L$18,Data!$D$1:$L$1,"",-1,1),E88="U12G",_xlfn.XLOOKUP(G88,Data!$D$25:$L$25,Data!$D$1:$L$1,"",-1,1)))</f>
        <v/>
      </c>
      <c r="L88" s="184" t="str" cm="1">
        <f t="array" ref="L88">IFERROR(_xlfn.IFNA(
                      _xlfn.IFS(
                      G88="", "",
                      AND(E88="U10B",G88&gt;=Data!$M$5), "U10 Boys record",
                      AND(E88="U12B",G88&gt;=Data!$M$12), "U12 Boys record",
                      AND(E88="U10G",G88&gt;=Data!$M$18), "U10 Girls record",
                      AND(E88="U12G",G88&gt;=Data!$M$25), "U12 Girls record"
                       ),""), "")</f>
        <v/>
      </c>
      <c r="M88" s="19" cm="1">
        <f t="array" ref="M88">_xlfn.IFS($G88="",0, AND(NOT(ISNUMBER($G88)),LOWER(LEFT($G88,1))&lt;&gt;"n"),"Not a valid distance",OR(LOWER(LEFT($G88,1))="n",$G88&lt;ScoringTable!$O$161),1,RIGHT($E88,1)="B",_xlfn.XLOOKUP($G88,ScoringTable!$O$2:$O$161,ScoringTable!$L$2:$L$161,,-1),TRUE,_xlfn.XLOOKUP($G88,ScoringTable!$U$2:$U$161,ScoringTable!$R$2:$R$161,,-1))</f>
        <v>0</v>
      </c>
    </row>
    <row r="89" spans="1:13" s="7" customFormat="1" ht="16" customHeight="1">
      <c r="A89" s="121" t="s">
        <v>81</v>
      </c>
      <c r="B89" s="122" t="str">
        <f>IF(ISNA(VLOOKUP($F89,Declarations!B$6:C$293,2,FALSE)),"",IF(VLOOKUP($F89,Declarations!B$6:C$293,2,FALSE)="","NOT DECLARED",IF(ISNA(_xlfn.TEXTBEFORE(VLOOKUP($F89,Declarations!B$6:C$293,2,FALSE)," ")),VLOOKUP($F89,Declarations!B$6:C$293,2,FALSE),_xlfn.TEXTBEFORE(VLOOKUP($F89,Declarations!B$6:C$293,2,FALSE)," "))))</f>
        <v/>
      </c>
      <c r="C89" s="122" t="str">
        <f>IF(ISNA(VLOOKUP($F89,Declarations!B$6:C$293,2,FALSE)),"",IF(VLOOKUP($F89,Declarations!B$6:C$293,2,FALSE)="","NOT DECLARED",IF(ISNA(_xlfn.TEXTAFTER(VLOOKUP($F89,Declarations!B$6:C$293,2,FALSE)," ")),VLOOKUP($F89,Declarations!B$6:C$293,2,FALSE),_xlfn.TEXTAFTER(VLOOKUP($F89,Declarations!B$6:C$293,2,FALSE)," "))))</f>
        <v/>
      </c>
      <c r="D89" s="122" t="str">
        <f>IF(ISNA(VLOOKUP($F89,Declarations!$B$6:$F$293,5,FALSE)),"",IF(VLOOKUP($F89,Declarations!$B$6:$F$293,5,FALSE)="","NOT DECLARED",VLOOKUP($F89,Declarations!$B$6:$F$293,5,FALSE)))</f>
        <v/>
      </c>
      <c r="E89" s="120" t="str">
        <f>IF(ISNA(VLOOKUP($F89,Declarations!$B$6:$D$293,3,FALSE)),"",IF(VLOOKUP($F89,Declarations!$B$6:$D$293,3,FALSE)="","NOT DECLARED",VLOOKUP($F89,Declarations!$B$6:$D$293,3,FALSE)&amp;LEFT(VLOOKUP($F89,Declarations!$B$6:$E$293,4,FALSE))))</f>
        <v/>
      </c>
      <c r="F89" s="59"/>
      <c r="G89" s="129"/>
      <c r="H89" s="129"/>
      <c r="I89" s="122" t="str">
        <f>IF(ISNA(VLOOKUP(F89,Declarations!B$6:C$293,2,FALSE)),"",IF(VLOOKUP(F89,Declarations!B$6:C$293,2,FALSE)="","NOT DECLARED",VLOOKUP(F89,Declarations!B$6:C$293,2,FALSE)))</f>
        <v/>
      </c>
      <c r="J89" s="120">
        <f>IF(LOWER(LEFT(G89,1))="n",1,VLOOKUP(G89,ScoringTable!D$2:I$95,6))</f>
        <v>0</v>
      </c>
      <c r="K89" s="120" t="str" cm="1">
        <f t="array" ref="K89">IF(OR(E89="",G89=""),"",_xlfn.IFS(E89="U10B",_xlfn.XLOOKUP(G89,Data!$D$5:$L$5,Data!$D$1:$L$1,"",-1,1),E89="U12B",_xlfn.XLOOKUP(G89,Data!$D$12:$L$12,Data!$D$1:$L$1,"",-1,1),E89="U10G",_xlfn.XLOOKUP(G89,Data!$D$18:$L$18,Data!$D$1:$L$1,"",-1,1),E89="U12G",_xlfn.XLOOKUP(G89,Data!$D$25:$L$25,Data!$D$1:$L$1,"",-1,1)))</f>
        <v/>
      </c>
      <c r="L89" s="184" t="str" cm="1">
        <f t="array" ref="L89">IFERROR(_xlfn.IFNA(
                      _xlfn.IFS(
                      G89="", "",
                      AND(E89="U10B",G89&gt;=Data!$M$5), "U10 Boys record",
                      AND(E89="U12B",G89&gt;=Data!$M$12), "U12 Boys record",
                      AND(E89="U10G",G89&gt;=Data!$M$18), "U10 Girls record",
                      AND(E89="U12G",G89&gt;=Data!$M$25), "U12 Girls record"
                       ),""), "")</f>
        <v/>
      </c>
      <c r="M89" s="19" cm="1">
        <f t="array" ref="M89">_xlfn.IFS($G89="",0, AND(NOT(ISNUMBER($G89)),LOWER(LEFT($G89,1))&lt;&gt;"n"),"Not a valid distance",OR(LOWER(LEFT($G89,1))="n",$G89&lt;ScoringTable!$O$161),1,RIGHT($E89,1)="B",_xlfn.XLOOKUP($G89,ScoringTable!$O$2:$O$161,ScoringTable!$L$2:$L$161,,-1),TRUE,_xlfn.XLOOKUP($G89,ScoringTable!$U$2:$U$161,ScoringTable!$R$2:$R$161,,-1))</f>
        <v>0</v>
      </c>
    </row>
    <row r="90" spans="1:13" s="7" customFormat="1" ht="16" customHeight="1">
      <c r="A90" s="121" t="s">
        <v>81</v>
      </c>
      <c r="B90" s="122" t="str">
        <f>IF(ISNA(VLOOKUP($F90,Declarations!B$6:C$293,2,FALSE)),"",IF(VLOOKUP($F90,Declarations!B$6:C$293,2,FALSE)="","NOT DECLARED",IF(ISNA(_xlfn.TEXTBEFORE(VLOOKUP($F90,Declarations!B$6:C$293,2,FALSE)," ")),VLOOKUP($F90,Declarations!B$6:C$293,2,FALSE),_xlfn.TEXTBEFORE(VLOOKUP($F90,Declarations!B$6:C$293,2,FALSE)," "))))</f>
        <v/>
      </c>
      <c r="C90" s="122" t="str">
        <f>IF(ISNA(VLOOKUP($F90,Declarations!B$6:C$293,2,FALSE)),"",IF(VLOOKUP($F90,Declarations!B$6:C$293,2,FALSE)="","NOT DECLARED",IF(ISNA(_xlfn.TEXTAFTER(VLOOKUP($F90,Declarations!B$6:C$293,2,FALSE)," ")),VLOOKUP($F90,Declarations!B$6:C$293,2,FALSE),_xlfn.TEXTAFTER(VLOOKUP($F90,Declarations!B$6:C$293,2,FALSE)," "))))</f>
        <v/>
      </c>
      <c r="D90" s="122" t="str">
        <f>IF(ISNA(VLOOKUP($F90,Declarations!$B$6:$F$293,5,FALSE)),"",IF(VLOOKUP($F90,Declarations!$B$6:$F$293,5,FALSE)="","NOT DECLARED",VLOOKUP($F90,Declarations!$B$6:$F$293,5,FALSE)))</f>
        <v/>
      </c>
      <c r="E90" s="120" t="str">
        <f>IF(ISNA(VLOOKUP($F90,Declarations!$B$6:$D$293,3,FALSE)),"",IF(VLOOKUP($F90,Declarations!$B$6:$D$293,3,FALSE)="","NOT DECLARED",VLOOKUP($F90,Declarations!$B$6:$D$293,3,FALSE)&amp;LEFT(VLOOKUP($F90,Declarations!$B$6:$E$293,4,FALSE))))</f>
        <v/>
      </c>
      <c r="F90" s="59"/>
      <c r="G90" s="129"/>
      <c r="H90" s="129"/>
      <c r="I90" s="122" t="str">
        <f>IF(ISNA(VLOOKUP(F90,Declarations!B$6:C$293,2,FALSE)),"",IF(VLOOKUP(F90,Declarations!B$6:C$293,2,FALSE)="","NOT DECLARED",VLOOKUP(F90,Declarations!B$6:C$293,2,FALSE)))</f>
        <v/>
      </c>
      <c r="J90" s="120">
        <f>IF(LOWER(LEFT(G90,1))="n",1,VLOOKUP(G90,ScoringTable!D$2:I$95,6))</f>
        <v>0</v>
      </c>
      <c r="K90" s="120" t="str" cm="1">
        <f t="array" ref="K90">IF(OR(E90="",G90=""),"",_xlfn.IFS(E90="U10B",_xlfn.XLOOKUP(G90,Data!$D$5:$L$5,Data!$D$1:$L$1,"",-1,1),E90="U12B",_xlfn.XLOOKUP(G90,Data!$D$12:$L$12,Data!$D$1:$L$1,"",-1,1),E90="U10G",_xlfn.XLOOKUP(G90,Data!$D$18:$L$18,Data!$D$1:$L$1,"",-1,1),E90="U12G",_xlfn.XLOOKUP(G90,Data!$D$25:$L$25,Data!$D$1:$L$1,"",-1,1)))</f>
        <v/>
      </c>
      <c r="L90" s="184" t="str" cm="1">
        <f t="array" ref="L90">IFERROR(_xlfn.IFNA(
                      _xlfn.IFS(
                      G90="", "",
                      AND(E90="U10B",G90&gt;=Data!$M$5), "U10 Boys record",
                      AND(E90="U12B",G90&gt;=Data!$M$12), "U12 Boys record",
                      AND(E90="U10G",G90&gt;=Data!$M$18), "U10 Girls record",
                      AND(E90="U12G",G90&gt;=Data!$M$25), "U12 Girls record"
                       ),""), "")</f>
        <v/>
      </c>
      <c r="M90" s="19" cm="1">
        <f t="array" ref="M90">_xlfn.IFS($G90="",0, AND(NOT(ISNUMBER($G90)),LOWER(LEFT($G90,1))&lt;&gt;"n"),"Not a valid distance",OR(LOWER(LEFT($G90,1))="n",$G90&lt;ScoringTable!$O$161),1,RIGHT($E90,1)="B",_xlfn.XLOOKUP($G90,ScoringTable!$O$2:$O$161,ScoringTable!$L$2:$L$161,,-1),TRUE,_xlfn.XLOOKUP($G90,ScoringTable!$U$2:$U$161,ScoringTable!$R$2:$R$161,,-1))</f>
        <v>0</v>
      </c>
    </row>
    <row r="91" spans="1:13" s="7" customFormat="1" ht="16" customHeight="1">
      <c r="A91" s="121" t="s">
        <v>81</v>
      </c>
      <c r="B91" s="122" t="str">
        <f>IF(ISNA(VLOOKUP($F91,Declarations!B$6:C$293,2,FALSE)),"",IF(VLOOKUP($F91,Declarations!B$6:C$293,2,FALSE)="","NOT DECLARED",IF(ISNA(_xlfn.TEXTBEFORE(VLOOKUP($F91,Declarations!B$6:C$293,2,FALSE)," ")),VLOOKUP($F91,Declarations!B$6:C$293,2,FALSE),_xlfn.TEXTBEFORE(VLOOKUP($F91,Declarations!B$6:C$293,2,FALSE)," "))))</f>
        <v/>
      </c>
      <c r="C91" s="122" t="str">
        <f>IF(ISNA(VLOOKUP($F91,Declarations!B$6:C$293,2,FALSE)),"",IF(VLOOKUP($F91,Declarations!B$6:C$293,2,FALSE)="","NOT DECLARED",IF(ISNA(_xlfn.TEXTAFTER(VLOOKUP($F91,Declarations!B$6:C$293,2,FALSE)," ")),VLOOKUP($F91,Declarations!B$6:C$293,2,FALSE),_xlfn.TEXTAFTER(VLOOKUP($F91,Declarations!B$6:C$293,2,FALSE)," "))))</f>
        <v/>
      </c>
      <c r="D91" s="122" t="str">
        <f>IF(ISNA(VLOOKUP($F91,Declarations!$B$6:$F$293,5,FALSE)),"",IF(VLOOKUP($F91,Declarations!$B$6:$F$293,5,FALSE)="","NOT DECLARED",VLOOKUP($F91,Declarations!$B$6:$F$293,5,FALSE)))</f>
        <v/>
      </c>
      <c r="E91" s="120" t="str">
        <f>IF(ISNA(VLOOKUP($F91,Declarations!$B$6:$D$293,3,FALSE)),"",IF(VLOOKUP($F91,Declarations!$B$6:$D$293,3,FALSE)="","NOT DECLARED",VLOOKUP($F91,Declarations!$B$6:$D$293,3,FALSE)&amp;LEFT(VLOOKUP($F91,Declarations!$B$6:$E$293,4,FALSE))))</f>
        <v/>
      </c>
      <c r="F91" s="59"/>
      <c r="G91" s="129"/>
      <c r="H91" s="129"/>
      <c r="I91" s="122" t="str">
        <f>IF(ISNA(VLOOKUP(F91,Declarations!B$6:C$293,2,FALSE)),"",IF(VLOOKUP(F91,Declarations!B$6:C$293,2,FALSE)="","NOT DECLARED",VLOOKUP(F91,Declarations!B$6:C$293,2,FALSE)))</f>
        <v/>
      </c>
      <c r="J91" s="120">
        <f>IF(LOWER(LEFT(G91,1))="n",1,VLOOKUP(G91,ScoringTable!D$2:I$95,6))</f>
        <v>0</v>
      </c>
      <c r="K91" s="120" t="str" cm="1">
        <f t="array" ref="K91">IF(OR(E91="",G91=""),"",_xlfn.IFS(E91="U10B",_xlfn.XLOOKUP(G91,Data!$D$5:$L$5,Data!$D$1:$L$1,"",-1,1),E91="U12B",_xlfn.XLOOKUP(G91,Data!$D$12:$L$12,Data!$D$1:$L$1,"",-1,1),E91="U10G",_xlfn.XLOOKUP(G91,Data!$D$18:$L$18,Data!$D$1:$L$1,"",-1,1),E91="U12G",_xlfn.XLOOKUP(G91,Data!$D$25:$L$25,Data!$D$1:$L$1,"",-1,1)))</f>
        <v/>
      </c>
      <c r="L91" s="184" t="str" cm="1">
        <f t="array" ref="L91">IFERROR(_xlfn.IFNA(
                      _xlfn.IFS(
                      G91="", "",
                      AND(E91="U10B",G91&gt;=Data!$M$5), "U10 Boys record",
                      AND(E91="U12B",G91&gt;=Data!$M$12), "U12 Boys record",
                      AND(E91="U10G",G91&gt;=Data!$M$18), "U10 Girls record",
                      AND(E91="U12G",G91&gt;=Data!$M$25), "U12 Girls record"
                       ),""), "")</f>
        <v/>
      </c>
      <c r="M91" s="19" cm="1">
        <f t="array" ref="M91">_xlfn.IFS($G91="",0, AND(NOT(ISNUMBER($G91)),LOWER(LEFT($G91,1))&lt;&gt;"n"),"Not a valid distance",OR(LOWER(LEFT($G91,1))="n",$G91&lt;ScoringTable!$O$161),1,RIGHT($E91,1)="B",_xlfn.XLOOKUP($G91,ScoringTable!$O$2:$O$161,ScoringTable!$L$2:$L$161,,-1),TRUE,_xlfn.XLOOKUP($G91,ScoringTable!$U$2:$U$161,ScoringTable!$R$2:$R$161,,-1))</f>
        <v>0</v>
      </c>
    </row>
    <row r="92" spans="1:13" s="7" customFormat="1" ht="16" customHeight="1">
      <c r="A92" s="121" t="s">
        <v>81</v>
      </c>
      <c r="B92" s="122" t="str">
        <f>IF(ISNA(VLOOKUP($F92,Declarations!B$6:C$293,2,FALSE)),"",IF(VLOOKUP($F92,Declarations!B$6:C$293,2,FALSE)="","NOT DECLARED",IF(ISNA(_xlfn.TEXTBEFORE(VLOOKUP($F92,Declarations!B$6:C$293,2,FALSE)," ")),VLOOKUP($F92,Declarations!B$6:C$293,2,FALSE),_xlfn.TEXTBEFORE(VLOOKUP($F92,Declarations!B$6:C$293,2,FALSE)," "))))</f>
        <v/>
      </c>
      <c r="C92" s="122" t="str">
        <f>IF(ISNA(VLOOKUP($F92,Declarations!B$6:C$293,2,FALSE)),"",IF(VLOOKUP($F92,Declarations!B$6:C$293,2,FALSE)="","NOT DECLARED",IF(ISNA(_xlfn.TEXTAFTER(VLOOKUP($F92,Declarations!B$6:C$293,2,FALSE)," ")),VLOOKUP($F92,Declarations!B$6:C$293,2,FALSE),_xlfn.TEXTAFTER(VLOOKUP($F92,Declarations!B$6:C$293,2,FALSE)," "))))</f>
        <v/>
      </c>
      <c r="D92" s="122" t="str">
        <f>IF(ISNA(VLOOKUP($F92,Declarations!$B$6:$F$293,5,FALSE)),"",IF(VLOOKUP($F92,Declarations!$B$6:$F$293,5,FALSE)="","NOT DECLARED",VLOOKUP($F92,Declarations!$B$6:$F$293,5,FALSE)))</f>
        <v/>
      </c>
      <c r="E92" s="120" t="str">
        <f>IF(ISNA(VLOOKUP($F92,Declarations!$B$6:$D$293,3,FALSE)),"",IF(VLOOKUP($F92,Declarations!$B$6:$D$293,3,FALSE)="","NOT DECLARED",VLOOKUP($F92,Declarations!$B$6:$D$293,3,FALSE)&amp;LEFT(VLOOKUP($F92,Declarations!$B$6:$E$293,4,FALSE))))</f>
        <v/>
      </c>
      <c r="F92" s="59"/>
      <c r="G92" s="129"/>
      <c r="H92" s="129"/>
      <c r="I92" s="122" t="str">
        <f>IF(ISNA(VLOOKUP(F92,Declarations!B$6:C$293,2,FALSE)),"",IF(VLOOKUP(F92,Declarations!B$6:C$293,2,FALSE)="","NOT DECLARED",VLOOKUP(F92,Declarations!B$6:C$293,2,FALSE)))</f>
        <v/>
      </c>
      <c r="J92" s="120">
        <f>IF(LOWER(LEFT(G92,1))="n",1,VLOOKUP(G92,ScoringTable!D$2:I$95,6))</f>
        <v>0</v>
      </c>
      <c r="K92" s="120" t="str" cm="1">
        <f t="array" ref="K92">IF(OR(E92="",G92=""),"",_xlfn.IFS(E92="U10B",_xlfn.XLOOKUP(G92,Data!$D$5:$L$5,Data!$D$1:$L$1,"",-1,1),E92="U12B",_xlfn.XLOOKUP(G92,Data!$D$12:$L$12,Data!$D$1:$L$1,"",-1,1),E92="U10G",_xlfn.XLOOKUP(G92,Data!$D$18:$L$18,Data!$D$1:$L$1,"",-1,1),E92="U12G",_xlfn.XLOOKUP(G92,Data!$D$25:$L$25,Data!$D$1:$L$1,"",-1,1)))</f>
        <v/>
      </c>
      <c r="L92" s="184" t="str" cm="1">
        <f t="array" ref="L92">IFERROR(_xlfn.IFNA(
                      _xlfn.IFS(
                      G92="", "",
                      AND(E92="U10B",G92&gt;=Data!$M$5), "U10 Boys record",
                      AND(E92="U12B",G92&gt;=Data!$M$12), "U12 Boys record",
                      AND(E92="U10G",G92&gt;=Data!$M$18), "U10 Girls record",
                      AND(E92="U12G",G92&gt;=Data!$M$25), "U12 Girls record"
                       ),""), "")</f>
        <v/>
      </c>
      <c r="M92" s="19" cm="1">
        <f t="array" ref="M92">_xlfn.IFS($G92="",0, AND(NOT(ISNUMBER($G92)),LOWER(LEFT($G92,1))&lt;&gt;"n"),"Not a valid distance",OR(LOWER(LEFT($G92,1))="n",$G92&lt;ScoringTable!$O$161),1,RIGHT($E92,1)="B",_xlfn.XLOOKUP($G92,ScoringTable!$O$2:$O$161,ScoringTable!$L$2:$L$161,,-1),TRUE,_xlfn.XLOOKUP($G92,ScoringTable!$U$2:$U$161,ScoringTable!$R$2:$R$161,,-1))</f>
        <v>0</v>
      </c>
    </row>
    <row r="93" spans="1:13" s="7" customFormat="1" ht="16" customHeight="1">
      <c r="A93" s="121" t="s">
        <v>81</v>
      </c>
      <c r="B93" s="122" t="str">
        <f>IF(ISNA(VLOOKUP($F93,Declarations!B$6:C$293,2,FALSE)),"",IF(VLOOKUP($F93,Declarations!B$6:C$293,2,FALSE)="","NOT DECLARED",IF(ISNA(_xlfn.TEXTBEFORE(VLOOKUP($F93,Declarations!B$6:C$293,2,FALSE)," ")),VLOOKUP($F93,Declarations!B$6:C$293,2,FALSE),_xlfn.TEXTBEFORE(VLOOKUP($F93,Declarations!B$6:C$293,2,FALSE)," "))))</f>
        <v/>
      </c>
      <c r="C93" s="122" t="str">
        <f>IF(ISNA(VLOOKUP($F93,Declarations!B$6:C$293,2,FALSE)),"",IF(VLOOKUP($F93,Declarations!B$6:C$293,2,FALSE)="","NOT DECLARED",IF(ISNA(_xlfn.TEXTAFTER(VLOOKUP($F93,Declarations!B$6:C$293,2,FALSE)," ")),VLOOKUP($F93,Declarations!B$6:C$293,2,FALSE),_xlfn.TEXTAFTER(VLOOKUP($F93,Declarations!B$6:C$293,2,FALSE)," "))))</f>
        <v/>
      </c>
      <c r="D93" s="122" t="str">
        <f>IF(ISNA(VLOOKUP($F93,Declarations!$B$6:$F$293,5,FALSE)),"",IF(VLOOKUP($F93,Declarations!$B$6:$F$293,5,FALSE)="","NOT DECLARED",VLOOKUP($F93,Declarations!$B$6:$F$293,5,FALSE)))</f>
        <v/>
      </c>
      <c r="E93" s="120" t="str">
        <f>IF(ISNA(VLOOKUP($F93,Declarations!$B$6:$D$293,3,FALSE)),"",IF(VLOOKUP($F93,Declarations!$B$6:$D$293,3,FALSE)="","NOT DECLARED",VLOOKUP($F93,Declarations!$B$6:$D$293,3,FALSE)&amp;LEFT(VLOOKUP($F93,Declarations!$B$6:$E$293,4,FALSE))))</f>
        <v/>
      </c>
      <c r="F93" s="59"/>
      <c r="G93" s="129"/>
      <c r="H93" s="129"/>
      <c r="I93" s="122" t="str">
        <f>IF(ISNA(VLOOKUP(F93,Declarations!B$6:C$293,2,FALSE)),"",IF(VLOOKUP(F93,Declarations!B$6:C$293,2,FALSE)="","NOT DECLARED",VLOOKUP(F93,Declarations!B$6:C$293,2,FALSE)))</f>
        <v/>
      </c>
      <c r="J93" s="120">
        <f>IF(LOWER(LEFT(G93,1))="n",1,VLOOKUP(G93,ScoringTable!D$2:I$95,6))</f>
        <v>0</v>
      </c>
      <c r="K93" s="120" t="str" cm="1">
        <f t="array" ref="K93">IF(OR(E93="",G93=""),"",_xlfn.IFS(E93="U10B",_xlfn.XLOOKUP(G93,Data!$D$5:$L$5,Data!$D$1:$L$1,"",-1,1),E93="U12B",_xlfn.XLOOKUP(G93,Data!$D$12:$L$12,Data!$D$1:$L$1,"",-1,1),E93="U10G",_xlfn.XLOOKUP(G93,Data!$D$18:$L$18,Data!$D$1:$L$1,"",-1,1),E93="U12G",_xlfn.XLOOKUP(G93,Data!$D$25:$L$25,Data!$D$1:$L$1,"",-1,1)))</f>
        <v/>
      </c>
      <c r="L93" s="184" t="str" cm="1">
        <f t="array" ref="L93">IFERROR(_xlfn.IFNA(
                      _xlfn.IFS(
                      G93="", "",
                      AND(E93="U10B",G93&gt;=Data!$M$5), "U10 Boys record",
                      AND(E93="U12B",G93&gt;=Data!$M$12), "U12 Boys record",
                      AND(E93="U10G",G93&gt;=Data!$M$18), "U10 Girls record",
                      AND(E93="U12G",G93&gt;=Data!$M$25), "U12 Girls record"
                       ),""), "")</f>
        <v/>
      </c>
      <c r="M93" s="19" cm="1">
        <f t="array" ref="M93">_xlfn.IFS($G93="",0, AND(NOT(ISNUMBER($G93)),LOWER(LEFT($G93,1))&lt;&gt;"n"),"Not a valid distance",OR(LOWER(LEFT($G93,1))="n",$G93&lt;ScoringTable!$O$161),1,RIGHT($E93,1)="B",_xlfn.XLOOKUP($G93,ScoringTable!$O$2:$O$161,ScoringTable!$L$2:$L$161,,-1),TRUE,_xlfn.XLOOKUP($G93,ScoringTable!$U$2:$U$161,ScoringTable!$R$2:$R$161,,-1))</f>
        <v>0</v>
      </c>
    </row>
    <row r="94" spans="1:13" s="7" customFormat="1" ht="16" customHeight="1">
      <c r="A94" s="121" t="s">
        <v>81</v>
      </c>
      <c r="B94" s="122" t="str">
        <f>IF(ISNA(VLOOKUP($F94,Declarations!B$6:C$293,2,FALSE)),"",IF(VLOOKUP($F94,Declarations!B$6:C$293,2,FALSE)="","NOT DECLARED",IF(ISNA(_xlfn.TEXTBEFORE(VLOOKUP($F94,Declarations!B$6:C$293,2,FALSE)," ")),VLOOKUP($F94,Declarations!B$6:C$293,2,FALSE),_xlfn.TEXTBEFORE(VLOOKUP($F94,Declarations!B$6:C$293,2,FALSE)," "))))</f>
        <v/>
      </c>
      <c r="C94" s="122" t="str">
        <f>IF(ISNA(VLOOKUP($F94,Declarations!B$6:C$293,2,FALSE)),"",IF(VLOOKUP($F94,Declarations!B$6:C$293,2,FALSE)="","NOT DECLARED",IF(ISNA(_xlfn.TEXTAFTER(VLOOKUP($F94,Declarations!B$6:C$293,2,FALSE)," ")),VLOOKUP($F94,Declarations!B$6:C$293,2,FALSE),_xlfn.TEXTAFTER(VLOOKUP($F94,Declarations!B$6:C$293,2,FALSE)," "))))</f>
        <v/>
      </c>
      <c r="D94" s="122" t="str">
        <f>IF(ISNA(VLOOKUP($F94,Declarations!$B$6:$F$293,5,FALSE)),"",IF(VLOOKUP($F94,Declarations!$B$6:$F$293,5,FALSE)="","NOT DECLARED",VLOOKUP($F94,Declarations!$B$6:$F$293,5,FALSE)))</f>
        <v/>
      </c>
      <c r="E94" s="120" t="str">
        <f>IF(ISNA(VLOOKUP($F94,Declarations!$B$6:$D$293,3,FALSE)),"",IF(VLOOKUP($F94,Declarations!$B$6:$D$293,3,FALSE)="","NOT DECLARED",VLOOKUP($F94,Declarations!$B$6:$D$293,3,FALSE)&amp;LEFT(VLOOKUP($F94,Declarations!$B$6:$E$293,4,FALSE))))</f>
        <v/>
      </c>
      <c r="F94" s="59"/>
      <c r="G94" s="129"/>
      <c r="H94" s="129"/>
      <c r="I94" s="122" t="str">
        <f>IF(ISNA(VLOOKUP(F94,Declarations!B$6:C$293,2,FALSE)),"",IF(VLOOKUP(F94,Declarations!B$6:C$293,2,FALSE)="","NOT DECLARED",VLOOKUP(F94,Declarations!B$6:C$293,2,FALSE)))</f>
        <v/>
      </c>
      <c r="J94" s="120">
        <f>IF(LOWER(LEFT(G94,1))="n",1,VLOOKUP(G94,ScoringTable!D$2:I$95,6))</f>
        <v>0</v>
      </c>
      <c r="K94" s="120" t="str" cm="1">
        <f t="array" ref="K94">IF(OR(E94="",G94=""),"",_xlfn.IFS(E94="U10B",_xlfn.XLOOKUP(G94,Data!$D$5:$L$5,Data!$D$1:$L$1,"",-1,1),E94="U12B",_xlfn.XLOOKUP(G94,Data!$D$12:$L$12,Data!$D$1:$L$1,"",-1,1),E94="U10G",_xlfn.XLOOKUP(G94,Data!$D$18:$L$18,Data!$D$1:$L$1,"",-1,1),E94="U12G",_xlfn.XLOOKUP(G94,Data!$D$25:$L$25,Data!$D$1:$L$1,"",-1,1)))</f>
        <v/>
      </c>
      <c r="L94" s="184" t="str" cm="1">
        <f t="array" ref="L94">IFERROR(_xlfn.IFNA(
                      _xlfn.IFS(
                      G94="", "",
                      AND(E94="U10B",G94&gt;=Data!$M$5), "U10 Boys record",
                      AND(E94="U12B",G94&gt;=Data!$M$12), "U12 Boys record",
                      AND(E94="U10G",G94&gt;=Data!$M$18), "U10 Girls record",
                      AND(E94="U12G",G94&gt;=Data!$M$25), "U12 Girls record"
                       ),""), "")</f>
        <v/>
      </c>
      <c r="M94" s="19" cm="1">
        <f t="array" ref="M94">_xlfn.IFS($G94="",0, AND(NOT(ISNUMBER($G94)),LOWER(LEFT($G94,1))&lt;&gt;"n"),"Not a valid distance",OR(LOWER(LEFT($G94,1))="n",$G94&lt;ScoringTable!$O$161),1,RIGHT($E94,1)="B",_xlfn.XLOOKUP($G94,ScoringTable!$O$2:$O$161,ScoringTable!$L$2:$L$161,,-1),TRUE,_xlfn.XLOOKUP($G94,ScoringTable!$U$2:$U$161,ScoringTable!$R$2:$R$161,,-1))</f>
        <v>0</v>
      </c>
    </row>
    <row r="95" spans="1:13" s="7" customFormat="1" ht="16" customHeight="1">
      <c r="A95" s="121" t="s">
        <v>81</v>
      </c>
      <c r="B95" s="122" t="str">
        <f>IF(ISNA(VLOOKUP($F95,Declarations!B$6:C$293,2,FALSE)),"",IF(VLOOKUP($F95,Declarations!B$6:C$293,2,FALSE)="","NOT DECLARED",IF(ISNA(_xlfn.TEXTBEFORE(VLOOKUP($F95,Declarations!B$6:C$293,2,FALSE)," ")),VLOOKUP($F95,Declarations!B$6:C$293,2,FALSE),_xlfn.TEXTBEFORE(VLOOKUP($F95,Declarations!B$6:C$293,2,FALSE)," "))))</f>
        <v/>
      </c>
      <c r="C95" s="122" t="str">
        <f>IF(ISNA(VLOOKUP($F95,Declarations!B$6:C$293,2,FALSE)),"",IF(VLOOKUP($F95,Declarations!B$6:C$293,2,FALSE)="","NOT DECLARED",IF(ISNA(_xlfn.TEXTAFTER(VLOOKUP($F95,Declarations!B$6:C$293,2,FALSE)," ")),VLOOKUP($F95,Declarations!B$6:C$293,2,FALSE),_xlfn.TEXTAFTER(VLOOKUP($F95,Declarations!B$6:C$293,2,FALSE)," "))))</f>
        <v/>
      </c>
      <c r="D95" s="122" t="str">
        <f>IF(ISNA(VLOOKUP($F95,Declarations!$B$6:$F$293,5,FALSE)),"",IF(VLOOKUP($F95,Declarations!$B$6:$F$293,5,FALSE)="","NOT DECLARED",VLOOKUP($F95,Declarations!$B$6:$F$293,5,FALSE)))</f>
        <v/>
      </c>
      <c r="E95" s="120" t="str">
        <f>IF(ISNA(VLOOKUP($F95,Declarations!$B$6:$D$293,3,FALSE)),"",IF(VLOOKUP($F95,Declarations!$B$6:$D$293,3,FALSE)="","NOT DECLARED",VLOOKUP($F95,Declarations!$B$6:$D$293,3,FALSE)&amp;LEFT(VLOOKUP($F95,Declarations!$B$6:$E$293,4,FALSE))))</f>
        <v/>
      </c>
      <c r="F95" s="59"/>
      <c r="G95" s="129"/>
      <c r="H95" s="129"/>
      <c r="I95" s="122" t="str">
        <f>IF(ISNA(VLOOKUP(F95,Declarations!B$6:C$293,2,FALSE)),"",IF(VLOOKUP(F95,Declarations!B$6:C$293,2,FALSE)="","NOT DECLARED",VLOOKUP(F95,Declarations!B$6:C$293,2,FALSE)))</f>
        <v/>
      </c>
      <c r="J95" s="120">
        <f>IF(LOWER(LEFT(G95,1))="n",1,VLOOKUP(G95,ScoringTable!D$2:I$95,6))</f>
        <v>0</v>
      </c>
      <c r="K95" s="120" t="str" cm="1">
        <f t="array" ref="K95">IF(OR(E95="",G95=""),"",_xlfn.IFS(E95="U10B",_xlfn.XLOOKUP(G95,Data!$D$5:$L$5,Data!$D$1:$L$1,"",-1,1),E95="U12B",_xlfn.XLOOKUP(G95,Data!$D$12:$L$12,Data!$D$1:$L$1,"",-1,1),E95="U10G",_xlfn.XLOOKUP(G95,Data!$D$18:$L$18,Data!$D$1:$L$1,"",-1,1),E95="U12G",_xlfn.XLOOKUP(G95,Data!$D$25:$L$25,Data!$D$1:$L$1,"",-1,1)))</f>
        <v/>
      </c>
      <c r="L95" s="184" t="str" cm="1">
        <f t="array" ref="L95">IFERROR(_xlfn.IFNA(
                      _xlfn.IFS(
                      G95="", "",
                      AND(E95="U10B",G95&gt;=Data!$M$5), "U10 Boys record",
                      AND(E95="U12B",G95&gt;=Data!$M$12), "U12 Boys record",
                      AND(E95="U10G",G95&gt;=Data!$M$18), "U10 Girls record",
                      AND(E95="U12G",G95&gt;=Data!$M$25), "U12 Girls record"
                       ),""), "")</f>
        <v/>
      </c>
      <c r="M95" s="19" cm="1">
        <f t="array" ref="M95">_xlfn.IFS($G95="",0, AND(NOT(ISNUMBER($G95)),LOWER(LEFT($G95,1))&lt;&gt;"n"),"Not a valid distance",OR(LOWER(LEFT($G95,1))="n",$G95&lt;ScoringTable!$O$161),1,RIGHT($E95,1)="B",_xlfn.XLOOKUP($G95,ScoringTable!$O$2:$O$161,ScoringTable!$L$2:$L$161,,-1),TRUE,_xlfn.XLOOKUP($G95,ScoringTable!$U$2:$U$161,ScoringTable!$R$2:$R$161,,-1))</f>
        <v>0</v>
      </c>
    </row>
    <row r="96" spans="1:13" s="7" customFormat="1" ht="16" customHeight="1">
      <c r="A96" s="121" t="s">
        <v>81</v>
      </c>
      <c r="B96" s="122" t="str">
        <f>IF(ISNA(VLOOKUP($F96,Declarations!B$6:C$293,2,FALSE)),"",IF(VLOOKUP($F96,Declarations!B$6:C$293,2,FALSE)="","NOT DECLARED",IF(ISNA(_xlfn.TEXTBEFORE(VLOOKUP($F96,Declarations!B$6:C$293,2,FALSE)," ")),VLOOKUP($F96,Declarations!B$6:C$293,2,FALSE),_xlfn.TEXTBEFORE(VLOOKUP($F96,Declarations!B$6:C$293,2,FALSE)," "))))</f>
        <v/>
      </c>
      <c r="C96" s="122" t="str">
        <f>IF(ISNA(VLOOKUP($F96,Declarations!B$6:C$293,2,FALSE)),"",IF(VLOOKUP($F96,Declarations!B$6:C$293,2,FALSE)="","NOT DECLARED",IF(ISNA(_xlfn.TEXTAFTER(VLOOKUP($F96,Declarations!B$6:C$293,2,FALSE)," ")),VLOOKUP($F96,Declarations!B$6:C$293,2,FALSE),_xlfn.TEXTAFTER(VLOOKUP($F96,Declarations!B$6:C$293,2,FALSE)," "))))</f>
        <v/>
      </c>
      <c r="D96" s="122" t="str">
        <f>IF(ISNA(VLOOKUP($F96,Declarations!$B$6:$F$293,5,FALSE)),"",IF(VLOOKUP($F96,Declarations!$B$6:$F$293,5,FALSE)="","NOT DECLARED",VLOOKUP($F96,Declarations!$B$6:$F$293,5,FALSE)))</f>
        <v/>
      </c>
      <c r="E96" s="120" t="str">
        <f>IF(ISNA(VLOOKUP($F96,Declarations!$B$6:$D$293,3,FALSE)),"",IF(VLOOKUP($F96,Declarations!$B$6:$D$293,3,FALSE)="","NOT DECLARED",VLOOKUP($F96,Declarations!$B$6:$D$293,3,FALSE)&amp;LEFT(VLOOKUP($F96,Declarations!$B$6:$E$293,4,FALSE))))</f>
        <v/>
      </c>
      <c r="F96" s="59"/>
      <c r="G96" s="129"/>
      <c r="H96" s="129"/>
      <c r="I96" s="122" t="str">
        <f>IF(ISNA(VLOOKUP(F96,Declarations!B$6:C$293,2,FALSE)),"",IF(VLOOKUP(F96,Declarations!B$6:C$293,2,FALSE)="","NOT DECLARED",VLOOKUP(F96,Declarations!B$6:C$293,2,FALSE)))</f>
        <v/>
      </c>
      <c r="J96" s="120">
        <f>IF(LOWER(LEFT(G96,1))="n",1,VLOOKUP(G96,ScoringTable!D$2:I$95,6))</f>
        <v>0</v>
      </c>
      <c r="K96" s="120" t="str" cm="1">
        <f t="array" ref="K96">IF(OR(E96="",G96=""),"",_xlfn.IFS(E96="U10B",_xlfn.XLOOKUP(G96,Data!$D$5:$L$5,Data!$D$1:$L$1,"",-1,1),E96="U12B",_xlfn.XLOOKUP(G96,Data!$D$12:$L$12,Data!$D$1:$L$1,"",-1,1),E96="U10G",_xlfn.XLOOKUP(G96,Data!$D$18:$L$18,Data!$D$1:$L$1,"",-1,1),E96="U12G",_xlfn.XLOOKUP(G96,Data!$D$25:$L$25,Data!$D$1:$L$1,"",-1,1)))</f>
        <v/>
      </c>
      <c r="L96" s="184" t="str" cm="1">
        <f t="array" ref="L96">IFERROR(_xlfn.IFNA(
                      _xlfn.IFS(
                      G96="", "",
                      AND(E96="U10B",G96&gt;=Data!$M$5), "U10 Boys record",
                      AND(E96="U12B",G96&gt;=Data!$M$12), "U12 Boys record",
                      AND(E96="U10G",G96&gt;=Data!$M$18), "U10 Girls record",
                      AND(E96="U12G",G96&gt;=Data!$M$25), "U12 Girls record"
                       ),""), "")</f>
        <v/>
      </c>
      <c r="M96" s="19" cm="1">
        <f t="array" ref="M96">_xlfn.IFS($G96="",0, AND(NOT(ISNUMBER($G96)),LOWER(LEFT($G96,1))&lt;&gt;"n"),"Not a valid distance",OR(LOWER(LEFT($G96,1))="n",$G96&lt;ScoringTable!$O$161),1,RIGHT($E96,1)="B",_xlfn.XLOOKUP($G96,ScoringTable!$O$2:$O$161,ScoringTable!$L$2:$L$161,,-1),TRUE,_xlfn.XLOOKUP($G96,ScoringTable!$U$2:$U$161,ScoringTable!$R$2:$R$161,,-1))</f>
        <v>0</v>
      </c>
    </row>
    <row r="97" spans="1:13" s="7" customFormat="1" ht="16" customHeight="1">
      <c r="A97" s="121" t="s">
        <v>81</v>
      </c>
      <c r="B97" s="122" t="str">
        <f>IF(ISNA(VLOOKUP($F97,Declarations!B$6:C$293,2,FALSE)),"",IF(VLOOKUP($F97,Declarations!B$6:C$293,2,FALSE)="","NOT DECLARED",IF(ISNA(_xlfn.TEXTBEFORE(VLOOKUP($F97,Declarations!B$6:C$293,2,FALSE)," ")),VLOOKUP($F97,Declarations!B$6:C$293,2,FALSE),_xlfn.TEXTBEFORE(VLOOKUP($F97,Declarations!B$6:C$293,2,FALSE)," "))))</f>
        <v/>
      </c>
      <c r="C97" s="122" t="str">
        <f>IF(ISNA(VLOOKUP($F97,Declarations!B$6:C$293,2,FALSE)),"",IF(VLOOKUP($F97,Declarations!B$6:C$293,2,FALSE)="","NOT DECLARED",IF(ISNA(_xlfn.TEXTAFTER(VLOOKUP($F97,Declarations!B$6:C$293,2,FALSE)," ")),VLOOKUP($F97,Declarations!B$6:C$293,2,FALSE),_xlfn.TEXTAFTER(VLOOKUP($F97,Declarations!B$6:C$293,2,FALSE)," "))))</f>
        <v/>
      </c>
      <c r="D97" s="122" t="str">
        <f>IF(ISNA(VLOOKUP($F97,Declarations!$B$6:$F$293,5,FALSE)),"",IF(VLOOKUP($F97,Declarations!$B$6:$F$293,5,FALSE)="","NOT DECLARED",VLOOKUP($F97,Declarations!$B$6:$F$293,5,FALSE)))</f>
        <v/>
      </c>
      <c r="E97" s="120" t="str">
        <f>IF(ISNA(VLOOKUP($F97,Declarations!$B$6:$D$293,3,FALSE)),"",IF(VLOOKUP($F97,Declarations!$B$6:$D$293,3,FALSE)="","NOT DECLARED",VLOOKUP($F97,Declarations!$B$6:$D$293,3,FALSE)&amp;LEFT(VLOOKUP($F97,Declarations!$B$6:$E$293,4,FALSE))))</f>
        <v/>
      </c>
      <c r="F97" s="59"/>
      <c r="G97" s="129"/>
      <c r="H97" s="129"/>
      <c r="I97" s="122" t="str">
        <f>IF(ISNA(VLOOKUP(F97,Declarations!B$6:C$293,2,FALSE)),"",IF(VLOOKUP(F97,Declarations!B$6:C$293,2,FALSE)="","NOT DECLARED",VLOOKUP(F97,Declarations!B$6:C$293,2,FALSE)))</f>
        <v/>
      </c>
      <c r="J97" s="120">
        <f>IF(LOWER(LEFT(G97,1))="n",1,VLOOKUP(G97,ScoringTable!D$2:I$95,6))</f>
        <v>0</v>
      </c>
      <c r="K97" s="120" t="str" cm="1">
        <f t="array" ref="K97">IF(OR(E97="",G97=""),"",_xlfn.IFS(E97="U10B",_xlfn.XLOOKUP(G97,Data!$D$5:$L$5,Data!$D$1:$L$1,"",-1,1),E97="U12B",_xlfn.XLOOKUP(G97,Data!$D$12:$L$12,Data!$D$1:$L$1,"",-1,1),E97="U10G",_xlfn.XLOOKUP(G97,Data!$D$18:$L$18,Data!$D$1:$L$1,"",-1,1),E97="U12G",_xlfn.XLOOKUP(G97,Data!$D$25:$L$25,Data!$D$1:$L$1,"",-1,1)))</f>
        <v/>
      </c>
      <c r="L97" s="184" t="str" cm="1">
        <f t="array" ref="L97">IFERROR(_xlfn.IFNA(
                      _xlfn.IFS(
                      G97="", "",
                      AND(E97="U10B",G97&gt;=Data!$M$5), "U10 Boys record",
                      AND(E97="U12B",G97&gt;=Data!$M$12), "U12 Boys record",
                      AND(E97="U10G",G97&gt;=Data!$M$18), "U10 Girls record",
                      AND(E97="U12G",G97&gt;=Data!$M$25), "U12 Girls record"
                       ),""), "")</f>
        <v/>
      </c>
      <c r="M97" s="19" cm="1">
        <f t="array" ref="M97">_xlfn.IFS($G97="",0, AND(NOT(ISNUMBER($G97)),LOWER(LEFT($G97,1))&lt;&gt;"n"),"Not a valid distance",OR(LOWER(LEFT($G97,1))="n",$G97&lt;ScoringTable!$O$161),1,RIGHT($E97,1)="B",_xlfn.XLOOKUP($G97,ScoringTable!$O$2:$O$161,ScoringTable!$L$2:$L$161,,-1),TRUE,_xlfn.XLOOKUP($G97,ScoringTable!$U$2:$U$161,ScoringTable!$R$2:$R$161,,-1))</f>
        <v>0</v>
      </c>
    </row>
    <row r="98" spans="1:13" s="7" customFormat="1" ht="16" customHeight="1">
      <c r="A98" s="121" t="s">
        <v>81</v>
      </c>
      <c r="B98" s="122" t="str">
        <f>IF(ISNA(VLOOKUP($F98,Declarations!B$6:C$293,2,FALSE)),"",IF(VLOOKUP($F98,Declarations!B$6:C$293,2,FALSE)="","NOT DECLARED",IF(ISNA(_xlfn.TEXTBEFORE(VLOOKUP($F98,Declarations!B$6:C$293,2,FALSE)," ")),VLOOKUP($F98,Declarations!B$6:C$293,2,FALSE),_xlfn.TEXTBEFORE(VLOOKUP($F98,Declarations!B$6:C$293,2,FALSE)," "))))</f>
        <v/>
      </c>
      <c r="C98" s="122" t="str">
        <f>IF(ISNA(VLOOKUP($F98,Declarations!B$6:C$293,2,FALSE)),"",IF(VLOOKUP($F98,Declarations!B$6:C$293,2,FALSE)="","NOT DECLARED",IF(ISNA(_xlfn.TEXTAFTER(VLOOKUP($F98,Declarations!B$6:C$293,2,FALSE)," ")),VLOOKUP($F98,Declarations!B$6:C$293,2,FALSE),_xlfn.TEXTAFTER(VLOOKUP($F98,Declarations!B$6:C$293,2,FALSE)," "))))</f>
        <v/>
      </c>
      <c r="D98" s="122" t="str">
        <f>IF(ISNA(VLOOKUP($F98,Declarations!$B$6:$F$293,5,FALSE)),"",IF(VLOOKUP($F98,Declarations!$B$6:$F$293,5,FALSE)="","NOT DECLARED",VLOOKUP($F98,Declarations!$B$6:$F$293,5,FALSE)))</f>
        <v/>
      </c>
      <c r="E98" s="120" t="str">
        <f>IF(ISNA(VLOOKUP($F98,Declarations!$B$6:$D$293,3,FALSE)),"",IF(VLOOKUP($F98,Declarations!$B$6:$D$293,3,FALSE)="","NOT DECLARED",VLOOKUP($F98,Declarations!$B$6:$D$293,3,FALSE)&amp;LEFT(VLOOKUP($F98,Declarations!$B$6:$E$293,4,FALSE))))</f>
        <v/>
      </c>
      <c r="F98" s="59"/>
      <c r="G98" s="129"/>
      <c r="H98" s="129"/>
      <c r="I98" s="122" t="str">
        <f>IF(ISNA(VLOOKUP(F98,Declarations!B$6:C$293,2,FALSE)),"",IF(VLOOKUP(F98,Declarations!B$6:C$293,2,FALSE)="","NOT DECLARED",VLOOKUP(F98,Declarations!B$6:C$293,2,FALSE)))</f>
        <v/>
      </c>
      <c r="J98" s="120">
        <f>IF(LOWER(LEFT(G98,1))="n",1,VLOOKUP(G98,ScoringTable!D$2:I$95,6))</f>
        <v>0</v>
      </c>
      <c r="K98" s="120" t="str" cm="1">
        <f t="array" ref="K98">IF(OR(E98="",G98=""),"",_xlfn.IFS(E98="U10B",_xlfn.XLOOKUP(G98,Data!$D$5:$L$5,Data!$D$1:$L$1,"",-1,1),E98="U12B",_xlfn.XLOOKUP(G98,Data!$D$12:$L$12,Data!$D$1:$L$1,"",-1,1),E98="U10G",_xlfn.XLOOKUP(G98,Data!$D$18:$L$18,Data!$D$1:$L$1,"",-1,1),E98="U12G",_xlfn.XLOOKUP(G98,Data!$D$25:$L$25,Data!$D$1:$L$1,"",-1,1)))</f>
        <v/>
      </c>
      <c r="L98" s="184" t="str" cm="1">
        <f t="array" ref="L98">IFERROR(_xlfn.IFNA(
                      _xlfn.IFS(
                      G98="", "",
                      AND(E98="U10B",G98&gt;=Data!$M$5), "U10 Boys record",
                      AND(E98="U12B",G98&gt;=Data!$M$12), "U12 Boys record",
                      AND(E98="U10G",G98&gt;=Data!$M$18), "U10 Girls record",
                      AND(E98="U12G",G98&gt;=Data!$M$25), "U12 Girls record"
                       ),""), "")</f>
        <v/>
      </c>
      <c r="M98" s="19" cm="1">
        <f t="array" ref="M98">_xlfn.IFS($G98="",0, AND(NOT(ISNUMBER($G98)),LOWER(LEFT($G98,1))&lt;&gt;"n"),"Not a valid distance",OR(LOWER(LEFT($G98,1))="n",$G98&lt;ScoringTable!$O$161),1,RIGHT($E98,1)="B",_xlfn.XLOOKUP($G98,ScoringTable!$O$2:$O$161,ScoringTable!$L$2:$L$161,,-1),TRUE,_xlfn.XLOOKUP($G98,ScoringTable!$U$2:$U$161,ScoringTable!$R$2:$R$161,,-1))</f>
        <v>0</v>
      </c>
    </row>
    <row r="99" spans="1:13" s="7" customFormat="1" ht="16" customHeight="1">
      <c r="A99" s="121" t="s">
        <v>81</v>
      </c>
      <c r="B99" s="122" t="str">
        <f>IF(ISNA(VLOOKUP($F99,Declarations!B$6:C$293,2,FALSE)),"",IF(VLOOKUP($F99,Declarations!B$6:C$293,2,FALSE)="","NOT DECLARED",IF(ISNA(_xlfn.TEXTBEFORE(VLOOKUP($F99,Declarations!B$6:C$293,2,FALSE)," ")),VLOOKUP($F99,Declarations!B$6:C$293,2,FALSE),_xlfn.TEXTBEFORE(VLOOKUP($F99,Declarations!B$6:C$293,2,FALSE)," "))))</f>
        <v/>
      </c>
      <c r="C99" s="122" t="str">
        <f>IF(ISNA(VLOOKUP($F99,Declarations!B$6:C$293,2,FALSE)),"",IF(VLOOKUP($F99,Declarations!B$6:C$293,2,FALSE)="","NOT DECLARED",IF(ISNA(_xlfn.TEXTAFTER(VLOOKUP($F99,Declarations!B$6:C$293,2,FALSE)," ")),VLOOKUP($F99,Declarations!B$6:C$293,2,FALSE),_xlfn.TEXTAFTER(VLOOKUP($F99,Declarations!B$6:C$293,2,FALSE)," "))))</f>
        <v/>
      </c>
      <c r="D99" s="122" t="str">
        <f>IF(ISNA(VLOOKUP($F99,Declarations!$B$6:$F$293,5,FALSE)),"",IF(VLOOKUP($F99,Declarations!$B$6:$F$293,5,FALSE)="","NOT DECLARED",VLOOKUP($F99,Declarations!$B$6:$F$293,5,FALSE)))</f>
        <v/>
      </c>
      <c r="E99" s="120" t="str">
        <f>IF(ISNA(VLOOKUP($F99,Declarations!$B$6:$D$293,3,FALSE)),"",IF(VLOOKUP($F99,Declarations!$B$6:$D$293,3,FALSE)="","NOT DECLARED",VLOOKUP($F99,Declarations!$B$6:$D$293,3,FALSE)&amp;LEFT(VLOOKUP($F99,Declarations!$B$6:$E$293,4,FALSE))))</f>
        <v/>
      </c>
      <c r="F99" s="59"/>
      <c r="G99" s="129"/>
      <c r="H99" s="129"/>
      <c r="I99" s="122" t="str">
        <f>IF(ISNA(VLOOKUP(F99,Declarations!B$6:C$293,2,FALSE)),"",IF(VLOOKUP(F99,Declarations!B$6:C$293,2,FALSE)="","NOT DECLARED",VLOOKUP(F99,Declarations!B$6:C$293,2,FALSE)))</f>
        <v/>
      </c>
      <c r="J99" s="120">
        <f>IF(LOWER(LEFT(G99,1))="n",1,VLOOKUP(G99,ScoringTable!D$2:I$95,6))</f>
        <v>0</v>
      </c>
      <c r="K99" s="120" t="str" cm="1">
        <f t="array" ref="K99">IF(OR(E99="",G99=""),"",_xlfn.IFS(E99="U10B",_xlfn.XLOOKUP(G99,Data!$D$5:$L$5,Data!$D$1:$L$1,"",-1,1),E99="U12B",_xlfn.XLOOKUP(G99,Data!$D$12:$L$12,Data!$D$1:$L$1,"",-1,1),E99="U10G",_xlfn.XLOOKUP(G99,Data!$D$18:$L$18,Data!$D$1:$L$1,"",-1,1),E99="U12G",_xlfn.XLOOKUP(G99,Data!$D$25:$L$25,Data!$D$1:$L$1,"",-1,1)))</f>
        <v/>
      </c>
      <c r="L99" s="184" t="str" cm="1">
        <f t="array" ref="L99">IFERROR(_xlfn.IFNA(
                      _xlfn.IFS(
                      G99="", "",
                      AND(E99="U10B",G99&gt;=Data!$M$5), "U10 Boys record",
                      AND(E99="U12B",G99&gt;=Data!$M$12), "U12 Boys record",
                      AND(E99="U10G",G99&gt;=Data!$M$18), "U10 Girls record",
                      AND(E99="U12G",G99&gt;=Data!$M$25), "U12 Girls record"
                       ),""), "")</f>
        <v/>
      </c>
      <c r="M99" s="19" cm="1">
        <f t="array" ref="M99">_xlfn.IFS($G99="",0, AND(NOT(ISNUMBER($G99)),LOWER(LEFT($G99,1))&lt;&gt;"n"),"Not a valid distance",OR(LOWER(LEFT($G99,1))="n",$G99&lt;ScoringTable!$O$161),1,RIGHT($E99,1)="B",_xlfn.XLOOKUP($G99,ScoringTable!$O$2:$O$161,ScoringTable!$L$2:$L$161,,-1),TRUE,_xlfn.XLOOKUP($G99,ScoringTable!$U$2:$U$161,ScoringTable!$R$2:$R$161,,-1))</f>
        <v>0</v>
      </c>
    </row>
    <row r="100" spans="1:13" s="7" customFormat="1" ht="16" customHeight="1">
      <c r="A100" s="121" t="s">
        <v>81</v>
      </c>
      <c r="B100" s="122" t="str">
        <f>IF(ISNA(VLOOKUP($F100,Declarations!B$6:C$293,2,FALSE)),"",IF(VLOOKUP($F100,Declarations!B$6:C$293,2,FALSE)="","NOT DECLARED",IF(ISNA(_xlfn.TEXTBEFORE(VLOOKUP($F100,Declarations!B$6:C$293,2,FALSE)," ")),VLOOKUP($F100,Declarations!B$6:C$293,2,FALSE),_xlfn.TEXTBEFORE(VLOOKUP($F100,Declarations!B$6:C$293,2,FALSE)," "))))</f>
        <v/>
      </c>
      <c r="C100" s="122" t="str">
        <f>IF(ISNA(VLOOKUP($F100,Declarations!B$6:C$293,2,FALSE)),"",IF(VLOOKUP($F100,Declarations!B$6:C$293,2,FALSE)="","NOT DECLARED",IF(ISNA(_xlfn.TEXTAFTER(VLOOKUP($F100,Declarations!B$6:C$293,2,FALSE)," ")),VLOOKUP($F100,Declarations!B$6:C$293,2,FALSE),_xlfn.TEXTAFTER(VLOOKUP($F100,Declarations!B$6:C$293,2,FALSE)," "))))</f>
        <v/>
      </c>
      <c r="D100" s="122" t="str">
        <f>IF(ISNA(VLOOKUP($F100,Declarations!$B$6:$F$293,5,FALSE)),"",IF(VLOOKUP($F100,Declarations!$B$6:$F$293,5,FALSE)="","NOT DECLARED",VLOOKUP($F100,Declarations!$B$6:$F$293,5,FALSE)))</f>
        <v/>
      </c>
      <c r="E100" s="120" t="str">
        <f>IF(ISNA(VLOOKUP($F100,Declarations!$B$6:$D$293,3,FALSE)),"",IF(VLOOKUP($F100,Declarations!$B$6:$D$293,3,FALSE)="","NOT DECLARED",VLOOKUP($F100,Declarations!$B$6:$D$293,3,FALSE)&amp;LEFT(VLOOKUP($F100,Declarations!$B$6:$E$293,4,FALSE))))</f>
        <v/>
      </c>
      <c r="F100" s="59"/>
      <c r="G100" s="129"/>
      <c r="H100" s="129"/>
      <c r="I100" s="122" t="str">
        <f>IF(ISNA(VLOOKUP(F100,Declarations!B$6:C$293,2,FALSE)),"",IF(VLOOKUP(F100,Declarations!B$6:C$293,2,FALSE)="","NOT DECLARED",VLOOKUP(F100,Declarations!B$6:C$293,2,FALSE)))</f>
        <v/>
      </c>
      <c r="J100" s="120">
        <f>IF(LOWER(LEFT(G100,1))="n",1,VLOOKUP(G100,ScoringTable!D$2:I$95,6))</f>
        <v>0</v>
      </c>
      <c r="K100" s="120" t="str" cm="1">
        <f t="array" ref="K100">IF(OR(E100="",G100=""),"",_xlfn.IFS(E100="U10B",_xlfn.XLOOKUP(G100,Data!$D$5:$L$5,Data!$D$1:$L$1,"",-1,1),E100="U12B",_xlfn.XLOOKUP(G100,Data!$D$12:$L$12,Data!$D$1:$L$1,"",-1,1),E100="U10G",_xlfn.XLOOKUP(G100,Data!$D$18:$L$18,Data!$D$1:$L$1,"",-1,1),E100="U12G",_xlfn.XLOOKUP(G100,Data!$D$25:$L$25,Data!$D$1:$L$1,"",-1,1)))</f>
        <v/>
      </c>
      <c r="L100" s="184" t="str" cm="1">
        <f t="array" ref="L100">IFERROR(_xlfn.IFNA(
                      _xlfn.IFS(
                      G100="", "",
                      AND(E100="U10B",G100&gt;=Data!$M$5), "U10 Boys record",
                      AND(E100="U12B",G100&gt;=Data!$M$12), "U12 Boys record",
                      AND(E100="U10G",G100&gt;=Data!$M$18), "U10 Girls record",
                      AND(E100="U12G",G100&gt;=Data!$M$25), "U12 Girls record"
                       ),""), "")</f>
        <v/>
      </c>
      <c r="M100" s="19" cm="1">
        <f t="array" ref="M100">_xlfn.IFS($G100="",0, AND(NOT(ISNUMBER($G100)),LOWER(LEFT($G100,1))&lt;&gt;"n"),"Not a valid distance",OR(LOWER(LEFT($G100,1))="n",$G100&lt;ScoringTable!$O$161),1,RIGHT($E100,1)="B",_xlfn.XLOOKUP($G100,ScoringTable!$O$2:$O$161,ScoringTable!$L$2:$L$161,,-1),TRUE,_xlfn.XLOOKUP($G100,ScoringTable!$U$2:$U$161,ScoringTable!$R$2:$R$161,,-1))</f>
        <v>0</v>
      </c>
    </row>
    <row r="101" spans="1:13" s="7" customFormat="1" ht="16" customHeight="1">
      <c r="A101" s="121" t="s">
        <v>81</v>
      </c>
      <c r="B101" s="122" t="str">
        <f>IF(ISNA(VLOOKUP($F101,Declarations!B$6:C$293,2,FALSE)),"",IF(VLOOKUP($F101,Declarations!B$6:C$293,2,FALSE)="","NOT DECLARED",IF(ISNA(_xlfn.TEXTBEFORE(VLOOKUP($F101,Declarations!B$6:C$293,2,FALSE)," ")),VLOOKUP($F101,Declarations!B$6:C$293,2,FALSE),_xlfn.TEXTBEFORE(VLOOKUP($F101,Declarations!B$6:C$293,2,FALSE)," "))))</f>
        <v/>
      </c>
      <c r="C101" s="122" t="str">
        <f>IF(ISNA(VLOOKUP($F101,Declarations!B$6:C$293,2,FALSE)),"",IF(VLOOKUP($F101,Declarations!B$6:C$293,2,FALSE)="","NOT DECLARED",IF(ISNA(_xlfn.TEXTAFTER(VLOOKUP($F101,Declarations!B$6:C$293,2,FALSE)," ")),VLOOKUP($F101,Declarations!B$6:C$293,2,FALSE),_xlfn.TEXTAFTER(VLOOKUP($F101,Declarations!B$6:C$293,2,FALSE)," "))))</f>
        <v/>
      </c>
      <c r="D101" s="122" t="str">
        <f>IF(ISNA(VLOOKUP($F101,Declarations!$B$6:$F$293,5,FALSE)),"",IF(VLOOKUP($F101,Declarations!$B$6:$F$293,5,FALSE)="","NOT DECLARED",VLOOKUP($F101,Declarations!$B$6:$F$293,5,FALSE)))</f>
        <v/>
      </c>
      <c r="E101" s="120" t="str">
        <f>IF(ISNA(VLOOKUP($F101,Declarations!$B$6:$D$293,3,FALSE)),"",IF(VLOOKUP($F101,Declarations!$B$6:$D$293,3,FALSE)="","NOT DECLARED",VLOOKUP($F101,Declarations!$B$6:$D$293,3,FALSE)&amp;LEFT(VLOOKUP($F101,Declarations!$B$6:$E$293,4,FALSE))))</f>
        <v/>
      </c>
      <c r="F101" s="59"/>
      <c r="G101" s="129"/>
      <c r="H101" s="129"/>
      <c r="I101" s="122" t="str">
        <f>IF(ISNA(VLOOKUP(F101,Declarations!B$6:C$293,2,FALSE)),"",IF(VLOOKUP(F101,Declarations!B$6:C$293,2,FALSE)="","NOT DECLARED",VLOOKUP(F101,Declarations!B$6:C$293,2,FALSE)))</f>
        <v/>
      </c>
      <c r="J101" s="120">
        <f>IF(LOWER(LEFT(G101,1))="n",1,VLOOKUP(G101,ScoringTable!D$2:I$95,6))</f>
        <v>0</v>
      </c>
      <c r="K101" s="120" t="str" cm="1">
        <f t="array" ref="K101">IF(OR(E101="",G101=""),"",_xlfn.IFS(E101="U10B",_xlfn.XLOOKUP(G101,Data!$D$5:$L$5,Data!$D$1:$L$1,"",-1,1),E101="U12B",_xlfn.XLOOKUP(G101,Data!$D$12:$L$12,Data!$D$1:$L$1,"",-1,1),E101="U10G",_xlfn.XLOOKUP(G101,Data!$D$18:$L$18,Data!$D$1:$L$1,"",-1,1),E101="U12G",_xlfn.XLOOKUP(G101,Data!$D$25:$L$25,Data!$D$1:$L$1,"",-1,1)))</f>
        <v/>
      </c>
      <c r="L101" s="184" t="str" cm="1">
        <f t="array" ref="L101">IFERROR(_xlfn.IFNA(
                      _xlfn.IFS(
                      G101="", "",
                      AND(E101="U10B",G101&gt;=Data!$M$5), "U10 Boys record",
                      AND(E101="U12B",G101&gt;=Data!$M$12), "U12 Boys record",
                      AND(E101="U10G",G101&gt;=Data!$M$18), "U10 Girls record",
                      AND(E101="U12G",G101&gt;=Data!$M$25), "U12 Girls record"
                       ),""), "")</f>
        <v/>
      </c>
      <c r="M101" s="19" cm="1">
        <f t="array" ref="M101">_xlfn.IFS($G101="",0, AND(NOT(ISNUMBER($G101)),LOWER(LEFT($G101,1))&lt;&gt;"n"),"Not a valid distance",OR(LOWER(LEFT($G101,1))="n",$G101&lt;ScoringTable!$O$161),1,RIGHT($E101,1)="B",_xlfn.XLOOKUP($G101,ScoringTable!$O$2:$O$161,ScoringTable!$L$2:$L$161,,-1),TRUE,_xlfn.XLOOKUP($G101,ScoringTable!$U$2:$U$161,ScoringTable!$R$2:$R$161,,-1))</f>
        <v>0</v>
      </c>
    </row>
    <row r="102" spans="1:13" s="7" customFormat="1" ht="16" customHeight="1">
      <c r="A102" s="121" t="s">
        <v>81</v>
      </c>
      <c r="B102" s="122" t="str">
        <f>IF(ISNA(VLOOKUP($F102,Declarations!B$6:C$293,2,FALSE)),"",IF(VLOOKUP($F102,Declarations!B$6:C$293,2,FALSE)="","NOT DECLARED",IF(ISNA(_xlfn.TEXTBEFORE(VLOOKUP($F102,Declarations!B$6:C$293,2,FALSE)," ")),VLOOKUP($F102,Declarations!B$6:C$293,2,FALSE),_xlfn.TEXTBEFORE(VLOOKUP($F102,Declarations!B$6:C$293,2,FALSE)," "))))</f>
        <v/>
      </c>
      <c r="C102" s="122" t="str">
        <f>IF(ISNA(VLOOKUP($F102,Declarations!B$6:C$293,2,FALSE)),"",IF(VLOOKUP($F102,Declarations!B$6:C$293,2,FALSE)="","NOT DECLARED",IF(ISNA(_xlfn.TEXTAFTER(VLOOKUP($F102,Declarations!B$6:C$293,2,FALSE)," ")),VLOOKUP($F102,Declarations!B$6:C$293,2,FALSE),_xlfn.TEXTAFTER(VLOOKUP($F102,Declarations!B$6:C$293,2,FALSE)," "))))</f>
        <v/>
      </c>
      <c r="D102" s="122" t="str">
        <f>IF(ISNA(VLOOKUP($F102,Declarations!$B$6:$F$293,5,FALSE)),"",IF(VLOOKUP($F102,Declarations!$B$6:$F$293,5,FALSE)="","NOT DECLARED",VLOOKUP($F102,Declarations!$B$6:$F$293,5,FALSE)))</f>
        <v/>
      </c>
      <c r="E102" s="120" t="str">
        <f>IF(ISNA(VLOOKUP($F102,Declarations!$B$6:$D$293,3,FALSE)),"",IF(VLOOKUP($F102,Declarations!$B$6:$D$293,3,FALSE)="","NOT DECLARED",VLOOKUP($F102,Declarations!$B$6:$D$293,3,FALSE)&amp;LEFT(VLOOKUP($F102,Declarations!$B$6:$E$293,4,FALSE))))</f>
        <v/>
      </c>
      <c r="F102" s="59"/>
      <c r="G102" s="129"/>
      <c r="H102" s="129"/>
      <c r="I102" s="122" t="str">
        <f>IF(ISNA(VLOOKUP(F102,Declarations!B$6:C$293,2,FALSE)),"",IF(VLOOKUP(F102,Declarations!B$6:C$293,2,FALSE)="","NOT DECLARED",VLOOKUP(F102,Declarations!B$6:C$293,2,FALSE)))</f>
        <v/>
      </c>
      <c r="J102" s="120">
        <f>IF(LOWER(LEFT(G102,1))="n",1,VLOOKUP(G102,ScoringTable!D$2:I$95,6))</f>
        <v>0</v>
      </c>
      <c r="K102" s="120" t="str" cm="1">
        <f t="array" ref="K102">IF(OR(E102="",G102=""),"",_xlfn.IFS(E102="U10B",_xlfn.XLOOKUP(G102,Data!$D$5:$L$5,Data!$D$1:$L$1,"",-1,1),E102="U12B",_xlfn.XLOOKUP(G102,Data!$D$12:$L$12,Data!$D$1:$L$1,"",-1,1),E102="U10G",_xlfn.XLOOKUP(G102,Data!$D$18:$L$18,Data!$D$1:$L$1,"",-1,1),E102="U12G",_xlfn.XLOOKUP(G102,Data!$D$25:$L$25,Data!$D$1:$L$1,"",-1,1)))</f>
        <v/>
      </c>
      <c r="L102" s="184" t="str" cm="1">
        <f t="array" ref="L102">IFERROR(_xlfn.IFNA(
                      _xlfn.IFS(
                      G102="", "",
                      AND(E102="U10B",G102&gt;=Data!$M$5), "U10 Boys record",
                      AND(E102="U12B",G102&gt;=Data!$M$12), "U12 Boys record",
                      AND(E102="U10G",G102&gt;=Data!$M$18), "U10 Girls record",
                      AND(E102="U12G",G102&gt;=Data!$M$25), "U12 Girls record"
                       ),""), "")</f>
        <v/>
      </c>
      <c r="M102" s="19" cm="1">
        <f t="array" ref="M102">_xlfn.IFS($G102="",0, AND(NOT(ISNUMBER($G102)),LOWER(LEFT($G102,1))&lt;&gt;"n"),"Not a valid distance",OR(LOWER(LEFT($G102,1))="n",$G102&lt;ScoringTable!$O$161),1,RIGHT($E102,1)="B",_xlfn.XLOOKUP($G102,ScoringTable!$O$2:$O$161,ScoringTable!$L$2:$L$161,,-1),TRUE,_xlfn.XLOOKUP($G102,ScoringTable!$U$2:$U$161,ScoringTable!$R$2:$R$161,,-1))</f>
        <v>0</v>
      </c>
    </row>
    <row r="103" spans="1:13" s="7" customFormat="1" ht="16" customHeight="1">
      <c r="A103" s="121" t="s">
        <v>81</v>
      </c>
      <c r="B103" s="122" t="str">
        <f>IF(ISNA(VLOOKUP($F103,Declarations!B$6:C$293,2,FALSE)),"",IF(VLOOKUP($F103,Declarations!B$6:C$293,2,FALSE)="","NOT DECLARED",IF(ISNA(_xlfn.TEXTBEFORE(VLOOKUP($F103,Declarations!B$6:C$293,2,FALSE)," ")),VLOOKUP($F103,Declarations!B$6:C$293,2,FALSE),_xlfn.TEXTBEFORE(VLOOKUP($F103,Declarations!B$6:C$293,2,FALSE)," "))))</f>
        <v/>
      </c>
      <c r="C103" s="122" t="str">
        <f>IF(ISNA(VLOOKUP($F103,Declarations!B$6:C$293,2,FALSE)),"",IF(VLOOKUP($F103,Declarations!B$6:C$293,2,FALSE)="","NOT DECLARED",IF(ISNA(_xlfn.TEXTAFTER(VLOOKUP($F103,Declarations!B$6:C$293,2,FALSE)," ")),VLOOKUP($F103,Declarations!B$6:C$293,2,FALSE),_xlfn.TEXTAFTER(VLOOKUP($F103,Declarations!B$6:C$293,2,FALSE)," "))))</f>
        <v/>
      </c>
      <c r="D103" s="122" t="str">
        <f>IF(ISNA(VLOOKUP($F103,Declarations!$B$6:$F$293,5,FALSE)),"",IF(VLOOKUP($F103,Declarations!$B$6:$F$293,5,FALSE)="","NOT DECLARED",VLOOKUP($F103,Declarations!$B$6:$F$293,5,FALSE)))</f>
        <v/>
      </c>
      <c r="E103" s="120" t="str">
        <f>IF(ISNA(VLOOKUP($F103,Declarations!$B$6:$D$293,3,FALSE)),"",IF(VLOOKUP($F103,Declarations!$B$6:$D$293,3,FALSE)="","NOT DECLARED",VLOOKUP($F103,Declarations!$B$6:$D$293,3,FALSE)&amp;LEFT(VLOOKUP($F103,Declarations!$B$6:$E$293,4,FALSE))))</f>
        <v/>
      </c>
      <c r="F103" s="59"/>
      <c r="G103" s="129"/>
      <c r="H103" s="129"/>
      <c r="I103" s="122" t="str">
        <f>IF(ISNA(VLOOKUP(F103,Declarations!B$6:C$293,2,FALSE)),"",IF(VLOOKUP(F103,Declarations!B$6:C$293,2,FALSE)="","NOT DECLARED",VLOOKUP(F103,Declarations!B$6:C$293,2,FALSE)))</f>
        <v/>
      </c>
      <c r="J103" s="120">
        <f>IF(LOWER(LEFT(G103,1))="n",1,VLOOKUP(G103,ScoringTable!D$2:I$95,6))</f>
        <v>0</v>
      </c>
      <c r="K103" s="120" t="str" cm="1">
        <f t="array" ref="K103">IF(OR(E103="",G103=""),"",_xlfn.IFS(E103="U10B",_xlfn.XLOOKUP(G103,Data!$D$5:$L$5,Data!$D$1:$L$1,"",-1,1),E103="U12B",_xlfn.XLOOKUP(G103,Data!$D$12:$L$12,Data!$D$1:$L$1,"",-1,1),E103="U10G",_xlfn.XLOOKUP(G103,Data!$D$18:$L$18,Data!$D$1:$L$1,"",-1,1),E103="U12G",_xlfn.XLOOKUP(G103,Data!$D$25:$L$25,Data!$D$1:$L$1,"",-1,1)))</f>
        <v/>
      </c>
      <c r="L103" s="184" t="str" cm="1">
        <f t="array" ref="L103">IFERROR(_xlfn.IFNA(
                      _xlfn.IFS(
                      G103="", "",
                      AND(E103="U10B",G103&gt;=Data!$M$5), "U10 Boys record",
                      AND(E103="U12B",G103&gt;=Data!$M$12), "U12 Boys record",
                      AND(E103="U10G",G103&gt;=Data!$M$18), "U10 Girls record",
                      AND(E103="U12G",G103&gt;=Data!$M$25), "U12 Girls record"
                       ),""), "")</f>
        <v/>
      </c>
      <c r="M103" s="19" cm="1">
        <f t="array" ref="M103">_xlfn.IFS($G103="",0, AND(NOT(ISNUMBER($G103)),LOWER(LEFT($G103,1))&lt;&gt;"n"),"Not a valid distance",OR(LOWER(LEFT($G103,1))="n",$G103&lt;ScoringTable!$O$161),1,RIGHT($E103,1)="B",_xlfn.XLOOKUP($G103,ScoringTable!$O$2:$O$161,ScoringTable!$L$2:$L$161,,-1),TRUE,_xlfn.XLOOKUP($G103,ScoringTable!$U$2:$U$161,ScoringTable!$R$2:$R$161,,-1))</f>
        <v>0</v>
      </c>
    </row>
    <row r="104" spans="1:13" s="7" customFormat="1" ht="16" customHeight="1">
      <c r="A104" s="121" t="s">
        <v>81</v>
      </c>
      <c r="B104" s="122" t="str">
        <f>IF(ISNA(VLOOKUP($F104,Declarations!B$6:C$293,2,FALSE)),"",IF(VLOOKUP($F104,Declarations!B$6:C$293,2,FALSE)="","NOT DECLARED",IF(ISNA(_xlfn.TEXTBEFORE(VLOOKUP($F104,Declarations!B$6:C$293,2,FALSE)," ")),VLOOKUP($F104,Declarations!B$6:C$293,2,FALSE),_xlfn.TEXTBEFORE(VLOOKUP($F104,Declarations!B$6:C$293,2,FALSE)," "))))</f>
        <v/>
      </c>
      <c r="C104" s="122" t="str">
        <f>IF(ISNA(VLOOKUP($F104,Declarations!B$6:C$293,2,FALSE)),"",IF(VLOOKUP($F104,Declarations!B$6:C$293,2,FALSE)="","NOT DECLARED",IF(ISNA(_xlfn.TEXTAFTER(VLOOKUP($F104,Declarations!B$6:C$293,2,FALSE)," ")),VLOOKUP($F104,Declarations!B$6:C$293,2,FALSE),_xlfn.TEXTAFTER(VLOOKUP($F104,Declarations!B$6:C$293,2,FALSE)," "))))</f>
        <v/>
      </c>
      <c r="D104" s="122" t="str">
        <f>IF(ISNA(VLOOKUP($F104,Declarations!$B$6:$F$293,5,FALSE)),"",IF(VLOOKUP($F104,Declarations!$B$6:$F$293,5,FALSE)="","NOT DECLARED",VLOOKUP($F104,Declarations!$B$6:$F$293,5,FALSE)))</f>
        <v/>
      </c>
      <c r="E104" s="120" t="str">
        <f>IF(ISNA(VLOOKUP($F104,Declarations!$B$6:$D$293,3,FALSE)),"",IF(VLOOKUP($F104,Declarations!$B$6:$D$293,3,FALSE)="","NOT DECLARED",VLOOKUP($F104,Declarations!$B$6:$D$293,3,FALSE)&amp;LEFT(VLOOKUP($F104,Declarations!$B$6:$E$293,4,FALSE))))</f>
        <v/>
      </c>
      <c r="F104" s="59"/>
      <c r="G104" s="129"/>
      <c r="H104" s="129"/>
      <c r="I104" s="122" t="str">
        <f>IF(ISNA(VLOOKUP(F104,Declarations!B$6:C$293,2,FALSE)),"",IF(VLOOKUP(F104,Declarations!B$6:C$293,2,FALSE)="","NOT DECLARED",VLOOKUP(F104,Declarations!B$6:C$293,2,FALSE)))</f>
        <v/>
      </c>
      <c r="J104" s="120">
        <f>IF(LOWER(LEFT(G104,1))="n",1,VLOOKUP(G104,ScoringTable!D$2:I$95,6))</f>
        <v>0</v>
      </c>
      <c r="K104" s="120" t="str" cm="1">
        <f t="array" ref="K104">IF(OR(E104="",G104=""),"",_xlfn.IFS(E104="U10B",_xlfn.XLOOKUP(G104,Data!$D$5:$L$5,Data!$D$1:$L$1,"",-1,1),E104="U12B",_xlfn.XLOOKUP(G104,Data!$D$12:$L$12,Data!$D$1:$L$1,"",-1,1),E104="U10G",_xlfn.XLOOKUP(G104,Data!$D$18:$L$18,Data!$D$1:$L$1,"",-1,1),E104="U12G",_xlfn.XLOOKUP(G104,Data!$D$25:$L$25,Data!$D$1:$L$1,"",-1,1)))</f>
        <v/>
      </c>
      <c r="L104" s="184" t="str" cm="1">
        <f t="array" ref="L104">IFERROR(_xlfn.IFNA(
                      _xlfn.IFS(
                      G104="", "",
                      AND(E104="U10B",G104&gt;=Data!$M$5), "U10 Boys record",
                      AND(E104="U12B",G104&gt;=Data!$M$12), "U12 Boys record",
                      AND(E104="U10G",G104&gt;=Data!$M$18), "U10 Girls record",
                      AND(E104="U12G",G104&gt;=Data!$M$25), "U12 Girls record"
                       ),""), "")</f>
        <v/>
      </c>
      <c r="M104" s="19" cm="1">
        <f t="array" ref="M104">_xlfn.IFS($G104="",0, AND(NOT(ISNUMBER($G104)),LOWER(LEFT($G104,1))&lt;&gt;"n"),"Not a valid distance",OR(LOWER(LEFT($G104,1))="n",$G104&lt;ScoringTable!$O$161),1,RIGHT($E104,1)="B",_xlfn.XLOOKUP($G104,ScoringTable!$O$2:$O$161,ScoringTable!$L$2:$L$161,,-1),TRUE,_xlfn.XLOOKUP($G104,ScoringTable!$U$2:$U$161,ScoringTable!$R$2:$R$161,,-1))</f>
        <v>0</v>
      </c>
    </row>
    <row r="105" spans="1:13" s="7" customFormat="1" ht="16" customHeight="1">
      <c r="A105" s="121" t="s">
        <v>81</v>
      </c>
      <c r="B105" s="122" t="str">
        <f>IF(ISNA(VLOOKUP($F105,Declarations!B$6:C$293,2,FALSE)),"",IF(VLOOKUP($F105,Declarations!B$6:C$293,2,FALSE)="","NOT DECLARED",IF(ISNA(_xlfn.TEXTBEFORE(VLOOKUP($F105,Declarations!B$6:C$293,2,FALSE)," ")),VLOOKUP($F105,Declarations!B$6:C$293,2,FALSE),_xlfn.TEXTBEFORE(VLOOKUP($F105,Declarations!B$6:C$293,2,FALSE)," "))))</f>
        <v/>
      </c>
      <c r="C105" s="122" t="str">
        <f>IF(ISNA(VLOOKUP($F105,Declarations!B$6:C$293,2,FALSE)),"",IF(VLOOKUP($F105,Declarations!B$6:C$293,2,FALSE)="","NOT DECLARED",IF(ISNA(_xlfn.TEXTAFTER(VLOOKUP($F105,Declarations!B$6:C$293,2,FALSE)," ")),VLOOKUP($F105,Declarations!B$6:C$293,2,FALSE),_xlfn.TEXTAFTER(VLOOKUP($F105,Declarations!B$6:C$293,2,FALSE)," "))))</f>
        <v/>
      </c>
      <c r="D105" s="122" t="str">
        <f>IF(ISNA(VLOOKUP($F105,Declarations!$B$6:$F$293,5,FALSE)),"",IF(VLOOKUP($F105,Declarations!$B$6:$F$293,5,FALSE)="","NOT DECLARED",VLOOKUP($F105,Declarations!$B$6:$F$293,5,FALSE)))</f>
        <v/>
      </c>
      <c r="E105" s="120" t="str">
        <f>IF(ISNA(VLOOKUP($F105,Declarations!$B$6:$D$293,3,FALSE)),"",IF(VLOOKUP($F105,Declarations!$B$6:$D$293,3,FALSE)="","NOT DECLARED",VLOOKUP($F105,Declarations!$B$6:$D$293,3,FALSE)&amp;LEFT(VLOOKUP($F105,Declarations!$B$6:$E$293,4,FALSE))))</f>
        <v/>
      </c>
      <c r="F105" s="59"/>
      <c r="G105" s="129"/>
      <c r="H105" s="129"/>
      <c r="I105" s="122" t="str">
        <f>IF(ISNA(VLOOKUP(F105,Declarations!B$6:C$293,2,FALSE)),"",IF(VLOOKUP(F105,Declarations!B$6:C$293,2,FALSE)="","NOT DECLARED",VLOOKUP(F105,Declarations!B$6:C$293,2,FALSE)))</f>
        <v/>
      </c>
      <c r="J105" s="120">
        <f>IF(LOWER(LEFT(G105,1))="n",1,VLOOKUP(G105,ScoringTable!D$2:I$95,6))</f>
        <v>0</v>
      </c>
      <c r="K105" s="120" t="str" cm="1">
        <f t="array" ref="K105">IF(OR(E105="",G105=""),"",_xlfn.IFS(E105="U10B",_xlfn.XLOOKUP(G105,Data!$D$5:$L$5,Data!$D$1:$L$1,"",-1,1),E105="U12B",_xlfn.XLOOKUP(G105,Data!$D$12:$L$12,Data!$D$1:$L$1,"",-1,1),E105="U10G",_xlfn.XLOOKUP(G105,Data!$D$18:$L$18,Data!$D$1:$L$1,"",-1,1),E105="U12G",_xlfn.XLOOKUP(G105,Data!$D$25:$L$25,Data!$D$1:$L$1,"",-1,1)))</f>
        <v/>
      </c>
      <c r="L105" s="184" t="str" cm="1">
        <f t="array" ref="L105">IFERROR(_xlfn.IFNA(
                      _xlfn.IFS(
                      G105="", "",
                      AND(E105="U10B",G105&gt;=Data!$M$5), "U10 Boys record",
                      AND(E105="U12B",G105&gt;=Data!$M$12), "U12 Boys record",
                      AND(E105="U10G",G105&gt;=Data!$M$18), "U10 Girls record",
                      AND(E105="U12G",G105&gt;=Data!$M$25), "U12 Girls record"
                       ),""), "")</f>
        <v/>
      </c>
      <c r="M105" s="19" cm="1">
        <f t="array" ref="M105">_xlfn.IFS($G105="",0, AND(NOT(ISNUMBER($G105)),LOWER(LEFT($G105,1))&lt;&gt;"n"),"Not a valid distance",OR(LOWER(LEFT($G105,1))="n",$G105&lt;ScoringTable!$O$161),1,RIGHT($E105,1)="B",_xlfn.XLOOKUP($G105,ScoringTable!$O$2:$O$161,ScoringTable!$L$2:$L$161,,-1),TRUE,_xlfn.XLOOKUP($G105,ScoringTable!$U$2:$U$161,ScoringTable!$R$2:$R$161,,-1))</f>
        <v>0</v>
      </c>
    </row>
    <row r="106" spans="1:13" s="7" customFormat="1" ht="16" customHeight="1">
      <c r="A106" s="121" t="s">
        <v>81</v>
      </c>
      <c r="B106" s="122" t="str">
        <f>IF(ISNA(VLOOKUP($F106,Declarations!B$6:C$293,2,FALSE)),"",IF(VLOOKUP($F106,Declarations!B$6:C$293,2,FALSE)="","NOT DECLARED",IF(ISNA(_xlfn.TEXTBEFORE(VLOOKUP($F106,Declarations!B$6:C$293,2,FALSE)," ")),VLOOKUP($F106,Declarations!B$6:C$293,2,FALSE),_xlfn.TEXTBEFORE(VLOOKUP($F106,Declarations!B$6:C$293,2,FALSE)," "))))</f>
        <v/>
      </c>
      <c r="C106" s="122" t="str">
        <f>IF(ISNA(VLOOKUP($F106,Declarations!B$6:C$293,2,FALSE)),"",IF(VLOOKUP($F106,Declarations!B$6:C$293,2,FALSE)="","NOT DECLARED",IF(ISNA(_xlfn.TEXTAFTER(VLOOKUP($F106,Declarations!B$6:C$293,2,FALSE)," ")),VLOOKUP($F106,Declarations!B$6:C$293,2,FALSE),_xlfn.TEXTAFTER(VLOOKUP($F106,Declarations!B$6:C$293,2,FALSE)," "))))</f>
        <v/>
      </c>
      <c r="D106" s="122" t="str">
        <f>IF(ISNA(VLOOKUP($F106,Declarations!$B$6:$F$293,5,FALSE)),"",IF(VLOOKUP($F106,Declarations!$B$6:$F$293,5,FALSE)="","NOT DECLARED",VLOOKUP($F106,Declarations!$B$6:$F$293,5,FALSE)))</f>
        <v/>
      </c>
      <c r="E106" s="120" t="str">
        <f>IF(ISNA(VLOOKUP($F106,Declarations!$B$6:$D$293,3,FALSE)),"",IF(VLOOKUP($F106,Declarations!$B$6:$D$293,3,FALSE)="","NOT DECLARED",VLOOKUP($F106,Declarations!$B$6:$D$293,3,FALSE)&amp;LEFT(VLOOKUP($F106,Declarations!$B$6:$E$293,4,FALSE))))</f>
        <v/>
      </c>
      <c r="F106" s="59"/>
      <c r="G106" s="129"/>
      <c r="H106" s="129"/>
      <c r="I106" s="122" t="str">
        <f>IF(ISNA(VLOOKUP(F106,Declarations!B$6:C$293,2,FALSE)),"",IF(VLOOKUP(F106,Declarations!B$6:C$293,2,FALSE)="","NOT DECLARED",VLOOKUP(F106,Declarations!B$6:C$293,2,FALSE)))</f>
        <v/>
      </c>
      <c r="J106" s="120">
        <f>IF(LOWER(LEFT(G106,1))="n",1,VLOOKUP(G106,ScoringTable!D$2:I$95,6))</f>
        <v>0</v>
      </c>
      <c r="K106" s="120" t="str" cm="1">
        <f t="array" ref="K106">IF(OR(E106="",G106=""),"",_xlfn.IFS(E106="U10B",_xlfn.XLOOKUP(G106,Data!$D$5:$L$5,Data!$D$1:$L$1,"",-1,1),E106="U12B",_xlfn.XLOOKUP(G106,Data!$D$12:$L$12,Data!$D$1:$L$1,"",-1,1),E106="U10G",_xlfn.XLOOKUP(G106,Data!$D$18:$L$18,Data!$D$1:$L$1,"",-1,1),E106="U12G",_xlfn.XLOOKUP(G106,Data!$D$25:$L$25,Data!$D$1:$L$1,"",-1,1)))</f>
        <v/>
      </c>
      <c r="L106" s="184" t="str" cm="1">
        <f t="array" ref="L106">IFERROR(_xlfn.IFNA(
                      _xlfn.IFS(
                      G106="", "",
                      AND(E106="U10B",G106&gt;=Data!$M$5), "U10 Boys record",
                      AND(E106="U12B",G106&gt;=Data!$M$12), "U12 Boys record",
                      AND(E106="U10G",G106&gt;=Data!$M$18), "U10 Girls record",
                      AND(E106="U12G",G106&gt;=Data!$M$25), "U12 Girls record"
                       ),""), "")</f>
        <v/>
      </c>
      <c r="M106" s="19" cm="1">
        <f t="array" ref="M106">_xlfn.IFS($G106="",0, AND(NOT(ISNUMBER($G106)),LOWER(LEFT($G106,1))&lt;&gt;"n"),"Not a valid distance",OR(LOWER(LEFT($G106,1))="n",$G106&lt;ScoringTable!$O$161),1,RIGHT($E106,1)="B",_xlfn.XLOOKUP($G106,ScoringTable!$O$2:$O$161,ScoringTable!$L$2:$L$161,,-1),TRUE,_xlfn.XLOOKUP($G106,ScoringTable!$U$2:$U$161,ScoringTable!$R$2:$R$161,,-1))</f>
        <v>0</v>
      </c>
    </row>
    <row r="107" spans="1:13" s="7" customFormat="1" ht="16" customHeight="1">
      <c r="A107" s="121" t="s">
        <v>81</v>
      </c>
      <c r="B107" s="122" t="str">
        <f>IF(ISNA(VLOOKUP($F107,Declarations!B$6:C$293,2,FALSE)),"",IF(VLOOKUP($F107,Declarations!B$6:C$293,2,FALSE)="","NOT DECLARED",IF(ISNA(_xlfn.TEXTBEFORE(VLOOKUP($F107,Declarations!B$6:C$293,2,FALSE)," ")),VLOOKUP($F107,Declarations!B$6:C$293,2,FALSE),_xlfn.TEXTBEFORE(VLOOKUP($F107,Declarations!B$6:C$293,2,FALSE)," "))))</f>
        <v/>
      </c>
      <c r="C107" s="122" t="str">
        <f>IF(ISNA(VLOOKUP($F107,Declarations!B$6:C$293,2,FALSE)),"",IF(VLOOKUP($F107,Declarations!B$6:C$293,2,FALSE)="","NOT DECLARED",IF(ISNA(_xlfn.TEXTAFTER(VLOOKUP($F107,Declarations!B$6:C$293,2,FALSE)," ")),VLOOKUP($F107,Declarations!B$6:C$293,2,FALSE),_xlfn.TEXTAFTER(VLOOKUP($F107,Declarations!B$6:C$293,2,FALSE)," "))))</f>
        <v/>
      </c>
      <c r="D107" s="122" t="str">
        <f>IF(ISNA(VLOOKUP($F107,Declarations!$B$6:$F$293,5,FALSE)),"",IF(VLOOKUP($F107,Declarations!$B$6:$F$293,5,FALSE)="","NOT DECLARED",VLOOKUP($F107,Declarations!$B$6:$F$293,5,FALSE)))</f>
        <v/>
      </c>
      <c r="E107" s="120" t="str">
        <f>IF(ISNA(VLOOKUP($F107,Declarations!$B$6:$D$293,3,FALSE)),"",IF(VLOOKUP($F107,Declarations!$B$6:$D$293,3,FALSE)="","NOT DECLARED",VLOOKUP($F107,Declarations!$B$6:$D$293,3,FALSE)&amp;LEFT(VLOOKUP($F107,Declarations!$B$6:$E$293,4,FALSE))))</f>
        <v/>
      </c>
      <c r="F107" s="59"/>
      <c r="G107" s="129"/>
      <c r="H107" s="129"/>
      <c r="I107" s="122" t="str">
        <f>IF(ISNA(VLOOKUP(F107,Declarations!B$6:C$293,2,FALSE)),"",IF(VLOOKUP(F107,Declarations!B$6:C$293,2,FALSE)="","NOT DECLARED",VLOOKUP(F107,Declarations!B$6:C$293,2,FALSE)))</f>
        <v/>
      </c>
      <c r="J107" s="120">
        <f>IF(LOWER(LEFT(G107,1))="n",1,VLOOKUP(G107,ScoringTable!D$2:I$95,6))</f>
        <v>0</v>
      </c>
      <c r="K107" s="120" t="str" cm="1">
        <f t="array" ref="K107">IF(OR(E107="",G107=""),"",_xlfn.IFS(E107="U10B",_xlfn.XLOOKUP(G107,Data!$D$5:$L$5,Data!$D$1:$L$1,"",-1,1),E107="U12B",_xlfn.XLOOKUP(G107,Data!$D$12:$L$12,Data!$D$1:$L$1,"",-1,1),E107="U10G",_xlfn.XLOOKUP(G107,Data!$D$18:$L$18,Data!$D$1:$L$1,"",-1,1),E107="U12G",_xlfn.XLOOKUP(G107,Data!$D$25:$L$25,Data!$D$1:$L$1,"",-1,1)))</f>
        <v/>
      </c>
      <c r="L107" s="184" t="str" cm="1">
        <f t="array" ref="L107">IFERROR(_xlfn.IFNA(
                      _xlfn.IFS(
                      G107="", "",
                      AND(E107="U10B",G107&gt;=Data!$M$5), "U10 Boys record",
                      AND(E107="U12B",G107&gt;=Data!$M$12), "U12 Boys record",
                      AND(E107="U10G",G107&gt;=Data!$M$18), "U10 Girls record",
                      AND(E107="U12G",G107&gt;=Data!$M$25), "U12 Girls record"
                       ),""), "")</f>
        <v/>
      </c>
      <c r="M107" s="19" cm="1">
        <f t="array" ref="M107">_xlfn.IFS($G107="",0, AND(NOT(ISNUMBER($G107)),LOWER(LEFT($G107,1))&lt;&gt;"n"),"Not a valid distance",OR(LOWER(LEFT($G107,1))="n",$G107&lt;ScoringTable!$O$161),1,RIGHT($E107,1)="B",_xlfn.XLOOKUP($G107,ScoringTable!$O$2:$O$161,ScoringTable!$L$2:$L$161,,-1),TRUE,_xlfn.XLOOKUP($G107,ScoringTable!$U$2:$U$161,ScoringTable!$R$2:$R$161,,-1))</f>
        <v>0</v>
      </c>
    </row>
    <row r="108" spans="1:13" s="7" customFormat="1" ht="16" customHeight="1">
      <c r="A108" s="121" t="s">
        <v>81</v>
      </c>
      <c r="B108" s="122" t="str">
        <f>IF(ISNA(VLOOKUP($F108,Declarations!B$6:C$293,2,FALSE)),"",IF(VLOOKUP($F108,Declarations!B$6:C$293,2,FALSE)="","NOT DECLARED",IF(ISNA(_xlfn.TEXTBEFORE(VLOOKUP($F108,Declarations!B$6:C$293,2,FALSE)," ")),VLOOKUP($F108,Declarations!B$6:C$293,2,FALSE),_xlfn.TEXTBEFORE(VLOOKUP($F108,Declarations!B$6:C$293,2,FALSE)," "))))</f>
        <v/>
      </c>
      <c r="C108" s="122" t="str">
        <f>IF(ISNA(VLOOKUP($F108,Declarations!B$6:C$293,2,FALSE)),"",IF(VLOOKUP($F108,Declarations!B$6:C$293,2,FALSE)="","NOT DECLARED",IF(ISNA(_xlfn.TEXTAFTER(VLOOKUP($F108,Declarations!B$6:C$293,2,FALSE)," ")),VLOOKUP($F108,Declarations!B$6:C$293,2,FALSE),_xlfn.TEXTAFTER(VLOOKUP($F108,Declarations!B$6:C$293,2,FALSE)," "))))</f>
        <v/>
      </c>
      <c r="D108" s="122" t="str">
        <f>IF(ISNA(VLOOKUP($F108,Declarations!$B$6:$F$293,5,FALSE)),"",IF(VLOOKUP($F108,Declarations!$B$6:$F$293,5,FALSE)="","NOT DECLARED",VLOOKUP($F108,Declarations!$B$6:$F$293,5,FALSE)))</f>
        <v/>
      </c>
      <c r="E108" s="120" t="str">
        <f>IF(ISNA(VLOOKUP($F108,Declarations!$B$6:$D$293,3,FALSE)),"",IF(VLOOKUP($F108,Declarations!$B$6:$D$293,3,FALSE)="","NOT DECLARED",VLOOKUP($F108,Declarations!$B$6:$D$293,3,FALSE)&amp;LEFT(VLOOKUP($F108,Declarations!$B$6:$E$293,4,FALSE))))</f>
        <v/>
      </c>
      <c r="F108" s="59"/>
      <c r="G108" s="129"/>
      <c r="H108" s="129"/>
      <c r="I108" s="122" t="str">
        <f>IF(ISNA(VLOOKUP(F108,Declarations!B$6:C$293,2,FALSE)),"",IF(VLOOKUP(F108,Declarations!B$6:C$293,2,FALSE)="","NOT DECLARED",VLOOKUP(F108,Declarations!B$6:C$293,2,FALSE)))</f>
        <v/>
      </c>
      <c r="J108" s="120">
        <f>IF(LOWER(LEFT(G108,1))="n",1,VLOOKUP(G108,ScoringTable!D$2:I$95,6))</f>
        <v>0</v>
      </c>
      <c r="K108" s="120" t="str" cm="1">
        <f t="array" ref="K108">IF(OR(E108="",G108=""),"",_xlfn.IFS(E108="U10B",_xlfn.XLOOKUP(G108,Data!$D$5:$L$5,Data!$D$1:$L$1,"",-1,1),E108="U12B",_xlfn.XLOOKUP(G108,Data!$D$12:$L$12,Data!$D$1:$L$1,"",-1,1),E108="U10G",_xlfn.XLOOKUP(G108,Data!$D$18:$L$18,Data!$D$1:$L$1,"",-1,1),E108="U12G",_xlfn.XLOOKUP(G108,Data!$D$25:$L$25,Data!$D$1:$L$1,"",-1,1)))</f>
        <v/>
      </c>
      <c r="L108" s="184" t="str" cm="1">
        <f t="array" ref="L108">IFERROR(_xlfn.IFNA(
                      _xlfn.IFS(
                      G108="", "",
                      AND(E108="U10B",G108&gt;=Data!$M$5), "U10 Boys record",
                      AND(E108="U12B",G108&gt;=Data!$M$12), "U12 Boys record",
                      AND(E108="U10G",G108&gt;=Data!$M$18), "U10 Girls record",
                      AND(E108="U12G",G108&gt;=Data!$M$25), "U12 Girls record"
                       ),""), "")</f>
        <v/>
      </c>
      <c r="M108" s="19" cm="1">
        <f t="array" ref="M108">_xlfn.IFS($G108="",0, AND(NOT(ISNUMBER($G108)),LOWER(LEFT($G108,1))&lt;&gt;"n"),"Not a valid distance",OR(LOWER(LEFT($G108,1))="n",$G108&lt;ScoringTable!$O$161),1,RIGHT($E108,1)="B",_xlfn.XLOOKUP($G108,ScoringTable!$O$2:$O$161,ScoringTable!$L$2:$L$161,,-1),TRUE,_xlfn.XLOOKUP($G108,ScoringTable!$U$2:$U$161,ScoringTable!$R$2:$R$161,,-1))</f>
        <v>0</v>
      </c>
    </row>
    <row r="109" spans="1:13" s="7" customFormat="1" ht="16" customHeight="1">
      <c r="A109" s="121" t="s">
        <v>81</v>
      </c>
      <c r="B109" s="122" t="str">
        <f>IF(ISNA(VLOOKUP($F109,Declarations!B$6:C$293,2,FALSE)),"",IF(VLOOKUP($F109,Declarations!B$6:C$293,2,FALSE)="","NOT DECLARED",IF(ISNA(_xlfn.TEXTBEFORE(VLOOKUP($F109,Declarations!B$6:C$293,2,FALSE)," ")),VLOOKUP($F109,Declarations!B$6:C$293,2,FALSE),_xlfn.TEXTBEFORE(VLOOKUP($F109,Declarations!B$6:C$293,2,FALSE)," "))))</f>
        <v/>
      </c>
      <c r="C109" s="122" t="str">
        <f>IF(ISNA(VLOOKUP($F109,Declarations!B$6:C$293,2,FALSE)),"",IF(VLOOKUP($F109,Declarations!B$6:C$293,2,FALSE)="","NOT DECLARED",IF(ISNA(_xlfn.TEXTAFTER(VLOOKUP($F109,Declarations!B$6:C$293,2,FALSE)," ")),VLOOKUP($F109,Declarations!B$6:C$293,2,FALSE),_xlfn.TEXTAFTER(VLOOKUP($F109,Declarations!B$6:C$293,2,FALSE)," "))))</f>
        <v/>
      </c>
      <c r="D109" s="122" t="str">
        <f>IF(ISNA(VLOOKUP($F109,Declarations!$B$6:$F$293,5,FALSE)),"",IF(VLOOKUP($F109,Declarations!$B$6:$F$293,5,FALSE)="","NOT DECLARED",VLOOKUP($F109,Declarations!$B$6:$F$293,5,FALSE)))</f>
        <v/>
      </c>
      <c r="E109" s="120" t="str">
        <f>IF(ISNA(VLOOKUP($F109,Declarations!$B$6:$D$293,3,FALSE)),"",IF(VLOOKUP($F109,Declarations!$B$6:$D$293,3,FALSE)="","NOT DECLARED",VLOOKUP($F109,Declarations!$B$6:$D$293,3,FALSE)&amp;LEFT(VLOOKUP($F109,Declarations!$B$6:$E$293,4,FALSE))))</f>
        <v/>
      </c>
      <c r="F109" s="59"/>
      <c r="G109" s="129"/>
      <c r="H109" s="129"/>
      <c r="I109" s="122" t="str">
        <f>IF(ISNA(VLOOKUP(F109,Declarations!B$6:C$293,2,FALSE)),"",IF(VLOOKUP(F109,Declarations!B$6:C$293,2,FALSE)="","NOT DECLARED",VLOOKUP(F109,Declarations!B$6:C$293,2,FALSE)))</f>
        <v/>
      </c>
      <c r="J109" s="120">
        <f>IF(LOWER(LEFT(G109,1))="n",1,VLOOKUP(G109,ScoringTable!D$2:I$95,6))</f>
        <v>0</v>
      </c>
      <c r="K109" s="120" t="str" cm="1">
        <f t="array" ref="K109">IF(OR(E109="",G109=""),"",_xlfn.IFS(E109="U10B",_xlfn.XLOOKUP(G109,Data!$D$5:$L$5,Data!$D$1:$L$1,"",-1,1),E109="U12B",_xlfn.XLOOKUP(G109,Data!$D$12:$L$12,Data!$D$1:$L$1,"",-1,1),E109="U10G",_xlfn.XLOOKUP(G109,Data!$D$18:$L$18,Data!$D$1:$L$1,"",-1,1),E109="U12G",_xlfn.XLOOKUP(G109,Data!$D$25:$L$25,Data!$D$1:$L$1,"",-1,1)))</f>
        <v/>
      </c>
      <c r="L109" s="184" t="str" cm="1">
        <f t="array" ref="L109">IFERROR(_xlfn.IFNA(
                      _xlfn.IFS(
                      G109="", "",
                      AND(E109="U10B",G109&gt;=Data!$M$5), "U10 Boys record",
                      AND(E109="U12B",G109&gt;=Data!$M$12), "U12 Boys record",
                      AND(E109="U10G",G109&gt;=Data!$M$18), "U10 Girls record",
                      AND(E109="U12G",G109&gt;=Data!$M$25), "U12 Girls record"
                       ),""), "")</f>
        <v/>
      </c>
      <c r="M109" s="19" cm="1">
        <f t="array" ref="M109">_xlfn.IFS($G109="",0, AND(NOT(ISNUMBER($G109)),LOWER(LEFT($G109,1))&lt;&gt;"n"),"Not a valid distance",OR(LOWER(LEFT($G109,1))="n",$G109&lt;ScoringTable!$O$161),1,RIGHT($E109,1)="B",_xlfn.XLOOKUP($G109,ScoringTable!$O$2:$O$161,ScoringTable!$L$2:$L$161,,-1),TRUE,_xlfn.XLOOKUP($G109,ScoringTable!$U$2:$U$161,ScoringTable!$R$2:$R$161,,-1))</f>
        <v>0</v>
      </c>
    </row>
    <row r="110" spans="1:13" s="7" customFormat="1" ht="16" customHeight="1">
      <c r="A110" s="121" t="s">
        <v>81</v>
      </c>
      <c r="B110" s="122" t="str">
        <f>IF(ISNA(VLOOKUP($F110,Declarations!B$6:C$293,2,FALSE)),"",IF(VLOOKUP($F110,Declarations!B$6:C$293,2,FALSE)="","NOT DECLARED",IF(ISNA(_xlfn.TEXTBEFORE(VLOOKUP($F110,Declarations!B$6:C$293,2,FALSE)," ")),VLOOKUP($F110,Declarations!B$6:C$293,2,FALSE),_xlfn.TEXTBEFORE(VLOOKUP($F110,Declarations!B$6:C$293,2,FALSE)," "))))</f>
        <v/>
      </c>
      <c r="C110" s="122" t="str">
        <f>IF(ISNA(VLOOKUP($F110,Declarations!B$6:C$293,2,FALSE)),"",IF(VLOOKUP($F110,Declarations!B$6:C$293,2,FALSE)="","NOT DECLARED",IF(ISNA(_xlfn.TEXTAFTER(VLOOKUP($F110,Declarations!B$6:C$293,2,FALSE)," ")),VLOOKUP($F110,Declarations!B$6:C$293,2,FALSE),_xlfn.TEXTAFTER(VLOOKUP($F110,Declarations!B$6:C$293,2,FALSE)," "))))</f>
        <v/>
      </c>
      <c r="D110" s="122" t="str">
        <f>IF(ISNA(VLOOKUP($F110,Declarations!$B$6:$F$293,5,FALSE)),"",IF(VLOOKUP($F110,Declarations!$B$6:$F$293,5,FALSE)="","NOT DECLARED",VLOOKUP($F110,Declarations!$B$6:$F$293,5,FALSE)))</f>
        <v/>
      </c>
      <c r="E110" s="120" t="str">
        <f>IF(ISNA(VLOOKUP($F110,Declarations!$B$6:$D$293,3,FALSE)),"",IF(VLOOKUP($F110,Declarations!$B$6:$D$293,3,FALSE)="","NOT DECLARED",VLOOKUP($F110,Declarations!$B$6:$D$293,3,FALSE)&amp;LEFT(VLOOKUP($F110,Declarations!$B$6:$E$293,4,FALSE))))</f>
        <v/>
      </c>
      <c r="F110" s="59"/>
      <c r="G110" s="129"/>
      <c r="H110" s="129"/>
      <c r="I110" s="122" t="str">
        <f>IF(ISNA(VLOOKUP(F110,Declarations!B$6:C$293,2,FALSE)),"",IF(VLOOKUP(F110,Declarations!B$6:C$293,2,FALSE)="","NOT DECLARED",VLOOKUP(F110,Declarations!B$6:C$293,2,FALSE)))</f>
        <v/>
      </c>
      <c r="J110" s="120">
        <f>IF(LOWER(LEFT(G110,1))="n",1,VLOOKUP(G110,ScoringTable!D$2:I$95,6))</f>
        <v>0</v>
      </c>
      <c r="K110" s="120" t="str" cm="1">
        <f t="array" ref="K110">IF(OR(E110="",G110=""),"",_xlfn.IFS(E110="U10B",_xlfn.XLOOKUP(G110,Data!$D$5:$L$5,Data!$D$1:$L$1,"",-1,1),E110="U12B",_xlfn.XLOOKUP(G110,Data!$D$12:$L$12,Data!$D$1:$L$1,"",-1,1),E110="U10G",_xlfn.XLOOKUP(G110,Data!$D$18:$L$18,Data!$D$1:$L$1,"",-1,1),E110="U12G",_xlfn.XLOOKUP(G110,Data!$D$25:$L$25,Data!$D$1:$L$1,"",-1,1)))</f>
        <v/>
      </c>
      <c r="L110" s="184" t="str" cm="1">
        <f t="array" ref="L110">IFERROR(_xlfn.IFNA(
                      _xlfn.IFS(
                      G110="", "",
                      AND(E110="U10B",G110&gt;=Data!$M$5), "U10 Boys record",
                      AND(E110="U12B",G110&gt;=Data!$M$12), "U12 Boys record",
                      AND(E110="U10G",G110&gt;=Data!$M$18), "U10 Girls record",
                      AND(E110="U12G",G110&gt;=Data!$M$25), "U12 Girls record"
                       ),""), "")</f>
        <v/>
      </c>
      <c r="M110" s="19" cm="1">
        <f t="array" ref="M110">_xlfn.IFS($G110="",0, AND(NOT(ISNUMBER($G110)),LOWER(LEFT($G110,1))&lt;&gt;"n"),"Not a valid distance",OR(LOWER(LEFT($G110,1))="n",$G110&lt;ScoringTable!$O$161),1,RIGHT($E110,1)="B",_xlfn.XLOOKUP($G110,ScoringTable!$O$2:$O$161,ScoringTable!$L$2:$L$161,,-1),TRUE,_xlfn.XLOOKUP($G110,ScoringTable!$U$2:$U$161,ScoringTable!$R$2:$R$161,,-1))</f>
        <v>0</v>
      </c>
    </row>
    <row r="111" spans="1:13" s="7" customFormat="1" ht="16" customHeight="1">
      <c r="A111" s="121" t="s">
        <v>81</v>
      </c>
      <c r="B111" s="122" t="str">
        <f>IF(ISNA(VLOOKUP($F111,Declarations!B$6:C$293,2,FALSE)),"",IF(VLOOKUP($F111,Declarations!B$6:C$293,2,FALSE)="","NOT DECLARED",IF(ISNA(_xlfn.TEXTBEFORE(VLOOKUP($F111,Declarations!B$6:C$293,2,FALSE)," ")),VLOOKUP($F111,Declarations!B$6:C$293,2,FALSE),_xlfn.TEXTBEFORE(VLOOKUP($F111,Declarations!B$6:C$293,2,FALSE)," "))))</f>
        <v/>
      </c>
      <c r="C111" s="122" t="str">
        <f>IF(ISNA(VLOOKUP($F111,Declarations!B$6:C$293,2,FALSE)),"",IF(VLOOKUP($F111,Declarations!B$6:C$293,2,FALSE)="","NOT DECLARED",IF(ISNA(_xlfn.TEXTAFTER(VLOOKUP($F111,Declarations!B$6:C$293,2,FALSE)," ")),VLOOKUP($F111,Declarations!B$6:C$293,2,FALSE),_xlfn.TEXTAFTER(VLOOKUP($F111,Declarations!B$6:C$293,2,FALSE)," "))))</f>
        <v/>
      </c>
      <c r="D111" s="122" t="str">
        <f>IF(ISNA(VLOOKUP($F111,Declarations!$B$6:$F$293,5,FALSE)),"",IF(VLOOKUP($F111,Declarations!$B$6:$F$293,5,FALSE)="","NOT DECLARED",VLOOKUP($F111,Declarations!$B$6:$F$293,5,FALSE)))</f>
        <v/>
      </c>
      <c r="E111" s="120" t="str">
        <f>IF(ISNA(VLOOKUP($F111,Declarations!$B$6:$D$293,3,FALSE)),"",IF(VLOOKUP($F111,Declarations!$B$6:$D$293,3,FALSE)="","NOT DECLARED",VLOOKUP($F111,Declarations!$B$6:$D$293,3,FALSE)&amp;LEFT(VLOOKUP($F111,Declarations!$B$6:$E$293,4,FALSE))))</f>
        <v/>
      </c>
      <c r="F111" s="59"/>
      <c r="G111" s="129"/>
      <c r="H111" s="129"/>
      <c r="I111" s="122" t="str">
        <f>IF(ISNA(VLOOKUP(F111,Declarations!B$6:C$293,2,FALSE)),"",IF(VLOOKUP(F111,Declarations!B$6:C$293,2,FALSE)="","NOT DECLARED",VLOOKUP(F111,Declarations!B$6:C$293,2,FALSE)))</f>
        <v/>
      </c>
      <c r="J111" s="120">
        <f>IF(LOWER(LEFT(G111,1))="n",1,VLOOKUP(G111,ScoringTable!D$2:I$95,6))</f>
        <v>0</v>
      </c>
      <c r="K111" s="120" t="str" cm="1">
        <f t="array" ref="K111">IF(OR(E111="",G111=""),"",_xlfn.IFS(E111="U10B",_xlfn.XLOOKUP(G111,Data!$D$5:$L$5,Data!$D$1:$L$1,"",-1,1),E111="U12B",_xlfn.XLOOKUP(G111,Data!$D$12:$L$12,Data!$D$1:$L$1,"",-1,1),E111="U10G",_xlfn.XLOOKUP(G111,Data!$D$18:$L$18,Data!$D$1:$L$1,"",-1,1),E111="U12G",_xlfn.XLOOKUP(G111,Data!$D$25:$L$25,Data!$D$1:$L$1,"",-1,1)))</f>
        <v/>
      </c>
      <c r="L111" s="184" t="str" cm="1">
        <f t="array" ref="L111">IFERROR(_xlfn.IFNA(
                      _xlfn.IFS(
                      G111="", "",
                      AND(E111="U10B",G111&gt;=Data!$M$5), "U10 Boys record",
                      AND(E111="U12B",G111&gt;=Data!$M$12), "U12 Boys record",
                      AND(E111="U10G",G111&gt;=Data!$M$18), "U10 Girls record",
                      AND(E111="U12G",G111&gt;=Data!$M$25), "U12 Girls record"
                       ),""), "")</f>
        <v/>
      </c>
      <c r="M111" s="19" cm="1">
        <f t="array" ref="M111">_xlfn.IFS($G111="",0, AND(NOT(ISNUMBER($G111)),LOWER(LEFT($G111,1))&lt;&gt;"n"),"Not a valid distance",OR(LOWER(LEFT($G111,1))="n",$G111&lt;ScoringTable!$O$161),1,RIGHT($E111,1)="B",_xlfn.XLOOKUP($G111,ScoringTable!$O$2:$O$161,ScoringTable!$L$2:$L$161,,-1),TRUE,_xlfn.XLOOKUP($G111,ScoringTable!$U$2:$U$161,ScoringTable!$R$2:$R$161,,-1))</f>
        <v>0</v>
      </c>
    </row>
    <row r="112" spans="1:13" s="7" customFormat="1" ht="16" customHeight="1">
      <c r="A112" s="121" t="s">
        <v>81</v>
      </c>
      <c r="B112" s="122" t="str">
        <f>IF(ISNA(VLOOKUP($F112,Declarations!B$6:C$293,2,FALSE)),"",IF(VLOOKUP($F112,Declarations!B$6:C$293,2,FALSE)="","NOT DECLARED",IF(ISNA(_xlfn.TEXTBEFORE(VLOOKUP($F112,Declarations!B$6:C$293,2,FALSE)," ")),VLOOKUP($F112,Declarations!B$6:C$293,2,FALSE),_xlfn.TEXTBEFORE(VLOOKUP($F112,Declarations!B$6:C$293,2,FALSE)," "))))</f>
        <v/>
      </c>
      <c r="C112" s="122" t="str">
        <f>IF(ISNA(VLOOKUP($F112,Declarations!B$6:C$293,2,FALSE)),"",IF(VLOOKUP($F112,Declarations!B$6:C$293,2,FALSE)="","NOT DECLARED",IF(ISNA(_xlfn.TEXTAFTER(VLOOKUP($F112,Declarations!B$6:C$293,2,FALSE)," ")),VLOOKUP($F112,Declarations!B$6:C$293,2,FALSE),_xlfn.TEXTAFTER(VLOOKUP($F112,Declarations!B$6:C$293,2,FALSE)," "))))</f>
        <v/>
      </c>
      <c r="D112" s="122" t="str">
        <f>IF(ISNA(VLOOKUP($F112,Declarations!$B$6:$F$293,5,FALSE)),"",IF(VLOOKUP($F112,Declarations!$B$6:$F$293,5,FALSE)="","NOT DECLARED",VLOOKUP($F112,Declarations!$B$6:$F$293,5,FALSE)))</f>
        <v/>
      </c>
      <c r="E112" s="120" t="str">
        <f>IF(ISNA(VLOOKUP($F112,Declarations!$B$6:$D$293,3,FALSE)),"",IF(VLOOKUP($F112,Declarations!$B$6:$D$293,3,FALSE)="","NOT DECLARED",VLOOKUP($F112,Declarations!$B$6:$D$293,3,FALSE)&amp;LEFT(VLOOKUP($F112,Declarations!$B$6:$E$293,4,FALSE))))</f>
        <v/>
      </c>
      <c r="F112" s="59"/>
      <c r="G112" s="129"/>
      <c r="H112" s="129"/>
      <c r="I112" s="122" t="str">
        <f>IF(ISNA(VLOOKUP(F112,Declarations!B$6:C$293,2,FALSE)),"",IF(VLOOKUP(F112,Declarations!B$6:C$293,2,FALSE)="","NOT DECLARED",VLOOKUP(F112,Declarations!B$6:C$293,2,FALSE)))</f>
        <v/>
      </c>
      <c r="J112" s="120">
        <f>IF(LOWER(LEFT(G112,1))="n",1,VLOOKUP(G112,ScoringTable!D$2:I$95,6))</f>
        <v>0</v>
      </c>
      <c r="K112" s="120" t="str" cm="1">
        <f t="array" ref="K112">IF(OR(E112="",G112=""),"",_xlfn.IFS(E112="U10B",_xlfn.XLOOKUP(G112,Data!$D$5:$L$5,Data!$D$1:$L$1,"",-1,1),E112="U12B",_xlfn.XLOOKUP(G112,Data!$D$12:$L$12,Data!$D$1:$L$1,"",-1,1),E112="U10G",_xlfn.XLOOKUP(G112,Data!$D$18:$L$18,Data!$D$1:$L$1,"",-1,1),E112="U12G",_xlfn.XLOOKUP(G112,Data!$D$25:$L$25,Data!$D$1:$L$1,"",-1,1)))</f>
        <v/>
      </c>
      <c r="L112" s="184" t="str" cm="1">
        <f t="array" ref="L112">IFERROR(_xlfn.IFNA(
                      _xlfn.IFS(
                      G112="", "",
                      AND(E112="U10B",G112&gt;=Data!$M$5), "U10 Boys record",
                      AND(E112="U12B",G112&gt;=Data!$M$12), "U12 Boys record",
                      AND(E112="U10G",G112&gt;=Data!$M$18), "U10 Girls record",
                      AND(E112="U12G",G112&gt;=Data!$M$25), "U12 Girls record"
                       ),""), "")</f>
        <v/>
      </c>
      <c r="M112" s="19" cm="1">
        <f t="array" ref="M112">_xlfn.IFS($G112="",0, AND(NOT(ISNUMBER($G112)),LOWER(LEFT($G112,1))&lt;&gt;"n"),"Not a valid distance",OR(LOWER(LEFT($G112,1))="n",$G112&lt;ScoringTable!$O$161),1,RIGHT($E112,1)="B",_xlfn.XLOOKUP($G112,ScoringTable!$O$2:$O$161,ScoringTable!$L$2:$L$161,,-1),TRUE,_xlfn.XLOOKUP($G112,ScoringTable!$U$2:$U$161,ScoringTable!$R$2:$R$161,,-1))</f>
        <v>0</v>
      </c>
    </row>
    <row r="113" spans="1:13" s="7" customFormat="1" ht="16" customHeight="1">
      <c r="A113" s="121" t="s">
        <v>81</v>
      </c>
      <c r="B113" s="122" t="str">
        <f>IF(ISNA(VLOOKUP($F113,Declarations!B$6:C$293,2,FALSE)),"",IF(VLOOKUP($F113,Declarations!B$6:C$293,2,FALSE)="","NOT DECLARED",IF(ISNA(_xlfn.TEXTBEFORE(VLOOKUP($F113,Declarations!B$6:C$293,2,FALSE)," ")),VLOOKUP($F113,Declarations!B$6:C$293,2,FALSE),_xlfn.TEXTBEFORE(VLOOKUP($F113,Declarations!B$6:C$293,2,FALSE)," "))))</f>
        <v/>
      </c>
      <c r="C113" s="122" t="str">
        <f>IF(ISNA(VLOOKUP($F113,Declarations!B$6:C$293,2,FALSE)),"",IF(VLOOKUP($F113,Declarations!B$6:C$293,2,FALSE)="","NOT DECLARED",IF(ISNA(_xlfn.TEXTAFTER(VLOOKUP($F113,Declarations!B$6:C$293,2,FALSE)," ")),VLOOKUP($F113,Declarations!B$6:C$293,2,FALSE),_xlfn.TEXTAFTER(VLOOKUP($F113,Declarations!B$6:C$293,2,FALSE)," "))))</f>
        <v/>
      </c>
      <c r="D113" s="122" t="str">
        <f>IF(ISNA(VLOOKUP($F113,Declarations!$B$6:$F$293,5,FALSE)),"",IF(VLOOKUP($F113,Declarations!$B$6:$F$293,5,FALSE)="","NOT DECLARED",VLOOKUP($F113,Declarations!$B$6:$F$293,5,FALSE)))</f>
        <v/>
      </c>
      <c r="E113" s="120" t="str">
        <f>IF(ISNA(VLOOKUP($F113,Declarations!$B$6:$D$293,3,FALSE)),"",IF(VLOOKUP($F113,Declarations!$B$6:$D$293,3,FALSE)="","NOT DECLARED",VLOOKUP($F113,Declarations!$B$6:$D$293,3,FALSE)&amp;LEFT(VLOOKUP($F113,Declarations!$B$6:$E$293,4,FALSE))))</f>
        <v/>
      </c>
      <c r="F113" s="59"/>
      <c r="G113" s="129"/>
      <c r="H113" s="129"/>
      <c r="I113" s="122" t="str">
        <f>IF(ISNA(VLOOKUP(F113,Declarations!B$6:C$293,2,FALSE)),"",IF(VLOOKUP(F113,Declarations!B$6:C$293,2,FALSE)="","NOT DECLARED",VLOOKUP(F113,Declarations!B$6:C$293,2,FALSE)))</f>
        <v/>
      </c>
      <c r="J113" s="120">
        <f>IF(LOWER(LEFT(G113,1))="n",1,VLOOKUP(G113,ScoringTable!D$2:I$95,6))</f>
        <v>0</v>
      </c>
      <c r="K113" s="120" t="str" cm="1">
        <f t="array" ref="K113">IF(OR(E113="",G113=""),"",_xlfn.IFS(E113="U10B",_xlfn.XLOOKUP(G113,Data!$D$5:$L$5,Data!$D$1:$L$1,"",-1,1),E113="U12B",_xlfn.XLOOKUP(G113,Data!$D$12:$L$12,Data!$D$1:$L$1,"",-1,1),E113="U10G",_xlfn.XLOOKUP(G113,Data!$D$18:$L$18,Data!$D$1:$L$1,"",-1,1),E113="U12G",_xlfn.XLOOKUP(G113,Data!$D$25:$L$25,Data!$D$1:$L$1,"",-1,1)))</f>
        <v/>
      </c>
      <c r="L113" s="184" t="str" cm="1">
        <f t="array" ref="L113">IFERROR(_xlfn.IFNA(
                      _xlfn.IFS(
                      G113="", "",
                      AND(E113="U10B",G113&gt;=Data!$M$5), "U10 Boys record",
                      AND(E113="U12B",G113&gt;=Data!$M$12), "U12 Boys record",
                      AND(E113="U10G",G113&gt;=Data!$M$18), "U10 Girls record",
                      AND(E113="U12G",G113&gt;=Data!$M$25), "U12 Girls record"
                       ),""), "")</f>
        <v/>
      </c>
      <c r="M113" s="19" cm="1">
        <f t="array" ref="M113">_xlfn.IFS($G113="",0, AND(NOT(ISNUMBER($G113)),LOWER(LEFT($G113,1))&lt;&gt;"n"),"Not a valid distance",OR(LOWER(LEFT($G113,1))="n",$G113&lt;ScoringTable!$O$161),1,RIGHT($E113,1)="B",_xlfn.XLOOKUP($G113,ScoringTable!$O$2:$O$161,ScoringTable!$L$2:$L$161,,-1),TRUE,_xlfn.XLOOKUP($G113,ScoringTable!$U$2:$U$161,ScoringTable!$R$2:$R$161,,-1))</f>
        <v>0</v>
      </c>
    </row>
    <row r="114" spans="1:13" s="7" customFormat="1" ht="16" customHeight="1">
      <c r="A114" s="121" t="s">
        <v>81</v>
      </c>
      <c r="B114" s="122" t="str">
        <f>IF(ISNA(VLOOKUP($F114,Declarations!B$6:C$293,2,FALSE)),"",IF(VLOOKUP($F114,Declarations!B$6:C$293,2,FALSE)="","NOT DECLARED",IF(ISNA(_xlfn.TEXTBEFORE(VLOOKUP($F114,Declarations!B$6:C$293,2,FALSE)," ")),VLOOKUP($F114,Declarations!B$6:C$293,2,FALSE),_xlfn.TEXTBEFORE(VLOOKUP($F114,Declarations!B$6:C$293,2,FALSE)," "))))</f>
        <v/>
      </c>
      <c r="C114" s="122" t="str">
        <f>IF(ISNA(VLOOKUP($F114,Declarations!B$6:C$293,2,FALSE)),"",IF(VLOOKUP($F114,Declarations!B$6:C$293,2,FALSE)="","NOT DECLARED",IF(ISNA(_xlfn.TEXTAFTER(VLOOKUP($F114,Declarations!B$6:C$293,2,FALSE)," ")),VLOOKUP($F114,Declarations!B$6:C$293,2,FALSE),_xlfn.TEXTAFTER(VLOOKUP($F114,Declarations!B$6:C$293,2,FALSE)," "))))</f>
        <v/>
      </c>
      <c r="D114" s="122" t="str">
        <f>IF(ISNA(VLOOKUP($F114,Declarations!$B$6:$F$293,5,FALSE)),"",IF(VLOOKUP($F114,Declarations!$B$6:$F$293,5,FALSE)="","NOT DECLARED",VLOOKUP($F114,Declarations!$B$6:$F$293,5,FALSE)))</f>
        <v/>
      </c>
      <c r="E114" s="120" t="str">
        <f>IF(ISNA(VLOOKUP($F114,Declarations!$B$6:$D$293,3,FALSE)),"",IF(VLOOKUP($F114,Declarations!$B$6:$D$293,3,FALSE)="","NOT DECLARED",VLOOKUP($F114,Declarations!$B$6:$D$293,3,FALSE)&amp;LEFT(VLOOKUP($F114,Declarations!$B$6:$E$293,4,FALSE))))</f>
        <v/>
      </c>
      <c r="F114" s="59"/>
      <c r="G114" s="129"/>
      <c r="H114" s="129"/>
      <c r="I114" s="122" t="str">
        <f>IF(ISNA(VLOOKUP(F114,Declarations!B$6:C$293,2,FALSE)),"",IF(VLOOKUP(F114,Declarations!B$6:C$293,2,FALSE)="","NOT DECLARED",VLOOKUP(F114,Declarations!B$6:C$293,2,FALSE)))</f>
        <v/>
      </c>
      <c r="J114" s="120">
        <f>IF(LOWER(LEFT(G114,1))="n",1,VLOOKUP(G114,ScoringTable!D$2:I$95,6))</f>
        <v>0</v>
      </c>
      <c r="K114" s="120" t="str" cm="1">
        <f t="array" ref="K114">IF(OR(E114="",G114=""),"",_xlfn.IFS(E114="U10B",_xlfn.XLOOKUP(G114,Data!$D$5:$L$5,Data!$D$1:$L$1,"",-1,1),E114="U12B",_xlfn.XLOOKUP(G114,Data!$D$12:$L$12,Data!$D$1:$L$1,"",-1,1),E114="U10G",_xlfn.XLOOKUP(G114,Data!$D$18:$L$18,Data!$D$1:$L$1,"",-1,1),E114="U12G",_xlfn.XLOOKUP(G114,Data!$D$25:$L$25,Data!$D$1:$L$1,"",-1,1)))</f>
        <v/>
      </c>
      <c r="L114" s="184" t="str" cm="1">
        <f t="array" ref="L114">IFERROR(_xlfn.IFNA(
                      _xlfn.IFS(
                      G114="", "",
                      AND(E114="U10B",G114&gt;=Data!$M$5), "U10 Boys record",
                      AND(E114="U12B",G114&gt;=Data!$M$12), "U12 Boys record",
                      AND(E114="U10G",G114&gt;=Data!$M$18), "U10 Girls record",
                      AND(E114="U12G",G114&gt;=Data!$M$25), "U12 Girls record"
                       ),""), "")</f>
        <v/>
      </c>
      <c r="M114" s="19" cm="1">
        <f t="array" ref="M114">_xlfn.IFS($G114="",0, AND(NOT(ISNUMBER($G114)),LOWER(LEFT($G114,1))&lt;&gt;"n"),"Not a valid distance",OR(LOWER(LEFT($G114,1))="n",$G114&lt;ScoringTable!$O$161),1,RIGHT($E114,1)="B",_xlfn.XLOOKUP($G114,ScoringTable!$O$2:$O$161,ScoringTable!$L$2:$L$161,,-1),TRUE,_xlfn.XLOOKUP($G114,ScoringTable!$U$2:$U$161,ScoringTable!$R$2:$R$161,,-1))</f>
        <v>0</v>
      </c>
    </row>
    <row r="115" spans="1:13" s="7" customFormat="1" ht="16" customHeight="1">
      <c r="A115" s="121" t="s">
        <v>81</v>
      </c>
      <c r="B115" s="122" t="str">
        <f>IF(ISNA(VLOOKUP($F115,Declarations!B$6:C$293,2,FALSE)),"",IF(VLOOKUP($F115,Declarations!B$6:C$293,2,FALSE)="","NOT DECLARED",IF(ISNA(_xlfn.TEXTBEFORE(VLOOKUP($F115,Declarations!B$6:C$293,2,FALSE)," ")),VLOOKUP($F115,Declarations!B$6:C$293,2,FALSE),_xlfn.TEXTBEFORE(VLOOKUP($F115,Declarations!B$6:C$293,2,FALSE)," "))))</f>
        <v/>
      </c>
      <c r="C115" s="122" t="str">
        <f>IF(ISNA(VLOOKUP($F115,Declarations!B$6:C$293,2,FALSE)),"",IF(VLOOKUP($F115,Declarations!B$6:C$293,2,FALSE)="","NOT DECLARED",IF(ISNA(_xlfn.TEXTAFTER(VLOOKUP($F115,Declarations!B$6:C$293,2,FALSE)," ")),VLOOKUP($F115,Declarations!B$6:C$293,2,FALSE),_xlfn.TEXTAFTER(VLOOKUP($F115,Declarations!B$6:C$293,2,FALSE)," "))))</f>
        <v/>
      </c>
      <c r="D115" s="122" t="str">
        <f>IF(ISNA(VLOOKUP($F115,Declarations!$B$6:$F$293,5,FALSE)),"",IF(VLOOKUP($F115,Declarations!$B$6:$F$293,5,FALSE)="","NOT DECLARED",VLOOKUP($F115,Declarations!$B$6:$F$293,5,FALSE)))</f>
        <v/>
      </c>
      <c r="E115" s="120" t="str">
        <f>IF(ISNA(VLOOKUP($F115,Declarations!$B$6:$D$293,3,FALSE)),"",IF(VLOOKUP($F115,Declarations!$B$6:$D$293,3,FALSE)="","NOT DECLARED",VLOOKUP($F115,Declarations!$B$6:$D$293,3,FALSE)&amp;LEFT(VLOOKUP($F115,Declarations!$B$6:$E$293,4,FALSE))))</f>
        <v/>
      </c>
      <c r="F115" s="59"/>
      <c r="G115" s="129"/>
      <c r="H115" s="129"/>
      <c r="I115" s="122" t="str">
        <f>IF(ISNA(VLOOKUP(F115,Declarations!B$6:C$293,2,FALSE)),"",IF(VLOOKUP(F115,Declarations!B$6:C$293,2,FALSE)="","NOT DECLARED",VLOOKUP(F115,Declarations!B$6:C$293,2,FALSE)))</f>
        <v/>
      </c>
      <c r="J115" s="120">
        <f>IF(LOWER(LEFT(G115,1))="n",1,VLOOKUP(G115,ScoringTable!D$2:I$95,6))</f>
        <v>0</v>
      </c>
      <c r="K115" s="120" t="str" cm="1">
        <f t="array" ref="K115">IF(OR(E115="",G115=""),"",_xlfn.IFS(E115="U10B",_xlfn.XLOOKUP(G115,Data!$D$5:$L$5,Data!$D$1:$L$1,"",-1,1),E115="U12B",_xlfn.XLOOKUP(G115,Data!$D$12:$L$12,Data!$D$1:$L$1,"",-1,1),E115="U10G",_xlfn.XLOOKUP(G115,Data!$D$18:$L$18,Data!$D$1:$L$1,"",-1,1),E115="U12G",_xlfn.XLOOKUP(G115,Data!$D$25:$L$25,Data!$D$1:$L$1,"",-1,1)))</f>
        <v/>
      </c>
      <c r="L115" s="184" t="str" cm="1">
        <f t="array" ref="L115">IFERROR(_xlfn.IFNA(
                      _xlfn.IFS(
                      G115="", "",
                      AND(E115="U10B",G115&gt;=Data!$M$5), "U10 Boys record",
                      AND(E115="U12B",G115&gt;=Data!$M$12), "U12 Boys record",
                      AND(E115="U10G",G115&gt;=Data!$M$18), "U10 Girls record",
                      AND(E115="U12G",G115&gt;=Data!$M$25), "U12 Girls record"
                       ),""), "")</f>
        <v/>
      </c>
      <c r="M115" s="19" cm="1">
        <f t="array" ref="M115">_xlfn.IFS($G115="",0, AND(NOT(ISNUMBER($G115)),LOWER(LEFT($G115,1))&lt;&gt;"n"),"Not a valid distance",OR(LOWER(LEFT($G115,1))="n",$G115&lt;ScoringTable!$O$161),1,RIGHT($E115,1)="B",_xlfn.XLOOKUP($G115,ScoringTable!$O$2:$O$161,ScoringTable!$L$2:$L$161,,-1),TRUE,_xlfn.XLOOKUP($G115,ScoringTable!$U$2:$U$161,ScoringTable!$R$2:$R$161,,-1))</f>
        <v>0</v>
      </c>
    </row>
    <row r="116" spans="1:13" s="7" customFormat="1" ht="16" customHeight="1">
      <c r="A116" s="121" t="s">
        <v>81</v>
      </c>
      <c r="B116" s="122" t="str">
        <f>IF(ISNA(VLOOKUP($F116,Declarations!B$6:C$293,2,FALSE)),"",IF(VLOOKUP($F116,Declarations!B$6:C$293,2,FALSE)="","NOT DECLARED",IF(ISNA(_xlfn.TEXTBEFORE(VLOOKUP($F116,Declarations!B$6:C$293,2,FALSE)," ")),VLOOKUP($F116,Declarations!B$6:C$293,2,FALSE),_xlfn.TEXTBEFORE(VLOOKUP($F116,Declarations!B$6:C$293,2,FALSE)," "))))</f>
        <v/>
      </c>
      <c r="C116" s="122" t="str">
        <f>IF(ISNA(VLOOKUP($F116,Declarations!B$6:C$293,2,FALSE)),"",IF(VLOOKUP($F116,Declarations!B$6:C$293,2,FALSE)="","NOT DECLARED",IF(ISNA(_xlfn.TEXTAFTER(VLOOKUP($F116,Declarations!B$6:C$293,2,FALSE)," ")),VLOOKUP($F116,Declarations!B$6:C$293,2,FALSE),_xlfn.TEXTAFTER(VLOOKUP($F116,Declarations!B$6:C$293,2,FALSE)," "))))</f>
        <v/>
      </c>
      <c r="D116" s="122" t="str">
        <f>IF(ISNA(VLOOKUP($F116,Declarations!$B$6:$F$293,5,FALSE)),"",IF(VLOOKUP($F116,Declarations!$B$6:$F$293,5,FALSE)="","NOT DECLARED",VLOOKUP($F116,Declarations!$B$6:$F$293,5,FALSE)))</f>
        <v/>
      </c>
      <c r="E116" s="120" t="str">
        <f>IF(ISNA(VLOOKUP($F116,Declarations!$B$6:$D$293,3,FALSE)),"",IF(VLOOKUP($F116,Declarations!$B$6:$D$293,3,FALSE)="","NOT DECLARED",VLOOKUP($F116,Declarations!$B$6:$D$293,3,FALSE)&amp;LEFT(VLOOKUP($F116,Declarations!$B$6:$E$293,4,FALSE))))</f>
        <v/>
      </c>
      <c r="F116" s="59"/>
      <c r="G116" s="129"/>
      <c r="H116" s="129"/>
      <c r="I116" s="122" t="str">
        <f>IF(ISNA(VLOOKUP(F116,Declarations!B$6:C$293,2,FALSE)),"",IF(VLOOKUP(F116,Declarations!B$6:C$293,2,FALSE)="","NOT DECLARED",VLOOKUP(F116,Declarations!B$6:C$293,2,FALSE)))</f>
        <v/>
      </c>
      <c r="J116" s="120">
        <f>IF(LOWER(LEFT(G116,1))="n",1,VLOOKUP(G116,ScoringTable!D$2:I$95,6))</f>
        <v>0</v>
      </c>
      <c r="K116" s="120" t="str" cm="1">
        <f t="array" ref="K116">IF(OR(E116="",G116=""),"",_xlfn.IFS(E116="U10B",_xlfn.XLOOKUP(G116,Data!$D$5:$L$5,Data!$D$1:$L$1,"",-1,1),E116="U12B",_xlfn.XLOOKUP(G116,Data!$D$12:$L$12,Data!$D$1:$L$1,"",-1,1),E116="U10G",_xlfn.XLOOKUP(G116,Data!$D$18:$L$18,Data!$D$1:$L$1,"",-1,1),E116="U12G",_xlfn.XLOOKUP(G116,Data!$D$25:$L$25,Data!$D$1:$L$1,"",-1,1)))</f>
        <v/>
      </c>
      <c r="L116" s="184" t="str" cm="1">
        <f t="array" ref="L116">IFERROR(_xlfn.IFNA(
                      _xlfn.IFS(
                      G116="", "",
                      AND(E116="U10B",G116&gt;=Data!$M$5), "U10 Boys record",
                      AND(E116="U12B",G116&gt;=Data!$M$12), "U12 Boys record",
                      AND(E116="U10G",G116&gt;=Data!$M$18), "U10 Girls record",
                      AND(E116="U12G",G116&gt;=Data!$M$25), "U12 Girls record"
                       ),""), "")</f>
        <v/>
      </c>
      <c r="M116" s="19" cm="1">
        <f t="array" ref="M116">_xlfn.IFS($G116="",0, AND(NOT(ISNUMBER($G116)),LOWER(LEFT($G116,1))&lt;&gt;"n"),"Not a valid distance",OR(LOWER(LEFT($G116,1))="n",$G116&lt;ScoringTable!$O$161),1,RIGHT($E116,1)="B",_xlfn.XLOOKUP($G116,ScoringTable!$O$2:$O$161,ScoringTable!$L$2:$L$161,,-1),TRUE,_xlfn.XLOOKUP($G116,ScoringTable!$U$2:$U$161,ScoringTable!$R$2:$R$161,,-1))</f>
        <v>0</v>
      </c>
    </row>
    <row r="117" spans="1:13" s="7" customFormat="1" ht="16" customHeight="1">
      <c r="A117" s="121" t="s">
        <v>81</v>
      </c>
      <c r="B117" s="122" t="str">
        <f>IF(ISNA(VLOOKUP($F117,Declarations!B$6:C$293,2,FALSE)),"",IF(VLOOKUP($F117,Declarations!B$6:C$293,2,FALSE)="","NOT DECLARED",IF(ISNA(_xlfn.TEXTBEFORE(VLOOKUP($F117,Declarations!B$6:C$293,2,FALSE)," ")),VLOOKUP($F117,Declarations!B$6:C$293,2,FALSE),_xlfn.TEXTBEFORE(VLOOKUP($F117,Declarations!B$6:C$293,2,FALSE)," "))))</f>
        <v/>
      </c>
      <c r="C117" s="122" t="str">
        <f>IF(ISNA(VLOOKUP($F117,Declarations!B$6:C$293,2,FALSE)),"",IF(VLOOKUP($F117,Declarations!B$6:C$293,2,FALSE)="","NOT DECLARED",IF(ISNA(_xlfn.TEXTAFTER(VLOOKUP($F117,Declarations!B$6:C$293,2,FALSE)," ")),VLOOKUP($F117,Declarations!B$6:C$293,2,FALSE),_xlfn.TEXTAFTER(VLOOKUP($F117,Declarations!B$6:C$293,2,FALSE)," "))))</f>
        <v/>
      </c>
      <c r="D117" s="122" t="str">
        <f>IF(ISNA(VLOOKUP($F117,Declarations!$B$6:$F$293,5,FALSE)),"",IF(VLOOKUP($F117,Declarations!$B$6:$F$293,5,FALSE)="","NOT DECLARED",VLOOKUP($F117,Declarations!$B$6:$F$293,5,FALSE)))</f>
        <v/>
      </c>
      <c r="E117" s="120" t="str">
        <f>IF(ISNA(VLOOKUP($F117,Declarations!$B$6:$D$293,3,FALSE)),"",IF(VLOOKUP($F117,Declarations!$B$6:$D$293,3,FALSE)="","NOT DECLARED",VLOOKUP($F117,Declarations!$B$6:$D$293,3,FALSE)&amp;LEFT(VLOOKUP($F117,Declarations!$B$6:$E$293,4,FALSE))))</f>
        <v/>
      </c>
      <c r="F117" s="59"/>
      <c r="G117" s="129"/>
      <c r="H117" s="129"/>
      <c r="I117" s="122" t="str">
        <f>IF(ISNA(VLOOKUP(F117,Declarations!B$6:C$293,2,FALSE)),"",IF(VLOOKUP(F117,Declarations!B$6:C$293,2,FALSE)="","NOT DECLARED",VLOOKUP(F117,Declarations!B$6:C$293,2,FALSE)))</f>
        <v/>
      </c>
      <c r="J117" s="120">
        <f>IF(LOWER(LEFT(G117,1))="n",1,VLOOKUP(G117,ScoringTable!D$2:I$95,6))</f>
        <v>0</v>
      </c>
      <c r="K117" s="120" t="str" cm="1">
        <f t="array" ref="K117">IF(OR(E117="",G117=""),"",_xlfn.IFS(E117="U10B",_xlfn.XLOOKUP(G117,Data!$D$5:$L$5,Data!$D$1:$L$1,"",-1,1),E117="U12B",_xlfn.XLOOKUP(G117,Data!$D$12:$L$12,Data!$D$1:$L$1,"",-1,1),E117="U10G",_xlfn.XLOOKUP(G117,Data!$D$18:$L$18,Data!$D$1:$L$1,"",-1,1),E117="U12G",_xlfn.XLOOKUP(G117,Data!$D$25:$L$25,Data!$D$1:$L$1,"",-1,1)))</f>
        <v/>
      </c>
      <c r="L117" s="184" t="str" cm="1">
        <f t="array" ref="L117">IFERROR(_xlfn.IFNA(
                      _xlfn.IFS(
                      G117="", "",
                      AND(E117="U10B",G117&gt;=Data!$M$5), "U10 Boys record",
                      AND(E117="U12B",G117&gt;=Data!$M$12), "U12 Boys record",
                      AND(E117="U10G",G117&gt;=Data!$M$18), "U10 Girls record",
                      AND(E117="U12G",G117&gt;=Data!$M$25), "U12 Girls record"
                       ),""), "")</f>
        <v/>
      </c>
      <c r="M117" s="19" cm="1">
        <f t="array" ref="M117">_xlfn.IFS($G117="",0, AND(NOT(ISNUMBER($G117)),LOWER(LEFT($G117,1))&lt;&gt;"n"),"Not a valid distance",OR(LOWER(LEFT($G117,1))="n",$G117&lt;ScoringTable!$O$161),1,RIGHT($E117,1)="B",_xlfn.XLOOKUP($G117,ScoringTable!$O$2:$O$161,ScoringTable!$L$2:$L$161,,-1),TRUE,_xlfn.XLOOKUP($G117,ScoringTable!$U$2:$U$161,ScoringTable!$R$2:$R$161,,-1))</f>
        <v>0</v>
      </c>
    </row>
    <row r="118" spans="1:13" s="7" customFormat="1" ht="16" customHeight="1">
      <c r="A118" s="121" t="s">
        <v>81</v>
      </c>
      <c r="B118" s="122" t="str">
        <f>IF(ISNA(VLOOKUP($F118,Declarations!B$6:C$293,2,FALSE)),"",IF(VLOOKUP($F118,Declarations!B$6:C$293,2,FALSE)="","NOT DECLARED",IF(ISNA(_xlfn.TEXTBEFORE(VLOOKUP($F118,Declarations!B$6:C$293,2,FALSE)," ")),VLOOKUP($F118,Declarations!B$6:C$293,2,FALSE),_xlfn.TEXTBEFORE(VLOOKUP($F118,Declarations!B$6:C$293,2,FALSE)," "))))</f>
        <v/>
      </c>
      <c r="C118" s="122" t="str">
        <f>IF(ISNA(VLOOKUP($F118,Declarations!B$6:C$293,2,FALSE)),"",IF(VLOOKUP($F118,Declarations!B$6:C$293,2,FALSE)="","NOT DECLARED",IF(ISNA(_xlfn.TEXTAFTER(VLOOKUP($F118,Declarations!B$6:C$293,2,FALSE)," ")),VLOOKUP($F118,Declarations!B$6:C$293,2,FALSE),_xlfn.TEXTAFTER(VLOOKUP($F118,Declarations!B$6:C$293,2,FALSE)," "))))</f>
        <v/>
      </c>
      <c r="D118" s="122" t="str">
        <f>IF(ISNA(VLOOKUP($F118,Declarations!$B$6:$F$293,5,FALSE)),"",IF(VLOOKUP($F118,Declarations!$B$6:$F$293,5,FALSE)="","NOT DECLARED",VLOOKUP($F118,Declarations!$B$6:$F$293,5,FALSE)))</f>
        <v/>
      </c>
      <c r="E118" s="120" t="str">
        <f>IF(ISNA(VLOOKUP($F118,Declarations!$B$6:$D$293,3,FALSE)),"",IF(VLOOKUP($F118,Declarations!$B$6:$D$293,3,FALSE)="","NOT DECLARED",VLOOKUP($F118,Declarations!$B$6:$D$293,3,FALSE)&amp;LEFT(VLOOKUP($F118,Declarations!$B$6:$E$293,4,FALSE))))</f>
        <v/>
      </c>
      <c r="F118" s="59"/>
      <c r="G118" s="129"/>
      <c r="H118" s="129"/>
      <c r="I118" s="122" t="str">
        <f>IF(ISNA(VLOOKUP(F118,Declarations!B$6:C$293,2,FALSE)),"",IF(VLOOKUP(F118,Declarations!B$6:C$293,2,FALSE)="","NOT DECLARED",VLOOKUP(F118,Declarations!B$6:C$293,2,FALSE)))</f>
        <v/>
      </c>
      <c r="J118" s="120">
        <f>IF(LOWER(LEFT(G118,1))="n",1,VLOOKUP(G118,ScoringTable!D$2:I$95,6))</f>
        <v>0</v>
      </c>
      <c r="K118" s="120" t="str" cm="1">
        <f t="array" ref="K118">IF(OR(E118="",G118=""),"",_xlfn.IFS(E118="U10B",_xlfn.XLOOKUP(G118,Data!$D$5:$L$5,Data!$D$1:$L$1,"",-1,1),E118="U12B",_xlfn.XLOOKUP(G118,Data!$D$12:$L$12,Data!$D$1:$L$1,"",-1,1),E118="U10G",_xlfn.XLOOKUP(G118,Data!$D$18:$L$18,Data!$D$1:$L$1,"",-1,1),E118="U12G",_xlfn.XLOOKUP(G118,Data!$D$25:$L$25,Data!$D$1:$L$1,"",-1,1)))</f>
        <v/>
      </c>
      <c r="L118" s="184" t="str" cm="1">
        <f t="array" ref="L118">IFERROR(_xlfn.IFNA(
                      _xlfn.IFS(
                      G118="", "",
                      AND(E118="U10B",G118&gt;=Data!$M$5), "U10 Boys record",
                      AND(E118="U12B",G118&gt;=Data!$M$12), "U12 Boys record",
                      AND(E118="U10G",G118&gt;=Data!$M$18), "U10 Girls record",
                      AND(E118="U12G",G118&gt;=Data!$M$25), "U12 Girls record"
                       ),""), "")</f>
        <v/>
      </c>
      <c r="M118" s="19" cm="1">
        <f t="array" ref="M118">_xlfn.IFS($G118="",0, AND(NOT(ISNUMBER($G118)),LOWER(LEFT($G118,1))&lt;&gt;"n"),"Not a valid distance",OR(LOWER(LEFT($G118,1))="n",$G118&lt;ScoringTable!$O$161),1,RIGHT($E118,1)="B",_xlfn.XLOOKUP($G118,ScoringTable!$O$2:$O$161,ScoringTable!$L$2:$L$161,,-1),TRUE,_xlfn.XLOOKUP($G118,ScoringTable!$U$2:$U$161,ScoringTable!$R$2:$R$161,,-1))</f>
        <v>0</v>
      </c>
    </row>
    <row r="119" spans="1:13" s="7" customFormat="1" ht="16" customHeight="1">
      <c r="A119" s="121" t="s">
        <v>81</v>
      </c>
      <c r="B119" s="122" t="str">
        <f>IF(ISNA(VLOOKUP($F119,Declarations!B$6:C$293,2,FALSE)),"",IF(VLOOKUP($F119,Declarations!B$6:C$293,2,FALSE)="","NOT DECLARED",IF(ISNA(_xlfn.TEXTBEFORE(VLOOKUP($F119,Declarations!B$6:C$293,2,FALSE)," ")),VLOOKUP($F119,Declarations!B$6:C$293,2,FALSE),_xlfn.TEXTBEFORE(VLOOKUP($F119,Declarations!B$6:C$293,2,FALSE)," "))))</f>
        <v/>
      </c>
      <c r="C119" s="122" t="str">
        <f>IF(ISNA(VLOOKUP($F119,Declarations!B$6:C$293,2,FALSE)),"",IF(VLOOKUP($F119,Declarations!B$6:C$293,2,FALSE)="","NOT DECLARED",IF(ISNA(_xlfn.TEXTAFTER(VLOOKUP($F119,Declarations!B$6:C$293,2,FALSE)," ")),VLOOKUP($F119,Declarations!B$6:C$293,2,FALSE),_xlfn.TEXTAFTER(VLOOKUP($F119,Declarations!B$6:C$293,2,FALSE)," "))))</f>
        <v/>
      </c>
      <c r="D119" s="122" t="str">
        <f>IF(ISNA(VLOOKUP($F119,Declarations!$B$6:$F$293,5,FALSE)),"",IF(VLOOKUP($F119,Declarations!$B$6:$F$293,5,FALSE)="","NOT DECLARED",VLOOKUP($F119,Declarations!$B$6:$F$293,5,FALSE)))</f>
        <v/>
      </c>
      <c r="E119" s="120" t="str">
        <f>IF(ISNA(VLOOKUP($F119,Declarations!$B$6:$D$293,3,FALSE)),"",IF(VLOOKUP($F119,Declarations!$B$6:$D$293,3,FALSE)="","NOT DECLARED",VLOOKUP($F119,Declarations!$B$6:$D$293,3,FALSE)&amp;LEFT(VLOOKUP($F119,Declarations!$B$6:$E$293,4,FALSE))))</f>
        <v/>
      </c>
      <c r="F119" s="59"/>
      <c r="G119" s="129"/>
      <c r="H119" s="129"/>
      <c r="I119" s="122" t="str">
        <f>IF(ISNA(VLOOKUP(F119,Declarations!B$6:C$293,2,FALSE)),"",IF(VLOOKUP(F119,Declarations!B$6:C$293,2,FALSE)="","NOT DECLARED",VLOOKUP(F119,Declarations!B$6:C$293,2,FALSE)))</f>
        <v/>
      </c>
      <c r="J119" s="120">
        <f>IF(LOWER(LEFT(G119,1))="n",1,VLOOKUP(G119,ScoringTable!D$2:I$95,6))</f>
        <v>0</v>
      </c>
      <c r="K119" s="120" t="str" cm="1">
        <f t="array" ref="K119">IF(OR(E119="",G119=""),"",_xlfn.IFS(E119="U10B",_xlfn.XLOOKUP(G119,Data!$D$5:$L$5,Data!$D$1:$L$1,"",-1,1),E119="U12B",_xlfn.XLOOKUP(G119,Data!$D$12:$L$12,Data!$D$1:$L$1,"",-1,1),E119="U10G",_xlfn.XLOOKUP(G119,Data!$D$18:$L$18,Data!$D$1:$L$1,"",-1,1),E119="U12G",_xlfn.XLOOKUP(G119,Data!$D$25:$L$25,Data!$D$1:$L$1,"",-1,1)))</f>
        <v/>
      </c>
      <c r="L119" s="184" t="str" cm="1">
        <f t="array" ref="L119">IFERROR(_xlfn.IFNA(
                      _xlfn.IFS(
                      G119="", "",
                      AND(E119="U10B",G119&gt;=Data!$M$5), "U10 Boys record",
                      AND(E119="U12B",G119&gt;=Data!$M$12), "U12 Boys record",
                      AND(E119="U10G",G119&gt;=Data!$M$18), "U10 Girls record",
                      AND(E119="U12G",G119&gt;=Data!$M$25), "U12 Girls record"
                       ),""), "")</f>
        <v/>
      </c>
      <c r="M119" s="19" cm="1">
        <f t="array" ref="M119">_xlfn.IFS($G119="",0, AND(NOT(ISNUMBER($G119)),LOWER(LEFT($G119,1))&lt;&gt;"n"),"Not a valid distance",OR(LOWER(LEFT($G119,1))="n",$G119&lt;ScoringTable!$O$161),1,RIGHT($E119,1)="B",_xlfn.XLOOKUP($G119,ScoringTable!$O$2:$O$161,ScoringTable!$L$2:$L$161,,-1),TRUE,_xlfn.XLOOKUP($G119,ScoringTable!$U$2:$U$161,ScoringTable!$R$2:$R$161,,-1))</f>
        <v>0</v>
      </c>
    </row>
    <row r="120" spans="1:13" s="7" customFormat="1" ht="16" customHeight="1">
      <c r="A120" s="121" t="s">
        <v>81</v>
      </c>
      <c r="B120" s="122" t="str">
        <f>IF(ISNA(VLOOKUP($F120,Declarations!B$6:C$293,2,FALSE)),"",IF(VLOOKUP($F120,Declarations!B$6:C$293,2,FALSE)="","NOT DECLARED",IF(ISNA(_xlfn.TEXTBEFORE(VLOOKUP($F120,Declarations!B$6:C$293,2,FALSE)," ")),VLOOKUP($F120,Declarations!B$6:C$293,2,FALSE),_xlfn.TEXTBEFORE(VLOOKUP($F120,Declarations!B$6:C$293,2,FALSE)," "))))</f>
        <v/>
      </c>
      <c r="C120" s="122" t="str">
        <f>IF(ISNA(VLOOKUP($F120,Declarations!B$6:C$293,2,FALSE)),"",IF(VLOOKUP($F120,Declarations!B$6:C$293,2,FALSE)="","NOT DECLARED",IF(ISNA(_xlfn.TEXTAFTER(VLOOKUP($F120,Declarations!B$6:C$293,2,FALSE)," ")),VLOOKUP($F120,Declarations!B$6:C$293,2,FALSE),_xlfn.TEXTAFTER(VLOOKUP($F120,Declarations!B$6:C$293,2,FALSE)," "))))</f>
        <v/>
      </c>
      <c r="D120" s="122" t="str">
        <f>IF(ISNA(VLOOKUP($F120,Declarations!$B$6:$F$293,5,FALSE)),"",IF(VLOOKUP($F120,Declarations!$B$6:$F$293,5,FALSE)="","NOT DECLARED",VLOOKUP($F120,Declarations!$B$6:$F$293,5,FALSE)))</f>
        <v/>
      </c>
      <c r="E120" s="120" t="str">
        <f>IF(ISNA(VLOOKUP($F120,Declarations!$B$6:$D$293,3,FALSE)),"",IF(VLOOKUP($F120,Declarations!$B$6:$D$293,3,FALSE)="","NOT DECLARED",VLOOKUP($F120,Declarations!$B$6:$D$293,3,FALSE)&amp;LEFT(VLOOKUP($F120,Declarations!$B$6:$E$293,4,FALSE))))</f>
        <v/>
      </c>
      <c r="F120" s="59"/>
      <c r="G120" s="129"/>
      <c r="H120" s="129"/>
      <c r="I120" s="122" t="str">
        <f>IF(ISNA(VLOOKUP(F120,Declarations!B$6:C$293,2,FALSE)),"",IF(VLOOKUP(F120,Declarations!B$6:C$293,2,FALSE)="","NOT DECLARED",VLOOKUP(F120,Declarations!B$6:C$293,2,FALSE)))</f>
        <v/>
      </c>
      <c r="J120" s="120">
        <f>IF(LOWER(LEFT(G120,1))="n",1,VLOOKUP(G120,ScoringTable!D$2:I$95,6))</f>
        <v>0</v>
      </c>
      <c r="K120" s="120" t="str" cm="1">
        <f t="array" ref="K120">IF(OR(E120="",G120=""),"",_xlfn.IFS(E120="U10B",_xlfn.XLOOKUP(G120,Data!$D$5:$L$5,Data!$D$1:$L$1,"",-1,1),E120="U12B",_xlfn.XLOOKUP(G120,Data!$D$12:$L$12,Data!$D$1:$L$1,"",-1,1),E120="U10G",_xlfn.XLOOKUP(G120,Data!$D$18:$L$18,Data!$D$1:$L$1,"",-1,1),E120="U12G",_xlfn.XLOOKUP(G120,Data!$D$25:$L$25,Data!$D$1:$L$1,"",-1,1)))</f>
        <v/>
      </c>
      <c r="L120" s="184" t="str" cm="1">
        <f t="array" ref="L120">IFERROR(_xlfn.IFNA(
                      _xlfn.IFS(
                      G120="", "",
                      AND(E120="U10B",G120&gt;=Data!$M$5), "U10 Boys record",
                      AND(E120="U12B",G120&gt;=Data!$M$12), "U12 Boys record",
                      AND(E120="U10G",G120&gt;=Data!$M$18), "U10 Girls record",
                      AND(E120="U12G",G120&gt;=Data!$M$25), "U12 Girls record"
                       ),""), "")</f>
        <v/>
      </c>
      <c r="M120" s="19" cm="1">
        <f t="array" ref="M120">_xlfn.IFS($G120="",0, AND(NOT(ISNUMBER($G120)),LOWER(LEFT($G120,1))&lt;&gt;"n"),"Not a valid distance",OR(LOWER(LEFT($G120,1))="n",$G120&lt;ScoringTable!$O$161),1,RIGHT($E120,1)="B",_xlfn.XLOOKUP($G120,ScoringTable!$O$2:$O$161,ScoringTable!$L$2:$L$161,,-1),TRUE,_xlfn.XLOOKUP($G120,ScoringTable!$U$2:$U$161,ScoringTable!$R$2:$R$161,,-1))</f>
        <v>0</v>
      </c>
    </row>
    <row r="121" spans="1:13" s="7" customFormat="1" ht="16" customHeight="1">
      <c r="A121" s="121" t="s">
        <v>81</v>
      </c>
      <c r="B121" s="122" t="str">
        <f>IF(ISNA(VLOOKUP($F121,Declarations!B$6:C$293,2,FALSE)),"",IF(VLOOKUP($F121,Declarations!B$6:C$293,2,FALSE)="","NOT DECLARED",IF(ISNA(_xlfn.TEXTBEFORE(VLOOKUP($F121,Declarations!B$6:C$293,2,FALSE)," ")),VLOOKUP($F121,Declarations!B$6:C$293,2,FALSE),_xlfn.TEXTBEFORE(VLOOKUP($F121,Declarations!B$6:C$293,2,FALSE)," "))))</f>
        <v/>
      </c>
      <c r="C121" s="122" t="str">
        <f>IF(ISNA(VLOOKUP($F121,Declarations!B$6:C$293,2,FALSE)),"",IF(VLOOKUP($F121,Declarations!B$6:C$293,2,FALSE)="","NOT DECLARED",IF(ISNA(_xlfn.TEXTAFTER(VLOOKUP($F121,Declarations!B$6:C$293,2,FALSE)," ")),VLOOKUP($F121,Declarations!B$6:C$293,2,FALSE),_xlfn.TEXTAFTER(VLOOKUP($F121,Declarations!B$6:C$293,2,FALSE)," "))))</f>
        <v/>
      </c>
      <c r="D121" s="122" t="str">
        <f>IF(ISNA(VLOOKUP($F121,Declarations!$B$6:$F$293,5,FALSE)),"",IF(VLOOKUP($F121,Declarations!$B$6:$F$293,5,FALSE)="","NOT DECLARED",VLOOKUP($F121,Declarations!$B$6:$F$293,5,FALSE)))</f>
        <v/>
      </c>
      <c r="E121" s="120" t="str">
        <f>IF(ISNA(VLOOKUP($F121,Declarations!$B$6:$D$293,3,FALSE)),"",IF(VLOOKUP($F121,Declarations!$B$6:$D$293,3,FALSE)="","NOT DECLARED",VLOOKUP($F121,Declarations!$B$6:$D$293,3,FALSE)&amp;LEFT(VLOOKUP($F121,Declarations!$B$6:$E$293,4,FALSE))))</f>
        <v/>
      </c>
      <c r="F121" s="59"/>
      <c r="G121" s="129"/>
      <c r="H121" s="129"/>
      <c r="I121" s="122" t="str">
        <f>IF(ISNA(VLOOKUP(F121,Declarations!B$6:C$293,2,FALSE)),"",IF(VLOOKUP(F121,Declarations!B$6:C$293,2,FALSE)="","NOT DECLARED",VLOOKUP(F121,Declarations!B$6:C$293,2,FALSE)))</f>
        <v/>
      </c>
      <c r="J121" s="120">
        <f>IF(LOWER(LEFT(G121,1))="n",1,VLOOKUP(G121,ScoringTable!D$2:I$95,6))</f>
        <v>0</v>
      </c>
      <c r="K121" s="120" t="str" cm="1">
        <f t="array" ref="K121">IF(OR(E121="",G121=""),"",_xlfn.IFS(E121="U10B",_xlfn.XLOOKUP(G121,Data!$D$5:$L$5,Data!$D$1:$L$1,"",-1,1),E121="U12B",_xlfn.XLOOKUP(G121,Data!$D$12:$L$12,Data!$D$1:$L$1,"",-1,1),E121="U10G",_xlfn.XLOOKUP(G121,Data!$D$18:$L$18,Data!$D$1:$L$1,"",-1,1),E121="U12G",_xlfn.XLOOKUP(G121,Data!$D$25:$L$25,Data!$D$1:$L$1,"",-1,1)))</f>
        <v/>
      </c>
      <c r="L121" s="184" t="str" cm="1">
        <f t="array" ref="L121">IFERROR(_xlfn.IFNA(
                      _xlfn.IFS(
                      G121="", "",
                      AND(E121="U10B",G121&gt;=Data!$M$5), "U10 Boys record",
                      AND(E121="U12B",G121&gt;=Data!$M$12), "U12 Boys record",
                      AND(E121="U10G",G121&gt;=Data!$M$18), "U10 Girls record",
                      AND(E121="U12G",G121&gt;=Data!$M$25), "U12 Girls record"
                       ),""), "")</f>
        <v/>
      </c>
      <c r="M121" s="19" cm="1">
        <f t="array" ref="M121">_xlfn.IFS($G121="",0, AND(NOT(ISNUMBER($G121)),LOWER(LEFT($G121,1))&lt;&gt;"n"),"Not a valid distance",OR(LOWER(LEFT($G121,1))="n",$G121&lt;ScoringTable!$O$161),1,RIGHT($E121,1)="B",_xlfn.XLOOKUP($G121,ScoringTable!$O$2:$O$161,ScoringTable!$L$2:$L$161,,-1),TRUE,_xlfn.XLOOKUP($G121,ScoringTable!$U$2:$U$161,ScoringTable!$R$2:$R$161,,-1))</f>
        <v>0</v>
      </c>
    </row>
    <row r="122" spans="1:13" s="7" customFormat="1" ht="16" customHeight="1">
      <c r="A122" s="121" t="s">
        <v>81</v>
      </c>
      <c r="B122" s="122" t="str">
        <f>IF(ISNA(VLOOKUP($F122,Declarations!B$6:C$293,2,FALSE)),"",IF(VLOOKUP($F122,Declarations!B$6:C$293,2,FALSE)="","NOT DECLARED",IF(ISNA(_xlfn.TEXTBEFORE(VLOOKUP($F122,Declarations!B$6:C$293,2,FALSE)," ")),VLOOKUP($F122,Declarations!B$6:C$293,2,FALSE),_xlfn.TEXTBEFORE(VLOOKUP($F122,Declarations!B$6:C$293,2,FALSE)," "))))</f>
        <v/>
      </c>
      <c r="C122" s="122" t="str">
        <f>IF(ISNA(VLOOKUP($F122,Declarations!B$6:C$293,2,FALSE)),"",IF(VLOOKUP($F122,Declarations!B$6:C$293,2,FALSE)="","NOT DECLARED",IF(ISNA(_xlfn.TEXTAFTER(VLOOKUP($F122,Declarations!B$6:C$293,2,FALSE)," ")),VLOOKUP($F122,Declarations!B$6:C$293,2,FALSE),_xlfn.TEXTAFTER(VLOOKUP($F122,Declarations!B$6:C$293,2,FALSE)," "))))</f>
        <v/>
      </c>
      <c r="D122" s="122" t="str">
        <f>IF(ISNA(VLOOKUP($F122,Declarations!$B$6:$F$293,5,FALSE)),"",IF(VLOOKUP($F122,Declarations!$B$6:$F$293,5,FALSE)="","NOT DECLARED",VLOOKUP($F122,Declarations!$B$6:$F$293,5,FALSE)))</f>
        <v/>
      </c>
      <c r="E122" s="120" t="str">
        <f>IF(ISNA(VLOOKUP($F122,Declarations!$B$6:$D$293,3,FALSE)),"",IF(VLOOKUP($F122,Declarations!$B$6:$D$293,3,FALSE)="","NOT DECLARED",VLOOKUP($F122,Declarations!$B$6:$D$293,3,FALSE)&amp;LEFT(VLOOKUP($F122,Declarations!$B$6:$E$293,4,FALSE))))</f>
        <v/>
      </c>
      <c r="F122" s="59"/>
      <c r="G122" s="129"/>
      <c r="H122" s="129"/>
      <c r="I122" s="122" t="str">
        <f>IF(ISNA(VLOOKUP(F122,Declarations!B$6:C$293,2,FALSE)),"",IF(VLOOKUP(F122,Declarations!B$6:C$293,2,FALSE)="","NOT DECLARED",VLOOKUP(F122,Declarations!B$6:C$293,2,FALSE)))</f>
        <v/>
      </c>
      <c r="J122" s="120">
        <f>IF(LOWER(LEFT(G122,1))="n",1,VLOOKUP(G122,ScoringTable!D$2:I$95,6))</f>
        <v>0</v>
      </c>
      <c r="K122" s="120" t="str" cm="1">
        <f t="array" ref="K122">IF(OR(E122="",G122=""),"",_xlfn.IFS(E122="U10B",_xlfn.XLOOKUP(G122,Data!$D$5:$L$5,Data!$D$1:$L$1,"",-1,1),E122="U12B",_xlfn.XLOOKUP(G122,Data!$D$12:$L$12,Data!$D$1:$L$1,"",-1,1),E122="U10G",_xlfn.XLOOKUP(G122,Data!$D$18:$L$18,Data!$D$1:$L$1,"",-1,1),E122="U12G",_xlfn.XLOOKUP(G122,Data!$D$25:$L$25,Data!$D$1:$L$1,"",-1,1)))</f>
        <v/>
      </c>
      <c r="L122" s="184" t="str" cm="1">
        <f t="array" ref="L122">IFERROR(_xlfn.IFNA(
                      _xlfn.IFS(
                      G122="", "",
                      AND(E122="U10B",G122&gt;=Data!$M$5), "U10 Boys record",
                      AND(E122="U12B",G122&gt;=Data!$M$12), "U12 Boys record",
                      AND(E122="U10G",G122&gt;=Data!$M$18), "U10 Girls record",
                      AND(E122="U12G",G122&gt;=Data!$M$25), "U12 Girls record"
                       ),""), "")</f>
        <v/>
      </c>
      <c r="M122" s="19" cm="1">
        <f t="array" ref="M122">_xlfn.IFS($G122="",0, AND(NOT(ISNUMBER($G122)),LOWER(LEFT($G122,1))&lt;&gt;"n"),"Not a valid distance",OR(LOWER(LEFT($G122,1))="n",$G122&lt;ScoringTable!$O$161),1,RIGHT($E122,1)="B",_xlfn.XLOOKUP($G122,ScoringTable!$O$2:$O$161,ScoringTable!$L$2:$L$161,,-1),TRUE,_xlfn.XLOOKUP($G122,ScoringTable!$U$2:$U$161,ScoringTable!$R$2:$R$161,,-1))</f>
        <v>0</v>
      </c>
    </row>
    <row r="123" spans="1:13" s="7" customFormat="1" ht="16" customHeight="1">
      <c r="A123" s="121" t="s">
        <v>81</v>
      </c>
      <c r="B123" s="122" t="str">
        <f>IF(ISNA(VLOOKUP($F123,Declarations!B$6:C$293,2,FALSE)),"",IF(VLOOKUP($F123,Declarations!B$6:C$293,2,FALSE)="","NOT DECLARED",IF(ISNA(_xlfn.TEXTBEFORE(VLOOKUP($F123,Declarations!B$6:C$293,2,FALSE)," ")),VLOOKUP($F123,Declarations!B$6:C$293,2,FALSE),_xlfn.TEXTBEFORE(VLOOKUP($F123,Declarations!B$6:C$293,2,FALSE)," "))))</f>
        <v/>
      </c>
      <c r="C123" s="122" t="str">
        <f>IF(ISNA(VLOOKUP($F123,Declarations!B$6:C$293,2,FALSE)),"",IF(VLOOKUP($F123,Declarations!B$6:C$293,2,FALSE)="","NOT DECLARED",IF(ISNA(_xlfn.TEXTAFTER(VLOOKUP($F123,Declarations!B$6:C$293,2,FALSE)," ")),VLOOKUP($F123,Declarations!B$6:C$293,2,FALSE),_xlfn.TEXTAFTER(VLOOKUP($F123,Declarations!B$6:C$293,2,FALSE)," "))))</f>
        <v/>
      </c>
      <c r="D123" s="122" t="str">
        <f>IF(ISNA(VLOOKUP($F123,Declarations!$B$6:$F$293,5,FALSE)),"",IF(VLOOKUP($F123,Declarations!$B$6:$F$293,5,FALSE)="","NOT DECLARED",VLOOKUP($F123,Declarations!$B$6:$F$293,5,FALSE)))</f>
        <v/>
      </c>
      <c r="E123" s="120" t="str">
        <f>IF(ISNA(VLOOKUP($F123,Declarations!$B$6:$D$293,3,FALSE)),"",IF(VLOOKUP($F123,Declarations!$B$6:$D$293,3,FALSE)="","NOT DECLARED",VLOOKUP($F123,Declarations!$B$6:$D$293,3,FALSE)&amp;LEFT(VLOOKUP($F123,Declarations!$B$6:$E$293,4,FALSE))))</f>
        <v/>
      </c>
      <c r="F123" s="59"/>
      <c r="G123" s="129"/>
      <c r="H123" s="129"/>
      <c r="I123" s="122" t="str">
        <f>IF(ISNA(VLOOKUP(F123,Declarations!B$6:C$293,2,FALSE)),"",IF(VLOOKUP(F123,Declarations!B$6:C$293,2,FALSE)="","NOT DECLARED",VLOOKUP(F123,Declarations!B$6:C$293,2,FALSE)))</f>
        <v/>
      </c>
      <c r="J123" s="120">
        <f>IF(LOWER(LEFT(G123,1))="n",1,VLOOKUP(G123,ScoringTable!D$2:I$95,6))</f>
        <v>0</v>
      </c>
      <c r="K123" s="120" t="str" cm="1">
        <f t="array" ref="K123">IF(OR(E123="",G123=""),"",_xlfn.IFS(E123="U10B",_xlfn.XLOOKUP(G123,Data!$D$5:$L$5,Data!$D$1:$L$1,"",-1,1),E123="U12B",_xlfn.XLOOKUP(G123,Data!$D$12:$L$12,Data!$D$1:$L$1,"",-1,1),E123="U10G",_xlfn.XLOOKUP(G123,Data!$D$18:$L$18,Data!$D$1:$L$1,"",-1,1),E123="U12G",_xlfn.XLOOKUP(G123,Data!$D$25:$L$25,Data!$D$1:$L$1,"",-1,1)))</f>
        <v/>
      </c>
      <c r="L123" s="184" t="str" cm="1">
        <f t="array" ref="L123">IFERROR(_xlfn.IFNA(
                      _xlfn.IFS(
                      G123="", "",
                      AND(E123="U10B",G123&gt;=Data!$M$5), "U10 Boys record",
                      AND(E123="U12B",G123&gt;=Data!$M$12), "U12 Boys record",
                      AND(E123="U10G",G123&gt;=Data!$M$18), "U10 Girls record",
                      AND(E123="U12G",G123&gt;=Data!$M$25), "U12 Girls record"
                       ),""), "")</f>
        <v/>
      </c>
      <c r="M123" s="19" cm="1">
        <f t="array" ref="M123">_xlfn.IFS($G123="",0, AND(NOT(ISNUMBER($G123)),LOWER(LEFT($G123,1))&lt;&gt;"n"),"Not a valid distance",OR(LOWER(LEFT($G123,1))="n",$G123&lt;ScoringTable!$O$161),1,RIGHT($E123,1)="B",_xlfn.XLOOKUP($G123,ScoringTable!$O$2:$O$161,ScoringTable!$L$2:$L$161,,-1),TRUE,_xlfn.XLOOKUP($G123,ScoringTable!$U$2:$U$161,ScoringTable!$R$2:$R$161,,-1))</f>
        <v>0</v>
      </c>
    </row>
    <row r="124" spans="1:13" s="7" customFormat="1" ht="16" customHeight="1">
      <c r="A124" s="121" t="s">
        <v>81</v>
      </c>
      <c r="B124" s="122" t="str">
        <f>IF(ISNA(VLOOKUP($F124,Declarations!B$6:C$293,2,FALSE)),"",IF(VLOOKUP($F124,Declarations!B$6:C$293,2,FALSE)="","NOT DECLARED",IF(ISNA(_xlfn.TEXTBEFORE(VLOOKUP($F124,Declarations!B$6:C$293,2,FALSE)," ")),VLOOKUP($F124,Declarations!B$6:C$293,2,FALSE),_xlfn.TEXTBEFORE(VLOOKUP($F124,Declarations!B$6:C$293,2,FALSE)," "))))</f>
        <v/>
      </c>
      <c r="C124" s="122" t="str">
        <f>IF(ISNA(VLOOKUP($F124,Declarations!B$6:C$293,2,FALSE)),"",IF(VLOOKUP($F124,Declarations!B$6:C$293,2,FALSE)="","NOT DECLARED",IF(ISNA(_xlfn.TEXTAFTER(VLOOKUP($F124,Declarations!B$6:C$293,2,FALSE)," ")),VLOOKUP($F124,Declarations!B$6:C$293,2,FALSE),_xlfn.TEXTAFTER(VLOOKUP($F124,Declarations!B$6:C$293,2,FALSE)," "))))</f>
        <v/>
      </c>
      <c r="D124" s="122" t="str">
        <f>IF(ISNA(VLOOKUP($F124,Declarations!$B$6:$F$293,5,FALSE)),"",IF(VLOOKUP($F124,Declarations!$B$6:$F$293,5,FALSE)="","NOT DECLARED",VLOOKUP($F124,Declarations!$B$6:$F$293,5,FALSE)))</f>
        <v/>
      </c>
      <c r="E124" s="120" t="str">
        <f>IF(ISNA(VLOOKUP($F124,Declarations!$B$6:$D$293,3,FALSE)),"",IF(VLOOKUP($F124,Declarations!$B$6:$D$293,3,FALSE)="","NOT DECLARED",VLOOKUP($F124,Declarations!$B$6:$D$293,3,FALSE)&amp;LEFT(VLOOKUP($F124,Declarations!$B$6:$E$293,4,FALSE))))</f>
        <v/>
      </c>
      <c r="F124" s="59"/>
      <c r="G124" s="129"/>
      <c r="H124" s="129"/>
      <c r="I124" s="122" t="str">
        <f>IF(ISNA(VLOOKUP(F124,Declarations!B$6:C$293,2,FALSE)),"",IF(VLOOKUP(F124,Declarations!B$6:C$293,2,FALSE)="","NOT DECLARED",VLOOKUP(F124,Declarations!B$6:C$293,2,FALSE)))</f>
        <v/>
      </c>
      <c r="J124" s="120">
        <f>IF(LOWER(LEFT(G124,1))="n",1,VLOOKUP(G124,ScoringTable!D$2:I$95,6))</f>
        <v>0</v>
      </c>
      <c r="K124" s="120" t="str" cm="1">
        <f t="array" ref="K124">IF(OR(E124="",G124=""),"",_xlfn.IFS(E124="U10B",_xlfn.XLOOKUP(G124,Data!$D$5:$L$5,Data!$D$1:$L$1,"",-1,1),E124="U12B",_xlfn.XLOOKUP(G124,Data!$D$12:$L$12,Data!$D$1:$L$1,"",-1,1),E124="U10G",_xlfn.XLOOKUP(G124,Data!$D$18:$L$18,Data!$D$1:$L$1,"",-1,1),E124="U12G",_xlfn.XLOOKUP(G124,Data!$D$25:$L$25,Data!$D$1:$L$1,"",-1,1)))</f>
        <v/>
      </c>
      <c r="L124" s="184" t="str" cm="1">
        <f t="array" ref="L124">IFERROR(_xlfn.IFNA(
                      _xlfn.IFS(
                      G124="", "",
                      AND(E124="U10B",G124&gt;=Data!$M$5), "U10 Boys record",
                      AND(E124="U12B",G124&gt;=Data!$M$12), "U12 Boys record",
                      AND(E124="U10G",G124&gt;=Data!$M$18), "U10 Girls record",
                      AND(E124="U12G",G124&gt;=Data!$M$25), "U12 Girls record"
                       ),""), "")</f>
        <v/>
      </c>
      <c r="M124" s="19" cm="1">
        <f t="array" ref="M124">_xlfn.IFS($G124="",0, AND(NOT(ISNUMBER($G124)),LOWER(LEFT($G124,1))&lt;&gt;"n"),"Not a valid distance",OR(LOWER(LEFT($G124,1))="n",$G124&lt;ScoringTable!$O$161),1,RIGHT($E124,1)="B",_xlfn.XLOOKUP($G124,ScoringTable!$O$2:$O$161,ScoringTable!$L$2:$L$161,,-1),TRUE,_xlfn.XLOOKUP($G124,ScoringTable!$U$2:$U$161,ScoringTable!$R$2:$R$161,,-1))</f>
        <v>0</v>
      </c>
    </row>
    <row r="125" spans="1:13" s="7" customFormat="1" ht="16" customHeight="1">
      <c r="A125" s="121" t="s">
        <v>81</v>
      </c>
      <c r="B125" s="122" t="str">
        <f>IF(ISNA(VLOOKUP($F125,Declarations!B$6:C$293,2,FALSE)),"",IF(VLOOKUP($F125,Declarations!B$6:C$293,2,FALSE)="","NOT DECLARED",IF(ISNA(_xlfn.TEXTBEFORE(VLOOKUP($F125,Declarations!B$6:C$293,2,FALSE)," ")),VLOOKUP($F125,Declarations!B$6:C$293,2,FALSE),_xlfn.TEXTBEFORE(VLOOKUP($F125,Declarations!B$6:C$293,2,FALSE)," "))))</f>
        <v/>
      </c>
      <c r="C125" s="122" t="str">
        <f>IF(ISNA(VLOOKUP($F125,Declarations!B$6:C$293,2,FALSE)),"",IF(VLOOKUP($F125,Declarations!B$6:C$293,2,FALSE)="","NOT DECLARED",IF(ISNA(_xlfn.TEXTAFTER(VLOOKUP($F125,Declarations!B$6:C$293,2,FALSE)," ")),VLOOKUP($F125,Declarations!B$6:C$293,2,FALSE),_xlfn.TEXTAFTER(VLOOKUP($F125,Declarations!B$6:C$293,2,FALSE)," "))))</f>
        <v/>
      </c>
      <c r="D125" s="122" t="str">
        <f>IF(ISNA(VLOOKUP($F125,Declarations!$B$6:$F$293,5,FALSE)),"",IF(VLOOKUP($F125,Declarations!$B$6:$F$293,5,FALSE)="","NOT DECLARED",VLOOKUP($F125,Declarations!$B$6:$F$293,5,FALSE)))</f>
        <v/>
      </c>
      <c r="E125" s="120" t="str">
        <f>IF(ISNA(VLOOKUP($F125,Declarations!$B$6:$D$293,3,FALSE)),"",IF(VLOOKUP($F125,Declarations!$B$6:$D$293,3,FALSE)="","NOT DECLARED",VLOOKUP($F125,Declarations!$B$6:$D$293,3,FALSE)&amp;LEFT(VLOOKUP($F125,Declarations!$B$6:$E$293,4,FALSE))))</f>
        <v/>
      </c>
      <c r="F125" s="59"/>
      <c r="G125" s="129"/>
      <c r="H125" s="129"/>
      <c r="I125" s="122" t="str">
        <f>IF(ISNA(VLOOKUP(F125,Declarations!B$6:C$293,2,FALSE)),"",IF(VLOOKUP(F125,Declarations!B$6:C$293,2,FALSE)="","NOT DECLARED",VLOOKUP(F125,Declarations!B$6:C$293,2,FALSE)))</f>
        <v/>
      </c>
      <c r="J125" s="120">
        <f>IF(LOWER(LEFT(G125,1))="n",1,VLOOKUP(G125,ScoringTable!D$2:I$95,6))</f>
        <v>0</v>
      </c>
      <c r="K125" s="120" t="str" cm="1">
        <f t="array" ref="K125">IF(OR(E125="",G125=""),"",_xlfn.IFS(E125="U10B",_xlfn.XLOOKUP(G125,Data!$D$5:$L$5,Data!$D$1:$L$1,"",-1,1),E125="U12B",_xlfn.XLOOKUP(G125,Data!$D$12:$L$12,Data!$D$1:$L$1,"",-1,1),E125="U10G",_xlfn.XLOOKUP(G125,Data!$D$18:$L$18,Data!$D$1:$L$1,"",-1,1),E125="U12G",_xlfn.XLOOKUP(G125,Data!$D$25:$L$25,Data!$D$1:$L$1,"",-1,1)))</f>
        <v/>
      </c>
      <c r="L125" s="184" t="str" cm="1">
        <f t="array" ref="L125">IFERROR(_xlfn.IFNA(
                      _xlfn.IFS(
                      G125="", "",
                      AND(E125="U10B",G125&gt;=Data!$M$5), "U10 Boys record",
                      AND(E125="U12B",G125&gt;=Data!$M$12), "U12 Boys record",
                      AND(E125="U10G",G125&gt;=Data!$M$18), "U10 Girls record",
                      AND(E125="U12G",G125&gt;=Data!$M$25), "U12 Girls record"
                       ),""), "")</f>
        <v/>
      </c>
      <c r="M125" s="19" cm="1">
        <f t="array" ref="M125">_xlfn.IFS($G125="",0, AND(NOT(ISNUMBER($G125)),LOWER(LEFT($G125,1))&lt;&gt;"n"),"Not a valid distance",OR(LOWER(LEFT($G125,1))="n",$G125&lt;ScoringTable!$O$161),1,RIGHT($E125,1)="B",_xlfn.XLOOKUP($G125,ScoringTable!$O$2:$O$161,ScoringTable!$L$2:$L$161,,-1),TRUE,_xlfn.XLOOKUP($G125,ScoringTable!$U$2:$U$161,ScoringTable!$R$2:$R$161,,-1))</f>
        <v>0</v>
      </c>
    </row>
    <row r="126" spans="1:13" s="7" customFormat="1" ht="16" customHeight="1">
      <c r="A126" s="121" t="s">
        <v>81</v>
      </c>
      <c r="B126" s="122" t="str">
        <f>IF(ISNA(VLOOKUP($F126,Declarations!B$6:C$293,2,FALSE)),"",IF(VLOOKUP($F126,Declarations!B$6:C$293,2,FALSE)="","NOT DECLARED",IF(ISNA(_xlfn.TEXTBEFORE(VLOOKUP($F126,Declarations!B$6:C$293,2,FALSE)," ")),VLOOKUP($F126,Declarations!B$6:C$293,2,FALSE),_xlfn.TEXTBEFORE(VLOOKUP($F126,Declarations!B$6:C$293,2,FALSE)," "))))</f>
        <v/>
      </c>
      <c r="C126" s="122" t="str">
        <f>IF(ISNA(VLOOKUP($F126,Declarations!B$6:C$293,2,FALSE)),"",IF(VLOOKUP($F126,Declarations!B$6:C$293,2,FALSE)="","NOT DECLARED",IF(ISNA(_xlfn.TEXTAFTER(VLOOKUP($F126,Declarations!B$6:C$293,2,FALSE)," ")),VLOOKUP($F126,Declarations!B$6:C$293,2,FALSE),_xlfn.TEXTAFTER(VLOOKUP($F126,Declarations!B$6:C$293,2,FALSE)," "))))</f>
        <v/>
      </c>
      <c r="D126" s="122" t="str">
        <f>IF(ISNA(VLOOKUP($F126,Declarations!$B$6:$F$293,5,FALSE)),"",IF(VLOOKUP($F126,Declarations!$B$6:$F$293,5,FALSE)="","NOT DECLARED",VLOOKUP($F126,Declarations!$B$6:$F$293,5,FALSE)))</f>
        <v/>
      </c>
      <c r="E126" s="120" t="str">
        <f>IF(ISNA(VLOOKUP($F126,Declarations!$B$6:$D$293,3,FALSE)),"",IF(VLOOKUP($F126,Declarations!$B$6:$D$293,3,FALSE)="","NOT DECLARED",VLOOKUP($F126,Declarations!$B$6:$D$293,3,FALSE)&amp;LEFT(VLOOKUP($F126,Declarations!$B$6:$E$293,4,FALSE))))</f>
        <v/>
      </c>
      <c r="F126" s="59"/>
      <c r="G126" s="129"/>
      <c r="H126" s="129"/>
      <c r="I126" s="122" t="str">
        <f>IF(ISNA(VLOOKUP(F126,Declarations!B$6:C$293,2,FALSE)),"",IF(VLOOKUP(F126,Declarations!B$6:C$293,2,FALSE)="","NOT DECLARED",VLOOKUP(F126,Declarations!B$6:C$293,2,FALSE)))</f>
        <v/>
      </c>
      <c r="J126" s="120">
        <f>IF(LOWER(LEFT(G126,1))="n",1,VLOOKUP(G126,ScoringTable!D$2:I$95,6))</f>
        <v>0</v>
      </c>
      <c r="K126" s="120" t="str" cm="1">
        <f t="array" ref="K126">IF(OR(E126="",G126=""),"",_xlfn.IFS(E126="U10B",_xlfn.XLOOKUP(G126,Data!$D$5:$L$5,Data!$D$1:$L$1,"",-1,1),E126="U12B",_xlfn.XLOOKUP(G126,Data!$D$12:$L$12,Data!$D$1:$L$1,"",-1,1),E126="U10G",_xlfn.XLOOKUP(G126,Data!$D$18:$L$18,Data!$D$1:$L$1,"",-1,1),E126="U12G",_xlfn.XLOOKUP(G126,Data!$D$25:$L$25,Data!$D$1:$L$1,"",-1,1)))</f>
        <v/>
      </c>
      <c r="L126" s="184" t="str" cm="1">
        <f t="array" ref="L126">IFERROR(_xlfn.IFNA(
                      _xlfn.IFS(
                      G126="", "",
                      AND(E126="U10B",G126&gt;=Data!$M$5), "U10 Boys record",
                      AND(E126="U12B",G126&gt;=Data!$M$12), "U12 Boys record",
                      AND(E126="U10G",G126&gt;=Data!$M$18), "U10 Girls record",
                      AND(E126="U12G",G126&gt;=Data!$M$25), "U12 Girls record"
                       ),""), "")</f>
        <v/>
      </c>
      <c r="M126" s="19" cm="1">
        <f t="array" ref="M126">_xlfn.IFS($G126="",0, AND(NOT(ISNUMBER($G126)),LOWER(LEFT($G126,1))&lt;&gt;"n"),"Not a valid distance",OR(LOWER(LEFT($G126,1))="n",$G126&lt;ScoringTable!$O$161),1,RIGHT($E126,1)="B",_xlfn.XLOOKUP($G126,ScoringTable!$O$2:$O$161,ScoringTable!$L$2:$L$161,,-1),TRUE,_xlfn.XLOOKUP($G126,ScoringTable!$U$2:$U$161,ScoringTable!$R$2:$R$161,,-1))</f>
        <v>0</v>
      </c>
    </row>
    <row r="127" spans="1:13" s="7" customFormat="1" ht="16" customHeight="1">
      <c r="A127" s="121" t="s">
        <v>81</v>
      </c>
      <c r="B127" s="122" t="str">
        <f>IF(ISNA(VLOOKUP($F127,Declarations!B$6:C$293,2,FALSE)),"",IF(VLOOKUP($F127,Declarations!B$6:C$293,2,FALSE)="","NOT DECLARED",IF(ISNA(_xlfn.TEXTBEFORE(VLOOKUP($F127,Declarations!B$6:C$293,2,FALSE)," ")),VLOOKUP($F127,Declarations!B$6:C$293,2,FALSE),_xlfn.TEXTBEFORE(VLOOKUP($F127,Declarations!B$6:C$293,2,FALSE)," "))))</f>
        <v/>
      </c>
      <c r="C127" s="122" t="str">
        <f>IF(ISNA(VLOOKUP($F127,Declarations!B$6:C$293,2,FALSE)),"",IF(VLOOKUP($F127,Declarations!B$6:C$293,2,FALSE)="","NOT DECLARED",IF(ISNA(_xlfn.TEXTAFTER(VLOOKUP($F127,Declarations!B$6:C$293,2,FALSE)," ")),VLOOKUP($F127,Declarations!B$6:C$293,2,FALSE),_xlfn.TEXTAFTER(VLOOKUP($F127,Declarations!B$6:C$293,2,FALSE)," "))))</f>
        <v/>
      </c>
      <c r="D127" s="122" t="str">
        <f>IF(ISNA(VLOOKUP($F127,Declarations!$B$6:$F$293,5,FALSE)),"",IF(VLOOKUP($F127,Declarations!$B$6:$F$293,5,FALSE)="","NOT DECLARED",VLOOKUP($F127,Declarations!$B$6:$F$293,5,FALSE)))</f>
        <v/>
      </c>
      <c r="E127" s="120" t="str">
        <f>IF(ISNA(VLOOKUP($F127,Declarations!$B$6:$D$293,3,FALSE)),"",IF(VLOOKUP($F127,Declarations!$B$6:$D$293,3,FALSE)="","NOT DECLARED",VLOOKUP($F127,Declarations!$B$6:$D$293,3,FALSE)&amp;LEFT(VLOOKUP($F127,Declarations!$B$6:$E$293,4,FALSE))))</f>
        <v/>
      </c>
      <c r="F127" s="59"/>
      <c r="G127" s="129"/>
      <c r="H127" s="129"/>
      <c r="I127" s="122" t="str">
        <f>IF(ISNA(VLOOKUP(F127,Declarations!B$6:C$293,2,FALSE)),"",IF(VLOOKUP(F127,Declarations!B$6:C$293,2,FALSE)="","NOT DECLARED",VLOOKUP(F127,Declarations!B$6:C$293,2,FALSE)))</f>
        <v/>
      </c>
      <c r="J127" s="120">
        <f>IF(LOWER(LEFT(G127,1))="n",1,VLOOKUP(G127,ScoringTable!D$2:I$95,6))</f>
        <v>0</v>
      </c>
      <c r="K127" s="120" t="str" cm="1">
        <f t="array" ref="K127">IF(OR(E127="",G127=""),"",_xlfn.IFS(E127="U10B",_xlfn.XLOOKUP(G127,Data!$D$5:$L$5,Data!$D$1:$L$1,"",-1,1),E127="U12B",_xlfn.XLOOKUP(G127,Data!$D$12:$L$12,Data!$D$1:$L$1,"",-1,1),E127="U10G",_xlfn.XLOOKUP(G127,Data!$D$18:$L$18,Data!$D$1:$L$1,"",-1,1),E127="U12G",_xlfn.XLOOKUP(G127,Data!$D$25:$L$25,Data!$D$1:$L$1,"",-1,1)))</f>
        <v/>
      </c>
      <c r="L127" s="184" t="str" cm="1">
        <f t="array" ref="L127">IFERROR(_xlfn.IFNA(
                      _xlfn.IFS(
                      G127="", "",
                      AND(E127="U10B",G127&gt;=Data!$M$5), "U10 Boys record",
                      AND(E127="U12B",G127&gt;=Data!$M$12), "U12 Boys record",
                      AND(E127="U10G",G127&gt;=Data!$M$18), "U10 Girls record",
                      AND(E127="U12G",G127&gt;=Data!$M$25), "U12 Girls record"
                       ),""), "")</f>
        <v/>
      </c>
      <c r="M127" s="19" cm="1">
        <f t="array" ref="M127">_xlfn.IFS($G127="",0, AND(NOT(ISNUMBER($G127)),LOWER(LEFT($G127,1))&lt;&gt;"n"),"Not a valid distance",OR(LOWER(LEFT($G127,1))="n",$G127&lt;ScoringTable!$O$161),1,RIGHT($E127,1)="B",_xlfn.XLOOKUP($G127,ScoringTable!$O$2:$O$161,ScoringTable!$L$2:$L$161,,-1),TRUE,_xlfn.XLOOKUP($G127,ScoringTable!$U$2:$U$161,ScoringTable!$R$2:$R$161,,-1))</f>
        <v>0</v>
      </c>
    </row>
    <row r="128" spans="1:13" s="7" customFormat="1" ht="16" customHeight="1">
      <c r="A128" s="121" t="s">
        <v>81</v>
      </c>
      <c r="B128" s="122" t="str">
        <f>IF(ISNA(VLOOKUP($F128,Declarations!B$6:C$293,2,FALSE)),"",IF(VLOOKUP($F128,Declarations!B$6:C$293,2,FALSE)="","NOT DECLARED",IF(ISNA(_xlfn.TEXTBEFORE(VLOOKUP($F128,Declarations!B$6:C$293,2,FALSE)," ")),VLOOKUP($F128,Declarations!B$6:C$293,2,FALSE),_xlfn.TEXTBEFORE(VLOOKUP($F128,Declarations!B$6:C$293,2,FALSE)," "))))</f>
        <v/>
      </c>
      <c r="C128" s="122" t="str">
        <f>IF(ISNA(VLOOKUP($F128,Declarations!B$6:C$293,2,FALSE)),"",IF(VLOOKUP($F128,Declarations!B$6:C$293,2,FALSE)="","NOT DECLARED",IF(ISNA(_xlfn.TEXTAFTER(VLOOKUP($F128,Declarations!B$6:C$293,2,FALSE)," ")),VLOOKUP($F128,Declarations!B$6:C$293,2,FALSE),_xlfn.TEXTAFTER(VLOOKUP($F128,Declarations!B$6:C$293,2,FALSE)," "))))</f>
        <v/>
      </c>
      <c r="D128" s="122" t="str">
        <f>IF(ISNA(VLOOKUP($F128,Declarations!$B$6:$F$293,5,FALSE)),"",IF(VLOOKUP($F128,Declarations!$B$6:$F$293,5,FALSE)="","NOT DECLARED",VLOOKUP($F128,Declarations!$B$6:$F$293,5,FALSE)))</f>
        <v/>
      </c>
      <c r="E128" s="120" t="str">
        <f>IF(ISNA(VLOOKUP($F128,Declarations!$B$6:$D$293,3,FALSE)),"",IF(VLOOKUP($F128,Declarations!$B$6:$D$293,3,FALSE)="","NOT DECLARED",VLOOKUP($F128,Declarations!$B$6:$D$293,3,FALSE)&amp;LEFT(VLOOKUP($F128,Declarations!$B$6:$E$293,4,FALSE))))</f>
        <v/>
      </c>
      <c r="F128" s="59"/>
      <c r="G128" s="129"/>
      <c r="H128" s="129"/>
      <c r="I128" s="122" t="str">
        <f>IF(ISNA(VLOOKUP(F128,Declarations!B$6:C$293,2,FALSE)),"",IF(VLOOKUP(F128,Declarations!B$6:C$293,2,FALSE)="","NOT DECLARED",VLOOKUP(F128,Declarations!B$6:C$293,2,FALSE)))</f>
        <v/>
      </c>
      <c r="J128" s="120">
        <f>IF(LOWER(LEFT(G128,1))="n",1,VLOOKUP(G128,ScoringTable!D$2:I$95,6))</f>
        <v>0</v>
      </c>
      <c r="K128" s="120" t="str" cm="1">
        <f t="array" ref="K128">IF(OR(E128="",G128=""),"",_xlfn.IFS(E128="U10B",_xlfn.XLOOKUP(G128,Data!$D$5:$L$5,Data!$D$1:$L$1,"",-1,1),E128="U12B",_xlfn.XLOOKUP(G128,Data!$D$12:$L$12,Data!$D$1:$L$1,"",-1,1),E128="U10G",_xlfn.XLOOKUP(G128,Data!$D$18:$L$18,Data!$D$1:$L$1,"",-1,1),E128="U12G",_xlfn.XLOOKUP(G128,Data!$D$25:$L$25,Data!$D$1:$L$1,"",-1,1)))</f>
        <v/>
      </c>
      <c r="L128" s="184" t="str" cm="1">
        <f t="array" ref="L128">IFERROR(_xlfn.IFNA(
                      _xlfn.IFS(
                      G128="", "",
                      AND(E128="U10B",G128&gt;=Data!$M$5), "U10 Boys record",
                      AND(E128="U12B",G128&gt;=Data!$M$12), "U12 Boys record",
                      AND(E128="U10G",G128&gt;=Data!$M$18), "U10 Girls record",
                      AND(E128="U12G",G128&gt;=Data!$M$25), "U12 Girls record"
                       ),""), "")</f>
        <v/>
      </c>
      <c r="M128" s="19" cm="1">
        <f t="array" ref="M128">_xlfn.IFS($G128="",0, AND(NOT(ISNUMBER($G128)),LOWER(LEFT($G128,1))&lt;&gt;"n"),"Not a valid distance",OR(LOWER(LEFT($G128,1))="n",$G128&lt;ScoringTable!$O$161),1,RIGHT($E128,1)="B",_xlfn.XLOOKUP($G128,ScoringTable!$O$2:$O$161,ScoringTable!$L$2:$L$161,,-1),TRUE,_xlfn.XLOOKUP($G128,ScoringTable!$U$2:$U$161,ScoringTable!$R$2:$R$161,,-1))</f>
        <v>0</v>
      </c>
    </row>
    <row r="129" spans="1:13" s="7" customFormat="1" ht="16" customHeight="1">
      <c r="A129" s="121" t="s">
        <v>81</v>
      </c>
      <c r="B129" s="122" t="str">
        <f>IF(ISNA(VLOOKUP($F129,Declarations!B$6:C$293,2,FALSE)),"",IF(VLOOKUP($F129,Declarations!B$6:C$293,2,FALSE)="","NOT DECLARED",IF(ISNA(_xlfn.TEXTBEFORE(VLOOKUP($F129,Declarations!B$6:C$293,2,FALSE)," ")),VLOOKUP($F129,Declarations!B$6:C$293,2,FALSE),_xlfn.TEXTBEFORE(VLOOKUP($F129,Declarations!B$6:C$293,2,FALSE)," "))))</f>
        <v/>
      </c>
      <c r="C129" s="122" t="str">
        <f>IF(ISNA(VLOOKUP($F129,Declarations!B$6:C$293,2,FALSE)),"",IF(VLOOKUP($F129,Declarations!B$6:C$293,2,FALSE)="","NOT DECLARED",IF(ISNA(_xlfn.TEXTAFTER(VLOOKUP($F129,Declarations!B$6:C$293,2,FALSE)," ")),VLOOKUP($F129,Declarations!B$6:C$293,2,FALSE),_xlfn.TEXTAFTER(VLOOKUP($F129,Declarations!B$6:C$293,2,FALSE)," "))))</f>
        <v/>
      </c>
      <c r="D129" s="122" t="str">
        <f>IF(ISNA(VLOOKUP($F129,Declarations!$B$6:$F$293,5,FALSE)),"",IF(VLOOKUP($F129,Declarations!$B$6:$F$293,5,FALSE)="","NOT DECLARED",VLOOKUP($F129,Declarations!$B$6:$F$293,5,FALSE)))</f>
        <v/>
      </c>
      <c r="E129" s="120" t="str">
        <f>IF(ISNA(VLOOKUP($F129,Declarations!$B$6:$D$293,3,FALSE)),"",IF(VLOOKUP($F129,Declarations!$B$6:$D$293,3,FALSE)="","NOT DECLARED",VLOOKUP($F129,Declarations!$B$6:$D$293,3,FALSE)&amp;LEFT(VLOOKUP($F129,Declarations!$B$6:$E$293,4,FALSE))))</f>
        <v/>
      </c>
      <c r="F129" s="59"/>
      <c r="G129" s="129"/>
      <c r="H129" s="129"/>
      <c r="I129" s="122" t="str">
        <f>IF(ISNA(VLOOKUP(F129,Declarations!B$6:C$293,2,FALSE)),"",IF(VLOOKUP(F129,Declarations!B$6:C$293,2,FALSE)="","NOT DECLARED",VLOOKUP(F129,Declarations!B$6:C$293,2,FALSE)))</f>
        <v/>
      </c>
      <c r="J129" s="120">
        <f>IF(LOWER(LEFT(G129,1))="n",1,VLOOKUP(G129,ScoringTable!D$2:I$95,6))</f>
        <v>0</v>
      </c>
      <c r="K129" s="120" t="str" cm="1">
        <f t="array" ref="K129">IF(OR(E129="",G129=""),"",_xlfn.IFS(E129="U10B",_xlfn.XLOOKUP(G129,Data!$D$5:$L$5,Data!$D$1:$L$1,"",-1,1),E129="U12B",_xlfn.XLOOKUP(G129,Data!$D$12:$L$12,Data!$D$1:$L$1,"",-1,1),E129="U10G",_xlfn.XLOOKUP(G129,Data!$D$18:$L$18,Data!$D$1:$L$1,"",-1,1),E129="U12G",_xlfn.XLOOKUP(G129,Data!$D$25:$L$25,Data!$D$1:$L$1,"",-1,1)))</f>
        <v/>
      </c>
      <c r="L129" s="184" t="str" cm="1">
        <f t="array" ref="L129">IFERROR(_xlfn.IFNA(
                      _xlfn.IFS(
                      G129="", "",
                      AND(E129="U10B",G129&gt;=Data!$M$5), "U10 Boys record",
                      AND(E129="U12B",G129&gt;=Data!$M$12), "U12 Boys record",
                      AND(E129="U10G",G129&gt;=Data!$M$18), "U10 Girls record",
                      AND(E129="U12G",G129&gt;=Data!$M$25), "U12 Girls record"
                       ),""), "")</f>
        <v/>
      </c>
      <c r="M129" s="19" cm="1">
        <f t="array" ref="M129">_xlfn.IFS($G129="",0, AND(NOT(ISNUMBER($G129)),LOWER(LEFT($G129,1))&lt;&gt;"n"),"Not a valid distance",OR(LOWER(LEFT($G129,1))="n",$G129&lt;ScoringTable!$O$161),1,RIGHT($E129,1)="B",_xlfn.XLOOKUP($G129,ScoringTable!$O$2:$O$161,ScoringTable!$L$2:$L$161,,-1),TRUE,_xlfn.XLOOKUP($G129,ScoringTable!$U$2:$U$161,ScoringTable!$R$2:$R$161,,-1))</f>
        <v>0</v>
      </c>
    </row>
    <row r="130" spans="1:13" s="7" customFormat="1" ht="16" customHeight="1">
      <c r="A130" s="121" t="s">
        <v>81</v>
      </c>
      <c r="B130" s="122" t="str">
        <f>IF(ISNA(VLOOKUP($F130,Declarations!B$6:C$293,2,FALSE)),"",IF(VLOOKUP($F130,Declarations!B$6:C$293,2,FALSE)="","NOT DECLARED",IF(ISNA(_xlfn.TEXTBEFORE(VLOOKUP($F130,Declarations!B$6:C$293,2,FALSE)," ")),VLOOKUP($F130,Declarations!B$6:C$293,2,FALSE),_xlfn.TEXTBEFORE(VLOOKUP($F130,Declarations!B$6:C$293,2,FALSE)," "))))</f>
        <v/>
      </c>
      <c r="C130" s="122" t="str">
        <f>IF(ISNA(VLOOKUP($F130,Declarations!B$6:C$293,2,FALSE)),"",IF(VLOOKUP($F130,Declarations!B$6:C$293,2,FALSE)="","NOT DECLARED",IF(ISNA(_xlfn.TEXTAFTER(VLOOKUP($F130,Declarations!B$6:C$293,2,FALSE)," ")),VLOOKUP($F130,Declarations!B$6:C$293,2,FALSE),_xlfn.TEXTAFTER(VLOOKUP($F130,Declarations!B$6:C$293,2,FALSE)," "))))</f>
        <v/>
      </c>
      <c r="D130" s="122" t="str">
        <f>IF(ISNA(VLOOKUP($F130,Declarations!$B$6:$F$293,5,FALSE)),"",IF(VLOOKUP($F130,Declarations!$B$6:$F$293,5,FALSE)="","NOT DECLARED",VLOOKUP($F130,Declarations!$B$6:$F$293,5,FALSE)))</f>
        <v/>
      </c>
      <c r="E130" s="120" t="str">
        <f>IF(ISNA(VLOOKUP($F130,Declarations!$B$6:$D$293,3,FALSE)),"",IF(VLOOKUP($F130,Declarations!$B$6:$D$293,3,FALSE)="","NOT DECLARED",VLOOKUP($F130,Declarations!$B$6:$D$293,3,FALSE)&amp;LEFT(VLOOKUP($F130,Declarations!$B$6:$E$293,4,FALSE))))</f>
        <v/>
      </c>
      <c r="F130" s="59"/>
      <c r="G130" s="129"/>
      <c r="H130" s="129"/>
      <c r="I130" s="122" t="str">
        <f>IF(ISNA(VLOOKUP(F130,Declarations!B$6:C$293,2,FALSE)),"",IF(VLOOKUP(F130,Declarations!B$6:C$293,2,FALSE)="","NOT DECLARED",VLOOKUP(F130,Declarations!B$6:C$293,2,FALSE)))</f>
        <v/>
      </c>
      <c r="J130" s="120">
        <f>IF(LOWER(LEFT(G130,1))="n",1,VLOOKUP(G130,ScoringTable!D$2:I$95,6))</f>
        <v>0</v>
      </c>
      <c r="K130" s="120" t="str" cm="1">
        <f t="array" ref="K130">IF(OR(E130="",G130=""),"",_xlfn.IFS(E130="U10B",_xlfn.XLOOKUP(G130,Data!$D$5:$L$5,Data!$D$1:$L$1,"",-1,1),E130="U12B",_xlfn.XLOOKUP(G130,Data!$D$12:$L$12,Data!$D$1:$L$1,"",-1,1),E130="U10G",_xlfn.XLOOKUP(G130,Data!$D$18:$L$18,Data!$D$1:$L$1,"",-1,1),E130="U12G",_xlfn.XLOOKUP(G130,Data!$D$25:$L$25,Data!$D$1:$L$1,"",-1,1)))</f>
        <v/>
      </c>
      <c r="L130" s="184" t="str" cm="1">
        <f t="array" ref="L130">IFERROR(_xlfn.IFNA(
                      _xlfn.IFS(
                      G130="", "",
                      AND(E130="U10B",G130&gt;=Data!$M$5), "U10 Boys record",
                      AND(E130="U12B",G130&gt;=Data!$M$12), "U12 Boys record",
                      AND(E130="U10G",G130&gt;=Data!$M$18), "U10 Girls record",
                      AND(E130="U12G",G130&gt;=Data!$M$25), "U12 Girls record"
                       ),""), "")</f>
        <v/>
      </c>
      <c r="M130" s="19" cm="1">
        <f t="array" ref="M130">_xlfn.IFS($G130="",0, AND(NOT(ISNUMBER($G130)),LOWER(LEFT($G130,1))&lt;&gt;"n"),"Not a valid distance",OR(LOWER(LEFT($G130,1))="n",$G130&lt;ScoringTable!$O$161),1,RIGHT($E130,1)="B",_xlfn.XLOOKUP($G130,ScoringTable!$O$2:$O$161,ScoringTable!$L$2:$L$161,,-1),TRUE,_xlfn.XLOOKUP($G130,ScoringTable!$U$2:$U$161,ScoringTable!$R$2:$R$161,,-1))</f>
        <v>0</v>
      </c>
    </row>
    <row r="131" spans="1:13" s="7" customFormat="1" ht="16" customHeight="1">
      <c r="A131" s="121" t="s">
        <v>81</v>
      </c>
      <c r="B131" s="122" t="str">
        <f>IF(ISNA(VLOOKUP($F131,Declarations!B$6:C$293,2,FALSE)),"",IF(VLOOKUP($F131,Declarations!B$6:C$293,2,FALSE)="","NOT DECLARED",IF(ISNA(_xlfn.TEXTBEFORE(VLOOKUP($F131,Declarations!B$6:C$293,2,FALSE)," ")),VLOOKUP($F131,Declarations!B$6:C$293,2,FALSE),_xlfn.TEXTBEFORE(VLOOKUP($F131,Declarations!B$6:C$293,2,FALSE)," "))))</f>
        <v/>
      </c>
      <c r="C131" s="122" t="str">
        <f>IF(ISNA(VLOOKUP($F131,Declarations!B$6:C$293,2,FALSE)),"",IF(VLOOKUP($F131,Declarations!B$6:C$293,2,FALSE)="","NOT DECLARED",IF(ISNA(_xlfn.TEXTAFTER(VLOOKUP($F131,Declarations!B$6:C$293,2,FALSE)," ")),VLOOKUP($F131,Declarations!B$6:C$293,2,FALSE),_xlfn.TEXTAFTER(VLOOKUP($F131,Declarations!B$6:C$293,2,FALSE)," "))))</f>
        <v/>
      </c>
      <c r="D131" s="122" t="str">
        <f>IF(ISNA(VLOOKUP($F131,Declarations!$B$6:$F$293,5,FALSE)),"",IF(VLOOKUP($F131,Declarations!$B$6:$F$293,5,FALSE)="","NOT DECLARED",VLOOKUP($F131,Declarations!$B$6:$F$293,5,FALSE)))</f>
        <v/>
      </c>
      <c r="E131" s="120" t="str">
        <f>IF(ISNA(VLOOKUP($F131,Declarations!$B$6:$D$293,3,FALSE)),"",IF(VLOOKUP($F131,Declarations!$B$6:$D$293,3,FALSE)="","NOT DECLARED",VLOOKUP($F131,Declarations!$B$6:$D$293,3,FALSE)&amp;LEFT(VLOOKUP($F131,Declarations!$B$6:$E$293,4,FALSE))))</f>
        <v/>
      </c>
      <c r="F131" s="59"/>
      <c r="G131" s="129"/>
      <c r="H131" s="129"/>
      <c r="I131" s="122" t="str">
        <f>IF(ISNA(VLOOKUP(F131,Declarations!B$6:C$293,2,FALSE)),"",IF(VLOOKUP(F131,Declarations!B$6:C$293,2,FALSE)="","NOT DECLARED",VLOOKUP(F131,Declarations!B$6:C$293,2,FALSE)))</f>
        <v/>
      </c>
      <c r="J131" s="120">
        <f>IF(LOWER(LEFT(G131,1))="n",1,VLOOKUP(G131,ScoringTable!D$2:I$95,6))</f>
        <v>0</v>
      </c>
      <c r="K131" s="120" t="str" cm="1">
        <f t="array" ref="K131">IF(OR(E131="",G131=""),"",_xlfn.IFS(E131="U10B",_xlfn.XLOOKUP(G131,Data!$D$5:$L$5,Data!$D$1:$L$1,"",-1,1),E131="U12B",_xlfn.XLOOKUP(G131,Data!$D$12:$L$12,Data!$D$1:$L$1,"",-1,1),E131="U10G",_xlfn.XLOOKUP(G131,Data!$D$18:$L$18,Data!$D$1:$L$1,"",-1,1),E131="U12G",_xlfn.XLOOKUP(G131,Data!$D$25:$L$25,Data!$D$1:$L$1,"",-1,1)))</f>
        <v/>
      </c>
      <c r="L131" s="184" t="str" cm="1">
        <f t="array" ref="L131">IFERROR(_xlfn.IFNA(
                      _xlfn.IFS(
                      G131="", "",
                      AND(E131="U10B",G131&gt;=Data!$M$5), "U10 Boys record",
                      AND(E131="U12B",G131&gt;=Data!$M$12), "U12 Boys record",
                      AND(E131="U10G",G131&gt;=Data!$M$18), "U10 Girls record",
                      AND(E131="U12G",G131&gt;=Data!$M$25), "U12 Girls record"
                       ),""), "")</f>
        <v/>
      </c>
      <c r="M131" s="19" cm="1">
        <f t="array" ref="M131">_xlfn.IFS($G131="",0, AND(NOT(ISNUMBER($G131)),LOWER(LEFT($G131,1))&lt;&gt;"n"),"Not a valid distance",OR(LOWER(LEFT($G131,1))="n",$G131&lt;ScoringTable!$O$161),1,RIGHT($E131,1)="B",_xlfn.XLOOKUP($G131,ScoringTable!$O$2:$O$161,ScoringTable!$L$2:$L$161,,-1),TRUE,_xlfn.XLOOKUP($G131,ScoringTable!$U$2:$U$161,ScoringTable!$R$2:$R$161,,-1))</f>
        <v>0</v>
      </c>
    </row>
    <row r="132" spans="1:13" s="7" customFormat="1" ht="16" customHeight="1">
      <c r="A132" s="121" t="s">
        <v>81</v>
      </c>
      <c r="B132" s="122" t="str">
        <f>IF(ISNA(VLOOKUP($F132,Declarations!B$6:C$293,2,FALSE)),"",IF(VLOOKUP($F132,Declarations!B$6:C$293,2,FALSE)="","NOT DECLARED",IF(ISNA(_xlfn.TEXTBEFORE(VLOOKUP($F132,Declarations!B$6:C$293,2,FALSE)," ")),VLOOKUP($F132,Declarations!B$6:C$293,2,FALSE),_xlfn.TEXTBEFORE(VLOOKUP($F132,Declarations!B$6:C$293,2,FALSE)," "))))</f>
        <v/>
      </c>
      <c r="C132" s="122" t="str">
        <f>IF(ISNA(VLOOKUP($F132,Declarations!B$6:C$293,2,FALSE)),"",IF(VLOOKUP($F132,Declarations!B$6:C$293,2,FALSE)="","NOT DECLARED",IF(ISNA(_xlfn.TEXTAFTER(VLOOKUP($F132,Declarations!B$6:C$293,2,FALSE)," ")),VLOOKUP($F132,Declarations!B$6:C$293,2,FALSE),_xlfn.TEXTAFTER(VLOOKUP($F132,Declarations!B$6:C$293,2,FALSE)," "))))</f>
        <v/>
      </c>
      <c r="D132" s="122" t="str">
        <f>IF(ISNA(VLOOKUP($F132,Declarations!$B$6:$F$293,5,FALSE)),"",IF(VLOOKUP($F132,Declarations!$B$6:$F$293,5,FALSE)="","NOT DECLARED",VLOOKUP($F132,Declarations!$B$6:$F$293,5,FALSE)))</f>
        <v/>
      </c>
      <c r="E132" s="120" t="str">
        <f>IF(ISNA(VLOOKUP($F132,Declarations!$B$6:$D$293,3,FALSE)),"",IF(VLOOKUP($F132,Declarations!$B$6:$D$293,3,FALSE)="","NOT DECLARED",VLOOKUP($F132,Declarations!$B$6:$D$293,3,FALSE)&amp;LEFT(VLOOKUP($F132,Declarations!$B$6:$E$293,4,FALSE))))</f>
        <v/>
      </c>
      <c r="F132" s="59"/>
      <c r="G132" s="129"/>
      <c r="H132" s="129"/>
      <c r="I132" s="122" t="str">
        <f>IF(ISNA(VLOOKUP(F132,Declarations!B$6:C$293,2,FALSE)),"",IF(VLOOKUP(F132,Declarations!B$6:C$293,2,FALSE)="","NOT DECLARED",VLOOKUP(F132,Declarations!B$6:C$293,2,FALSE)))</f>
        <v/>
      </c>
      <c r="J132" s="120">
        <f>IF(LOWER(LEFT(G132,1))="n",1,VLOOKUP(G132,ScoringTable!D$2:I$95,6))</f>
        <v>0</v>
      </c>
      <c r="K132" s="120" t="str" cm="1">
        <f t="array" ref="K132">IF(OR(E132="",G132=""),"",_xlfn.IFS(E132="U10B",_xlfn.XLOOKUP(G132,Data!$D$5:$L$5,Data!$D$1:$L$1,"",-1,1),E132="U12B",_xlfn.XLOOKUP(G132,Data!$D$12:$L$12,Data!$D$1:$L$1,"",-1,1),E132="U10G",_xlfn.XLOOKUP(G132,Data!$D$18:$L$18,Data!$D$1:$L$1,"",-1,1),E132="U12G",_xlfn.XLOOKUP(G132,Data!$D$25:$L$25,Data!$D$1:$L$1,"",-1,1)))</f>
        <v/>
      </c>
      <c r="L132" s="184" t="str" cm="1">
        <f t="array" ref="L132">IFERROR(_xlfn.IFNA(
                      _xlfn.IFS(
                      G132="", "",
                      AND(E132="U10B",G132&gt;=Data!$M$5), "U10 Boys record",
                      AND(E132="U12B",G132&gt;=Data!$M$12), "U12 Boys record",
                      AND(E132="U10G",G132&gt;=Data!$M$18), "U10 Girls record",
                      AND(E132="U12G",G132&gt;=Data!$M$25), "U12 Girls record"
                       ),""), "")</f>
        <v/>
      </c>
      <c r="M132" s="19" cm="1">
        <f t="array" ref="M132">_xlfn.IFS($G132="",0, AND(NOT(ISNUMBER($G132)),LOWER(LEFT($G132,1))&lt;&gt;"n"),"Not a valid distance",OR(LOWER(LEFT($G132,1))="n",$G132&lt;ScoringTable!$O$161),1,RIGHT($E132,1)="B",_xlfn.XLOOKUP($G132,ScoringTable!$O$2:$O$161,ScoringTable!$L$2:$L$161,,-1),TRUE,_xlfn.XLOOKUP($G132,ScoringTable!$U$2:$U$161,ScoringTable!$R$2:$R$161,,-1))</f>
        <v>0</v>
      </c>
    </row>
    <row r="133" spans="1:13" s="7" customFormat="1" ht="16" customHeight="1">
      <c r="A133" s="121" t="s">
        <v>81</v>
      </c>
      <c r="B133" s="122" t="str">
        <f>IF(ISNA(VLOOKUP($F133,Declarations!B$6:C$293,2,FALSE)),"",IF(VLOOKUP($F133,Declarations!B$6:C$293,2,FALSE)="","NOT DECLARED",IF(ISNA(_xlfn.TEXTBEFORE(VLOOKUP($F133,Declarations!B$6:C$293,2,FALSE)," ")),VLOOKUP($F133,Declarations!B$6:C$293,2,FALSE),_xlfn.TEXTBEFORE(VLOOKUP($F133,Declarations!B$6:C$293,2,FALSE)," "))))</f>
        <v/>
      </c>
      <c r="C133" s="122" t="str">
        <f>IF(ISNA(VLOOKUP($F133,Declarations!B$6:C$293,2,FALSE)),"",IF(VLOOKUP($F133,Declarations!B$6:C$293,2,FALSE)="","NOT DECLARED",IF(ISNA(_xlfn.TEXTAFTER(VLOOKUP($F133,Declarations!B$6:C$293,2,FALSE)," ")),VLOOKUP($F133,Declarations!B$6:C$293,2,FALSE),_xlfn.TEXTAFTER(VLOOKUP($F133,Declarations!B$6:C$293,2,FALSE)," "))))</f>
        <v/>
      </c>
      <c r="D133" s="122" t="str">
        <f>IF(ISNA(VLOOKUP($F133,Declarations!$B$6:$F$293,5,FALSE)),"",IF(VLOOKUP($F133,Declarations!$B$6:$F$293,5,FALSE)="","NOT DECLARED",VLOOKUP($F133,Declarations!$B$6:$F$293,5,FALSE)))</f>
        <v/>
      </c>
      <c r="E133" s="120" t="str">
        <f>IF(ISNA(VLOOKUP($F133,Declarations!$B$6:$D$293,3,FALSE)),"",IF(VLOOKUP($F133,Declarations!$B$6:$D$293,3,FALSE)="","NOT DECLARED",VLOOKUP($F133,Declarations!$B$6:$D$293,3,FALSE)&amp;LEFT(VLOOKUP($F133,Declarations!$B$6:$E$293,4,FALSE))))</f>
        <v/>
      </c>
      <c r="F133" s="59"/>
      <c r="G133" s="129"/>
      <c r="H133" s="129"/>
      <c r="I133" s="122" t="str">
        <f>IF(ISNA(VLOOKUP(F133,Declarations!B$6:C$293,2,FALSE)),"",IF(VLOOKUP(F133,Declarations!B$6:C$293,2,FALSE)="","NOT DECLARED",VLOOKUP(F133,Declarations!B$6:C$293,2,FALSE)))</f>
        <v/>
      </c>
      <c r="J133" s="120">
        <f>IF(LOWER(LEFT(G133,1))="n",1,VLOOKUP(G133,ScoringTable!D$2:I$95,6))</f>
        <v>0</v>
      </c>
      <c r="K133" s="120" t="str" cm="1">
        <f t="array" ref="K133">IF(OR(E133="",G133=""),"",_xlfn.IFS(E133="U10B",_xlfn.XLOOKUP(G133,Data!$D$5:$L$5,Data!$D$1:$L$1,"",-1,1),E133="U12B",_xlfn.XLOOKUP(G133,Data!$D$12:$L$12,Data!$D$1:$L$1,"",-1,1),E133="U10G",_xlfn.XLOOKUP(G133,Data!$D$18:$L$18,Data!$D$1:$L$1,"",-1,1),E133="U12G",_xlfn.XLOOKUP(G133,Data!$D$25:$L$25,Data!$D$1:$L$1,"",-1,1)))</f>
        <v/>
      </c>
      <c r="L133" s="184" t="str" cm="1">
        <f t="array" ref="L133">IFERROR(_xlfn.IFNA(
                      _xlfn.IFS(
                      G133="", "",
                      AND(E133="U10B",G133&gt;=Data!$M$5), "U10 Boys record",
                      AND(E133="U12B",G133&gt;=Data!$M$12), "U12 Boys record",
                      AND(E133="U10G",G133&gt;=Data!$M$18), "U10 Girls record",
                      AND(E133="U12G",G133&gt;=Data!$M$25), "U12 Girls record"
                       ),""), "")</f>
        <v/>
      </c>
      <c r="M133" s="19" cm="1">
        <f t="array" ref="M133">_xlfn.IFS($G133="",0, AND(NOT(ISNUMBER($G133)),LOWER(LEFT($G133,1))&lt;&gt;"n"),"Not a valid distance",OR(LOWER(LEFT($G133,1))="n",$G133&lt;ScoringTable!$O$161),1,RIGHT($E133,1)="B",_xlfn.XLOOKUP($G133,ScoringTable!$O$2:$O$161,ScoringTable!$L$2:$L$161,,-1),TRUE,_xlfn.XLOOKUP($G133,ScoringTable!$U$2:$U$161,ScoringTable!$R$2:$R$161,,-1))</f>
        <v>0</v>
      </c>
    </row>
    <row r="134" spans="1:13" s="7" customFormat="1" ht="16" customHeight="1">
      <c r="A134" s="121" t="s">
        <v>81</v>
      </c>
      <c r="B134" s="122" t="str">
        <f>IF(ISNA(VLOOKUP($F134,Declarations!B$6:C$293,2,FALSE)),"",IF(VLOOKUP($F134,Declarations!B$6:C$293,2,FALSE)="","NOT DECLARED",IF(ISNA(_xlfn.TEXTBEFORE(VLOOKUP($F134,Declarations!B$6:C$293,2,FALSE)," ")),VLOOKUP($F134,Declarations!B$6:C$293,2,FALSE),_xlfn.TEXTBEFORE(VLOOKUP($F134,Declarations!B$6:C$293,2,FALSE)," "))))</f>
        <v/>
      </c>
      <c r="C134" s="122" t="str">
        <f>IF(ISNA(VLOOKUP($F134,Declarations!B$6:C$293,2,FALSE)),"",IF(VLOOKUP($F134,Declarations!B$6:C$293,2,FALSE)="","NOT DECLARED",IF(ISNA(_xlfn.TEXTAFTER(VLOOKUP($F134,Declarations!B$6:C$293,2,FALSE)," ")),VLOOKUP($F134,Declarations!B$6:C$293,2,FALSE),_xlfn.TEXTAFTER(VLOOKUP($F134,Declarations!B$6:C$293,2,FALSE)," "))))</f>
        <v/>
      </c>
      <c r="D134" s="122" t="str">
        <f>IF(ISNA(VLOOKUP($F134,Declarations!$B$6:$F$293,5,FALSE)),"",IF(VLOOKUP($F134,Declarations!$B$6:$F$293,5,FALSE)="","NOT DECLARED",VLOOKUP($F134,Declarations!$B$6:$F$293,5,FALSE)))</f>
        <v/>
      </c>
      <c r="E134" s="120" t="str">
        <f>IF(ISNA(VLOOKUP($F134,Declarations!$B$6:$D$293,3,FALSE)),"",IF(VLOOKUP($F134,Declarations!$B$6:$D$293,3,FALSE)="","NOT DECLARED",VLOOKUP($F134,Declarations!$B$6:$D$293,3,FALSE)&amp;LEFT(VLOOKUP($F134,Declarations!$B$6:$E$293,4,FALSE))))</f>
        <v/>
      </c>
      <c r="F134" s="59"/>
      <c r="G134" s="129"/>
      <c r="H134" s="129"/>
      <c r="I134" s="122" t="str">
        <f>IF(ISNA(VLOOKUP(F134,Declarations!B$6:C$293,2,FALSE)),"",IF(VLOOKUP(F134,Declarations!B$6:C$293,2,FALSE)="","NOT DECLARED",VLOOKUP(F134,Declarations!B$6:C$293,2,FALSE)))</f>
        <v/>
      </c>
      <c r="J134" s="120">
        <f>IF(LOWER(LEFT(G134,1))="n",1,VLOOKUP(G134,ScoringTable!D$2:I$95,6))</f>
        <v>0</v>
      </c>
      <c r="K134" s="120" t="str" cm="1">
        <f t="array" ref="K134">IF(OR(E134="",G134=""),"",_xlfn.IFS(E134="U10B",_xlfn.XLOOKUP(G134,Data!$D$5:$L$5,Data!$D$1:$L$1,"",-1,1),E134="U12B",_xlfn.XLOOKUP(G134,Data!$D$12:$L$12,Data!$D$1:$L$1,"",-1,1),E134="U10G",_xlfn.XLOOKUP(G134,Data!$D$18:$L$18,Data!$D$1:$L$1,"",-1,1),E134="U12G",_xlfn.XLOOKUP(G134,Data!$D$25:$L$25,Data!$D$1:$L$1,"",-1,1)))</f>
        <v/>
      </c>
      <c r="L134" s="184" t="str" cm="1">
        <f t="array" ref="L134">IFERROR(_xlfn.IFNA(
                      _xlfn.IFS(
                      G134="", "",
                      AND(E134="U10B",G134&gt;=Data!$M$5), "U10 Boys record",
                      AND(E134="U12B",G134&gt;=Data!$M$12), "U12 Boys record",
                      AND(E134="U10G",G134&gt;=Data!$M$18), "U10 Girls record",
                      AND(E134="U12G",G134&gt;=Data!$M$25), "U12 Girls record"
                       ),""), "")</f>
        <v/>
      </c>
      <c r="M134" s="19" cm="1">
        <f t="array" ref="M134">_xlfn.IFS($G134="",0, AND(NOT(ISNUMBER($G134)),LOWER(LEFT($G134,1))&lt;&gt;"n"),"Not a valid distance",OR(LOWER(LEFT($G134,1))="n",$G134&lt;ScoringTable!$O$161),1,RIGHT($E134,1)="B",_xlfn.XLOOKUP($G134,ScoringTable!$O$2:$O$161,ScoringTable!$L$2:$L$161,,-1),TRUE,_xlfn.XLOOKUP($G134,ScoringTable!$U$2:$U$161,ScoringTable!$R$2:$R$161,,-1))</f>
        <v>0</v>
      </c>
    </row>
    <row r="135" spans="1:13" s="7" customFormat="1" ht="16" customHeight="1">
      <c r="A135" s="121" t="s">
        <v>81</v>
      </c>
      <c r="B135" s="122" t="str">
        <f>IF(ISNA(VLOOKUP($F135,Declarations!B$6:C$293,2,FALSE)),"",IF(VLOOKUP($F135,Declarations!B$6:C$293,2,FALSE)="","NOT DECLARED",IF(ISNA(_xlfn.TEXTBEFORE(VLOOKUP($F135,Declarations!B$6:C$293,2,FALSE)," ")),VLOOKUP($F135,Declarations!B$6:C$293,2,FALSE),_xlfn.TEXTBEFORE(VLOOKUP($F135,Declarations!B$6:C$293,2,FALSE)," "))))</f>
        <v/>
      </c>
      <c r="C135" s="122" t="str">
        <f>IF(ISNA(VLOOKUP($F135,Declarations!B$6:C$293,2,FALSE)),"",IF(VLOOKUP($F135,Declarations!B$6:C$293,2,FALSE)="","NOT DECLARED",IF(ISNA(_xlfn.TEXTAFTER(VLOOKUP($F135,Declarations!B$6:C$293,2,FALSE)," ")),VLOOKUP($F135,Declarations!B$6:C$293,2,FALSE),_xlfn.TEXTAFTER(VLOOKUP($F135,Declarations!B$6:C$293,2,FALSE)," "))))</f>
        <v/>
      </c>
      <c r="D135" s="122" t="str">
        <f>IF(ISNA(VLOOKUP($F135,Declarations!$B$6:$F$293,5,FALSE)),"",IF(VLOOKUP($F135,Declarations!$B$6:$F$293,5,FALSE)="","NOT DECLARED",VLOOKUP($F135,Declarations!$B$6:$F$293,5,FALSE)))</f>
        <v/>
      </c>
      <c r="E135" s="120" t="str">
        <f>IF(ISNA(VLOOKUP($F135,Declarations!$B$6:$D$293,3,FALSE)),"",IF(VLOOKUP($F135,Declarations!$B$6:$D$293,3,FALSE)="","NOT DECLARED",VLOOKUP($F135,Declarations!$B$6:$D$293,3,FALSE)&amp;LEFT(VLOOKUP($F135,Declarations!$B$6:$E$293,4,FALSE))))</f>
        <v/>
      </c>
      <c r="F135" s="59"/>
      <c r="G135" s="129"/>
      <c r="H135" s="129"/>
      <c r="I135" s="122" t="str">
        <f>IF(ISNA(VLOOKUP(F135,Declarations!B$6:C$293,2,FALSE)),"",IF(VLOOKUP(F135,Declarations!B$6:C$293,2,FALSE)="","NOT DECLARED",VLOOKUP(F135,Declarations!B$6:C$293,2,FALSE)))</f>
        <v/>
      </c>
      <c r="J135" s="120">
        <f>IF(LOWER(LEFT(G135,1))="n",1,VLOOKUP(G135,ScoringTable!D$2:I$95,6))</f>
        <v>0</v>
      </c>
      <c r="K135" s="120" t="str" cm="1">
        <f t="array" ref="K135">IF(OR(E135="",G135=""),"",_xlfn.IFS(E135="U10B",_xlfn.XLOOKUP(G135,Data!$D$5:$L$5,Data!$D$1:$L$1,"",-1,1),E135="U12B",_xlfn.XLOOKUP(G135,Data!$D$12:$L$12,Data!$D$1:$L$1,"",-1,1),E135="U10G",_xlfn.XLOOKUP(G135,Data!$D$18:$L$18,Data!$D$1:$L$1,"",-1,1),E135="U12G",_xlfn.XLOOKUP(G135,Data!$D$25:$L$25,Data!$D$1:$L$1,"",-1,1)))</f>
        <v/>
      </c>
      <c r="L135" s="184" t="str" cm="1">
        <f t="array" ref="L135">IFERROR(_xlfn.IFNA(
                      _xlfn.IFS(
                      G135="", "",
                      AND(E135="U10B",G135&gt;=Data!$M$5), "U10 Boys record",
                      AND(E135="U12B",G135&gt;=Data!$M$12), "U12 Boys record",
                      AND(E135="U10G",G135&gt;=Data!$M$18), "U10 Girls record",
                      AND(E135="U12G",G135&gt;=Data!$M$25), "U12 Girls record"
                       ),""), "")</f>
        <v/>
      </c>
      <c r="M135" s="19" cm="1">
        <f t="array" ref="M135">_xlfn.IFS($G135="",0, AND(NOT(ISNUMBER($G135)),LOWER(LEFT($G135,1))&lt;&gt;"n"),"Not a valid distance",OR(LOWER(LEFT($G135,1))="n",$G135&lt;ScoringTable!$O$161),1,RIGHT($E135,1)="B",_xlfn.XLOOKUP($G135,ScoringTable!$O$2:$O$161,ScoringTable!$L$2:$L$161,,-1),TRUE,_xlfn.XLOOKUP($G135,ScoringTable!$U$2:$U$161,ScoringTable!$R$2:$R$161,,-1))</f>
        <v>0</v>
      </c>
    </row>
    <row r="136" spans="1:13" s="7" customFormat="1" ht="16" customHeight="1">
      <c r="A136" s="121" t="s">
        <v>81</v>
      </c>
      <c r="B136" s="122" t="str">
        <f>IF(ISNA(VLOOKUP($F136,Declarations!B$6:C$293,2,FALSE)),"",IF(VLOOKUP($F136,Declarations!B$6:C$293,2,FALSE)="","NOT DECLARED",IF(ISNA(_xlfn.TEXTBEFORE(VLOOKUP($F136,Declarations!B$6:C$293,2,FALSE)," ")),VLOOKUP($F136,Declarations!B$6:C$293,2,FALSE),_xlfn.TEXTBEFORE(VLOOKUP($F136,Declarations!B$6:C$293,2,FALSE)," "))))</f>
        <v/>
      </c>
      <c r="C136" s="122" t="str">
        <f>IF(ISNA(VLOOKUP($F136,Declarations!B$6:C$293,2,FALSE)),"",IF(VLOOKUP($F136,Declarations!B$6:C$293,2,FALSE)="","NOT DECLARED",IF(ISNA(_xlfn.TEXTAFTER(VLOOKUP($F136,Declarations!B$6:C$293,2,FALSE)," ")),VLOOKUP($F136,Declarations!B$6:C$293,2,FALSE),_xlfn.TEXTAFTER(VLOOKUP($F136,Declarations!B$6:C$293,2,FALSE)," "))))</f>
        <v/>
      </c>
      <c r="D136" s="122" t="str">
        <f>IF(ISNA(VLOOKUP($F136,Declarations!$B$6:$F$293,5,FALSE)),"",IF(VLOOKUP($F136,Declarations!$B$6:$F$293,5,FALSE)="","NOT DECLARED",VLOOKUP($F136,Declarations!$B$6:$F$293,5,FALSE)))</f>
        <v/>
      </c>
      <c r="E136" s="120" t="str">
        <f>IF(ISNA(VLOOKUP($F136,Declarations!$B$6:$D$293,3,FALSE)),"",IF(VLOOKUP($F136,Declarations!$B$6:$D$293,3,FALSE)="","NOT DECLARED",VLOOKUP($F136,Declarations!$B$6:$D$293,3,FALSE)&amp;LEFT(VLOOKUP($F136,Declarations!$B$6:$E$293,4,FALSE))))</f>
        <v/>
      </c>
      <c r="F136" s="59"/>
      <c r="G136" s="129"/>
      <c r="H136" s="129"/>
      <c r="I136" s="122" t="str">
        <f>IF(ISNA(VLOOKUP(F136,Declarations!B$6:C$293,2,FALSE)),"",IF(VLOOKUP(F136,Declarations!B$6:C$293,2,FALSE)="","NOT DECLARED",VLOOKUP(F136,Declarations!B$6:C$293,2,FALSE)))</f>
        <v/>
      </c>
      <c r="J136" s="120">
        <f>IF(LOWER(LEFT(G136,1))="n",1,VLOOKUP(G136,ScoringTable!D$2:I$95,6))</f>
        <v>0</v>
      </c>
      <c r="K136" s="120" t="str" cm="1">
        <f t="array" ref="K136">IF(OR(E136="",G136=""),"",_xlfn.IFS(E136="U10B",_xlfn.XLOOKUP(G136,Data!$D$5:$L$5,Data!$D$1:$L$1,"",-1,1),E136="U12B",_xlfn.XLOOKUP(G136,Data!$D$12:$L$12,Data!$D$1:$L$1,"",-1,1),E136="U10G",_xlfn.XLOOKUP(G136,Data!$D$18:$L$18,Data!$D$1:$L$1,"",-1,1),E136="U12G",_xlfn.XLOOKUP(G136,Data!$D$25:$L$25,Data!$D$1:$L$1,"",-1,1)))</f>
        <v/>
      </c>
      <c r="L136" s="184" t="str" cm="1">
        <f t="array" ref="L136">IFERROR(_xlfn.IFNA(
                      _xlfn.IFS(
                      G136="", "",
                      AND(E136="U10B",G136&gt;=Data!$M$5), "U10 Boys record",
                      AND(E136="U12B",G136&gt;=Data!$M$12), "U12 Boys record",
                      AND(E136="U10G",G136&gt;=Data!$M$18), "U10 Girls record",
                      AND(E136="U12G",G136&gt;=Data!$M$25), "U12 Girls record"
                       ),""), "")</f>
        <v/>
      </c>
      <c r="M136" s="19" cm="1">
        <f t="array" ref="M136">_xlfn.IFS($G136="",0, AND(NOT(ISNUMBER($G136)),LOWER(LEFT($G136,1))&lt;&gt;"n"),"Not a valid distance",OR(LOWER(LEFT($G136,1))="n",$G136&lt;ScoringTable!$O$161),1,RIGHT($E136,1)="B",_xlfn.XLOOKUP($G136,ScoringTable!$O$2:$O$161,ScoringTable!$L$2:$L$161,,-1),TRUE,_xlfn.XLOOKUP($G136,ScoringTable!$U$2:$U$161,ScoringTable!$R$2:$R$161,,-1))</f>
        <v>0</v>
      </c>
    </row>
    <row r="137" spans="1:13" s="7" customFormat="1" ht="16" customHeight="1">
      <c r="A137" s="121" t="s">
        <v>81</v>
      </c>
      <c r="B137" s="122" t="str">
        <f>IF(ISNA(VLOOKUP($F137,Declarations!B$6:C$293,2,FALSE)),"",IF(VLOOKUP($F137,Declarations!B$6:C$293,2,FALSE)="","NOT DECLARED",IF(ISNA(_xlfn.TEXTBEFORE(VLOOKUP($F137,Declarations!B$6:C$293,2,FALSE)," ")),VLOOKUP($F137,Declarations!B$6:C$293,2,FALSE),_xlfn.TEXTBEFORE(VLOOKUP($F137,Declarations!B$6:C$293,2,FALSE)," "))))</f>
        <v/>
      </c>
      <c r="C137" s="122" t="str">
        <f>IF(ISNA(VLOOKUP($F137,Declarations!B$6:C$293,2,FALSE)),"",IF(VLOOKUP($F137,Declarations!B$6:C$293,2,FALSE)="","NOT DECLARED",IF(ISNA(_xlfn.TEXTAFTER(VLOOKUP($F137,Declarations!B$6:C$293,2,FALSE)," ")),VLOOKUP($F137,Declarations!B$6:C$293,2,FALSE),_xlfn.TEXTAFTER(VLOOKUP($F137,Declarations!B$6:C$293,2,FALSE)," "))))</f>
        <v/>
      </c>
      <c r="D137" s="122" t="str">
        <f>IF(ISNA(VLOOKUP($F137,Declarations!$B$6:$F$293,5,FALSE)),"",IF(VLOOKUP($F137,Declarations!$B$6:$F$293,5,FALSE)="","NOT DECLARED",VLOOKUP($F137,Declarations!$B$6:$F$293,5,FALSE)))</f>
        <v/>
      </c>
      <c r="E137" s="120" t="str">
        <f>IF(ISNA(VLOOKUP($F137,Declarations!$B$6:$D$293,3,FALSE)),"",IF(VLOOKUP($F137,Declarations!$B$6:$D$293,3,FALSE)="","NOT DECLARED",VLOOKUP($F137,Declarations!$B$6:$D$293,3,FALSE)&amp;LEFT(VLOOKUP($F137,Declarations!$B$6:$E$293,4,FALSE))))</f>
        <v/>
      </c>
      <c r="F137" s="59"/>
      <c r="G137" s="129"/>
      <c r="H137" s="129"/>
      <c r="I137" s="122" t="str">
        <f>IF(ISNA(VLOOKUP(F137,Declarations!B$6:C$293,2,FALSE)),"",IF(VLOOKUP(F137,Declarations!B$6:C$293,2,FALSE)="","NOT DECLARED",VLOOKUP(F137,Declarations!B$6:C$293,2,FALSE)))</f>
        <v/>
      </c>
      <c r="J137" s="120">
        <f>IF(LOWER(LEFT(G137,1))="n",1,VLOOKUP(G137,ScoringTable!D$2:I$95,6))</f>
        <v>0</v>
      </c>
      <c r="K137" s="120" t="str" cm="1">
        <f t="array" ref="K137">IF(OR(E137="",G137=""),"",_xlfn.IFS(E137="U10B",_xlfn.XLOOKUP(G137,Data!$D$5:$L$5,Data!$D$1:$L$1,"",-1,1),E137="U12B",_xlfn.XLOOKUP(G137,Data!$D$12:$L$12,Data!$D$1:$L$1,"",-1,1),E137="U10G",_xlfn.XLOOKUP(G137,Data!$D$18:$L$18,Data!$D$1:$L$1,"",-1,1),E137="U12G",_xlfn.XLOOKUP(G137,Data!$D$25:$L$25,Data!$D$1:$L$1,"",-1,1)))</f>
        <v/>
      </c>
      <c r="L137" s="184" t="str" cm="1">
        <f t="array" ref="L137">IFERROR(_xlfn.IFNA(
                      _xlfn.IFS(
                      G137="", "",
                      AND(E137="U10B",G137&gt;=Data!$M$5), "U10 Boys record",
                      AND(E137="U12B",G137&gt;=Data!$M$12), "U12 Boys record",
                      AND(E137="U10G",G137&gt;=Data!$M$18), "U10 Girls record",
                      AND(E137="U12G",G137&gt;=Data!$M$25), "U12 Girls record"
                       ),""), "")</f>
        <v/>
      </c>
      <c r="M137" s="19" cm="1">
        <f t="array" ref="M137">_xlfn.IFS($G137="",0, AND(NOT(ISNUMBER($G137)),LOWER(LEFT($G137,1))&lt;&gt;"n"),"Not a valid distance",OR(LOWER(LEFT($G137,1))="n",$G137&lt;ScoringTable!$O$161),1,RIGHT($E137,1)="B",_xlfn.XLOOKUP($G137,ScoringTable!$O$2:$O$161,ScoringTable!$L$2:$L$161,,-1),TRUE,_xlfn.XLOOKUP($G137,ScoringTable!$U$2:$U$161,ScoringTable!$R$2:$R$161,,-1))</f>
        <v>0</v>
      </c>
    </row>
    <row r="138" spans="1:13" s="7" customFormat="1" ht="16" customHeight="1">
      <c r="A138" s="121" t="s">
        <v>81</v>
      </c>
      <c r="B138" s="122" t="str">
        <f>IF(ISNA(VLOOKUP($F138,Declarations!B$6:C$293,2,FALSE)),"",IF(VLOOKUP($F138,Declarations!B$6:C$293,2,FALSE)="","NOT DECLARED",IF(ISNA(_xlfn.TEXTBEFORE(VLOOKUP($F138,Declarations!B$6:C$293,2,FALSE)," ")),VLOOKUP($F138,Declarations!B$6:C$293,2,FALSE),_xlfn.TEXTBEFORE(VLOOKUP($F138,Declarations!B$6:C$293,2,FALSE)," "))))</f>
        <v/>
      </c>
      <c r="C138" s="122" t="str">
        <f>IF(ISNA(VLOOKUP($F138,Declarations!B$6:C$293,2,FALSE)),"",IF(VLOOKUP($F138,Declarations!B$6:C$293,2,FALSE)="","NOT DECLARED",IF(ISNA(_xlfn.TEXTAFTER(VLOOKUP($F138,Declarations!B$6:C$293,2,FALSE)," ")),VLOOKUP($F138,Declarations!B$6:C$293,2,FALSE),_xlfn.TEXTAFTER(VLOOKUP($F138,Declarations!B$6:C$293,2,FALSE)," "))))</f>
        <v/>
      </c>
      <c r="D138" s="122" t="str">
        <f>IF(ISNA(VLOOKUP($F138,Declarations!$B$6:$F$293,5,FALSE)),"",IF(VLOOKUP($F138,Declarations!$B$6:$F$293,5,FALSE)="","NOT DECLARED",VLOOKUP($F138,Declarations!$B$6:$F$293,5,FALSE)))</f>
        <v/>
      </c>
      <c r="E138" s="120" t="str">
        <f>IF(ISNA(VLOOKUP($F138,Declarations!$B$6:$D$293,3,FALSE)),"",IF(VLOOKUP($F138,Declarations!$B$6:$D$293,3,FALSE)="","NOT DECLARED",VLOOKUP($F138,Declarations!$B$6:$D$293,3,FALSE)&amp;LEFT(VLOOKUP($F138,Declarations!$B$6:$E$293,4,FALSE))))</f>
        <v/>
      </c>
      <c r="F138" s="59"/>
      <c r="G138" s="129"/>
      <c r="H138" s="129"/>
      <c r="I138" s="122" t="str">
        <f>IF(ISNA(VLOOKUP(F138,Declarations!B$6:C$293,2,FALSE)),"",IF(VLOOKUP(F138,Declarations!B$6:C$293,2,FALSE)="","NOT DECLARED",VLOOKUP(F138,Declarations!B$6:C$293,2,FALSE)))</f>
        <v/>
      </c>
      <c r="J138" s="120">
        <f>IF(LOWER(LEFT(G138,1))="n",1,VLOOKUP(G138,ScoringTable!D$2:I$95,6))</f>
        <v>0</v>
      </c>
      <c r="K138" s="120" t="str" cm="1">
        <f t="array" ref="K138">IF(OR(E138="",G138=""),"",_xlfn.IFS(E138="U10B",_xlfn.XLOOKUP(G138,Data!$D$5:$L$5,Data!$D$1:$L$1,"",-1,1),E138="U12B",_xlfn.XLOOKUP(G138,Data!$D$12:$L$12,Data!$D$1:$L$1,"",-1,1),E138="U10G",_xlfn.XLOOKUP(G138,Data!$D$18:$L$18,Data!$D$1:$L$1,"",-1,1),E138="U12G",_xlfn.XLOOKUP(G138,Data!$D$25:$L$25,Data!$D$1:$L$1,"",-1,1)))</f>
        <v/>
      </c>
      <c r="L138" s="184" t="str" cm="1">
        <f t="array" ref="L138">IFERROR(_xlfn.IFNA(
                      _xlfn.IFS(
                      G138="", "",
                      AND(E138="U10B",G138&gt;=Data!$M$5), "U10 Boys record",
                      AND(E138="U12B",G138&gt;=Data!$M$12), "U12 Boys record",
                      AND(E138="U10G",G138&gt;=Data!$M$18), "U10 Girls record",
                      AND(E138="U12G",G138&gt;=Data!$M$25), "U12 Girls record"
                       ),""), "")</f>
        <v/>
      </c>
      <c r="M138" s="19" cm="1">
        <f t="array" ref="M138">_xlfn.IFS($G138="",0, AND(NOT(ISNUMBER($G138)),LOWER(LEFT($G138,1))&lt;&gt;"n"),"Not a valid distance",OR(LOWER(LEFT($G138,1))="n",$G138&lt;ScoringTable!$O$161),1,RIGHT($E138,1)="B",_xlfn.XLOOKUP($G138,ScoringTable!$O$2:$O$161,ScoringTable!$L$2:$L$161,,-1),TRUE,_xlfn.XLOOKUP($G138,ScoringTable!$U$2:$U$161,ScoringTable!$R$2:$R$161,,-1))</f>
        <v>0</v>
      </c>
    </row>
    <row r="139" spans="1:13" s="7" customFormat="1" ht="16" customHeight="1">
      <c r="A139" s="121" t="s">
        <v>81</v>
      </c>
      <c r="B139" s="122" t="str">
        <f>IF(ISNA(VLOOKUP($F139,Declarations!B$6:C$293,2,FALSE)),"",IF(VLOOKUP($F139,Declarations!B$6:C$293,2,FALSE)="","NOT DECLARED",IF(ISNA(_xlfn.TEXTBEFORE(VLOOKUP($F139,Declarations!B$6:C$293,2,FALSE)," ")),VLOOKUP($F139,Declarations!B$6:C$293,2,FALSE),_xlfn.TEXTBEFORE(VLOOKUP($F139,Declarations!B$6:C$293,2,FALSE)," "))))</f>
        <v/>
      </c>
      <c r="C139" s="122" t="str">
        <f>IF(ISNA(VLOOKUP($F139,Declarations!B$6:C$293,2,FALSE)),"",IF(VLOOKUP($F139,Declarations!B$6:C$293,2,FALSE)="","NOT DECLARED",IF(ISNA(_xlfn.TEXTAFTER(VLOOKUP($F139,Declarations!B$6:C$293,2,FALSE)," ")),VLOOKUP($F139,Declarations!B$6:C$293,2,FALSE),_xlfn.TEXTAFTER(VLOOKUP($F139,Declarations!B$6:C$293,2,FALSE)," "))))</f>
        <v/>
      </c>
      <c r="D139" s="122" t="str">
        <f>IF(ISNA(VLOOKUP($F139,Declarations!$B$6:$F$293,5,FALSE)),"",IF(VLOOKUP($F139,Declarations!$B$6:$F$293,5,FALSE)="","NOT DECLARED",VLOOKUP($F139,Declarations!$B$6:$F$293,5,FALSE)))</f>
        <v/>
      </c>
      <c r="E139" s="120" t="str">
        <f>IF(ISNA(VLOOKUP($F139,Declarations!$B$6:$D$293,3,FALSE)),"",IF(VLOOKUP($F139,Declarations!$B$6:$D$293,3,FALSE)="","NOT DECLARED",VLOOKUP($F139,Declarations!$B$6:$D$293,3,FALSE)&amp;LEFT(VLOOKUP($F139,Declarations!$B$6:$E$293,4,FALSE))))</f>
        <v/>
      </c>
      <c r="F139" s="59"/>
      <c r="G139" s="129"/>
      <c r="H139" s="129"/>
      <c r="I139" s="122" t="str">
        <f>IF(ISNA(VLOOKUP(F139,Declarations!B$6:C$293,2,FALSE)),"",IF(VLOOKUP(F139,Declarations!B$6:C$293,2,FALSE)="","NOT DECLARED",VLOOKUP(F139,Declarations!B$6:C$293,2,FALSE)))</f>
        <v/>
      </c>
      <c r="J139" s="120">
        <f>IF(LOWER(LEFT(G139,1))="n",1,VLOOKUP(G139,ScoringTable!D$2:I$95,6))</f>
        <v>0</v>
      </c>
      <c r="K139" s="120" t="str" cm="1">
        <f t="array" ref="K139">IF(OR(E139="",G139=""),"",_xlfn.IFS(E139="U10B",_xlfn.XLOOKUP(G139,Data!$D$5:$L$5,Data!$D$1:$L$1,"",-1,1),E139="U12B",_xlfn.XLOOKUP(G139,Data!$D$12:$L$12,Data!$D$1:$L$1,"",-1,1),E139="U10G",_xlfn.XLOOKUP(G139,Data!$D$18:$L$18,Data!$D$1:$L$1,"",-1,1),E139="U12G",_xlfn.XLOOKUP(G139,Data!$D$25:$L$25,Data!$D$1:$L$1,"",-1,1)))</f>
        <v/>
      </c>
      <c r="L139" s="184" t="str" cm="1">
        <f t="array" ref="L139">IFERROR(_xlfn.IFNA(
                      _xlfn.IFS(
                      G139="", "",
                      AND(E139="U10B",G139&gt;=Data!$M$5), "U10 Boys record",
                      AND(E139="U12B",G139&gt;=Data!$M$12), "U12 Boys record",
                      AND(E139="U10G",G139&gt;=Data!$M$18), "U10 Girls record",
                      AND(E139="U12G",G139&gt;=Data!$M$25), "U12 Girls record"
                       ),""), "")</f>
        <v/>
      </c>
      <c r="M139" s="19" cm="1">
        <f t="array" ref="M139">_xlfn.IFS($G139="",0, AND(NOT(ISNUMBER($G139)),LOWER(LEFT($G139,1))&lt;&gt;"n"),"Not a valid distance",OR(LOWER(LEFT($G139,1))="n",$G139&lt;ScoringTable!$O$161),1,RIGHT($E139,1)="B",_xlfn.XLOOKUP($G139,ScoringTable!$O$2:$O$161,ScoringTable!$L$2:$L$161,,-1),TRUE,_xlfn.XLOOKUP($G139,ScoringTable!$U$2:$U$161,ScoringTable!$R$2:$R$161,,-1))</f>
        <v>0</v>
      </c>
    </row>
    <row r="140" spans="1:13" s="7" customFormat="1" ht="16" customHeight="1">
      <c r="A140" s="121" t="s">
        <v>81</v>
      </c>
      <c r="B140" s="122" t="str">
        <f>IF(ISNA(VLOOKUP($F140,Declarations!B$6:C$293,2,FALSE)),"",IF(VLOOKUP($F140,Declarations!B$6:C$293,2,FALSE)="","NOT DECLARED",IF(ISNA(_xlfn.TEXTBEFORE(VLOOKUP($F140,Declarations!B$6:C$293,2,FALSE)," ")),VLOOKUP($F140,Declarations!B$6:C$293,2,FALSE),_xlfn.TEXTBEFORE(VLOOKUP($F140,Declarations!B$6:C$293,2,FALSE)," "))))</f>
        <v/>
      </c>
      <c r="C140" s="122" t="str">
        <f>IF(ISNA(VLOOKUP($F140,Declarations!B$6:C$293,2,FALSE)),"",IF(VLOOKUP($F140,Declarations!B$6:C$293,2,FALSE)="","NOT DECLARED",IF(ISNA(_xlfn.TEXTAFTER(VLOOKUP($F140,Declarations!B$6:C$293,2,FALSE)," ")),VLOOKUP($F140,Declarations!B$6:C$293,2,FALSE),_xlfn.TEXTAFTER(VLOOKUP($F140,Declarations!B$6:C$293,2,FALSE)," "))))</f>
        <v/>
      </c>
      <c r="D140" s="122" t="str">
        <f>IF(ISNA(VLOOKUP($F140,Declarations!$B$6:$F$293,5,FALSE)),"",IF(VLOOKUP($F140,Declarations!$B$6:$F$293,5,FALSE)="","NOT DECLARED",VLOOKUP($F140,Declarations!$B$6:$F$293,5,FALSE)))</f>
        <v/>
      </c>
      <c r="E140" s="120" t="str">
        <f>IF(ISNA(VLOOKUP($F140,Declarations!$B$6:$D$293,3,FALSE)),"",IF(VLOOKUP($F140,Declarations!$B$6:$D$293,3,FALSE)="","NOT DECLARED",VLOOKUP($F140,Declarations!$B$6:$D$293,3,FALSE)&amp;LEFT(VLOOKUP($F140,Declarations!$B$6:$E$293,4,FALSE))))</f>
        <v/>
      </c>
      <c r="F140" s="59"/>
      <c r="G140" s="129"/>
      <c r="H140" s="129"/>
      <c r="I140" s="122" t="str">
        <f>IF(ISNA(VLOOKUP(F140,Declarations!B$6:C$293,2,FALSE)),"",IF(VLOOKUP(F140,Declarations!B$6:C$293,2,FALSE)="","NOT DECLARED",VLOOKUP(F140,Declarations!B$6:C$293,2,FALSE)))</f>
        <v/>
      </c>
      <c r="J140" s="120">
        <f>IF(LOWER(LEFT(G140,1))="n",1,VLOOKUP(G140,ScoringTable!D$2:I$95,6))</f>
        <v>0</v>
      </c>
      <c r="K140" s="120" t="str" cm="1">
        <f t="array" ref="K140">IF(OR(E140="",G140=""),"",_xlfn.IFS(E140="U10B",_xlfn.XLOOKUP(G140,Data!$D$5:$L$5,Data!$D$1:$L$1,"",-1,1),E140="U12B",_xlfn.XLOOKUP(G140,Data!$D$12:$L$12,Data!$D$1:$L$1,"",-1,1),E140="U10G",_xlfn.XLOOKUP(G140,Data!$D$18:$L$18,Data!$D$1:$L$1,"",-1,1),E140="U12G",_xlfn.XLOOKUP(G140,Data!$D$25:$L$25,Data!$D$1:$L$1,"",-1,1)))</f>
        <v/>
      </c>
      <c r="L140" s="184" t="str" cm="1">
        <f t="array" ref="L140">IFERROR(_xlfn.IFNA(
                      _xlfn.IFS(
                      G140="", "",
                      AND(E140="U10B",G140&gt;=Data!$M$5), "U10 Boys record",
                      AND(E140="U12B",G140&gt;=Data!$M$12), "U12 Boys record",
                      AND(E140="U10G",G140&gt;=Data!$M$18), "U10 Girls record",
                      AND(E140="U12G",G140&gt;=Data!$M$25), "U12 Girls record"
                       ),""), "")</f>
        <v/>
      </c>
      <c r="M140" s="19" cm="1">
        <f t="array" ref="M140">_xlfn.IFS($G140="",0, AND(NOT(ISNUMBER($G140)),LOWER(LEFT($G140,1))&lt;&gt;"n"),"Not a valid distance",OR(LOWER(LEFT($G140,1))="n",$G140&lt;ScoringTable!$O$161),1,RIGHT($E140,1)="B",_xlfn.XLOOKUP($G140,ScoringTable!$O$2:$O$161,ScoringTable!$L$2:$L$161,,-1),TRUE,_xlfn.XLOOKUP($G140,ScoringTable!$U$2:$U$161,ScoringTable!$R$2:$R$161,,-1))</f>
        <v>0</v>
      </c>
    </row>
    <row r="141" spans="1:13" s="7" customFormat="1" ht="16" customHeight="1">
      <c r="A141" s="121" t="s">
        <v>81</v>
      </c>
      <c r="B141" s="122" t="str">
        <f>IF(ISNA(VLOOKUP($F141,Declarations!B$6:C$293,2,FALSE)),"",IF(VLOOKUP($F141,Declarations!B$6:C$293,2,FALSE)="","NOT DECLARED",IF(ISNA(_xlfn.TEXTBEFORE(VLOOKUP($F141,Declarations!B$6:C$293,2,FALSE)," ")),VLOOKUP($F141,Declarations!B$6:C$293,2,FALSE),_xlfn.TEXTBEFORE(VLOOKUP($F141,Declarations!B$6:C$293,2,FALSE)," "))))</f>
        <v/>
      </c>
      <c r="C141" s="122" t="str">
        <f>IF(ISNA(VLOOKUP($F141,Declarations!B$6:C$293,2,FALSE)),"",IF(VLOOKUP($F141,Declarations!B$6:C$293,2,FALSE)="","NOT DECLARED",IF(ISNA(_xlfn.TEXTAFTER(VLOOKUP($F141,Declarations!B$6:C$293,2,FALSE)," ")),VLOOKUP($F141,Declarations!B$6:C$293,2,FALSE),_xlfn.TEXTAFTER(VLOOKUP($F141,Declarations!B$6:C$293,2,FALSE)," "))))</f>
        <v/>
      </c>
      <c r="D141" s="122" t="str">
        <f>IF(ISNA(VLOOKUP($F141,Declarations!$B$6:$F$293,5,FALSE)),"",IF(VLOOKUP($F141,Declarations!$B$6:$F$293,5,FALSE)="","NOT DECLARED",VLOOKUP($F141,Declarations!$B$6:$F$293,5,FALSE)))</f>
        <v/>
      </c>
      <c r="E141" s="120" t="str">
        <f>IF(ISNA(VLOOKUP($F141,Declarations!$B$6:$D$293,3,FALSE)),"",IF(VLOOKUP($F141,Declarations!$B$6:$D$293,3,FALSE)="","NOT DECLARED",VLOOKUP($F141,Declarations!$B$6:$D$293,3,FALSE)&amp;LEFT(VLOOKUP($F141,Declarations!$B$6:$E$293,4,FALSE))))</f>
        <v/>
      </c>
      <c r="F141" s="59"/>
      <c r="G141" s="129"/>
      <c r="H141" s="129"/>
      <c r="I141" s="122" t="str">
        <f>IF(ISNA(VLOOKUP(F141,Declarations!B$6:C$293,2,FALSE)),"",IF(VLOOKUP(F141,Declarations!B$6:C$293,2,FALSE)="","NOT DECLARED",VLOOKUP(F141,Declarations!B$6:C$293,2,FALSE)))</f>
        <v/>
      </c>
      <c r="J141" s="120">
        <f>IF(LOWER(LEFT(G141,1))="n",1,VLOOKUP(G141,ScoringTable!D$2:I$95,6))</f>
        <v>0</v>
      </c>
      <c r="K141" s="120" t="str" cm="1">
        <f t="array" ref="K141">IF(OR(E141="",G141=""),"",_xlfn.IFS(E141="U10B",_xlfn.XLOOKUP(G141,Data!$D$5:$L$5,Data!$D$1:$L$1,"",-1,1),E141="U12B",_xlfn.XLOOKUP(G141,Data!$D$12:$L$12,Data!$D$1:$L$1,"",-1,1),E141="U10G",_xlfn.XLOOKUP(G141,Data!$D$18:$L$18,Data!$D$1:$L$1,"",-1,1),E141="U12G",_xlfn.XLOOKUP(G141,Data!$D$25:$L$25,Data!$D$1:$L$1,"",-1,1)))</f>
        <v/>
      </c>
      <c r="L141" s="184" t="str" cm="1">
        <f t="array" ref="L141">IFERROR(_xlfn.IFNA(
                      _xlfn.IFS(
                      G141="", "",
                      AND(E141="U10B",G141&gt;=Data!$M$5), "U10 Boys record",
                      AND(E141="U12B",G141&gt;=Data!$M$12), "U12 Boys record",
                      AND(E141="U10G",G141&gt;=Data!$M$18), "U10 Girls record",
                      AND(E141="U12G",G141&gt;=Data!$M$25), "U12 Girls record"
                       ),""), "")</f>
        <v/>
      </c>
      <c r="M141" s="19" cm="1">
        <f t="array" ref="M141">_xlfn.IFS($G141="",0, AND(NOT(ISNUMBER($G141)),LOWER(LEFT($G141,1))&lt;&gt;"n"),"Not a valid distance",OR(LOWER(LEFT($G141,1))="n",$G141&lt;ScoringTable!$O$161),1,RIGHT($E141,1)="B",_xlfn.XLOOKUP($G141,ScoringTable!$O$2:$O$161,ScoringTable!$L$2:$L$161,,-1),TRUE,_xlfn.XLOOKUP($G141,ScoringTable!$U$2:$U$161,ScoringTable!$R$2:$R$161,,-1))</f>
        <v>0</v>
      </c>
    </row>
    <row r="142" spans="1:13" s="7" customFormat="1" ht="16" customHeight="1">
      <c r="A142" s="121" t="s">
        <v>81</v>
      </c>
      <c r="B142" s="122" t="str">
        <f>IF(ISNA(VLOOKUP($F142,Declarations!B$6:C$293,2,FALSE)),"",IF(VLOOKUP($F142,Declarations!B$6:C$293,2,FALSE)="","NOT DECLARED",IF(ISNA(_xlfn.TEXTBEFORE(VLOOKUP($F142,Declarations!B$6:C$293,2,FALSE)," ")),VLOOKUP($F142,Declarations!B$6:C$293,2,FALSE),_xlfn.TEXTBEFORE(VLOOKUP($F142,Declarations!B$6:C$293,2,FALSE)," "))))</f>
        <v/>
      </c>
      <c r="C142" s="122" t="str">
        <f>IF(ISNA(VLOOKUP($F142,Declarations!B$6:C$293,2,FALSE)),"",IF(VLOOKUP($F142,Declarations!B$6:C$293,2,FALSE)="","NOT DECLARED",IF(ISNA(_xlfn.TEXTAFTER(VLOOKUP($F142,Declarations!B$6:C$293,2,FALSE)," ")),VLOOKUP($F142,Declarations!B$6:C$293,2,FALSE),_xlfn.TEXTAFTER(VLOOKUP($F142,Declarations!B$6:C$293,2,FALSE)," "))))</f>
        <v/>
      </c>
      <c r="D142" s="122" t="str">
        <f>IF(ISNA(VLOOKUP($F142,Declarations!$B$6:$F$293,5,FALSE)),"",IF(VLOOKUP($F142,Declarations!$B$6:$F$293,5,FALSE)="","NOT DECLARED",VLOOKUP($F142,Declarations!$B$6:$F$293,5,FALSE)))</f>
        <v/>
      </c>
      <c r="E142" s="120" t="str">
        <f>IF(ISNA(VLOOKUP($F142,Declarations!$B$6:$D$293,3,FALSE)),"",IF(VLOOKUP($F142,Declarations!$B$6:$D$293,3,FALSE)="","NOT DECLARED",VLOOKUP($F142,Declarations!$B$6:$D$293,3,FALSE)&amp;LEFT(VLOOKUP($F142,Declarations!$B$6:$E$293,4,FALSE))))</f>
        <v/>
      </c>
      <c r="F142" s="59"/>
      <c r="G142" s="129"/>
      <c r="H142" s="129"/>
      <c r="I142" s="122" t="str">
        <f>IF(ISNA(VLOOKUP(F142,Declarations!B$6:C$293,2,FALSE)),"",IF(VLOOKUP(F142,Declarations!B$6:C$293,2,FALSE)="","NOT DECLARED",VLOOKUP(F142,Declarations!B$6:C$293,2,FALSE)))</f>
        <v/>
      </c>
      <c r="J142" s="120">
        <f>IF(LOWER(LEFT(G142,1))="n",1,VLOOKUP(G142,ScoringTable!D$2:I$95,6))</f>
        <v>0</v>
      </c>
      <c r="K142" s="120" t="str" cm="1">
        <f t="array" ref="K142">IF(OR(E142="",G142=""),"",_xlfn.IFS(E142="U10B",_xlfn.XLOOKUP(G142,Data!$D$5:$L$5,Data!$D$1:$L$1,"",-1,1),E142="U12B",_xlfn.XLOOKUP(G142,Data!$D$12:$L$12,Data!$D$1:$L$1,"",-1,1),E142="U10G",_xlfn.XLOOKUP(G142,Data!$D$18:$L$18,Data!$D$1:$L$1,"",-1,1),E142="U12G",_xlfn.XLOOKUP(G142,Data!$D$25:$L$25,Data!$D$1:$L$1,"",-1,1)))</f>
        <v/>
      </c>
      <c r="L142" s="184" t="str" cm="1">
        <f t="array" ref="L142">IFERROR(_xlfn.IFNA(
                      _xlfn.IFS(
                      G142="", "",
                      AND(E142="U10B",G142&gt;=Data!$M$5), "U10 Boys record",
                      AND(E142="U12B",G142&gt;=Data!$M$12), "U12 Boys record",
                      AND(E142="U10G",G142&gt;=Data!$M$18), "U10 Girls record",
                      AND(E142="U12G",G142&gt;=Data!$M$25), "U12 Girls record"
                       ),""), "")</f>
        <v/>
      </c>
      <c r="M142" s="19" cm="1">
        <f t="array" ref="M142">_xlfn.IFS($G142="",0, AND(NOT(ISNUMBER($G142)),LOWER(LEFT($G142,1))&lt;&gt;"n"),"Not a valid distance",OR(LOWER(LEFT($G142,1))="n",$G142&lt;ScoringTable!$O$161),1,RIGHT($E142,1)="B",_xlfn.XLOOKUP($G142,ScoringTable!$O$2:$O$161,ScoringTable!$L$2:$L$161,,-1),TRUE,_xlfn.XLOOKUP($G142,ScoringTable!$U$2:$U$161,ScoringTable!$R$2:$R$161,,-1))</f>
        <v>0</v>
      </c>
    </row>
    <row r="143" spans="1:13" s="7" customFormat="1" ht="16" customHeight="1">
      <c r="A143" s="121" t="s">
        <v>81</v>
      </c>
      <c r="B143" s="122" t="str">
        <f>IF(ISNA(VLOOKUP($F143,Declarations!B$6:C$293,2,FALSE)),"",IF(VLOOKUP($F143,Declarations!B$6:C$293,2,FALSE)="","NOT DECLARED",IF(ISNA(_xlfn.TEXTBEFORE(VLOOKUP($F143,Declarations!B$6:C$293,2,FALSE)," ")),VLOOKUP($F143,Declarations!B$6:C$293,2,FALSE),_xlfn.TEXTBEFORE(VLOOKUP($F143,Declarations!B$6:C$293,2,FALSE)," "))))</f>
        <v/>
      </c>
      <c r="C143" s="122" t="str">
        <f>IF(ISNA(VLOOKUP($F143,Declarations!B$6:C$293,2,FALSE)),"",IF(VLOOKUP($F143,Declarations!B$6:C$293,2,FALSE)="","NOT DECLARED",IF(ISNA(_xlfn.TEXTAFTER(VLOOKUP($F143,Declarations!B$6:C$293,2,FALSE)," ")),VLOOKUP($F143,Declarations!B$6:C$293,2,FALSE),_xlfn.TEXTAFTER(VLOOKUP($F143,Declarations!B$6:C$293,2,FALSE)," "))))</f>
        <v/>
      </c>
      <c r="D143" s="122" t="str">
        <f>IF(ISNA(VLOOKUP($F143,Declarations!$B$6:$F$293,5,FALSE)),"",IF(VLOOKUP($F143,Declarations!$B$6:$F$293,5,FALSE)="","NOT DECLARED",VLOOKUP($F143,Declarations!$B$6:$F$293,5,FALSE)))</f>
        <v/>
      </c>
      <c r="E143" s="120" t="str">
        <f>IF(ISNA(VLOOKUP($F143,Declarations!$B$6:$D$293,3,FALSE)),"",IF(VLOOKUP($F143,Declarations!$B$6:$D$293,3,FALSE)="","NOT DECLARED",VLOOKUP($F143,Declarations!$B$6:$D$293,3,FALSE)&amp;LEFT(VLOOKUP($F143,Declarations!$B$6:$E$293,4,FALSE))))</f>
        <v/>
      </c>
      <c r="F143" s="59"/>
      <c r="G143" s="129"/>
      <c r="H143" s="129"/>
      <c r="I143" s="122" t="str">
        <f>IF(ISNA(VLOOKUP(F143,Declarations!B$6:C$293,2,FALSE)),"",IF(VLOOKUP(F143,Declarations!B$6:C$293,2,FALSE)="","NOT DECLARED",VLOOKUP(F143,Declarations!B$6:C$293,2,FALSE)))</f>
        <v/>
      </c>
      <c r="J143" s="120">
        <f>IF(LOWER(LEFT(G143,1))="n",1,VLOOKUP(G143,ScoringTable!D$2:I$95,6))</f>
        <v>0</v>
      </c>
      <c r="K143" s="120" t="str" cm="1">
        <f t="array" ref="K143">IF(OR(E143="",G143=""),"",_xlfn.IFS(E143="U10B",_xlfn.XLOOKUP(G143,Data!$D$5:$L$5,Data!$D$1:$L$1,"",-1,1),E143="U12B",_xlfn.XLOOKUP(G143,Data!$D$12:$L$12,Data!$D$1:$L$1,"",-1,1),E143="U10G",_xlfn.XLOOKUP(G143,Data!$D$18:$L$18,Data!$D$1:$L$1,"",-1,1),E143="U12G",_xlfn.XLOOKUP(G143,Data!$D$25:$L$25,Data!$D$1:$L$1,"",-1,1)))</f>
        <v/>
      </c>
      <c r="L143" s="184" t="str" cm="1">
        <f t="array" ref="L143">IFERROR(_xlfn.IFNA(
                      _xlfn.IFS(
                      G143="", "",
                      AND(E143="U10B",G143&gt;=Data!$M$5), "U10 Boys record",
                      AND(E143="U12B",G143&gt;=Data!$M$12), "U12 Boys record",
                      AND(E143="U10G",G143&gt;=Data!$M$18), "U10 Girls record",
                      AND(E143="U12G",G143&gt;=Data!$M$25), "U12 Girls record"
                       ),""), "")</f>
        <v/>
      </c>
      <c r="M143" s="19" cm="1">
        <f t="array" ref="M143">_xlfn.IFS($G143="",0, AND(NOT(ISNUMBER($G143)),LOWER(LEFT($G143,1))&lt;&gt;"n"),"Not a valid distance",OR(LOWER(LEFT($G143,1))="n",$G143&lt;ScoringTable!$O$161),1,RIGHT($E143,1)="B",_xlfn.XLOOKUP($G143,ScoringTable!$O$2:$O$161,ScoringTable!$L$2:$L$161,,-1),TRUE,_xlfn.XLOOKUP($G143,ScoringTable!$U$2:$U$161,ScoringTable!$R$2:$R$161,,-1))</f>
        <v>0</v>
      </c>
    </row>
    <row r="144" spans="1:13" s="7" customFormat="1" ht="16" customHeight="1">
      <c r="A144" s="121" t="s">
        <v>81</v>
      </c>
      <c r="B144" s="122" t="str">
        <f>IF(ISNA(VLOOKUP($F144,Declarations!B$6:C$293,2,FALSE)),"",IF(VLOOKUP($F144,Declarations!B$6:C$293,2,FALSE)="","NOT DECLARED",IF(ISNA(_xlfn.TEXTBEFORE(VLOOKUP($F144,Declarations!B$6:C$293,2,FALSE)," ")),VLOOKUP($F144,Declarations!B$6:C$293,2,FALSE),_xlfn.TEXTBEFORE(VLOOKUP($F144,Declarations!B$6:C$293,2,FALSE)," "))))</f>
        <v/>
      </c>
      <c r="C144" s="122" t="str">
        <f>IF(ISNA(VLOOKUP($F144,Declarations!B$6:C$293,2,FALSE)),"",IF(VLOOKUP($F144,Declarations!B$6:C$293,2,FALSE)="","NOT DECLARED",IF(ISNA(_xlfn.TEXTAFTER(VLOOKUP($F144,Declarations!B$6:C$293,2,FALSE)," ")),VLOOKUP($F144,Declarations!B$6:C$293,2,FALSE),_xlfn.TEXTAFTER(VLOOKUP($F144,Declarations!B$6:C$293,2,FALSE)," "))))</f>
        <v/>
      </c>
      <c r="D144" s="122" t="str">
        <f>IF(ISNA(VLOOKUP($F144,Declarations!$B$6:$F$293,5,FALSE)),"",IF(VLOOKUP($F144,Declarations!$B$6:$F$293,5,FALSE)="","NOT DECLARED",VLOOKUP($F144,Declarations!$B$6:$F$293,5,FALSE)))</f>
        <v/>
      </c>
      <c r="E144" s="120" t="str">
        <f>IF(ISNA(VLOOKUP($F144,Declarations!$B$6:$D$293,3,FALSE)),"",IF(VLOOKUP($F144,Declarations!$B$6:$D$293,3,FALSE)="","NOT DECLARED",VLOOKUP($F144,Declarations!$B$6:$D$293,3,FALSE)&amp;LEFT(VLOOKUP($F144,Declarations!$B$6:$E$293,4,FALSE))))</f>
        <v/>
      </c>
      <c r="F144" s="59"/>
      <c r="G144" s="129"/>
      <c r="H144" s="129"/>
      <c r="I144" s="122" t="str">
        <f>IF(ISNA(VLOOKUP(F144,Declarations!B$6:C$293,2,FALSE)),"",IF(VLOOKUP(F144,Declarations!B$6:C$293,2,FALSE)="","NOT DECLARED",VLOOKUP(F144,Declarations!B$6:C$293,2,FALSE)))</f>
        <v/>
      </c>
      <c r="J144" s="120">
        <f>IF(LOWER(LEFT(G144,1))="n",1,VLOOKUP(G144,ScoringTable!D$2:I$95,6))</f>
        <v>0</v>
      </c>
      <c r="K144" s="120" t="str" cm="1">
        <f t="array" ref="K144">IF(OR(E144="",G144=""),"",_xlfn.IFS(E144="U10B",_xlfn.XLOOKUP(G144,Data!$D$5:$L$5,Data!$D$1:$L$1,"",-1,1),E144="U12B",_xlfn.XLOOKUP(G144,Data!$D$12:$L$12,Data!$D$1:$L$1,"",-1,1),E144="U10G",_xlfn.XLOOKUP(G144,Data!$D$18:$L$18,Data!$D$1:$L$1,"",-1,1),E144="U12G",_xlfn.XLOOKUP(G144,Data!$D$25:$L$25,Data!$D$1:$L$1,"",-1,1)))</f>
        <v/>
      </c>
      <c r="L144" s="184" t="str" cm="1">
        <f t="array" ref="L144">IFERROR(_xlfn.IFNA(
                      _xlfn.IFS(
                      G144="", "",
                      AND(E144="U10B",G144&gt;=Data!$M$5), "U10 Boys record",
                      AND(E144="U12B",G144&gt;=Data!$M$12), "U12 Boys record",
                      AND(E144="U10G",G144&gt;=Data!$M$18), "U10 Girls record",
                      AND(E144="U12G",G144&gt;=Data!$M$25), "U12 Girls record"
                       ),""), "")</f>
        <v/>
      </c>
      <c r="M144" s="19" cm="1">
        <f t="array" ref="M144">_xlfn.IFS($G144="",0, AND(NOT(ISNUMBER($G144)),LOWER(LEFT($G144,1))&lt;&gt;"n"),"Not a valid distance",OR(LOWER(LEFT($G144,1))="n",$G144&lt;ScoringTable!$O$161),1,RIGHT($E144,1)="B",_xlfn.XLOOKUP($G144,ScoringTable!$O$2:$O$161,ScoringTable!$L$2:$L$161,,-1),TRUE,_xlfn.XLOOKUP($G144,ScoringTable!$U$2:$U$161,ScoringTable!$R$2:$R$161,,-1))</f>
        <v>0</v>
      </c>
    </row>
    <row r="145" spans="1:13" s="7" customFormat="1" ht="16" customHeight="1">
      <c r="A145" s="121" t="s">
        <v>81</v>
      </c>
      <c r="B145" s="122" t="str">
        <f>IF(ISNA(VLOOKUP($F145,Declarations!B$6:C$293,2,FALSE)),"",IF(VLOOKUP($F145,Declarations!B$6:C$293,2,FALSE)="","NOT DECLARED",IF(ISNA(_xlfn.TEXTBEFORE(VLOOKUP($F145,Declarations!B$6:C$293,2,FALSE)," ")),VLOOKUP($F145,Declarations!B$6:C$293,2,FALSE),_xlfn.TEXTBEFORE(VLOOKUP($F145,Declarations!B$6:C$293,2,FALSE)," "))))</f>
        <v/>
      </c>
      <c r="C145" s="122" t="str">
        <f>IF(ISNA(VLOOKUP($F145,Declarations!B$6:C$293,2,FALSE)),"",IF(VLOOKUP($F145,Declarations!B$6:C$293,2,FALSE)="","NOT DECLARED",IF(ISNA(_xlfn.TEXTAFTER(VLOOKUP($F145,Declarations!B$6:C$293,2,FALSE)," ")),VLOOKUP($F145,Declarations!B$6:C$293,2,FALSE),_xlfn.TEXTAFTER(VLOOKUP($F145,Declarations!B$6:C$293,2,FALSE)," "))))</f>
        <v/>
      </c>
      <c r="D145" s="122" t="str">
        <f>IF(ISNA(VLOOKUP($F145,Declarations!$B$6:$F$293,5,FALSE)),"",IF(VLOOKUP($F145,Declarations!$B$6:$F$293,5,FALSE)="","NOT DECLARED",VLOOKUP($F145,Declarations!$B$6:$F$293,5,FALSE)))</f>
        <v/>
      </c>
      <c r="E145" s="120" t="str">
        <f>IF(ISNA(VLOOKUP($F145,Declarations!$B$6:$D$293,3,FALSE)),"",IF(VLOOKUP($F145,Declarations!$B$6:$D$293,3,FALSE)="","NOT DECLARED",VLOOKUP($F145,Declarations!$B$6:$D$293,3,FALSE)&amp;LEFT(VLOOKUP($F145,Declarations!$B$6:$E$293,4,FALSE))))</f>
        <v/>
      </c>
      <c r="F145" s="59"/>
      <c r="G145" s="129"/>
      <c r="H145" s="129"/>
      <c r="I145" s="122" t="str">
        <f>IF(ISNA(VLOOKUP(F145,Declarations!B$6:C$293,2,FALSE)),"",IF(VLOOKUP(F145,Declarations!B$6:C$293,2,FALSE)="","NOT DECLARED",VLOOKUP(F145,Declarations!B$6:C$293,2,FALSE)))</f>
        <v/>
      </c>
      <c r="J145" s="120">
        <f>IF(LOWER(LEFT(G145,1))="n",1,VLOOKUP(G145,ScoringTable!D$2:I$95,6))</f>
        <v>0</v>
      </c>
      <c r="K145" s="120" t="str" cm="1">
        <f t="array" ref="K145">IF(OR(E145="",G145=""),"",_xlfn.IFS(E145="U10B",_xlfn.XLOOKUP(G145,Data!$D$5:$L$5,Data!$D$1:$L$1,"",-1,1),E145="U12B",_xlfn.XLOOKUP(G145,Data!$D$12:$L$12,Data!$D$1:$L$1,"",-1,1),E145="U10G",_xlfn.XLOOKUP(G145,Data!$D$18:$L$18,Data!$D$1:$L$1,"",-1,1),E145="U12G",_xlfn.XLOOKUP(G145,Data!$D$25:$L$25,Data!$D$1:$L$1,"",-1,1)))</f>
        <v/>
      </c>
      <c r="L145" s="184" t="str" cm="1">
        <f t="array" ref="L145">IFERROR(_xlfn.IFNA(
                      _xlfn.IFS(
                      G145="", "",
                      AND(E145="U10B",G145&gt;=Data!$M$5), "U10 Boys record",
                      AND(E145="U12B",G145&gt;=Data!$M$12), "U12 Boys record",
                      AND(E145="U10G",G145&gt;=Data!$M$18), "U10 Girls record",
                      AND(E145="U12G",G145&gt;=Data!$M$25), "U12 Girls record"
                       ),""), "")</f>
        <v/>
      </c>
      <c r="M145" s="19" cm="1">
        <f t="array" ref="M145">_xlfn.IFS($G145="",0, AND(NOT(ISNUMBER($G145)),LOWER(LEFT($G145,1))&lt;&gt;"n"),"Not a valid distance",OR(LOWER(LEFT($G145,1))="n",$G145&lt;ScoringTable!$O$161),1,RIGHT($E145,1)="B",_xlfn.XLOOKUP($G145,ScoringTable!$O$2:$O$161,ScoringTable!$L$2:$L$161,,-1),TRUE,_xlfn.XLOOKUP($G145,ScoringTable!$U$2:$U$161,ScoringTable!$R$2:$R$161,,-1))</f>
        <v>0</v>
      </c>
    </row>
    <row r="146" spans="1:13" s="7" customFormat="1" ht="16" customHeight="1">
      <c r="A146" s="121" t="s">
        <v>81</v>
      </c>
      <c r="B146" s="122" t="str">
        <f>IF(ISNA(VLOOKUP($F146,Declarations!B$6:C$293,2,FALSE)),"",IF(VLOOKUP($F146,Declarations!B$6:C$293,2,FALSE)="","NOT DECLARED",IF(ISNA(_xlfn.TEXTBEFORE(VLOOKUP($F146,Declarations!B$6:C$293,2,FALSE)," ")),VLOOKUP($F146,Declarations!B$6:C$293,2,FALSE),_xlfn.TEXTBEFORE(VLOOKUP($F146,Declarations!B$6:C$293,2,FALSE)," "))))</f>
        <v/>
      </c>
      <c r="C146" s="122" t="str">
        <f>IF(ISNA(VLOOKUP($F146,Declarations!B$6:C$293,2,FALSE)),"",IF(VLOOKUP($F146,Declarations!B$6:C$293,2,FALSE)="","NOT DECLARED",IF(ISNA(_xlfn.TEXTAFTER(VLOOKUP($F146,Declarations!B$6:C$293,2,FALSE)," ")),VLOOKUP($F146,Declarations!B$6:C$293,2,FALSE),_xlfn.TEXTAFTER(VLOOKUP($F146,Declarations!B$6:C$293,2,FALSE)," "))))</f>
        <v/>
      </c>
      <c r="D146" s="122" t="str">
        <f>IF(ISNA(VLOOKUP($F146,Declarations!$B$6:$F$293,5,FALSE)),"",IF(VLOOKUP($F146,Declarations!$B$6:$F$293,5,FALSE)="","NOT DECLARED",VLOOKUP($F146,Declarations!$B$6:$F$293,5,FALSE)))</f>
        <v/>
      </c>
      <c r="E146" s="120" t="str">
        <f>IF(ISNA(VLOOKUP($F146,Declarations!$B$6:$D$293,3,FALSE)),"",IF(VLOOKUP($F146,Declarations!$B$6:$D$293,3,FALSE)="","NOT DECLARED",VLOOKUP($F146,Declarations!$B$6:$D$293,3,FALSE)&amp;LEFT(VLOOKUP($F146,Declarations!$B$6:$E$293,4,FALSE))))</f>
        <v/>
      </c>
      <c r="F146" s="59"/>
      <c r="G146" s="129"/>
      <c r="H146" s="129"/>
      <c r="I146" s="122" t="str">
        <f>IF(ISNA(VLOOKUP(F146,Declarations!B$6:C$293,2,FALSE)),"",IF(VLOOKUP(F146,Declarations!B$6:C$293,2,FALSE)="","NOT DECLARED",VLOOKUP(F146,Declarations!B$6:C$293,2,FALSE)))</f>
        <v/>
      </c>
      <c r="J146" s="120">
        <f>IF(LOWER(LEFT(G146,1))="n",1,VLOOKUP(G146,ScoringTable!D$2:I$95,6))</f>
        <v>0</v>
      </c>
      <c r="K146" s="120" t="str" cm="1">
        <f t="array" ref="K146">IF(OR(E146="",G146=""),"",_xlfn.IFS(E146="U10B",_xlfn.XLOOKUP(G146,Data!$D$5:$L$5,Data!$D$1:$L$1,"",-1,1),E146="U12B",_xlfn.XLOOKUP(G146,Data!$D$12:$L$12,Data!$D$1:$L$1,"",-1,1),E146="U10G",_xlfn.XLOOKUP(G146,Data!$D$18:$L$18,Data!$D$1:$L$1,"",-1,1),E146="U12G",_xlfn.XLOOKUP(G146,Data!$D$25:$L$25,Data!$D$1:$L$1,"",-1,1)))</f>
        <v/>
      </c>
      <c r="L146" s="184" t="str" cm="1">
        <f t="array" ref="L146">IFERROR(_xlfn.IFNA(
                      _xlfn.IFS(
                      G146="", "",
                      AND(E146="U10B",G146&gt;=Data!$M$5), "U10 Boys record",
                      AND(E146="U12B",G146&gt;=Data!$M$12), "U12 Boys record",
                      AND(E146="U10G",G146&gt;=Data!$M$18), "U10 Girls record",
                      AND(E146="U12G",G146&gt;=Data!$M$25), "U12 Girls record"
                       ),""), "")</f>
        <v/>
      </c>
      <c r="M146" s="19" cm="1">
        <f t="array" ref="M146">_xlfn.IFS($G146="",0, AND(NOT(ISNUMBER($G146)),LOWER(LEFT($G146,1))&lt;&gt;"n"),"Not a valid distance",OR(LOWER(LEFT($G146,1))="n",$G146&lt;ScoringTable!$O$161),1,RIGHT($E146,1)="B",_xlfn.XLOOKUP($G146,ScoringTable!$O$2:$O$161,ScoringTable!$L$2:$L$161,,-1),TRUE,_xlfn.XLOOKUP($G146,ScoringTable!$U$2:$U$161,ScoringTable!$R$2:$R$161,,-1))</f>
        <v>0</v>
      </c>
    </row>
    <row r="147" spans="1:13" s="7" customFormat="1" ht="16" customHeight="1">
      <c r="A147" s="121" t="s">
        <v>81</v>
      </c>
      <c r="B147" s="122" t="str">
        <f>IF(ISNA(VLOOKUP($F147,Declarations!B$6:C$293,2,FALSE)),"",IF(VLOOKUP($F147,Declarations!B$6:C$293,2,FALSE)="","NOT DECLARED",IF(ISNA(_xlfn.TEXTBEFORE(VLOOKUP($F147,Declarations!B$6:C$293,2,FALSE)," ")),VLOOKUP($F147,Declarations!B$6:C$293,2,FALSE),_xlfn.TEXTBEFORE(VLOOKUP($F147,Declarations!B$6:C$293,2,FALSE)," "))))</f>
        <v/>
      </c>
      <c r="C147" s="122" t="str">
        <f>IF(ISNA(VLOOKUP($F147,Declarations!B$6:C$293,2,FALSE)),"",IF(VLOOKUP($F147,Declarations!B$6:C$293,2,FALSE)="","NOT DECLARED",IF(ISNA(_xlfn.TEXTAFTER(VLOOKUP($F147,Declarations!B$6:C$293,2,FALSE)," ")),VLOOKUP($F147,Declarations!B$6:C$293,2,FALSE),_xlfn.TEXTAFTER(VLOOKUP($F147,Declarations!B$6:C$293,2,FALSE)," "))))</f>
        <v/>
      </c>
      <c r="D147" s="122" t="str">
        <f>IF(ISNA(VLOOKUP($F147,Declarations!$B$6:$F$293,5,FALSE)),"",IF(VLOOKUP($F147,Declarations!$B$6:$F$293,5,FALSE)="","NOT DECLARED",VLOOKUP($F147,Declarations!$B$6:$F$293,5,FALSE)))</f>
        <v/>
      </c>
      <c r="E147" s="120" t="str">
        <f>IF(ISNA(VLOOKUP($F147,Declarations!$B$6:$D$293,3,FALSE)),"",IF(VLOOKUP($F147,Declarations!$B$6:$D$293,3,FALSE)="","NOT DECLARED",VLOOKUP($F147,Declarations!$B$6:$D$293,3,FALSE)&amp;LEFT(VLOOKUP($F147,Declarations!$B$6:$E$293,4,FALSE))))</f>
        <v/>
      </c>
      <c r="F147" s="59"/>
      <c r="G147" s="129"/>
      <c r="H147" s="129"/>
      <c r="I147" s="122" t="str">
        <f>IF(ISNA(VLOOKUP(F147,Declarations!B$6:C$293,2,FALSE)),"",IF(VLOOKUP(F147,Declarations!B$6:C$293,2,FALSE)="","NOT DECLARED",VLOOKUP(F147,Declarations!B$6:C$293,2,FALSE)))</f>
        <v/>
      </c>
      <c r="J147" s="120">
        <f>IF(LOWER(LEFT(G147,1))="n",1,VLOOKUP(G147,ScoringTable!D$2:I$95,6))</f>
        <v>0</v>
      </c>
      <c r="K147" s="120" t="str" cm="1">
        <f t="array" ref="K147">IF(OR(E147="",G147=""),"",_xlfn.IFS(E147="U10B",_xlfn.XLOOKUP(G147,Data!$D$5:$L$5,Data!$D$1:$L$1,"",-1,1),E147="U12B",_xlfn.XLOOKUP(G147,Data!$D$12:$L$12,Data!$D$1:$L$1,"",-1,1),E147="U10G",_xlfn.XLOOKUP(G147,Data!$D$18:$L$18,Data!$D$1:$L$1,"",-1,1),E147="U12G",_xlfn.XLOOKUP(G147,Data!$D$25:$L$25,Data!$D$1:$L$1,"",-1,1)))</f>
        <v/>
      </c>
      <c r="L147" s="184" t="str" cm="1">
        <f t="array" ref="L147">IFERROR(_xlfn.IFNA(
                      _xlfn.IFS(
                      G147="", "",
                      AND(E147="U10B",G147&gt;=Data!$M$5), "U10 Boys record",
                      AND(E147="U12B",G147&gt;=Data!$M$12), "U12 Boys record",
                      AND(E147="U10G",G147&gt;=Data!$M$18), "U10 Girls record",
                      AND(E147="U12G",G147&gt;=Data!$M$25), "U12 Girls record"
                       ),""), "")</f>
        <v/>
      </c>
      <c r="M147" s="19" cm="1">
        <f t="array" ref="M147">_xlfn.IFS($G147="",0, AND(NOT(ISNUMBER($G147)),LOWER(LEFT($G147,1))&lt;&gt;"n"),"Not a valid distance",OR(LOWER(LEFT($G147,1))="n",$G147&lt;ScoringTable!$O$161),1,RIGHT($E147,1)="B",_xlfn.XLOOKUP($G147,ScoringTable!$O$2:$O$161,ScoringTable!$L$2:$L$161,,-1),TRUE,_xlfn.XLOOKUP($G147,ScoringTable!$U$2:$U$161,ScoringTable!$R$2:$R$161,,-1))</f>
        <v>0</v>
      </c>
    </row>
    <row r="148" spans="1:13" s="7" customFormat="1" ht="16" customHeight="1">
      <c r="A148" s="121" t="s">
        <v>81</v>
      </c>
      <c r="B148" s="122" t="str">
        <f>IF(ISNA(VLOOKUP($F148,Declarations!B$6:C$293,2,FALSE)),"",IF(VLOOKUP($F148,Declarations!B$6:C$293,2,FALSE)="","NOT DECLARED",IF(ISNA(_xlfn.TEXTBEFORE(VLOOKUP($F148,Declarations!B$6:C$293,2,FALSE)," ")),VLOOKUP($F148,Declarations!B$6:C$293,2,FALSE),_xlfn.TEXTBEFORE(VLOOKUP($F148,Declarations!B$6:C$293,2,FALSE)," "))))</f>
        <v/>
      </c>
      <c r="C148" s="122" t="str">
        <f>IF(ISNA(VLOOKUP($F148,Declarations!B$6:C$293,2,FALSE)),"",IF(VLOOKUP($F148,Declarations!B$6:C$293,2,FALSE)="","NOT DECLARED",IF(ISNA(_xlfn.TEXTAFTER(VLOOKUP($F148,Declarations!B$6:C$293,2,FALSE)," ")),VLOOKUP($F148,Declarations!B$6:C$293,2,FALSE),_xlfn.TEXTAFTER(VLOOKUP($F148,Declarations!B$6:C$293,2,FALSE)," "))))</f>
        <v/>
      </c>
      <c r="D148" s="122" t="str">
        <f>IF(ISNA(VLOOKUP($F148,Declarations!$B$6:$F$293,5,FALSE)),"",IF(VLOOKUP($F148,Declarations!$B$6:$F$293,5,FALSE)="","NOT DECLARED",VLOOKUP($F148,Declarations!$B$6:$F$293,5,FALSE)))</f>
        <v/>
      </c>
      <c r="E148" s="120" t="str">
        <f>IF(ISNA(VLOOKUP($F148,Declarations!$B$6:$D$293,3,FALSE)),"",IF(VLOOKUP($F148,Declarations!$B$6:$D$293,3,FALSE)="","NOT DECLARED",VLOOKUP($F148,Declarations!$B$6:$D$293,3,FALSE)&amp;LEFT(VLOOKUP($F148,Declarations!$B$6:$E$293,4,FALSE))))</f>
        <v/>
      </c>
      <c r="F148" s="59"/>
      <c r="G148" s="129"/>
      <c r="H148" s="129"/>
      <c r="I148" s="122" t="str">
        <f>IF(ISNA(VLOOKUP(F148,Declarations!B$6:C$293,2,FALSE)),"",IF(VLOOKUP(F148,Declarations!B$6:C$293,2,FALSE)="","NOT DECLARED",VLOOKUP(F148,Declarations!B$6:C$293,2,FALSE)))</f>
        <v/>
      </c>
      <c r="J148" s="120">
        <f>IF(LOWER(LEFT(G148,1))="n",1,VLOOKUP(G148,ScoringTable!D$2:I$95,6))</f>
        <v>0</v>
      </c>
      <c r="K148" s="120" t="str" cm="1">
        <f t="array" ref="K148">IF(OR(E148="",G148=""),"",_xlfn.IFS(E148="U10B",_xlfn.XLOOKUP(G148,Data!$D$5:$L$5,Data!$D$1:$L$1,"",-1,1),E148="U12B",_xlfn.XLOOKUP(G148,Data!$D$12:$L$12,Data!$D$1:$L$1,"",-1,1),E148="U10G",_xlfn.XLOOKUP(G148,Data!$D$18:$L$18,Data!$D$1:$L$1,"",-1,1),E148="U12G",_xlfn.XLOOKUP(G148,Data!$D$25:$L$25,Data!$D$1:$L$1,"",-1,1)))</f>
        <v/>
      </c>
      <c r="L148" s="184" t="str" cm="1">
        <f t="array" ref="L148">IFERROR(_xlfn.IFNA(
                      _xlfn.IFS(
                      G148="", "",
                      AND(E148="U10B",G148&gt;=Data!$M$5), "U10 Boys record",
                      AND(E148="U12B",G148&gt;=Data!$M$12), "U12 Boys record",
                      AND(E148="U10G",G148&gt;=Data!$M$18), "U10 Girls record",
                      AND(E148="U12G",G148&gt;=Data!$M$25), "U12 Girls record"
                       ),""), "")</f>
        <v/>
      </c>
      <c r="M148" s="19" cm="1">
        <f t="array" ref="M148">_xlfn.IFS($G148="",0, AND(NOT(ISNUMBER($G148)),LOWER(LEFT($G148,1))&lt;&gt;"n"),"Not a valid distance",OR(LOWER(LEFT($G148,1))="n",$G148&lt;ScoringTable!$O$161),1,RIGHT($E148,1)="B",_xlfn.XLOOKUP($G148,ScoringTable!$O$2:$O$161,ScoringTable!$L$2:$L$161,,-1),TRUE,_xlfn.XLOOKUP($G148,ScoringTable!$U$2:$U$161,ScoringTable!$R$2:$R$161,,-1))</f>
        <v>0</v>
      </c>
    </row>
    <row r="149" spans="1:13" s="7" customFormat="1" ht="16" customHeight="1">
      <c r="A149" s="121" t="s">
        <v>81</v>
      </c>
      <c r="B149" s="122" t="str">
        <f>IF(ISNA(VLOOKUP($F149,Declarations!B$6:C$293,2,FALSE)),"",IF(VLOOKUP($F149,Declarations!B$6:C$293,2,FALSE)="","NOT DECLARED",IF(ISNA(_xlfn.TEXTBEFORE(VLOOKUP($F149,Declarations!B$6:C$293,2,FALSE)," ")),VLOOKUP($F149,Declarations!B$6:C$293,2,FALSE),_xlfn.TEXTBEFORE(VLOOKUP($F149,Declarations!B$6:C$293,2,FALSE)," "))))</f>
        <v/>
      </c>
      <c r="C149" s="122" t="str">
        <f>IF(ISNA(VLOOKUP($F149,Declarations!B$6:C$293,2,FALSE)),"",IF(VLOOKUP($F149,Declarations!B$6:C$293,2,FALSE)="","NOT DECLARED",IF(ISNA(_xlfn.TEXTAFTER(VLOOKUP($F149,Declarations!B$6:C$293,2,FALSE)," ")),VLOOKUP($F149,Declarations!B$6:C$293,2,FALSE),_xlfn.TEXTAFTER(VLOOKUP($F149,Declarations!B$6:C$293,2,FALSE)," "))))</f>
        <v/>
      </c>
      <c r="D149" s="122" t="str">
        <f>IF(ISNA(VLOOKUP($F149,Declarations!$B$6:$F$293,5,FALSE)),"",IF(VLOOKUP($F149,Declarations!$B$6:$F$293,5,FALSE)="","NOT DECLARED",VLOOKUP($F149,Declarations!$B$6:$F$293,5,FALSE)))</f>
        <v/>
      </c>
      <c r="E149" s="120" t="str">
        <f>IF(ISNA(VLOOKUP($F149,Declarations!$B$6:$D$293,3,FALSE)),"",IF(VLOOKUP($F149,Declarations!$B$6:$D$293,3,FALSE)="","NOT DECLARED",VLOOKUP($F149,Declarations!$B$6:$D$293,3,FALSE)&amp;LEFT(VLOOKUP($F149,Declarations!$B$6:$E$293,4,FALSE))))</f>
        <v/>
      </c>
      <c r="F149" s="59"/>
      <c r="G149" s="129"/>
      <c r="H149" s="129"/>
      <c r="I149" s="122" t="str">
        <f>IF(ISNA(VLOOKUP(F149,Declarations!B$6:C$293,2,FALSE)),"",IF(VLOOKUP(F149,Declarations!B$6:C$293,2,FALSE)="","NOT DECLARED",VLOOKUP(F149,Declarations!B$6:C$293,2,FALSE)))</f>
        <v/>
      </c>
      <c r="J149" s="120">
        <f>IF(LOWER(LEFT(G149,1))="n",1,VLOOKUP(G149,ScoringTable!D$2:I$95,6))</f>
        <v>0</v>
      </c>
      <c r="K149" s="120" t="str" cm="1">
        <f t="array" ref="K149">IF(OR(E149="",G149=""),"",_xlfn.IFS(E149="U10B",_xlfn.XLOOKUP(G149,Data!$D$5:$L$5,Data!$D$1:$L$1,"",-1,1),E149="U12B",_xlfn.XLOOKUP(G149,Data!$D$12:$L$12,Data!$D$1:$L$1,"",-1,1),E149="U10G",_xlfn.XLOOKUP(G149,Data!$D$18:$L$18,Data!$D$1:$L$1,"",-1,1),E149="U12G",_xlfn.XLOOKUP(G149,Data!$D$25:$L$25,Data!$D$1:$L$1,"",-1,1)))</f>
        <v/>
      </c>
      <c r="L149" s="184" t="str" cm="1">
        <f t="array" ref="L149">IFERROR(_xlfn.IFNA(
                      _xlfn.IFS(
                      G149="", "",
                      AND(E149="U10B",G149&gt;=Data!$M$5), "U10 Boys record",
                      AND(E149="U12B",G149&gt;=Data!$M$12), "U12 Boys record",
                      AND(E149="U10G",G149&gt;=Data!$M$18), "U10 Girls record",
                      AND(E149="U12G",G149&gt;=Data!$M$25), "U12 Girls record"
                       ),""), "")</f>
        <v/>
      </c>
      <c r="M149" s="19" cm="1">
        <f t="array" ref="M149">_xlfn.IFS($G149="",0, AND(NOT(ISNUMBER($G149)),LOWER(LEFT($G149,1))&lt;&gt;"n"),"Not a valid distance",OR(LOWER(LEFT($G149,1))="n",$G149&lt;ScoringTable!$O$161),1,RIGHT($E149,1)="B",_xlfn.XLOOKUP($G149,ScoringTable!$O$2:$O$161,ScoringTable!$L$2:$L$161,,-1),TRUE,_xlfn.XLOOKUP($G149,ScoringTable!$U$2:$U$161,ScoringTable!$R$2:$R$161,,-1))</f>
        <v>0</v>
      </c>
    </row>
    <row r="150" spans="1:13" s="7" customFormat="1" ht="16" customHeight="1">
      <c r="A150" s="121" t="s">
        <v>81</v>
      </c>
      <c r="B150" s="122" t="str">
        <f>IF(ISNA(VLOOKUP($F150,Declarations!B$6:C$293,2,FALSE)),"",IF(VLOOKUP($F150,Declarations!B$6:C$293,2,FALSE)="","NOT DECLARED",IF(ISNA(_xlfn.TEXTBEFORE(VLOOKUP($F150,Declarations!B$6:C$293,2,FALSE)," ")),VLOOKUP($F150,Declarations!B$6:C$293,2,FALSE),_xlfn.TEXTBEFORE(VLOOKUP($F150,Declarations!B$6:C$293,2,FALSE)," "))))</f>
        <v/>
      </c>
      <c r="C150" s="122" t="str">
        <f>IF(ISNA(VLOOKUP($F150,Declarations!B$6:C$293,2,FALSE)),"",IF(VLOOKUP($F150,Declarations!B$6:C$293,2,FALSE)="","NOT DECLARED",IF(ISNA(_xlfn.TEXTAFTER(VLOOKUP($F150,Declarations!B$6:C$293,2,FALSE)," ")),VLOOKUP($F150,Declarations!B$6:C$293,2,FALSE),_xlfn.TEXTAFTER(VLOOKUP($F150,Declarations!B$6:C$293,2,FALSE)," "))))</f>
        <v/>
      </c>
      <c r="D150" s="122" t="str">
        <f>IF(ISNA(VLOOKUP($F150,Declarations!$B$6:$F$293,5,FALSE)),"",IF(VLOOKUP($F150,Declarations!$B$6:$F$293,5,FALSE)="","NOT DECLARED",VLOOKUP($F150,Declarations!$B$6:$F$293,5,FALSE)))</f>
        <v/>
      </c>
      <c r="E150" s="120" t="str">
        <f>IF(ISNA(VLOOKUP($F150,Declarations!$B$6:$D$293,3,FALSE)),"",IF(VLOOKUP($F150,Declarations!$B$6:$D$293,3,FALSE)="","NOT DECLARED",VLOOKUP($F150,Declarations!$B$6:$D$293,3,FALSE)&amp;LEFT(VLOOKUP($F150,Declarations!$B$6:$E$293,4,FALSE))))</f>
        <v/>
      </c>
      <c r="F150" s="59"/>
      <c r="G150" s="129"/>
      <c r="H150" s="129"/>
      <c r="I150" s="122" t="str">
        <f>IF(ISNA(VLOOKUP(F150,Declarations!B$6:C$293,2,FALSE)),"",IF(VLOOKUP(F150,Declarations!B$6:C$293,2,FALSE)="","NOT DECLARED",VLOOKUP(F150,Declarations!B$6:C$293,2,FALSE)))</f>
        <v/>
      </c>
      <c r="J150" s="120">
        <f>IF(LOWER(LEFT(G150,1))="n",1,VLOOKUP(G150,ScoringTable!D$2:I$95,6))</f>
        <v>0</v>
      </c>
      <c r="K150" s="120" t="str" cm="1">
        <f t="array" ref="K150">IF(OR(E150="",G150=""),"",_xlfn.IFS(E150="U10B",_xlfn.XLOOKUP(G150,Data!$D$5:$L$5,Data!$D$1:$L$1,"",-1,1),E150="U12B",_xlfn.XLOOKUP(G150,Data!$D$12:$L$12,Data!$D$1:$L$1,"",-1,1),E150="U10G",_xlfn.XLOOKUP(G150,Data!$D$18:$L$18,Data!$D$1:$L$1,"",-1,1),E150="U12G",_xlfn.XLOOKUP(G150,Data!$D$25:$L$25,Data!$D$1:$L$1,"",-1,1)))</f>
        <v/>
      </c>
      <c r="L150" s="184" t="str" cm="1">
        <f t="array" ref="L150">IFERROR(_xlfn.IFNA(
                      _xlfn.IFS(
                      G150="", "",
                      AND(E150="U10B",G150&gt;=Data!$M$5), "U10 Boys record",
                      AND(E150="U12B",G150&gt;=Data!$M$12), "U12 Boys record",
                      AND(E150="U10G",G150&gt;=Data!$M$18), "U10 Girls record",
                      AND(E150="U12G",G150&gt;=Data!$M$25), "U12 Girls record"
                       ),""), "")</f>
        <v/>
      </c>
      <c r="M150" s="19" cm="1">
        <f t="array" ref="M150">_xlfn.IFS($G150="",0, AND(NOT(ISNUMBER($G150)),LOWER(LEFT($G150,1))&lt;&gt;"n"),"Not a valid distance",OR(LOWER(LEFT($G150,1))="n",$G150&lt;ScoringTable!$O$161),1,RIGHT($E150,1)="B",_xlfn.XLOOKUP($G150,ScoringTable!$O$2:$O$161,ScoringTable!$L$2:$L$161,,-1),TRUE,_xlfn.XLOOKUP($G150,ScoringTable!$U$2:$U$161,ScoringTable!$R$2:$R$161,,-1))</f>
        <v>0</v>
      </c>
    </row>
    <row r="151" spans="1:13" s="7" customFormat="1" ht="16" customHeight="1">
      <c r="A151" s="121" t="s">
        <v>81</v>
      </c>
      <c r="B151" s="122" t="str">
        <f>IF(ISNA(VLOOKUP($F151,Declarations!B$6:C$293,2,FALSE)),"",IF(VLOOKUP($F151,Declarations!B$6:C$293,2,FALSE)="","NOT DECLARED",IF(ISNA(_xlfn.TEXTBEFORE(VLOOKUP($F151,Declarations!B$6:C$293,2,FALSE)," ")),VLOOKUP($F151,Declarations!B$6:C$293,2,FALSE),_xlfn.TEXTBEFORE(VLOOKUP($F151,Declarations!B$6:C$293,2,FALSE)," "))))</f>
        <v/>
      </c>
      <c r="C151" s="122" t="str">
        <f>IF(ISNA(VLOOKUP($F151,Declarations!B$6:C$293,2,FALSE)),"",IF(VLOOKUP($F151,Declarations!B$6:C$293,2,FALSE)="","NOT DECLARED",IF(ISNA(_xlfn.TEXTAFTER(VLOOKUP($F151,Declarations!B$6:C$293,2,FALSE)," ")),VLOOKUP($F151,Declarations!B$6:C$293,2,FALSE),_xlfn.TEXTAFTER(VLOOKUP($F151,Declarations!B$6:C$293,2,FALSE)," "))))</f>
        <v/>
      </c>
      <c r="D151" s="122" t="str">
        <f>IF(ISNA(VLOOKUP($F151,Declarations!$B$6:$F$293,5,FALSE)),"",IF(VLOOKUP($F151,Declarations!$B$6:$F$293,5,FALSE)="","NOT DECLARED",VLOOKUP($F151,Declarations!$B$6:$F$293,5,FALSE)))</f>
        <v/>
      </c>
      <c r="E151" s="120" t="str">
        <f>IF(ISNA(VLOOKUP($F151,Declarations!$B$6:$D$293,3,FALSE)),"",IF(VLOOKUP($F151,Declarations!$B$6:$D$293,3,FALSE)="","NOT DECLARED",VLOOKUP($F151,Declarations!$B$6:$D$293,3,FALSE)&amp;LEFT(VLOOKUP($F151,Declarations!$B$6:$E$293,4,FALSE))))</f>
        <v/>
      </c>
      <c r="F151" s="59"/>
      <c r="G151" s="129"/>
      <c r="H151" s="129"/>
      <c r="I151" s="122" t="str">
        <f>IF(ISNA(VLOOKUP(F151,Declarations!B$6:C$293,2,FALSE)),"",IF(VLOOKUP(F151,Declarations!B$6:C$293,2,FALSE)="","NOT DECLARED",VLOOKUP(F151,Declarations!B$6:C$293,2,FALSE)))</f>
        <v/>
      </c>
      <c r="J151" s="120">
        <f>IF(LOWER(LEFT(G151,1))="n",1,VLOOKUP(G151,ScoringTable!D$2:I$95,6))</f>
        <v>0</v>
      </c>
      <c r="K151" s="120" t="str" cm="1">
        <f t="array" ref="K151">IF(OR(E151="",G151=""),"",_xlfn.IFS(E151="U10B",_xlfn.XLOOKUP(G151,Data!$D$5:$L$5,Data!$D$1:$L$1,"",-1,1),E151="U12B",_xlfn.XLOOKUP(G151,Data!$D$12:$L$12,Data!$D$1:$L$1,"",-1,1),E151="U10G",_xlfn.XLOOKUP(G151,Data!$D$18:$L$18,Data!$D$1:$L$1,"",-1,1),E151="U12G",_xlfn.XLOOKUP(G151,Data!$D$25:$L$25,Data!$D$1:$L$1,"",-1,1)))</f>
        <v/>
      </c>
      <c r="L151" s="184" t="str" cm="1">
        <f t="array" ref="L151">IFERROR(_xlfn.IFNA(
                      _xlfn.IFS(
                      G151="", "",
                      AND(E151="U10B",G151&gt;=Data!$M$5), "U10 Boys record",
                      AND(E151="U12B",G151&gt;=Data!$M$12), "U12 Boys record",
                      AND(E151="U10G",G151&gt;=Data!$M$18), "U10 Girls record",
                      AND(E151="U12G",G151&gt;=Data!$M$25), "U12 Girls record"
                       ),""), "")</f>
        <v/>
      </c>
      <c r="M151" s="19" cm="1">
        <f t="array" ref="M151">_xlfn.IFS($G151="",0, AND(NOT(ISNUMBER($G151)),LOWER(LEFT($G151,1))&lt;&gt;"n"),"Not a valid distance",OR(LOWER(LEFT($G151,1))="n",$G151&lt;ScoringTable!$O$161),1,RIGHT($E151,1)="B",_xlfn.XLOOKUP($G151,ScoringTable!$O$2:$O$161,ScoringTable!$L$2:$L$161,,-1),TRUE,_xlfn.XLOOKUP($G151,ScoringTable!$U$2:$U$161,ScoringTable!$R$2:$R$161,,-1))</f>
        <v>0</v>
      </c>
    </row>
    <row r="152" spans="1:13" s="7" customFormat="1" ht="16" customHeight="1">
      <c r="A152" s="121" t="s">
        <v>81</v>
      </c>
      <c r="B152" s="122" t="str">
        <f>IF(ISNA(VLOOKUP($F152,Declarations!B$6:C$293,2,FALSE)),"",IF(VLOOKUP($F152,Declarations!B$6:C$293,2,FALSE)="","NOT DECLARED",IF(ISNA(_xlfn.TEXTBEFORE(VLOOKUP($F152,Declarations!B$6:C$293,2,FALSE)," ")),VLOOKUP($F152,Declarations!B$6:C$293,2,FALSE),_xlfn.TEXTBEFORE(VLOOKUP($F152,Declarations!B$6:C$293,2,FALSE)," "))))</f>
        <v/>
      </c>
      <c r="C152" s="122" t="str">
        <f>IF(ISNA(VLOOKUP($F152,Declarations!B$6:C$293,2,FALSE)),"",IF(VLOOKUP($F152,Declarations!B$6:C$293,2,FALSE)="","NOT DECLARED",IF(ISNA(_xlfn.TEXTAFTER(VLOOKUP($F152,Declarations!B$6:C$293,2,FALSE)," ")),VLOOKUP($F152,Declarations!B$6:C$293,2,FALSE),_xlfn.TEXTAFTER(VLOOKUP($F152,Declarations!B$6:C$293,2,FALSE)," "))))</f>
        <v/>
      </c>
      <c r="D152" s="122" t="str">
        <f>IF(ISNA(VLOOKUP($F152,Declarations!$B$6:$F$293,5,FALSE)),"",IF(VLOOKUP($F152,Declarations!$B$6:$F$293,5,FALSE)="","NOT DECLARED",VLOOKUP($F152,Declarations!$B$6:$F$293,5,FALSE)))</f>
        <v/>
      </c>
      <c r="E152" s="120" t="str">
        <f>IF(ISNA(VLOOKUP($F152,Declarations!$B$6:$D$293,3,FALSE)),"",IF(VLOOKUP($F152,Declarations!$B$6:$D$293,3,FALSE)="","NOT DECLARED",VLOOKUP($F152,Declarations!$B$6:$D$293,3,FALSE)&amp;LEFT(VLOOKUP($F152,Declarations!$B$6:$E$293,4,FALSE))))</f>
        <v/>
      </c>
      <c r="F152" s="59"/>
      <c r="G152" s="129"/>
      <c r="H152" s="129"/>
      <c r="I152" s="122" t="str">
        <f>IF(ISNA(VLOOKUP(F152,Declarations!B$6:C$293,2,FALSE)),"",IF(VLOOKUP(F152,Declarations!B$6:C$293,2,FALSE)="","NOT DECLARED",VLOOKUP(F152,Declarations!B$6:C$293,2,FALSE)))</f>
        <v/>
      </c>
      <c r="J152" s="120">
        <f>IF(LOWER(LEFT(G152,1))="n",1,VLOOKUP(G152,ScoringTable!D$2:I$95,6))</f>
        <v>0</v>
      </c>
      <c r="K152" s="120" t="str" cm="1">
        <f t="array" ref="K152">IF(OR(E152="",G152=""),"",_xlfn.IFS(E152="U10B",_xlfn.XLOOKUP(G152,Data!$D$5:$L$5,Data!$D$1:$L$1,"",-1,1),E152="U12B",_xlfn.XLOOKUP(G152,Data!$D$12:$L$12,Data!$D$1:$L$1,"",-1,1),E152="U10G",_xlfn.XLOOKUP(G152,Data!$D$18:$L$18,Data!$D$1:$L$1,"",-1,1),E152="U12G",_xlfn.XLOOKUP(G152,Data!$D$25:$L$25,Data!$D$1:$L$1,"",-1,1)))</f>
        <v/>
      </c>
      <c r="L152" s="184" t="str" cm="1">
        <f t="array" ref="L152">IFERROR(_xlfn.IFNA(
                      _xlfn.IFS(
                      G152="", "",
                      AND(E152="U10B",G152&gt;=Data!$M$5), "U10 Boys record",
                      AND(E152="U12B",G152&gt;=Data!$M$12), "U12 Boys record",
                      AND(E152="U10G",G152&gt;=Data!$M$18), "U10 Girls record",
                      AND(E152="U12G",G152&gt;=Data!$M$25), "U12 Girls record"
                       ),""), "")</f>
        <v/>
      </c>
      <c r="M152" s="19" cm="1">
        <f t="array" ref="M152">_xlfn.IFS($G152="",0, AND(NOT(ISNUMBER($G152)),LOWER(LEFT($G152,1))&lt;&gt;"n"),"Not a valid distance",OR(LOWER(LEFT($G152,1))="n",$G152&lt;ScoringTable!$O$161),1,RIGHT($E152,1)="B",_xlfn.XLOOKUP($G152,ScoringTable!$O$2:$O$161,ScoringTable!$L$2:$L$161,,-1),TRUE,_xlfn.XLOOKUP($G152,ScoringTable!$U$2:$U$161,ScoringTable!$R$2:$R$161,,-1))</f>
        <v>0</v>
      </c>
    </row>
    <row r="153" spans="1:13" s="7" customFormat="1" ht="16" customHeight="1">
      <c r="A153" s="121" t="s">
        <v>81</v>
      </c>
      <c r="B153" s="122" t="str">
        <f>IF(ISNA(VLOOKUP($F153,Declarations!B$6:C$293,2,FALSE)),"",IF(VLOOKUP($F153,Declarations!B$6:C$293,2,FALSE)="","NOT DECLARED",IF(ISNA(_xlfn.TEXTBEFORE(VLOOKUP($F153,Declarations!B$6:C$293,2,FALSE)," ")),VLOOKUP($F153,Declarations!B$6:C$293,2,FALSE),_xlfn.TEXTBEFORE(VLOOKUP($F153,Declarations!B$6:C$293,2,FALSE)," "))))</f>
        <v/>
      </c>
      <c r="C153" s="122" t="str">
        <f>IF(ISNA(VLOOKUP($F153,Declarations!B$6:C$293,2,FALSE)),"",IF(VLOOKUP($F153,Declarations!B$6:C$293,2,FALSE)="","NOT DECLARED",IF(ISNA(_xlfn.TEXTAFTER(VLOOKUP($F153,Declarations!B$6:C$293,2,FALSE)," ")),VLOOKUP($F153,Declarations!B$6:C$293,2,FALSE),_xlfn.TEXTAFTER(VLOOKUP($F153,Declarations!B$6:C$293,2,FALSE)," "))))</f>
        <v/>
      </c>
      <c r="D153" s="122" t="str">
        <f>IF(ISNA(VLOOKUP($F153,Declarations!$B$6:$F$293,5,FALSE)),"",IF(VLOOKUP($F153,Declarations!$B$6:$F$293,5,FALSE)="","NOT DECLARED",VLOOKUP($F153,Declarations!$B$6:$F$293,5,FALSE)))</f>
        <v/>
      </c>
      <c r="E153" s="120" t="str">
        <f>IF(ISNA(VLOOKUP($F153,Declarations!$B$6:$D$293,3,FALSE)),"",IF(VLOOKUP($F153,Declarations!$B$6:$D$293,3,FALSE)="","NOT DECLARED",VLOOKUP($F153,Declarations!$B$6:$D$293,3,FALSE)&amp;LEFT(VLOOKUP($F153,Declarations!$B$6:$E$293,4,FALSE))))</f>
        <v/>
      </c>
      <c r="F153" s="59"/>
      <c r="G153" s="129"/>
      <c r="H153" s="129"/>
      <c r="I153" s="122" t="str">
        <f>IF(ISNA(VLOOKUP(F153,Declarations!B$6:C$293,2,FALSE)),"",IF(VLOOKUP(F153,Declarations!B$6:C$293,2,FALSE)="","NOT DECLARED",VLOOKUP(F153,Declarations!B$6:C$293,2,FALSE)))</f>
        <v/>
      </c>
      <c r="J153" s="120">
        <f>IF(LOWER(LEFT(G153,1))="n",1,VLOOKUP(G153,ScoringTable!D$2:I$95,6))</f>
        <v>0</v>
      </c>
      <c r="K153" s="120" t="str" cm="1">
        <f t="array" ref="K153">IF(OR(E153="",G153=""),"",_xlfn.IFS(E153="U10B",_xlfn.XLOOKUP(G153,Data!$D$5:$L$5,Data!$D$1:$L$1,"",-1,1),E153="U12B",_xlfn.XLOOKUP(G153,Data!$D$12:$L$12,Data!$D$1:$L$1,"",-1,1),E153="U10G",_xlfn.XLOOKUP(G153,Data!$D$18:$L$18,Data!$D$1:$L$1,"",-1,1),E153="U12G",_xlfn.XLOOKUP(G153,Data!$D$25:$L$25,Data!$D$1:$L$1,"",-1,1)))</f>
        <v/>
      </c>
      <c r="L153" s="184" t="str" cm="1">
        <f t="array" ref="L153">IFERROR(_xlfn.IFNA(
                      _xlfn.IFS(
                      G153="", "",
                      AND(E153="U10B",G153&gt;=Data!$M$5), "U10 Boys record",
                      AND(E153="U12B",G153&gt;=Data!$M$12), "U12 Boys record",
                      AND(E153="U10G",G153&gt;=Data!$M$18), "U10 Girls record",
                      AND(E153="U12G",G153&gt;=Data!$M$25), "U12 Girls record"
                       ),""), "")</f>
        <v/>
      </c>
      <c r="M153" s="19" cm="1">
        <f t="array" ref="M153">_xlfn.IFS($G153="",0, AND(NOT(ISNUMBER($G153)),LOWER(LEFT($G153,1))&lt;&gt;"n"),"Not a valid distance",OR(LOWER(LEFT($G153,1))="n",$G153&lt;ScoringTable!$O$161),1,RIGHT($E153,1)="B",_xlfn.XLOOKUP($G153,ScoringTable!$O$2:$O$161,ScoringTable!$L$2:$L$161,,-1),TRUE,_xlfn.XLOOKUP($G153,ScoringTable!$U$2:$U$161,ScoringTable!$R$2:$R$161,,-1))</f>
        <v>0</v>
      </c>
    </row>
    <row r="154" spans="1:13" s="7" customFormat="1" ht="16" customHeight="1">
      <c r="A154" s="121" t="s">
        <v>81</v>
      </c>
      <c r="B154" s="122" t="str">
        <f>IF(ISNA(VLOOKUP($F154,Declarations!B$6:C$293,2,FALSE)),"",IF(VLOOKUP($F154,Declarations!B$6:C$293,2,FALSE)="","NOT DECLARED",IF(ISNA(_xlfn.TEXTBEFORE(VLOOKUP($F154,Declarations!B$6:C$293,2,FALSE)," ")),VLOOKUP($F154,Declarations!B$6:C$293,2,FALSE),_xlfn.TEXTBEFORE(VLOOKUP($F154,Declarations!B$6:C$293,2,FALSE)," "))))</f>
        <v/>
      </c>
      <c r="C154" s="122" t="str">
        <f>IF(ISNA(VLOOKUP($F154,Declarations!B$6:C$293,2,FALSE)),"",IF(VLOOKUP($F154,Declarations!B$6:C$293,2,FALSE)="","NOT DECLARED",IF(ISNA(_xlfn.TEXTAFTER(VLOOKUP($F154,Declarations!B$6:C$293,2,FALSE)," ")),VLOOKUP($F154,Declarations!B$6:C$293,2,FALSE),_xlfn.TEXTAFTER(VLOOKUP($F154,Declarations!B$6:C$293,2,FALSE)," "))))</f>
        <v/>
      </c>
      <c r="D154" s="122" t="str">
        <f>IF(ISNA(VLOOKUP($F154,Declarations!$B$6:$F$293,5,FALSE)),"",IF(VLOOKUP($F154,Declarations!$B$6:$F$293,5,FALSE)="","NOT DECLARED",VLOOKUP($F154,Declarations!$B$6:$F$293,5,FALSE)))</f>
        <v/>
      </c>
      <c r="E154" s="120" t="str">
        <f>IF(ISNA(VLOOKUP($F154,Declarations!$B$6:$D$293,3,FALSE)),"",IF(VLOOKUP($F154,Declarations!$B$6:$D$293,3,FALSE)="","NOT DECLARED",VLOOKUP($F154,Declarations!$B$6:$D$293,3,FALSE)&amp;LEFT(VLOOKUP($F154,Declarations!$B$6:$E$293,4,FALSE))))</f>
        <v/>
      </c>
      <c r="F154" s="59"/>
      <c r="G154" s="129"/>
      <c r="H154" s="129"/>
      <c r="I154" s="122" t="str">
        <f>IF(ISNA(VLOOKUP(F154,Declarations!B$6:C$293,2,FALSE)),"",IF(VLOOKUP(F154,Declarations!B$6:C$293,2,FALSE)="","NOT DECLARED",VLOOKUP(F154,Declarations!B$6:C$293,2,FALSE)))</f>
        <v/>
      </c>
      <c r="J154" s="120">
        <f>IF(LOWER(LEFT(G154,1))="n",1,VLOOKUP(G154,ScoringTable!D$2:I$95,6))</f>
        <v>0</v>
      </c>
      <c r="K154" s="120" t="str" cm="1">
        <f t="array" ref="K154">IF(OR(E154="",G154=""),"",_xlfn.IFS(E154="U10B",_xlfn.XLOOKUP(G154,Data!$D$5:$L$5,Data!$D$1:$L$1,"",-1,1),E154="U12B",_xlfn.XLOOKUP(G154,Data!$D$12:$L$12,Data!$D$1:$L$1,"",-1,1),E154="U10G",_xlfn.XLOOKUP(G154,Data!$D$18:$L$18,Data!$D$1:$L$1,"",-1,1),E154="U12G",_xlfn.XLOOKUP(G154,Data!$D$25:$L$25,Data!$D$1:$L$1,"",-1,1)))</f>
        <v/>
      </c>
      <c r="L154" s="184" t="str" cm="1">
        <f t="array" ref="L154">IFERROR(_xlfn.IFNA(
                      _xlfn.IFS(
                      G154="", "",
                      AND(E154="U10B",G154&gt;=Data!$M$5), "U10 Boys record",
                      AND(E154="U12B",G154&gt;=Data!$M$12), "U12 Boys record",
                      AND(E154="U10G",G154&gt;=Data!$M$18), "U10 Girls record",
                      AND(E154="U12G",G154&gt;=Data!$M$25), "U12 Girls record"
                       ),""), "")</f>
        <v/>
      </c>
      <c r="M154" s="19" cm="1">
        <f t="array" ref="M154">_xlfn.IFS($G154="",0, AND(NOT(ISNUMBER($G154)),LOWER(LEFT($G154,1))&lt;&gt;"n"),"Not a valid distance",OR(LOWER(LEFT($G154,1))="n",$G154&lt;ScoringTable!$O$161),1,RIGHT($E154,1)="B",_xlfn.XLOOKUP($G154,ScoringTable!$O$2:$O$161,ScoringTable!$L$2:$L$161,,-1),TRUE,_xlfn.XLOOKUP($G154,ScoringTable!$U$2:$U$161,ScoringTable!$R$2:$R$161,,-1))</f>
        <v>0</v>
      </c>
    </row>
    <row r="155" spans="1:13" s="7" customFormat="1" ht="16" customHeight="1">
      <c r="A155" s="121" t="s">
        <v>81</v>
      </c>
      <c r="B155" s="122" t="str">
        <f>IF(ISNA(VLOOKUP($F155,Declarations!B$6:C$293,2,FALSE)),"",IF(VLOOKUP($F155,Declarations!B$6:C$293,2,FALSE)="","NOT DECLARED",IF(ISNA(_xlfn.TEXTBEFORE(VLOOKUP($F155,Declarations!B$6:C$293,2,FALSE)," ")),VLOOKUP($F155,Declarations!B$6:C$293,2,FALSE),_xlfn.TEXTBEFORE(VLOOKUP($F155,Declarations!B$6:C$293,2,FALSE)," "))))</f>
        <v/>
      </c>
      <c r="C155" s="122" t="str">
        <f>IF(ISNA(VLOOKUP($F155,Declarations!B$6:C$293,2,FALSE)),"",IF(VLOOKUP($F155,Declarations!B$6:C$293,2,FALSE)="","NOT DECLARED",IF(ISNA(_xlfn.TEXTAFTER(VLOOKUP($F155,Declarations!B$6:C$293,2,FALSE)," ")),VLOOKUP($F155,Declarations!B$6:C$293,2,FALSE),_xlfn.TEXTAFTER(VLOOKUP($F155,Declarations!B$6:C$293,2,FALSE)," "))))</f>
        <v/>
      </c>
      <c r="D155" s="122" t="str">
        <f>IF(ISNA(VLOOKUP($F155,Declarations!$B$6:$F$293,5,FALSE)),"",IF(VLOOKUP($F155,Declarations!$B$6:$F$293,5,FALSE)="","NOT DECLARED",VLOOKUP($F155,Declarations!$B$6:$F$293,5,FALSE)))</f>
        <v/>
      </c>
      <c r="E155" s="120" t="str">
        <f>IF(ISNA(VLOOKUP($F155,Declarations!$B$6:$D$293,3,FALSE)),"",IF(VLOOKUP($F155,Declarations!$B$6:$D$293,3,FALSE)="","NOT DECLARED",VLOOKUP($F155,Declarations!$B$6:$D$293,3,FALSE)&amp;LEFT(VLOOKUP($F155,Declarations!$B$6:$E$293,4,FALSE))))</f>
        <v/>
      </c>
      <c r="F155" s="59"/>
      <c r="G155" s="129"/>
      <c r="H155" s="129"/>
      <c r="I155" s="122" t="str">
        <f>IF(ISNA(VLOOKUP(F155,Declarations!B$6:C$293,2,FALSE)),"",IF(VLOOKUP(F155,Declarations!B$6:C$293,2,FALSE)="","NOT DECLARED",VLOOKUP(F155,Declarations!B$6:C$293,2,FALSE)))</f>
        <v/>
      </c>
      <c r="J155" s="120">
        <f>IF(LOWER(LEFT(G155,1))="n",1,VLOOKUP(G155,ScoringTable!D$2:I$95,6))</f>
        <v>0</v>
      </c>
      <c r="K155" s="120" t="str" cm="1">
        <f t="array" ref="K155">IF(OR(E155="",G155=""),"",_xlfn.IFS(E155="U10B",_xlfn.XLOOKUP(G155,Data!$D$5:$L$5,Data!$D$1:$L$1,"",-1,1),E155="U12B",_xlfn.XLOOKUP(G155,Data!$D$12:$L$12,Data!$D$1:$L$1,"",-1,1),E155="U10G",_xlfn.XLOOKUP(G155,Data!$D$18:$L$18,Data!$D$1:$L$1,"",-1,1),E155="U12G",_xlfn.XLOOKUP(G155,Data!$D$25:$L$25,Data!$D$1:$L$1,"",-1,1)))</f>
        <v/>
      </c>
      <c r="L155" s="184" t="str" cm="1">
        <f t="array" ref="L155">IFERROR(_xlfn.IFNA(
                      _xlfn.IFS(
                      G155="", "",
                      AND(E155="U10B",G155&gt;=Data!$M$5), "U10 Boys record",
                      AND(E155="U12B",G155&gt;=Data!$M$12), "U12 Boys record",
                      AND(E155="U10G",G155&gt;=Data!$M$18), "U10 Girls record",
                      AND(E155="U12G",G155&gt;=Data!$M$25), "U12 Girls record"
                       ),""), "")</f>
        <v/>
      </c>
      <c r="M155" s="19" cm="1">
        <f t="array" ref="M155">_xlfn.IFS($G155="",0, AND(NOT(ISNUMBER($G155)),LOWER(LEFT($G155,1))&lt;&gt;"n"),"Not a valid distance",OR(LOWER(LEFT($G155,1))="n",$G155&lt;ScoringTable!$O$161),1,RIGHT($E155,1)="B",_xlfn.XLOOKUP($G155,ScoringTable!$O$2:$O$161,ScoringTable!$L$2:$L$161,,-1),TRUE,_xlfn.XLOOKUP($G155,ScoringTable!$U$2:$U$161,ScoringTable!$R$2:$R$161,,-1))</f>
        <v>0</v>
      </c>
    </row>
    <row r="156" spans="1:13" s="7" customFormat="1" ht="16" customHeight="1">
      <c r="A156" s="121" t="s">
        <v>81</v>
      </c>
      <c r="B156" s="122" t="str">
        <f>IF(ISNA(VLOOKUP($F156,Declarations!B$6:C$293,2,FALSE)),"",IF(VLOOKUP($F156,Declarations!B$6:C$293,2,FALSE)="","NOT DECLARED",IF(ISNA(_xlfn.TEXTBEFORE(VLOOKUP($F156,Declarations!B$6:C$293,2,FALSE)," ")),VLOOKUP($F156,Declarations!B$6:C$293,2,FALSE),_xlfn.TEXTBEFORE(VLOOKUP($F156,Declarations!B$6:C$293,2,FALSE)," "))))</f>
        <v/>
      </c>
      <c r="C156" s="122" t="str">
        <f>IF(ISNA(VLOOKUP($F156,Declarations!B$6:C$293,2,FALSE)),"",IF(VLOOKUP($F156,Declarations!B$6:C$293,2,FALSE)="","NOT DECLARED",IF(ISNA(_xlfn.TEXTAFTER(VLOOKUP($F156,Declarations!B$6:C$293,2,FALSE)," ")),VLOOKUP($F156,Declarations!B$6:C$293,2,FALSE),_xlfn.TEXTAFTER(VLOOKUP($F156,Declarations!B$6:C$293,2,FALSE)," "))))</f>
        <v/>
      </c>
      <c r="D156" s="122" t="str">
        <f>IF(ISNA(VLOOKUP($F156,Declarations!$B$6:$F$293,5,FALSE)),"",IF(VLOOKUP($F156,Declarations!$B$6:$F$293,5,FALSE)="","NOT DECLARED",VLOOKUP($F156,Declarations!$B$6:$F$293,5,FALSE)))</f>
        <v/>
      </c>
      <c r="E156" s="120" t="str">
        <f>IF(ISNA(VLOOKUP($F156,Declarations!$B$6:$D$293,3,FALSE)),"",IF(VLOOKUP($F156,Declarations!$B$6:$D$293,3,FALSE)="","NOT DECLARED",VLOOKUP($F156,Declarations!$B$6:$D$293,3,FALSE)&amp;LEFT(VLOOKUP($F156,Declarations!$B$6:$E$293,4,FALSE))))</f>
        <v/>
      </c>
      <c r="F156" s="59"/>
      <c r="G156" s="129"/>
      <c r="H156" s="129"/>
      <c r="I156" s="122" t="str">
        <f>IF(ISNA(VLOOKUP(F156,Declarations!B$6:C$293,2,FALSE)),"",IF(VLOOKUP(F156,Declarations!B$6:C$293,2,FALSE)="","NOT DECLARED",VLOOKUP(F156,Declarations!B$6:C$293,2,FALSE)))</f>
        <v/>
      </c>
      <c r="J156" s="120">
        <f>IF(LOWER(LEFT(G156,1))="n",1,VLOOKUP(G156,ScoringTable!D$2:I$95,6))</f>
        <v>0</v>
      </c>
      <c r="K156" s="120" t="str" cm="1">
        <f t="array" ref="K156">IF(OR(E156="",G156=""),"",_xlfn.IFS(E156="U10B",_xlfn.XLOOKUP(G156,Data!$D$5:$L$5,Data!$D$1:$L$1,"",-1,1),E156="U12B",_xlfn.XLOOKUP(G156,Data!$D$12:$L$12,Data!$D$1:$L$1,"",-1,1),E156="U10G",_xlfn.XLOOKUP(G156,Data!$D$18:$L$18,Data!$D$1:$L$1,"",-1,1),E156="U12G",_xlfn.XLOOKUP(G156,Data!$D$25:$L$25,Data!$D$1:$L$1,"",-1,1)))</f>
        <v/>
      </c>
      <c r="L156" s="184" t="str" cm="1">
        <f t="array" ref="L156">IFERROR(_xlfn.IFNA(
                      _xlfn.IFS(
                      G156="", "",
                      AND(E156="U10B",G156&gt;=Data!$M$5), "U10 Boys record",
                      AND(E156="U12B",G156&gt;=Data!$M$12), "U12 Boys record",
                      AND(E156="U10G",G156&gt;=Data!$M$18), "U10 Girls record",
                      AND(E156="U12G",G156&gt;=Data!$M$25), "U12 Girls record"
                       ),""), "")</f>
        <v/>
      </c>
      <c r="M156" s="19" cm="1">
        <f t="array" ref="M156">_xlfn.IFS($G156="",0, AND(NOT(ISNUMBER($G156)),LOWER(LEFT($G156,1))&lt;&gt;"n"),"Not a valid distance",OR(LOWER(LEFT($G156,1))="n",$G156&lt;ScoringTable!$O$161),1,RIGHT($E156,1)="B",_xlfn.XLOOKUP($G156,ScoringTable!$O$2:$O$161,ScoringTable!$L$2:$L$161,,-1),TRUE,_xlfn.XLOOKUP($G156,ScoringTable!$U$2:$U$161,ScoringTable!$R$2:$R$161,,-1))</f>
        <v>0</v>
      </c>
    </row>
    <row r="157" spans="1:13" s="7" customFormat="1" ht="16" customHeight="1">
      <c r="A157" s="121" t="s">
        <v>81</v>
      </c>
      <c r="B157" s="122" t="str">
        <f>IF(ISNA(VLOOKUP($F157,Declarations!B$6:C$293,2,FALSE)),"",IF(VLOOKUP($F157,Declarations!B$6:C$293,2,FALSE)="","NOT DECLARED",IF(ISNA(_xlfn.TEXTBEFORE(VLOOKUP($F157,Declarations!B$6:C$293,2,FALSE)," ")),VLOOKUP($F157,Declarations!B$6:C$293,2,FALSE),_xlfn.TEXTBEFORE(VLOOKUP($F157,Declarations!B$6:C$293,2,FALSE)," "))))</f>
        <v/>
      </c>
      <c r="C157" s="122" t="str">
        <f>IF(ISNA(VLOOKUP($F157,Declarations!B$6:C$293,2,FALSE)),"",IF(VLOOKUP($F157,Declarations!B$6:C$293,2,FALSE)="","NOT DECLARED",IF(ISNA(_xlfn.TEXTAFTER(VLOOKUP($F157,Declarations!B$6:C$293,2,FALSE)," ")),VLOOKUP($F157,Declarations!B$6:C$293,2,FALSE),_xlfn.TEXTAFTER(VLOOKUP($F157,Declarations!B$6:C$293,2,FALSE)," "))))</f>
        <v/>
      </c>
      <c r="D157" s="122" t="str">
        <f>IF(ISNA(VLOOKUP($F157,Declarations!$B$6:$F$293,5,FALSE)),"",IF(VLOOKUP($F157,Declarations!$B$6:$F$293,5,FALSE)="","NOT DECLARED",VLOOKUP($F157,Declarations!$B$6:$F$293,5,FALSE)))</f>
        <v/>
      </c>
      <c r="E157" s="120" t="str">
        <f>IF(ISNA(VLOOKUP($F157,Declarations!$B$6:$D$293,3,FALSE)),"",IF(VLOOKUP($F157,Declarations!$B$6:$D$293,3,FALSE)="","NOT DECLARED",VLOOKUP($F157,Declarations!$B$6:$D$293,3,FALSE)&amp;LEFT(VLOOKUP($F157,Declarations!$B$6:$E$293,4,FALSE))))</f>
        <v/>
      </c>
      <c r="F157" s="59"/>
      <c r="G157" s="129"/>
      <c r="H157" s="129"/>
      <c r="I157" s="122" t="str">
        <f>IF(ISNA(VLOOKUP(F157,Declarations!B$6:C$293,2,FALSE)),"",IF(VLOOKUP(F157,Declarations!B$6:C$293,2,FALSE)="","NOT DECLARED",VLOOKUP(F157,Declarations!B$6:C$293,2,FALSE)))</f>
        <v/>
      </c>
      <c r="J157" s="120">
        <f>IF(LOWER(LEFT(G157,1))="n",1,VLOOKUP(G157,ScoringTable!D$2:I$95,6))</f>
        <v>0</v>
      </c>
      <c r="K157" s="120" t="str" cm="1">
        <f t="array" ref="K157">IF(OR(E157="",G157=""),"",_xlfn.IFS(E157="U10B",_xlfn.XLOOKUP(G157,Data!$D$5:$L$5,Data!$D$1:$L$1,"",-1,1),E157="U12B",_xlfn.XLOOKUP(G157,Data!$D$12:$L$12,Data!$D$1:$L$1,"",-1,1),E157="U10G",_xlfn.XLOOKUP(G157,Data!$D$18:$L$18,Data!$D$1:$L$1,"",-1,1),E157="U12G",_xlfn.XLOOKUP(G157,Data!$D$25:$L$25,Data!$D$1:$L$1,"",-1,1)))</f>
        <v/>
      </c>
      <c r="L157" s="184" t="str" cm="1">
        <f t="array" ref="L157">IFERROR(_xlfn.IFNA(
                      _xlfn.IFS(
                      G157="", "",
                      AND(E157="U10B",G157&gt;=Data!$M$5), "U10 Boys record",
                      AND(E157="U12B",G157&gt;=Data!$M$12), "U12 Boys record",
                      AND(E157="U10G",G157&gt;=Data!$M$18), "U10 Girls record",
                      AND(E157="U12G",G157&gt;=Data!$M$25), "U12 Girls record"
                       ),""), "")</f>
        <v/>
      </c>
      <c r="M157" s="19" cm="1">
        <f t="array" ref="M157">_xlfn.IFS($G157="",0, AND(NOT(ISNUMBER($G157)),LOWER(LEFT($G157,1))&lt;&gt;"n"),"Not a valid distance",OR(LOWER(LEFT($G157,1))="n",$G157&lt;ScoringTable!$O$161),1,RIGHT($E157,1)="B",_xlfn.XLOOKUP($G157,ScoringTable!$O$2:$O$161,ScoringTable!$L$2:$L$161,,-1),TRUE,_xlfn.XLOOKUP($G157,ScoringTable!$U$2:$U$161,ScoringTable!$R$2:$R$161,,-1))</f>
        <v>0</v>
      </c>
    </row>
    <row r="158" spans="1:13" s="7" customFormat="1" ht="16" customHeight="1">
      <c r="A158" s="121" t="s">
        <v>81</v>
      </c>
      <c r="B158" s="122" t="str">
        <f>IF(ISNA(VLOOKUP($F158,Declarations!B$6:C$293,2,FALSE)),"",IF(VLOOKUP($F158,Declarations!B$6:C$293,2,FALSE)="","NOT DECLARED",IF(ISNA(_xlfn.TEXTBEFORE(VLOOKUP($F158,Declarations!B$6:C$293,2,FALSE)," ")),VLOOKUP($F158,Declarations!B$6:C$293,2,FALSE),_xlfn.TEXTBEFORE(VLOOKUP($F158,Declarations!B$6:C$293,2,FALSE)," "))))</f>
        <v/>
      </c>
      <c r="C158" s="122" t="str">
        <f>IF(ISNA(VLOOKUP($F158,Declarations!B$6:C$293,2,FALSE)),"",IF(VLOOKUP($F158,Declarations!B$6:C$293,2,FALSE)="","NOT DECLARED",IF(ISNA(_xlfn.TEXTAFTER(VLOOKUP($F158,Declarations!B$6:C$293,2,FALSE)," ")),VLOOKUP($F158,Declarations!B$6:C$293,2,FALSE),_xlfn.TEXTAFTER(VLOOKUP($F158,Declarations!B$6:C$293,2,FALSE)," "))))</f>
        <v/>
      </c>
      <c r="D158" s="122" t="str">
        <f>IF(ISNA(VLOOKUP($F158,Declarations!$B$6:$F$293,5,FALSE)),"",IF(VLOOKUP($F158,Declarations!$B$6:$F$293,5,FALSE)="","NOT DECLARED",VLOOKUP($F158,Declarations!$B$6:$F$293,5,FALSE)))</f>
        <v/>
      </c>
      <c r="E158" s="120" t="str">
        <f>IF(ISNA(VLOOKUP($F158,Declarations!$B$6:$D$293,3,FALSE)),"",IF(VLOOKUP($F158,Declarations!$B$6:$D$293,3,FALSE)="","NOT DECLARED",VLOOKUP($F158,Declarations!$B$6:$D$293,3,FALSE)&amp;LEFT(VLOOKUP($F158,Declarations!$B$6:$E$293,4,FALSE))))</f>
        <v/>
      </c>
      <c r="F158" s="59"/>
      <c r="G158" s="129"/>
      <c r="H158" s="129"/>
      <c r="I158" s="122" t="str">
        <f>IF(ISNA(VLOOKUP(F158,Declarations!B$6:C$293,2,FALSE)),"",IF(VLOOKUP(F158,Declarations!B$6:C$293,2,FALSE)="","NOT DECLARED",VLOOKUP(F158,Declarations!B$6:C$293,2,FALSE)))</f>
        <v/>
      </c>
      <c r="J158" s="120">
        <f>IF(LOWER(LEFT(G158,1))="n",1,VLOOKUP(G158,ScoringTable!D$2:I$95,6))</f>
        <v>0</v>
      </c>
      <c r="K158" s="120" t="str" cm="1">
        <f t="array" ref="K158">IF(OR(E158="",G158=""),"",_xlfn.IFS(E158="U10B",_xlfn.XLOOKUP(G158,Data!$D$5:$L$5,Data!$D$1:$L$1,"",-1,1),E158="U12B",_xlfn.XLOOKUP(G158,Data!$D$12:$L$12,Data!$D$1:$L$1,"",-1,1),E158="U10G",_xlfn.XLOOKUP(G158,Data!$D$18:$L$18,Data!$D$1:$L$1,"",-1,1),E158="U12G",_xlfn.XLOOKUP(G158,Data!$D$25:$L$25,Data!$D$1:$L$1,"",-1,1)))</f>
        <v/>
      </c>
      <c r="L158" s="184" t="str" cm="1">
        <f t="array" ref="L158">IFERROR(_xlfn.IFNA(
                      _xlfn.IFS(
                      G158="", "",
                      AND(E158="U10B",G158&gt;=Data!$M$5), "U10 Boys record",
                      AND(E158="U12B",G158&gt;=Data!$M$12), "U12 Boys record",
                      AND(E158="U10G",G158&gt;=Data!$M$18), "U10 Girls record",
                      AND(E158="U12G",G158&gt;=Data!$M$25), "U12 Girls record"
                       ),""), "")</f>
        <v/>
      </c>
      <c r="M158" s="19" cm="1">
        <f t="array" ref="M158">_xlfn.IFS($G158="",0, AND(NOT(ISNUMBER($G158)),LOWER(LEFT($G158,1))&lt;&gt;"n"),"Not a valid distance",OR(LOWER(LEFT($G158,1))="n",$G158&lt;ScoringTable!$O$161),1,RIGHT($E158,1)="B",_xlfn.XLOOKUP($G158,ScoringTable!$O$2:$O$161,ScoringTable!$L$2:$L$161,,-1),TRUE,_xlfn.XLOOKUP($G158,ScoringTable!$U$2:$U$161,ScoringTable!$R$2:$R$161,,-1))</f>
        <v>0</v>
      </c>
    </row>
    <row r="159" spans="1:13" s="7" customFormat="1" ht="16" customHeight="1">
      <c r="A159" s="121" t="s">
        <v>81</v>
      </c>
      <c r="B159" s="122" t="str">
        <f>IF(ISNA(VLOOKUP($F159,Declarations!B$6:C$293,2,FALSE)),"",IF(VLOOKUP($F159,Declarations!B$6:C$293,2,FALSE)="","NOT DECLARED",IF(ISNA(_xlfn.TEXTBEFORE(VLOOKUP($F159,Declarations!B$6:C$293,2,FALSE)," ")),VLOOKUP($F159,Declarations!B$6:C$293,2,FALSE),_xlfn.TEXTBEFORE(VLOOKUP($F159,Declarations!B$6:C$293,2,FALSE)," "))))</f>
        <v/>
      </c>
      <c r="C159" s="122" t="str">
        <f>IF(ISNA(VLOOKUP($F159,Declarations!B$6:C$293,2,FALSE)),"",IF(VLOOKUP($F159,Declarations!B$6:C$293,2,FALSE)="","NOT DECLARED",IF(ISNA(_xlfn.TEXTAFTER(VLOOKUP($F159,Declarations!B$6:C$293,2,FALSE)," ")),VLOOKUP($F159,Declarations!B$6:C$293,2,FALSE),_xlfn.TEXTAFTER(VLOOKUP($F159,Declarations!B$6:C$293,2,FALSE)," "))))</f>
        <v/>
      </c>
      <c r="D159" s="122" t="str">
        <f>IF(ISNA(VLOOKUP($F159,Declarations!$B$6:$F$293,5,FALSE)),"",IF(VLOOKUP($F159,Declarations!$B$6:$F$293,5,FALSE)="","NOT DECLARED",VLOOKUP($F159,Declarations!$B$6:$F$293,5,FALSE)))</f>
        <v/>
      </c>
      <c r="E159" s="120" t="str">
        <f>IF(ISNA(VLOOKUP($F159,Declarations!$B$6:$D$293,3,FALSE)),"",IF(VLOOKUP($F159,Declarations!$B$6:$D$293,3,FALSE)="","NOT DECLARED",VLOOKUP($F159,Declarations!$B$6:$D$293,3,FALSE)&amp;LEFT(VLOOKUP($F159,Declarations!$B$6:$E$293,4,FALSE))))</f>
        <v/>
      </c>
      <c r="F159" s="59"/>
      <c r="G159" s="129"/>
      <c r="H159" s="129"/>
      <c r="I159" s="122" t="str">
        <f>IF(ISNA(VLOOKUP(F159,Declarations!B$6:C$293,2,FALSE)),"",IF(VLOOKUP(F159,Declarations!B$6:C$293,2,FALSE)="","NOT DECLARED",VLOOKUP(F159,Declarations!B$6:C$293,2,FALSE)))</f>
        <v/>
      </c>
      <c r="J159" s="120">
        <f>IF(LOWER(LEFT(G159,1))="n",1,VLOOKUP(G159,ScoringTable!D$2:I$95,6))</f>
        <v>0</v>
      </c>
      <c r="K159" s="120" t="str" cm="1">
        <f t="array" ref="K159">IF(OR(E159="",G159=""),"",_xlfn.IFS(E159="U10B",_xlfn.XLOOKUP(G159,Data!$D$5:$L$5,Data!$D$1:$L$1,"",-1,1),E159="U12B",_xlfn.XLOOKUP(G159,Data!$D$12:$L$12,Data!$D$1:$L$1,"",-1,1),E159="U10G",_xlfn.XLOOKUP(G159,Data!$D$18:$L$18,Data!$D$1:$L$1,"",-1,1),E159="U12G",_xlfn.XLOOKUP(G159,Data!$D$25:$L$25,Data!$D$1:$L$1,"",-1,1)))</f>
        <v/>
      </c>
      <c r="L159" s="184" t="str" cm="1">
        <f t="array" ref="L159">IFERROR(_xlfn.IFNA(
                      _xlfn.IFS(
                      G159="", "",
                      AND(E159="U10B",G159&gt;=Data!$M$5), "U10 Boys record",
                      AND(E159="U12B",G159&gt;=Data!$M$12), "U12 Boys record",
                      AND(E159="U10G",G159&gt;=Data!$M$18), "U10 Girls record",
                      AND(E159="U12G",G159&gt;=Data!$M$25), "U12 Girls record"
                       ),""), "")</f>
        <v/>
      </c>
      <c r="M159" s="19" cm="1">
        <f t="array" ref="M159">_xlfn.IFS($G159="",0, AND(NOT(ISNUMBER($G159)),LOWER(LEFT($G159,1))&lt;&gt;"n"),"Not a valid distance",OR(LOWER(LEFT($G159,1))="n",$G159&lt;ScoringTable!$O$161),1,RIGHT($E159,1)="B",_xlfn.XLOOKUP($G159,ScoringTable!$O$2:$O$161,ScoringTable!$L$2:$L$161,,-1),TRUE,_xlfn.XLOOKUP($G159,ScoringTable!$U$2:$U$161,ScoringTable!$R$2:$R$161,,-1))</f>
        <v>0</v>
      </c>
    </row>
    <row r="160" spans="1:13" s="7" customFormat="1" ht="16" customHeight="1">
      <c r="A160" s="121" t="s">
        <v>81</v>
      </c>
      <c r="B160" s="122" t="str">
        <f>IF(ISNA(VLOOKUP($F160,Declarations!B$6:C$293,2,FALSE)),"",IF(VLOOKUP($F160,Declarations!B$6:C$293,2,FALSE)="","NOT DECLARED",IF(ISNA(_xlfn.TEXTBEFORE(VLOOKUP($F160,Declarations!B$6:C$293,2,FALSE)," ")),VLOOKUP($F160,Declarations!B$6:C$293,2,FALSE),_xlfn.TEXTBEFORE(VLOOKUP($F160,Declarations!B$6:C$293,2,FALSE)," "))))</f>
        <v/>
      </c>
      <c r="C160" s="122" t="str">
        <f>IF(ISNA(VLOOKUP($F160,Declarations!B$6:C$293,2,FALSE)),"",IF(VLOOKUP($F160,Declarations!B$6:C$293,2,FALSE)="","NOT DECLARED",IF(ISNA(_xlfn.TEXTAFTER(VLOOKUP($F160,Declarations!B$6:C$293,2,FALSE)," ")),VLOOKUP($F160,Declarations!B$6:C$293,2,FALSE),_xlfn.TEXTAFTER(VLOOKUP($F160,Declarations!B$6:C$293,2,FALSE)," "))))</f>
        <v/>
      </c>
      <c r="D160" s="122" t="str">
        <f>IF(ISNA(VLOOKUP($F160,Declarations!$B$6:$F$293,5,FALSE)),"",IF(VLOOKUP($F160,Declarations!$B$6:$F$293,5,FALSE)="","NOT DECLARED",VLOOKUP($F160,Declarations!$B$6:$F$293,5,FALSE)))</f>
        <v/>
      </c>
      <c r="E160" s="120" t="str">
        <f>IF(ISNA(VLOOKUP($F160,Declarations!$B$6:$D$293,3,FALSE)),"",IF(VLOOKUP($F160,Declarations!$B$6:$D$293,3,FALSE)="","NOT DECLARED",VLOOKUP($F160,Declarations!$B$6:$D$293,3,FALSE)&amp;LEFT(VLOOKUP($F160,Declarations!$B$6:$E$293,4,FALSE))))</f>
        <v/>
      </c>
      <c r="F160" s="59"/>
      <c r="G160" s="129"/>
      <c r="H160" s="129"/>
      <c r="I160" s="122" t="str">
        <f>IF(ISNA(VLOOKUP(F160,Declarations!B$6:C$293,2,FALSE)),"",IF(VLOOKUP(F160,Declarations!B$6:C$293,2,FALSE)="","NOT DECLARED",VLOOKUP(F160,Declarations!B$6:C$293,2,FALSE)))</f>
        <v/>
      </c>
      <c r="J160" s="120">
        <f>IF(LOWER(LEFT(G160,1))="n",1,VLOOKUP(G160,ScoringTable!D$2:I$95,6))</f>
        <v>0</v>
      </c>
      <c r="K160" s="120" t="str" cm="1">
        <f t="array" ref="K160">IF(OR(E160="",G160=""),"",_xlfn.IFS(E160="U10B",_xlfn.XLOOKUP(G160,Data!$D$5:$L$5,Data!$D$1:$L$1,"",-1,1),E160="U12B",_xlfn.XLOOKUP(G160,Data!$D$12:$L$12,Data!$D$1:$L$1,"",-1,1),E160="U10G",_xlfn.XLOOKUP(G160,Data!$D$18:$L$18,Data!$D$1:$L$1,"",-1,1),E160="U12G",_xlfn.XLOOKUP(G160,Data!$D$25:$L$25,Data!$D$1:$L$1,"",-1,1)))</f>
        <v/>
      </c>
      <c r="L160" s="184" t="str" cm="1">
        <f t="array" ref="L160">IFERROR(_xlfn.IFNA(
                      _xlfn.IFS(
                      G160="", "",
                      AND(E160="U10B",G160&gt;=Data!$M$5), "U10 Boys record",
                      AND(E160="U12B",G160&gt;=Data!$M$12), "U12 Boys record",
                      AND(E160="U10G",G160&gt;=Data!$M$18), "U10 Girls record",
                      AND(E160="U12G",G160&gt;=Data!$M$25), "U12 Girls record"
                       ),""), "")</f>
        <v/>
      </c>
      <c r="M160" s="19" cm="1">
        <f t="array" ref="M160">_xlfn.IFS($G160="",0, AND(NOT(ISNUMBER($G160)),LOWER(LEFT($G160,1))&lt;&gt;"n"),"Not a valid distance",OR(LOWER(LEFT($G160,1))="n",$G160&lt;ScoringTable!$O$161),1,RIGHT($E160,1)="B",_xlfn.XLOOKUP($G160,ScoringTable!$O$2:$O$161,ScoringTable!$L$2:$L$161,,-1),TRUE,_xlfn.XLOOKUP($G160,ScoringTable!$U$2:$U$161,ScoringTable!$R$2:$R$161,,-1))</f>
        <v>0</v>
      </c>
    </row>
    <row r="161" spans="1:13" s="7" customFormat="1" ht="16" customHeight="1">
      <c r="A161" s="121" t="s">
        <v>81</v>
      </c>
      <c r="B161" s="122" t="str">
        <f>IF(ISNA(VLOOKUP($F161,Declarations!B$6:C$293,2,FALSE)),"",IF(VLOOKUP($F161,Declarations!B$6:C$293,2,FALSE)="","NOT DECLARED",IF(ISNA(_xlfn.TEXTBEFORE(VLOOKUP($F161,Declarations!B$6:C$293,2,FALSE)," ")),VLOOKUP($F161,Declarations!B$6:C$293,2,FALSE),_xlfn.TEXTBEFORE(VLOOKUP($F161,Declarations!B$6:C$293,2,FALSE)," "))))</f>
        <v/>
      </c>
      <c r="C161" s="122" t="str">
        <f>IF(ISNA(VLOOKUP($F161,Declarations!B$6:C$293,2,FALSE)),"",IF(VLOOKUP($F161,Declarations!B$6:C$293,2,FALSE)="","NOT DECLARED",IF(ISNA(_xlfn.TEXTAFTER(VLOOKUP($F161,Declarations!B$6:C$293,2,FALSE)," ")),VLOOKUP($F161,Declarations!B$6:C$293,2,FALSE),_xlfn.TEXTAFTER(VLOOKUP($F161,Declarations!B$6:C$293,2,FALSE)," "))))</f>
        <v/>
      </c>
      <c r="D161" s="122" t="str">
        <f>IF(ISNA(VLOOKUP($F161,Declarations!$B$6:$F$293,5,FALSE)),"",IF(VLOOKUP($F161,Declarations!$B$6:$F$293,5,FALSE)="","NOT DECLARED",VLOOKUP($F161,Declarations!$B$6:$F$293,5,FALSE)))</f>
        <v/>
      </c>
      <c r="E161" s="120" t="str">
        <f>IF(ISNA(VLOOKUP($F161,Declarations!$B$6:$D$293,3,FALSE)),"",IF(VLOOKUP($F161,Declarations!$B$6:$D$293,3,FALSE)="","NOT DECLARED",VLOOKUP($F161,Declarations!$B$6:$D$293,3,FALSE)&amp;LEFT(VLOOKUP($F161,Declarations!$B$6:$E$293,4,FALSE))))</f>
        <v/>
      </c>
      <c r="F161" s="59"/>
      <c r="G161" s="129"/>
      <c r="H161" s="129"/>
      <c r="I161" s="122" t="str">
        <f>IF(ISNA(VLOOKUP(F161,Declarations!B$6:C$293,2,FALSE)),"",IF(VLOOKUP(F161,Declarations!B$6:C$293,2,FALSE)="","NOT DECLARED",VLOOKUP(F161,Declarations!B$6:C$293,2,FALSE)))</f>
        <v/>
      </c>
      <c r="J161" s="120">
        <f>IF(LOWER(LEFT(G161,1))="n",1,VLOOKUP(G161,ScoringTable!D$2:I$95,6))</f>
        <v>0</v>
      </c>
      <c r="K161" s="120" t="str" cm="1">
        <f t="array" ref="K161">IF(OR(E161="",G161=""),"",_xlfn.IFS(E161="U10B",_xlfn.XLOOKUP(G161,Data!$D$5:$L$5,Data!$D$1:$L$1,"",-1,1),E161="U12B",_xlfn.XLOOKUP(G161,Data!$D$12:$L$12,Data!$D$1:$L$1,"",-1,1),E161="U10G",_xlfn.XLOOKUP(G161,Data!$D$18:$L$18,Data!$D$1:$L$1,"",-1,1),E161="U12G",_xlfn.XLOOKUP(G161,Data!$D$25:$L$25,Data!$D$1:$L$1,"",-1,1)))</f>
        <v/>
      </c>
      <c r="L161" s="184" t="str" cm="1">
        <f t="array" ref="L161">IFERROR(_xlfn.IFNA(
                      _xlfn.IFS(
                      G161="", "",
                      AND(E161="U10B",G161&gt;=Data!$M$5), "U10 Boys record",
                      AND(E161="U12B",G161&gt;=Data!$M$12), "U12 Boys record",
                      AND(E161="U10G",G161&gt;=Data!$M$18), "U10 Girls record",
                      AND(E161="U12G",G161&gt;=Data!$M$25), "U12 Girls record"
                       ),""), "")</f>
        <v/>
      </c>
      <c r="M161" s="19" cm="1">
        <f t="array" ref="M161">_xlfn.IFS($G161="",0, AND(NOT(ISNUMBER($G161)),LOWER(LEFT($G161,1))&lt;&gt;"n"),"Not a valid distance",OR(LOWER(LEFT($G161,1))="n",$G161&lt;ScoringTable!$O$161),1,RIGHT($E161,1)="B",_xlfn.XLOOKUP($G161,ScoringTable!$O$2:$O$161,ScoringTable!$L$2:$L$161,,-1),TRUE,_xlfn.XLOOKUP($G161,ScoringTable!$U$2:$U$161,ScoringTable!$R$2:$R$161,,-1))</f>
        <v>0</v>
      </c>
    </row>
    <row r="162" spans="1:13" s="7" customFormat="1" ht="16" customHeight="1">
      <c r="A162" s="121" t="s">
        <v>81</v>
      </c>
      <c r="B162" s="122" t="str">
        <f>IF(ISNA(VLOOKUP($F162,Declarations!B$6:C$293,2,FALSE)),"",IF(VLOOKUP($F162,Declarations!B$6:C$293,2,FALSE)="","NOT DECLARED",IF(ISNA(_xlfn.TEXTBEFORE(VLOOKUP($F162,Declarations!B$6:C$293,2,FALSE)," ")),VLOOKUP($F162,Declarations!B$6:C$293,2,FALSE),_xlfn.TEXTBEFORE(VLOOKUP($F162,Declarations!B$6:C$293,2,FALSE)," "))))</f>
        <v/>
      </c>
      <c r="C162" s="122" t="str">
        <f>IF(ISNA(VLOOKUP($F162,Declarations!B$6:C$293,2,FALSE)),"",IF(VLOOKUP($F162,Declarations!B$6:C$293,2,FALSE)="","NOT DECLARED",IF(ISNA(_xlfn.TEXTAFTER(VLOOKUP($F162,Declarations!B$6:C$293,2,FALSE)," ")),VLOOKUP($F162,Declarations!B$6:C$293,2,FALSE),_xlfn.TEXTAFTER(VLOOKUP($F162,Declarations!B$6:C$293,2,FALSE)," "))))</f>
        <v/>
      </c>
      <c r="D162" s="122" t="str">
        <f>IF(ISNA(VLOOKUP($F162,Declarations!$B$6:$F$293,5,FALSE)),"",IF(VLOOKUP($F162,Declarations!$B$6:$F$293,5,FALSE)="","NOT DECLARED",VLOOKUP($F162,Declarations!$B$6:$F$293,5,FALSE)))</f>
        <v/>
      </c>
      <c r="E162" s="120" t="str">
        <f>IF(ISNA(VLOOKUP($F162,Declarations!$B$6:$D$293,3,FALSE)),"",IF(VLOOKUP($F162,Declarations!$B$6:$D$293,3,FALSE)="","NOT DECLARED",VLOOKUP($F162,Declarations!$B$6:$D$293,3,FALSE)&amp;LEFT(VLOOKUP($F162,Declarations!$B$6:$E$293,4,FALSE))))</f>
        <v/>
      </c>
      <c r="F162" s="59"/>
      <c r="G162" s="129"/>
      <c r="H162" s="129"/>
      <c r="I162" s="122" t="str">
        <f>IF(ISNA(VLOOKUP(F162,Declarations!B$6:C$293,2,FALSE)),"",IF(VLOOKUP(F162,Declarations!B$6:C$293,2,FALSE)="","NOT DECLARED",VLOOKUP(F162,Declarations!B$6:C$293,2,FALSE)))</f>
        <v/>
      </c>
      <c r="J162" s="120">
        <f>IF(LOWER(LEFT(G162,1))="n",1,VLOOKUP(G162,ScoringTable!D$2:I$95,6))</f>
        <v>0</v>
      </c>
      <c r="K162" s="120" t="str" cm="1">
        <f t="array" ref="K162">IF(OR(E162="",G162=""),"",_xlfn.IFS(E162="U10B",_xlfn.XLOOKUP(G162,Data!$D$5:$L$5,Data!$D$1:$L$1,"",-1,1),E162="U12B",_xlfn.XLOOKUP(G162,Data!$D$12:$L$12,Data!$D$1:$L$1,"",-1,1),E162="U10G",_xlfn.XLOOKUP(G162,Data!$D$18:$L$18,Data!$D$1:$L$1,"",-1,1),E162="U12G",_xlfn.XLOOKUP(G162,Data!$D$25:$L$25,Data!$D$1:$L$1,"",-1,1)))</f>
        <v/>
      </c>
      <c r="L162" s="184" t="str" cm="1">
        <f t="array" ref="L162">IFERROR(_xlfn.IFNA(
                      _xlfn.IFS(
                      G162="", "",
                      AND(E162="U10B",G162&gt;=Data!$M$5), "U10 Boys record",
                      AND(E162="U12B",G162&gt;=Data!$M$12), "U12 Boys record",
                      AND(E162="U10G",G162&gt;=Data!$M$18), "U10 Girls record",
                      AND(E162="U12G",G162&gt;=Data!$M$25), "U12 Girls record"
                       ),""), "")</f>
        <v/>
      </c>
      <c r="M162" s="19" cm="1">
        <f t="array" ref="M162">_xlfn.IFS($G162="",0, AND(NOT(ISNUMBER($G162)),LOWER(LEFT($G162,1))&lt;&gt;"n"),"Not a valid distance",OR(LOWER(LEFT($G162,1))="n",$G162&lt;ScoringTable!$O$161),1,RIGHT($E162,1)="B",_xlfn.XLOOKUP($G162,ScoringTable!$O$2:$O$161,ScoringTable!$L$2:$L$161,,-1),TRUE,_xlfn.XLOOKUP($G162,ScoringTable!$U$2:$U$161,ScoringTable!$R$2:$R$161,,-1))</f>
        <v>0</v>
      </c>
    </row>
    <row r="163" spans="1:13" s="7" customFormat="1" ht="16" customHeight="1">
      <c r="A163" s="121" t="s">
        <v>81</v>
      </c>
      <c r="B163" s="122" t="str">
        <f>IF(ISNA(VLOOKUP($F163,Declarations!B$6:C$293,2,FALSE)),"",IF(VLOOKUP($F163,Declarations!B$6:C$293,2,FALSE)="","NOT DECLARED",IF(ISNA(_xlfn.TEXTBEFORE(VLOOKUP($F163,Declarations!B$6:C$293,2,FALSE)," ")),VLOOKUP($F163,Declarations!B$6:C$293,2,FALSE),_xlfn.TEXTBEFORE(VLOOKUP($F163,Declarations!B$6:C$293,2,FALSE)," "))))</f>
        <v/>
      </c>
      <c r="C163" s="122" t="str">
        <f>IF(ISNA(VLOOKUP($F163,Declarations!B$6:C$293,2,FALSE)),"",IF(VLOOKUP($F163,Declarations!B$6:C$293,2,FALSE)="","NOT DECLARED",IF(ISNA(_xlfn.TEXTAFTER(VLOOKUP($F163,Declarations!B$6:C$293,2,FALSE)," ")),VLOOKUP($F163,Declarations!B$6:C$293,2,FALSE),_xlfn.TEXTAFTER(VLOOKUP($F163,Declarations!B$6:C$293,2,FALSE)," "))))</f>
        <v/>
      </c>
      <c r="D163" s="122" t="str">
        <f>IF(ISNA(VLOOKUP($F163,Declarations!$B$6:$F$293,5,FALSE)),"",IF(VLOOKUP($F163,Declarations!$B$6:$F$293,5,FALSE)="","NOT DECLARED",VLOOKUP($F163,Declarations!$B$6:$F$293,5,FALSE)))</f>
        <v/>
      </c>
      <c r="E163" s="120" t="str">
        <f>IF(ISNA(VLOOKUP($F163,Declarations!$B$6:$D$293,3,FALSE)),"",IF(VLOOKUP($F163,Declarations!$B$6:$D$293,3,FALSE)="","NOT DECLARED",VLOOKUP($F163,Declarations!$B$6:$D$293,3,FALSE)&amp;LEFT(VLOOKUP($F163,Declarations!$B$6:$E$293,4,FALSE))))</f>
        <v/>
      </c>
      <c r="F163" s="59"/>
      <c r="G163" s="129"/>
      <c r="H163" s="129"/>
      <c r="I163" s="122" t="str">
        <f>IF(ISNA(VLOOKUP(F163,Declarations!B$6:C$293,2,FALSE)),"",IF(VLOOKUP(F163,Declarations!B$6:C$293,2,FALSE)="","NOT DECLARED",VLOOKUP(F163,Declarations!B$6:C$293,2,FALSE)))</f>
        <v/>
      </c>
      <c r="J163" s="120">
        <f>IF(LOWER(LEFT(G163,1))="n",1,VLOOKUP(G163,ScoringTable!D$2:I$95,6))</f>
        <v>0</v>
      </c>
      <c r="K163" s="120" t="str" cm="1">
        <f t="array" ref="K163">IF(OR(E163="",G163=""),"",_xlfn.IFS(E163="U10B",_xlfn.XLOOKUP(G163,Data!$D$5:$L$5,Data!$D$1:$L$1,"",-1,1),E163="U12B",_xlfn.XLOOKUP(G163,Data!$D$12:$L$12,Data!$D$1:$L$1,"",-1,1),E163="U10G",_xlfn.XLOOKUP(G163,Data!$D$18:$L$18,Data!$D$1:$L$1,"",-1,1),E163="U12G",_xlfn.XLOOKUP(G163,Data!$D$25:$L$25,Data!$D$1:$L$1,"",-1,1)))</f>
        <v/>
      </c>
      <c r="L163" s="184" t="str" cm="1">
        <f t="array" ref="L163">IFERROR(_xlfn.IFNA(
                      _xlfn.IFS(
                      G163="", "",
                      AND(E163="U10B",G163&gt;=Data!$M$5), "U10 Boys record",
                      AND(E163="U12B",G163&gt;=Data!$M$12), "U12 Boys record",
                      AND(E163="U10G",G163&gt;=Data!$M$18), "U10 Girls record",
                      AND(E163="U12G",G163&gt;=Data!$M$25), "U12 Girls record"
                       ),""), "")</f>
        <v/>
      </c>
      <c r="M163" s="19" cm="1">
        <f t="array" ref="M163">_xlfn.IFS($G163="",0, AND(NOT(ISNUMBER($G163)),LOWER(LEFT($G163,1))&lt;&gt;"n"),"Not a valid distance",OR(LOWER(LEFT($G163,1))="n",$G163&lt;ScoringTable!$O$161),1,RIGHT($E163,1)="B",_xlfn.XLOOKUP($G163,ScoringTable!$O$2:$O$161,ScoringTable!$L$2:$L$161,,-1),TRUE,_xlfn.XLOOKUP($G163,ScoringTable!$U$2:$U$161,ScoringTable!$R$2:$R$161,,-1))</f>
        <v>0</v>
      </c>
    </row>
    <row r="164" spans="1:13" s="7" customFormat="1" ht="16" customHeight="1">
      <c r="A164" s="121" t="s">
        <v>81</v>
      </c>
      <c r="B164" s="122" t="str">
        <f>IF(ISNA(VLOOKUP($F164,Declarations!B$6:C$293,2,FALSE)),"",IF(VLOOKUP($F164,Declarations!B$6:C$293,2,FALSE)="","NOT DECLARED",IF(ISNA(_xlfn.TEXTBEFORE(VLOOKUP($F164,Declarations!B$6:C$293,2,FALSE)," ")),VLOOKUP($F164,Declarations!B$6:C$293,2,FALSE),_xlfn.TEXTBEFORE(VLOOKUP($F164,Declarations!B$6:C$293,2,FALSE)," "))))</f>
        <v/>
      </c>
      <c r="C164" s="122" t="str">
        <f>IF(ISNA(VLOOKUP($F164,Declarations!B$6:C$293,2,FALSE)),"",IF(VLOOKUP($F164,Declarations!B$6:C$293,2,FALSE)="","NOT DECLARED",IF(ISNA(_xlfn.TEXTAFTER(VLOOKUP($F164,Declarations!B$6:C$293,2,FALSE)," ")),VLOOKUP($F164,Declarations!B$6:C$293,2,FALSE),_xlfn.TEXTAFTER(VLOOKUP($F164,Declarations!B$6:C$293,2,FALSE)," "))))</f>
        <v/>
      </c>
      <c r="D164" s="122" t="str">
        <f>IF(ISNA(VLOOKUP($F164,Declarations!$B$6:$F$293,5,FALSE)),"",IF(VLOOKUP($F164,Declarations!$B$6:$F$293,5,FALSE)="","NOT DECLARED",VLOOKUP($F164,Declarations!$B$6:$F$293,5,FALSE)))</f>
        <v/>
      </c>
      <c r="E164" s="120" t="str">
        <f>IF(ISNA(VLOOKUP($F164,Declarations!$B$6:$D$293,3,FALSE)),"",IF(VLOOKUP($F164,Declarations!$B$6:$D$293,3,FALSE)="","NOT DECLARED",VLOOKUP($F164,Declarations!$B$6:$D$293,3,FALSE)&amp;LEFT(VLOOKUP($F164,Declarations!$B$6:$E$293,4,FALSE))))</f>
        <v/>
      </c>
      <c r="F164" s="59"/>
      <c r="G164" s="129"/>
      <c r="H164" s="129"/>
      <c r="I164" s="122" t="str">
        <f>IF(ISNA(VLOOKUP(F164,Declarations!B$6:C$293,2,FALSE)),"",IF(VLOOKUP(F164,Declarations!B$6:C$293,2,FALSE)="","NOT DECLARED",VLOOKUP(F164,Declarations!B$6:C$293,2,FALSE)))</f>
        <v/>
      </c>
      <c r="J164" s="120">
        <f>IF(LOWER(LEFT(G164,1))="n",1,VLOOKUP(G164,ScoringTable!D$2:I$95,6))</f>
        <v>0</v>
      </c>
      <c r="K164" s="120" t="str" cm="1">
        <f t="array" ref="K164">IF(OR(E164="",G164=""),"",_xlfn.IFS(E164="U10B",_xlfn.XLOOKUP(G164,Data!$D$5:$L$5,Data!$D$1:$L$1,"",-1,1),E164="U12B",_xlfn.XLOOKUP(G164,Data!$D$12:$L$12,Data!$D$1:$L$1,"",-1,1),E164="U10G",_xlfn.XLOOKUP(G164,Data!$D$18:$L$18,Data!$D$1:$L$1,"",-1,1),E164="U12G",_xlfn.XLOOKUP(G164,Data!$D$25:$L$25,Data!$D$1:$L$1,"",-1,1)))</f>
        <v/>
      </c>
      <c r="L164" s="184" t="str" cm="1">
        <f t="array" ref="L164">IFERROR(_xlfn.IFNA(
                      _xlfn.IFS(
                      G164="", "",
                      AND(E164="U10B",G164&gt;=Data!$M$5), "U10 Boys record",
                      AND(E164="U12B",G164&gt;=Data!$M$12), "U12 Boys record",
                      AND(E164="U10G",G164&gt;=Data!$M$18), "U10 Girls record",
                      AND(E164="U12G",G164&gt;=Data!$M$25), "U12 Girls record"
                       ),""), "")</f>
        <v/>
      </c>
      <c r="M164" s="19" cm="1">
        <f t="array" ref="M164">_xlfn.IFS($G164="",0, AND(NOT(ISNUMBER($G164)),LOWER(LEFT($G164,1))&lt;&gt;"n"),"Not a valid distance",OR(LOWER(LEFT($G164,1))="n",$G164&lt;ScoringTable!$O$161),1,RIGHT($E164,1)="B",_xlfn.XLOOKUP($G164,ScoringTable!$O$2:$O$161,ScoringTable!$L$2:$L$161,,-1),TRUE,_xlfn.XLOOKUP($G164,ScoringTable!$U$2:$U$161,ScoringTable!$R$2:$R$161,,-1))</f>
        <v>0</v>
      </c>
    </row>
    <row r="165" spans="1:13" s="7" customFormat="1" ht="16" customHeight="1">
      <c r="A165" s="121" t="s">
        <v>81</v>
      </c>
      <c r="B165" s="122" t="str">
        <f>IF(ISNA(VLOOKUP($F165,Declarations!B$6:C$293,2,FALSE)),"",IF(VLOOKUP($F165,Declarations!B$6:C$293,2,FALSE)="","NOT DECLARED",IF(ISNA(_xlfn.TEXTBEFORE(VLOOKUP($F165,Declarations!B$6:C$293,2,FALSE)," ")),VLOOKUP($F165,Declarations!B$6:C$293,2,FALSE),_xlfn.TEXTBEFORE(VLOOKUP($F165,Declarations!B$6:C$293,2,FALSE)," "))))</f>
        <v/>
      </c>
      <c r="C165" s="122" t="str">
        <f>IF(ISNA(VLOOKUP($F165,Declarations!B$6:C$293,2,FALSE)),"",IF(VLOOKUP($F165,Declarations!B$6:C$293,2,FALSE)="","NOT DECLARED",IF(ISNA(_xlfn.TEXTAFTER(VLOOKUP($F165,Declarations!B$6:C$293,2,FALSE)," ")),VLOOKUP($F165,Declarations!B$6:C$293,2,FALSE),_xlfn.TEXTAFTER(VLOOKUP($F165,Declarations!B$6:C$293,2,FALSE)," "))))</f>
        <v/>
      </c>
      <c r="D165" s="122" t="str">
        <f>IF(ISNA(VLOOKUP($F165,Declarations!$B$6:$F$293,5,FALSE)),"",IF(VLOOKUP($F165,Declarations!$B$6:$F$293,5,FALSE)="","NOT DECLARED",VLOOKUP($F165,Declarations!$B$6:$F$293,5,FALSE)))</f>
        <v/>
      </c>
      <c r="E165" s="120" t="str">
        <f>IF(ISNA(VLOOKUP($F165,Declarations!$B$6:$D$293,3,FALSE)),"",IF(VLOOKUP($F165,Declarations!$B$6:$D$293,3,FALSE)="","NOT DECLARED",VLOOKUP($F165,Declarations!$B$6:$D$293,3,FALSE)&amp;LEFT(VLOOKUP($F165,Declarations!$B$6:$E$293,4,FALSE))))</f>
        <v/>
      </c>
      <c r="F165" s="59"/>
      <c r="G165" s="129"/>
      <c r="H165" s="129"/>
      <c r="I165" s="122" t="str">
        <f>IF(ISNA(VLOOKUP(F165,Declarations!B$6:C$293,2,FALSE)),"",IF(VLOOKUP(F165,Declarations!B$6:C$293,2,FALSE)="","NOT DECLARED",VLOOKUP(F165,Declarations!B$6:C$293,2,FALSE)))</f>
        <v/>
      </c>
      <c r="J165" s="120">
        <f>IF(LOWER(LEFT(G165,1))="n",1,VLOOKUP(G165,ScoringTable!D$2:I$95,6))</f>
        <v>0</v>
      </c>
      <c r="K165" s="120" t="str" cm="1">
        <f t="array" ref="K165">IF(OR(E165="",G165=""),"",_xlfn.IFS(E165="U10B",_xlfn.XLOOKUP(G165,Data!$D$5:$L$5,Data!$D$1:$L$1,"",-1,1),E165="U12B",_xlfn.XLOOKUP(G165,Data!$D$12:$L$12,Data!$D$1:$L$1,"",-1,1),E165="U10G",_xlfn.XLOOKUP(G165,Data!$D$18:$L$18,Data!$D$1:$L$1,"",-1,1),E165="U12G",_xlfn.XLOOKUP(G165,Data!$D$25:$L$25,Data!$D$1:$L$1,"",-1,1)))</f>
        <v/>
      </c>
      <c r="L165" s="184" t="str" cm="1">
        <f t="array" ref="L165">IFERROR(_xlfn.IFNA(
                      _xlfn.IFS(
                      G165="", "",
                      AND(E165="U10B",G165&gt;=Data!$M$5), "U10 Boys record",
                      AND(E165="U12B",G165&gt;=Data!$M$12), "U12 Boys record",
                      AND(E165="U10G",G165&gt;=Data!$M$18), "U10 Girls record",
                      AND(E165="U12G",G165&gt;=Data!$M$25), "U12 Girls record"
                       ),""), "")</f>
        <v/>
      </c>
      <c r="M165" s="19" cm="1">
        <f t="array" ref="M165">_xlfn.IFS($G165="",0, AND(NOT(ISNUMBER($G165)),LOWER(LEFT($G165,1))&lt;&gt;"n"),"Not a valid distance",OR(LOWER(LEFT($G165,1))="n",$G165&lt;ScoringTable!$O$161),1,RIGHT($E165,1)="B",_xlfn.XLOOKUP($G165,ScoringTable!$O$2:$O$161,ScoringTable!$L$2:$L$161,,-1),TRUE,_xlfn.XLOOKUP($G165,ScoringTable!$U$2:$U$161,ScoringTable!$R$2:$R$161,,-1))</f>
        <v>0</v>
      </c>
    </row>
    <row r="166" spans="1:13" s="7" customFormat="1" ht="16" customHeight="1">
      <c r="A166" s="121" t="s">
        <v>81</v>
      </c>
      <c r="B166" s="122" t="str">
        <f>IF(ISNA(VLOOKUP($F166,Declarations!B$6:C$293,2,FALSE)),"",IF(VLOOKUP($F166,Declarations!B$6:C$293,2,FALSE)="","NOT DECLARED",IF(ISNA(_xlfn.TEXTBEFORE(VLOOKUP($F166,Declarations!B$6:C$293,2,FALSE)," ")),VLOOKUP($F166,Declarations!B$6:C$293,2,FALSE),_xlfn.TEXTBEFORE(VLOOKUP($F166,Declarations!B$6:C$293,2,FALSE)," "))))</f>
        <v/>
      </c>
      <c r="C166" s="122" t="str">
        <f>IF(ISNA(VLOOKUP($F166,Declarations!B$6:C$293,2,FALSE)),"",IF(VLOOKUP($F166,Declarations!B$6:C$293,2,FALSE)="","NOT DECLARED",IF(ISNA(_xlfn.TEXTAFTER(VLOOKUP($F166,Declarations!B$6:C$293,2,FALSE)," ")),VLOOKUP($F166,Declarations!B$6:C$293,2,FALSE),_xlfn.TEXTAFTER(VLOOKUP($F166,Declarations!B$6:C$293,2,FALSE)," "))))</f>
        <v/>
      </c>
      <c r="D166" s="122" t="str">
        <f>IF(ISNA(VLOOKUP($F166,Declarations!$B$6:$F$293,5,FALSE)),"",IF(VLOOKUP($F166,Declarations!$B$6:$F$293,5,FALSE)="","NOT DECLARED",VLOOKUP($F166,Declarations!$B$6:$F$293,5,FALSE)))</f>
        <v/>
      </c>
      <c r="E166" s="120" t="str">
        <f>IF(ISNA(VLOOKUP($F166,Declarations!$B$6:$D$293,3,FALSE)),"",IF(VLOOKUP($F166,Declarations!$B$6:$D$293,3,FALSE)="","NOT DECLARED",VLOOKUP($F166,Declarations!$B$6:$D$293,3,FALSE)&amp;LEFT(VLOOKUP($F166,Declarations!$B$6:$E$293,4,FALSE))))</f>
        <v/>
      </c>
      <c r="F166" s="59"/>
      <c r="G166" s="129"/>
      <c r="H166" s="129"/>
      <c r="I166" s="122" t="str">
        <f>IF(ISNA(VLOOKUP(F166,Declarations!B$6:C$293,2,FALSE)),"",IF(VLOOKUP(F166,Declarations!B$6:C$293,2,FALSE)="","NOT DECLARED",VLOOKUP(F166,Declarations!B$6:C$293,2,FALSE)))</f>
        <v/>
      </c>
      <c r="J166" s="120">
        <f>IF(LOWER(LEFT(G166,1))="n",1,VLOOKUP(G166,ScoringTable!D$2:I$95,6))</f>
        <v>0</v>
      </c>
      <c r="K166" s="120" t="str" cm="1">
        <f t="array" ref="K166">IF(OR(E166="",G166=""),"",_xlfn.IFS(E166="U10B",_xlfn.XLOOKUP(G166,Data!$D$5:$L$5,Data!$D$1:$L$1,"",-1,1),E166="U12B",_xlfn.XLOOKUP(G166,Data!$D$12:$L$12,Data!$D$1:$L$1,"",-1,1),E166="U10G",_xlfn.XLOOKUP(G166,Data!$D$18:$L$18,Data!$D$1:$L$1,"",-1,1),E166="U12G",_xlfn.XLOOKUP(G166,Data!$D$25:$L$25,Data!$D$1:$L$1,"",-1,1)))</f>
        <v/>
      </c>
      <c r="L166" s="184" t="str" cm="1">
        <f t="array" ref="L166">IFERROR(_xlfn.IFNA(
                      _xlfn.IFS(
                      G166="", "",
                      AND(E166="U10B",G166&gt;=Data!$M$5), "U10 Boys record",
                      AND(E166="U12B",G166&gt;=Data!$M$12), "U12 Boys record",
                      AND(E166="U10G",G166&gt;=Data!$M$18), "U10 Girls record",
                      AND(E166="U12G",G166&gt;=Data!$M$25), "U12 Girls record"
                       ),""), "")</f>
        <v/>
      </c>
      <c r="M166" s="19" cm="1">
        <f t="array" ref="M166">_xlfn.IFS($G166="",0, AND(NOT(ISNUMBER($G166)),LOWER(LEFT($G166,1))&lt;&gt;"n"),"Not a valid distance",OR(LOWER(LEFT($G166,1))="n",$G166&lt;ScoringTable!$O$161),1,RIGHT($E166,1)="B",_xlfn.XLOOKUP($G166,ScoringTable!$O$2:$O$161,ScoringTable!$L$2:$L$161,,-1),TRUE,_xlfn.XLOOKUP($G166,ScoringTable!$U$2:$U$161,ScoringTable!$R$2:$R$161,,-1))</f>
        <v>0</v>
      </c>
    </row>
    <row r="167" spans="1:13" s="7" customFormat="1" ht="16" customHeight="1">
      <c r="A167" s="121" t="s">
        <v>81</v>
      </c>
      <c r="B167" s="122" t="str">
        <f>IF(ISNA(VLOOKUP($F167,Declarations!B$6:C$293,2,FALSE)),"",IF(VLOOKUP($F167,Declarations!B$6:C$293,2,FALSE)="","NOT DECLARED",IF(ISNA(_xlfn.TEXTBEFORE(VLOOKUP($F167,Declarations!B$6:C$293,2,FALSE)," ")),VLOOKUP($F167,Declarations!B$6:C$293,2,FALSE),_xlfn.TEXTBEFORE(VLOOKUP($F167,Declarations!B$6:C$293,2,FALSE)," "))))</f>
        <v/>
      </c>
      <c r="C167" s="122" t="str">
        <f>IF(ISNA(VLOOKUP($F167,Declarations!B$6:C$293,2,FALSE)),"",IF(VLOOKUP($F167,Declarations!B$6:C$293,2,FALSE)="","NOT DECLARED",IF(ISNA(_xlfn.TEXTAFTER(VLOOKUP($F167,Declarations!B$6:C$293,2,FALSE)," ")),VLOOKUP($F167,Declarations!B$6:C$293,2,FALSE),_xlfn.TEXTAFTER(VLOOKUP($F167,Declarations!B$6:C$293,2,FALSE)," "))))</f>
        <v/>
      </c>
      <c r="D167" s="122" t="str">
        <f>IF(ISNA(VLOOKUP($F167,Declarations!$B$6:$F$293,5,FALSE)),"",IF(VLOOKUP($F167,Declarations!$B$6:$F$293,5,FALSE)="","NOT DECLARED",VLOOKUP($F167,Declarations!$B$6:$F$293,5,FALSE)))</f>
        <v/>
      </c>
      <c r="E167" s="120" t="str">
        <f>IF(ISNA(VLOOKUP($F167,Declarations!$B$6:$D$293,3,FALSE)),"",IF(VLOOKUP($F167,Declarations!$B$6:$D$293,3,FALSE)="","NOT DECLARED",VLOOKUP($F167,Declarations!$B$6:$D$293,3,FALSE)&amp;LEFT(VLOOKUP($F167,Declarations!$B$6:$E$293,4,FALSE))))</f>
        <v/>
      </c>
      <c r="F167" s="59"/>
      <c r="G167" s="129"/>
      <c r="H167" s="129"/>
      <c r="I167" s="122" t="str">
        <f>IF(ISNA(VLOOKUP(F167,Declarations!B$6:C$293,2,FALSE)),"",IF(VLOOKUP(F167,Declarations!B$6:C$293,2,FALSE)="","NOT DECLARED",VLOOKUP(F167,Declarations!B$6:C$293,2,FALSE)))</f>
        <v/>
      </c>
      <c r="J167" s="120">
        <f>IF(LOWER(LEFT(G167,1))="n",1,VLOOKUP(G167,ScoringTable!D$2:I$95,6))</f>
        <v>0</v>
      </c>
      <c r="K167" s="120" t="str" cm="1">
        <f t="array" ref="K167">IF(OR(E167="",G167=""),"",_xlfn.IFS(E167="U10B",_xlfn.XLOOKUP(G167,Data!$D$5:$L$5,Data!$D$1:$L$1,"",-1,1),E167="U12B",_xlfn.XLOOKUP(G167,Data!$D$12:$L$12,Data!$D$1:$L$1,"",-1,1),E167="U10G",_xlfn.XLOOKUP(G167,Data!$D$18:$L$18,Data!$D$1:$L$1,"",-1,1),E167="U12G",_xlfn.XLOOKUP(G167,Data!$D$25:$L$25,Data!$D$1:$L$1,"",-1,1)))</f>
        <v/>
      </c>
      <c r="L167" s="184" t="str" cm="1">
        <f t="array" ref="L167">IFERROR(_xlfn.IFNA(
                      _xlfn.IFS(
                      G167="", "",
                      AND(E167="U10B",G167&gt;=Data!$M$5), "U10 Boys record",
                      AND(E167="U12B",G167&gt;=Data!$M$12), "U12 Boys record",
                      AND(E167="U10G",G167&gt;=Data!$M$18), "U10 Girls record",
                      AND(E167="U12G",G167&gt;=Data!$M$25), "U12 Girls record"
                       ),""), "")</f>
        <v/>
      </c>
      <c r="M167" s="19" cm="1">
        <f t="array" ref="M167">_xlfn.IFS($G167="",0, AND(NOT(ISNUMBER($G167)),LOWER(LEFT($G167,1))&lt;&gt;"n"),"Not a valid distance",OR(LOWER(LEFT($G167,1))="n",$G167&lt;ScoringTable!$O$161),1,RIGHT($E167,1)="B",_xlfn.XLOOKUP($G167,ScoringTable!$O$2:$O$161,ScoringTable!$L$2:$L$161,,-1),TRUE,_xlfn.XLOOKUP($G167,ScoringTable!$U$2:$U$161,ScoringTable!$R$2:$R$161,,-1))</f>
        <v>0</v>
      </c>
    </row>
    <row r="168" spans="1:13" s="7" customFormat="1" ht="16" customHeight="1">
      <c r="A168" s="121" t="s">
        <v>81</v>
      </c>
      <c r="B168" s="122" t="str">
        <f>IF(ISNA(VLOOKUP($F168,Declarations!B$6:C$293,2,FALSE)),"",IF(VLOOKUP($F168,Declarations!B$6:C$293,2,FALSE)="","NOT DECLARED",IF(ISNA(_xlfn.TEXTBEFORE(VLOOKUP($F168,Declarations!B$6:C$293,2,FALSE)," ")),VLOOKUP($F168,Declarations!B$6:C$293,2,FALSE),_xlfn.TEXTBEFORE(VLOOKUP($F168,Declarations!B$6:C$293,2,FALSE)," "))))</f>
        <v/>
      </c>
      <c r="C168" s="122" t="str">
        <f>IF(ISNA(VLOOKUP($F168,Declarations!B$6:C$293,2,FALSE)),"",IF(VLOOKUP($F168,Declarations!B$6:C$293,2,FALSE)="","NOT DECLARED",IF(ISNA(_xlfn.TEXTAFTER(VLOOKUP($F168,Declarations!B$6:C$293,2,FALSE)," ")),VLOOKUP($F168,Declarations!B$6:C$293,2,FALSE),_xlfn.TEXTAFTER(VLOOKUP($F168,Declarations!B$6:C$293,2,FALSE)," "))))</f>
        <v/>
      </c>
      <c r="D168" s="122" t="str">
        <f>IF(ISNA(VLOOKUP($F168,Declarations!$B$6:$F$293,5,FALSE)),"",IF(VLOOKUP($F168,Declarations!$B$6:$F$293,5,FALSE)="","NOT DECLARED",VLOOKUP($F168,Declarations!$B$6:$F$293,5,FALSE)))</f>
        <v/>
      </c>
      <c r="E168" s="120" t="str">
        <f>IF(ISNA(VLOOKUP($F168,Declarations!$B$6:$D$293,3,FALSE)),"",IF(VLOOKUP($F168,Declarations!$B$6:$D$293,3,FALSE)="","NOT DECLARED",VLOOKUP($F168,Declarations!$B$6:$D$293,3,FALSE)&amp;LEFT(VLOOKUP($F168,Declarations!$B$6:$E$293,4,FALSE))))</f>
        <v/>
      </c>
      <c r="F168" s="59"/>
      <c r="G168" s="129"/>
      <c r="H168" s="129"/>
      <c r="I168" s="122" t="str">
        <f>IF(ISNA(VLOOKUP(F168,Declarations!B$6:C$293,2,FALSE)),"",IF(VLOOKUP(F168,Declarations!B$6:C$293,2,FALSE)="","NOT DECLARED",VLOOKUP(F168,Declarations!B$6:C$293,2,FALSE)))</f>
        <v/>
      </c>
      <c r="J168" s="120">
        <f>IF(LOWER(LEFT(G168,1))="n",1,VLOOKUP(G168,ScoringTable!D$2:I$95,6))</f>
        <v>0</v>
      </c>
      <c r="K168" s="120" t="str" cm="1">
        <f t="array" ref="K168">IF(OR(E168="",G168=""),"",_xlfn.IFS(E168="U10B",_xlfn.XLOOKUP(G168,Data!$D$5:$L$5,Data!$D$1:$L$1,"",-1,1),E168="U12B",_xlfn.XLOOKUP(G168,Data!$D$12:$L$12,Data!$D$1:$L$1,"",-1,1),E168="U10G",_xlfn.XLOOKUP(G168,Data!$D$18:$L$18,Data!$D$1:$L$1,"",-1,1),E168="U12G",_xlfn.XLOOKUP(G168,Data!$D$25:$L$25,Data!$D$1:$L$1,"",-1,1)))</f>
        <v/>
      </c>
      <c r="L168" s="184" t="str" cm="1">
        <f t="array" ref="L168">IFERROR(_xlfn.IFNA(
                      _xlfn.IFS(
                      G168="", "",
                      AND(E168="U10B",G168&gt;=Data!$M$5), "U10 Boys record",
                      AND(E168="U12B",G168&gt;=Data!$M$12), "U12 Boys record",
                      AND(E168="U10G",G168&gt;=Data!$M$18), "U10 Girls record",
                      AND(E168="U12G",G168&gt;=Data!$M$25), "U12 Girls record"
                       ),""), "")</f>
        <v/>
      </c>
      <c r="M168" s="19" cm="1">
        <f t="array" ref="M168">_xlfn.IFS($G168="",0, AND(NOT(ISNUMBER($G168)),LOWER(LEFT($G168,1))&lt;&gt;"n"),"Not a valid distance",OR(LOWER(LEFT($G168,1))="n",$G168&lt;ScoringTable!$O$161),1,RIGHT($E168,1)="B",_xlfn.XLOOKUP($G168,ScoringTable!$O$2:$O$161,ScoringTable!$L$2:$L$161,,-1),TRUE,_xlfn.XLOOKUP($G168,ScoringTable!$U$2:$U$161,ScoringTable!$R$2:$R$161,,-1))</f>
        <v>0</v>
      </c>
    </row>
    <row r="169" spans="1:13" s="7" customFormat="1" ht="16" customHeight="1">
      <c r="A169" s="121" t="s">
        <v>81</v>
      </c>
      <c r="B169" s="122" t="str">
        <f>IF(ISNA(VLOOKUP($F169,Declarations!B$6:C$293,2,FALSE)),"",IF(VLOOKUP($F169,Declarations!B$6:C$293,2,FALSE)="","NOT DECLARED",IF(ISNA(_xlfn.TEXTBEFORE(VLOOKUP($F169,Declarations!B$6:C$293,2,FALSE)," ")),VLOOKUP($F169,Declarations!B$6:C$293,2,FALSE),_xlfn.TEXTBEFORE(VLOOKUP($F169,Declarations!B$6:C$293,2,FALSE)," "))))</f>
        <v/>
      </c>
      <c r="C169" s="122" t="str">
        <f>IF(ISNA(VLOOKUP($F169,Declarations!B$6:C$293,2,FALSE)),"",IF(VLOOKUP($F169,Declarations!B$6:C$293,2,FALSE)="","NOT DECLARED",IF(ISNA(_xlfn.TEXTAFTER(VLOOKUP($F169,Declarations!B$6:C$293,2,FALSE)," ")),VLOOKUP($F169,Declarations!B$6:C$293,2,FALSE),_xlfn.TEXTAFTER(VLOOKUP($F169,Declarations!B$6:C$293,2,FALSE)," "))))</f>
        <v/>
      </c>
      <c r="D169" s="122" t="str">
        <f>IF(ISNA(VLOOKUP($F169,Declarations!$B$6:$F$293,5,FALSE)),"",IF(VLOOKUP($F169,Declarations!$B$6:$F$293,5,FALSE)="","NOT DECLARED",VLOOKUP($F169,Declarations!$B$6:$F$293,5,FALSE)))</f>
        <v/>
      </c>
      <c r="E169" s="120" t="str">
        <f>IF(ISNA(VLOOKUP($F169,Declarations!$B$6:$D$293,3,FALSE)),"",IF(VLOOKUP($F169,Declarations!$B$6:$D$293,3,FALSE)="","NOT DECLARED",VLOOKUP($F169,Declarations!$B$6:$D$293,3,FALSE)&amp;LEFT(VLOOKUP($F169,Declarations!$B$6:$E$293,4,FALSE))))</f>
        <v/>
      </c>
      <c r="F169" s="59"/>
      <c r="G169" s="129"/>
      <c r="H169" s="129"/>
      <c r="I169" s="122" t="str">
        <f>IF(ISNA(VLOOKUP(F169,Declarations!B$6:C$293,2,FALSE)),"",IF(VLOOKUP(F169,Declarations!B$6:C$293,2,FALSE)="","NOT DECLARED",VLOOKUP(F169,Declarations!B$6:C$293,2,FALSE)))</f>
        <v/>
      </c>
      <c r="J169" s="120">
        <f>IF(LOWER(LEFT(G169,1))="n",1,VLOOKUP(G169,ScoringTable!D$2:I$95,6))</f>
        <v>0</v>
      </c>
      <c r="K169" s="120" t="str" cm="1">
        <f t="array" ref="K169">IF(OR(E169="",G169=""),"",_xlfn.IFS(E169="U10B",_xlfn.XLOOKUP(G169,Data!$D$5:$L$5,Data!$D$1:$L$1,"",-1,1),E169="U12B",_xlfn.XLOOKUP(G169,Data!$D$12:$L$12,Data!$D$1:$L$1,"",-1,1),E169="U10G",_xlfn.XLOOKUP(G169,Data!$D$18:$L$18,Data!$D$1:$L$1,"",-1,1),E169="U12G",_xlfn.XLOOKUP(G169,Data!$D$25:$L$25,Data!$D$1:$L$1,"",-1,1)))</f>
        <v/>
      </c>
      <c r="L169" s="184" t="str" cm="1">
        <f t="array" ref="L169">IFERROR(_xlfn.IFNA(
                      _xlfn.IFS(
                      G169="", "",
                      AND(E169="U10B",G169&gt;=Data!$M$5), "U10 Boys record",
                      AND(E169="U12B",G169&gt;=Data!$M$12), "U12 Boys record",
                      AND(E169="U10G",G169&gt;=Data!$M$18), "U10 Girls record",
                      AND(E169="U12G",G169&gt;=Data!$M$25), "U12 Girls record"
                       ),""), "")</f>
        <v/>
      </c>
      <c r="M169" s="19" cm="1">
        <f t="array" ref="M169">_xlfn.IFS($G169="",0, AND(NOT(ISNUMBER($G169)),LOWER(LEFT($G169,1))&lt;&gt;"n"),"Not a valid distance",OR(LOWER(LEFT($G169,1))="n",$G169&lt;ScoringTable!$O$161),1,RIGHT($E169,1)="B",_xlfn.XLOOKUP($G169,ScoringTable!$O$2:$O$161,ScoringTable!$L$2:$L$161,,-1),TRUE,_xlfn.XLOOKUP($G169,ScoringTable!$U$2:$U$161,ScoringTable!$R$2:$R$161,,-1))</f>
        <v>0</v>
      </c>
    </row>
    <row r="170" spans="1:13" s="7" customFormat="1" ht="16" customHeight="1">
      <c r="A170" s="121" t="s">
        <v>81</v>
      </c>
      <c r="B170" s="122" t="str">
        <f>IF(ISNA(VLOOKUP($F170,Declarations!B$6:C$293,2,FALSE)),"",IF(VLOOKUP($F170,Declarations!B$6:C$293,2,FALSE)="","NOT DECLARED",IF(ISNA(_xlfn.TEXTBEFORE(VLOOKUP($F170,Declarations!B$6:C$293,2,FALSE)," ")),VLOOKUP($F170,Declarations!B$6:C$293,2,FALSE),_xlfn.TEXTBEFORE(VLOOKUP($F170,Declarations!B$6:C$293,2,FALSE)," "))))</f>
        <v/>
      </c>
      <c r="C170" s="122" t="str">
        <f>IF(ISNA(VLOOKUP($F170,Declarations!B$6:C$293,2,FALSE)),"",IF(VLOOKUP($F170,Declarations!B$6:C$293,2,FALSE)="","NOT DECLARED",IF(ISNA(_xlfn.TEXTAFTER(VLOOKUP($F170,Declarations!B$6:C$293,2,FALSE)," ")),VLOOKUP($F170,Declarations!B$6:C$293,2,FALSE),_xlfn.TEXTAFTER(VLOOKUP($F170,Declarations!B$6:C$293,2,FALSE)," "))))</f>
        <v/>
      </c>
      <c r="D170" s="122" t="str">
        <f>IF(ISNA(VLOOKUP($F170,Declarations!$B$6:$F$293,5,FALSE)),"",IF(VLOOKUP($F170,Declarations!$B$6:$F$293,5,FALSE)="","NOT DECLARED",VLOOKUP($F170,Declarations!$B$6:$F$293,5,FALSE)))</f>
        <v/>
      </c>
      <c r="E170" s="120" t="str">
        <f>IF(ISNA(VLOOKUP($F170,Declarations!$B$6:$D$293,3,FALSE)),"",IF(VLOOKUP($F170,Declarations!$B$6:$D$293,3,FALSE)="","NOT DECLARED",VLOOKUP($F170,Declarations!$B$6:$D$293,3,FALSE)&amp;LEFT(VLOOKUP($F170,Declarations!$B$6:$E$293,4,FALSE))))</f>
        <v/>
      </c>
      <c r="F170" s="59"/>
      <c r="G170" s="129"/>
      <c r="H170" s="129"/>
      <c r="I170" s="122" t="str">
        <f>IF(ISNA(VLOOKUP(F170,Declarations!B$6:C$293,2,FALSE)),"",IF(VLOOKUP(F170,Declarations!B$6:C$293,2,FALSE)="","NOT DECLARED",VLOOKUP(F170,Declarations!B$6:C$293,2,FALSE)))</f>
        <v/>
      </c>
      <c r="J170" s="120">
        <f>IF(LOWER(LEFT(G170,1))="n",1,VLOOKUP(G170,ScoringTable!D$2:I$95,6))</f>
        <v>0</v>
      </c>
      <c r="K170" s="120" t="str" cm="1">
        <f t="array" ref="K170">IF(OR(E170="",G170=""),"",_xlfn.IFS(E170="U10B",_xlfn.XLOOKUP(G170,Data!$D$5:$L$5,Data!$D$1:$L$1,"",-1,1),E170="U12B",_xlfn.XLOOKUP(G170,Data!$D$12:$L$12,Data!$D$1:$L$1,"",-1,1),E170="U10G",_xlfn.XLOOKUP(G170,Data!$D$18:$L$18,Data!$D$1:$L$1,"",-1,1),E170="U12G",_xlfn.XLOOKUP(G170,Data!$D$25:$L$25,Data!$D$1:$L$1,"",-1,1)))</f>
        <v/>
      </c>
      <c r="L170" s="184" t="str" cm="1">
        <f t="array" ref="L170">IFERROR(_xlfn.IFNA(
                      _xlfn.IFS(
                      G170="", "",
                      AND(E170="U10B",G170&gt;=Data!$M$5), "U10 Boys record",
                      AND(E170="U12B",G170&gt;=Data!$M$12), "U12 Boys record",
                      AND(E170="U10G",G170&gt;=Data!$M$18), "U10 Girls record",
                      AND(E170="U12G",G170&gt;=Data!$M$25), "U12 Girls record"
                       ),""), "")</f>
        <v/>
      </c>
      <c r="M170" s="19" cm="1">
        <f t="array" ref="M170">_xlfn.IFS($G170="",0, AND(NOT(ISNUMBER($G170)),LOWER(LEFT($G170,1))&lt;&gt;"n"),"Not a valid distance",OR(LOWER(LEFT($G170,1))="n",$G170&lt;ScoringTable!$O$161),1,RIGHT($E170,1)="B",_xlfn.XLOOKUP($G170,ScoringTable!$O$2:$O$161,ScoringTable!$L$2:$L$161,,-1),TRUE,_xlfn.XLOOKUP($G170,ScoringTable!$U$2:$U$161,ScoringTable!$R$2:$R$161,,-1))</f>
        <v>0</v>
      </c>
    </row>
    <row r="171" spans="1:13" s="7" customFormat="1" ht="16" customHeight="1">
      <c r="A171" s="121" t="s">
        <v>81</v>
      </c>
      <c r="B171" s="122" t="str">
        <f>IF(ISNA(VLOOKUP($F171,Declarations!B$6:C$293,2,FALSE)),"",IF(VLOOKUP($F171,Declarations!B$6:C$293,2,FALSE)="","NOT DECLARED",IF(ISNA(_xlfn.TEXTBEFORE(VLOOKUP($F171,Declarations!B$6:C$293,2,FALSE)," ")),VLOOKUP($F171,Declarations!B$6:C$293,2,FALSE),_xlfn.TEXTBEFORE(VLOOKUP($F171,Declarations!B$6:C$293,2,FALSE)," "))))</f>
        <v/>
      </c>
      <c r="C171" s="122" t="str">
        <f>IF(ISNA(VLOOKUP($F171,Declarations!B$6:C$293,2,FALSE)),"",IF(VLOOKUP($F171,Declarations!B$6:C$293,2,FALSE)="","NOT DECLARED",IF(ISNA(_xlfn.TEXTAFTER(VLOOKUP($F171,Declarations!B$6:C$293,2,FALSE)," ")),VLOOKUP($F171,Declarations!B$6:C$293,2,FALSE),_xlfn.TEXTAFTER(VLOOKUP($F171,Declarations!B$6:C$293,2,FALSE)," "))))</f>
        <v/>
      </c>
      <c r="D171" s="122" t="str">
        <f>IF(ISNA(VLOOKUP($F171,Declarations!$B$6:$F$293,5,FALSE)),"",IF(VLOOKUP($F171,Declarations!$B$6:$F$293,5,FALSE)="","NOT DECLARED",VLOOKUP($F171,Declarations!$B$6:$F$293,5,FALSE)))</f>
        <v/>
      </c>
      <c r="E171" s="120" t="str">
        <f>IF(ISNA(VLOOKUP($F171,Declarations!$B$6:$D$293,3,FALSE)),"",IF(VLOOKUP($F171,Declarations!$B$6:$D$293,3,FALSE)="","NOT DECLARED",VLOOKUP($F171,Declarations!$B$6:$D$293,3,FALSE)&amp;LEFT(VLOOKUP($F171,Declarations!$B$6:$E$293,4,FALSE))))</f>
        <v/>
      </c>
      <c r="F171" s="59"/>
      <c r="G171" s="129"/>
      <c r="H171" s="129"/>
      <c r="I171" s="122" t="str">
        <f>IF(ISNA(VLOOKUP(F171,Declarations!B$6:C$293,2,FALSE)),"",IF(VLOOKUP(F171,Declarations!B$6:C$293,2,FALSE)="","NOT DECLARED",VLOOKUP(F171,Declarations!B$6:C$293,2,FALSE)))</f>
        <v/>
      </c>
      <c r="J171" s="120">
        <f>IF(LOWER(LEFT(G171,1))="n",1,VLOOKUP(G171,ScoringTable!D$2:I$95,6))</f>
        <v>0</v>
      </c>
      <c r="K171" s="120" t="str" cm="1">
        <f t="array" ref="K171">IF(OR(E171="",G171=""),"",_xlfn.IFS(E171="U10B",_xlfn.XLOOKUP(G171,Data!$D$5:$L$5,Data!$D$1:$L$1,"",-1,1),E171="U12B",_xlfn.XLOOKUP(G171,Data!$D$12:$L$12,Data!$D$1:$L$1,"",-1,1),E171="U10G",_xlfn.XLOOKUP(G171,Data!$D$18:$L$18,Data!$D$1:$L$1,"",-1,1),E171="U12G",_xlfn.XLOOKUP(G171,Data!$D$25:$L$25,Data!$D$1:$L$1,"",-1,1)))</f>
        <v/>
      </c>
      <c r="L171" s="184" t="str" cm="1">
        <f t="array" ref="L171">IFERROR(_xlfn.IFNA(
                      _xlfn.IFS(
                      G171="", "",
                      AND(E171="U10B",G171&gt;=Data!$M$5), "U10 Boys record",
                      AND(E171="U12B",G171&gt;=Data!$M$12), "U12 Boys record",
                      AND(E171="U10G",G171&gt;=Data!$M$18), "U10 Girls record",
                      AND(E171="U12G",G171&gt;=Data!$M$25), "U12 Girls record"
                       ),""), "")</f>
        <v/>
      </c>
      <c r="M171" s="19" cm="1">
        <f t="array" ref="M171">_xlfn.IFS($G171="",0, AND(NOT(ISNUMBER($G171)),LOWER(LEFT($G171,1))&lt;&gt;"n"),"Not a valid distance",OR(LOWER(LEFT($G171,1))="n",$G171&lt;ScoringTable!$O$161),1,RIGHT($E171,1)="B",_xlfn.XLOOKUP($G171,ScoringTable!$O$2:$O$161,ScoringTable!$L$2:$L$161,,-1),TRUE,_xlfn.XLOOKUP($G171,ScoringTable!$U$2:$U$161,ScoringTable!$R$2:$R$161,,-1))</f>
        <v>0</v>
      </c>
    </row>
    <row r="172" spans="1:13" s="7" customFormat="1" ht="16" customHeight="1">
      <c r="A172" s="121" t="s">
        <v>81</v>
      </c>
      <c r="B172" s="122" t="str">
        <f>IF(ISNA(VLOOKUP($F172,Declarations!B$6:C$293,2,FALSE)),"",IF(VLOOKUP($F172,Declarations!B$6:C$293,2,FALSE)="","NOT DECLARED",IF(ISNA(_xlfn.TEXTBEFORE(VLOOKUP($F172,Declarations!B$6:C$293,2,FALSE)," ")),VLOOKUP($F172,Declarations!B$6:C$293,2,FALSE),_xlfn.TEXTBEFORE(VLOOKUP($F172,Declarations!B$6:C$293,2,FALSE)," "))))</f>
        <v/>
      </c>
      <c r="C172" s="122" t="str">
        <f>IF(ISNA(VLOOKUP($F172,Declarations!B$6:C$293,2,FALSE)),"",IF(VLOOKUP($F172,Declarations!B$6:C$293,2,FALSE)="","NOT DECLARED",IF(ISNA(_xlfn.TEXTAFTER(VLOOKUP($F172,Declarations!B$6:C$293,2,FALSE)," ")),VLOOKUP($F172,Declarations!B$6:C$293,2,FALSE),_xlfn.TEXTAFTER(VLOOKUP($F172,Declarations!B$6:C$293,2,FALSE)," "))))</f>
        <v/>
      </c>
      <c r="D172" s="122" t="str">
        <f>IF(ISNA(VLOOKUP($F172,Declarations!$B$6:$F$293,5,FALSE)),"",IF(VLOOKUP($F172,Declarations!$B$6:$F$293,5,FALSE)="","NOT DECLARED",VLOOKUP($F172,Declarations!$B$6:$F$293,5,FALSE)))</f>
        <v/>
      </c>
      <c r="E172" s="120" t="str">
        <f>IF(ISNA(VLOOKUP($F172,Declarations!$B$6:$D$293,3,FALSE)),"",IF(VLOOKUP($F172,Declarations!$B$6:$D$293,3,FALSE)="","NOT DECLARED",VLOOKUP($F172,Declarations!$B$6:$D$293,3,FALSE)&amp;LEFT(VLOOKUP($F172,Declarations!$B$6:$E$293,4,FALSE))))</f>
        <v/>
      </c>
      <c r="F172" s="59"/>
      <c r="G172" s="129"/>
      <c r="H172" s="129"/>
      <c r="I172" s="122" t="str">
        <f>IF(ISNA(VLOOKUP(F172,Declarations!B$6:C$293,2,FALSE)),"",IF(VLOOKUP(F172,Declarations!B$6:C$293,2,FALSE)="","NOT DECLARED",VLOOKUP(F172,Declarations!B$6:C$293,2,FALSE)))</f>
        <v/>
      </c>
      <c r="J172" s="120">
        <f>IF(LOWER(LEFT(G172,1))="n",1,VLOOKUP(G172,ScoringTable!D$2:I$95,6))</f>
        <v>0</v>
      </c>
      <c r="K172" s="120" t="str" cm="1">
        <f t="array" ref="K172">IF(OR(E172="",G172=""),"",_xlfn.IFS(E172="U10B",_xlfn.XLOOKUP(G172,Data!$D$5:$L$5,Data!$D$1:$L$1,"",-1,1),E172="U12B",_xlfn.XLOOKUP(G172,Data!$D$12:$L$12,Data!$D$1:$L$1,"",-1,1),E172="U10G",_xlfn.XLOOKUP(G172,Data!$D$18:$L$18,Data!$D$1:$L$1,"",-1,1),E172="U12G",_xlfn.XLOOKUP(G172,Data!$D$25:$L$25,Data!$D$1:$L$1,"",-1,1)))</f>
        <v/>
      </c>
      <c r="L172" s="184" t="str" cm="1">
        <f t="array" ref="L172">IFERROR(_xlfn.IFNA(
                      _xlfn.IFS(
                      G172="", "",
                      AND(E172="U10B",G172&gt;=Data!$M$5), "U10 Boys record",
                      AND(E172="U12B",G172&gt;=Data!$M$12), "U12 Boys record",
                      AND(E172="U10G",G172&gt;=Data!$M$18), "U10 Girls record",
                      AND(E172="U12G",G172&gt;=Data!$M$25), "U12 Girls record"
                       ),""), "")</f>
        <v/>
      </c>
      <c r="M172" s="19" cm="1">
        <f t="array" ref="M172">_xlfn.IFS($G172="",0, AND(NOT(ISNUMBER($G172)),LOWER(LEFT($G172,1))&lt;&gt;"n"),"Not a valid distance",OR(LOWER(LEFT($G172,1))="n",$G172&lt;ScoringTable!$O$161),1,RIGHT($E172,1)="B",_xlfn.XLOOKUP($G172,ScoringTable!$O$2:$O$161,ScoringTable!$L$2:$L$161,,-1),TRUE,_xlfn.XLOOKUP($G172,ScoringTable!$U$2:$U$161,ScoringTable!$R$2:$R$161,,-1))</f>
        <v>0</v>
      </c>
    </row>
    <row r="173" spans="1:13" s="7" customFormat="1" ht="16" customHeight="1">
      <c r="A173" s="121" t="s">
        <v>81</v>
      </c>
      <c r="B173" s="122" t="str">
        <f>IF(ISNA(VLOOKUP($F173,Declarations!B$6:C$293,2,FALSE)),"",IF(VLOOKUP($F173,Declarations!B$6:C$293,2,FALSE)="","NOT DECLARED",IF(ISNA(_xlfn.TEXTBEFORE(VLOOKUP($F173,Declarations!B$6:C$293,2,FALSE)," ")),VLOOKUP($F173,Declarations!B$6:C$293,2,FALSE),_xlfn.TEXTBEFORE(VLOOKUP($F173,Declarations!B$6:C$293,2,FALSE)," "))))</f>
        <v/>
      </c>
      <c r="C173" s="122" t="str">
        <f>IF(ISNA(VLOOKUP($F173,Declarations!B$6:C$293,2,FALSE)),"",IF(VLOOKUP($F173,Declarations!B$6:C$293,2,FALSE)="","NOT DECLARED",IF(ISNA(_xlfn.TEXTAFTER(VLOOKUP($F173,Declarations!B$6:C$293,2,FALSE)," ")),VLOOKUP($F173,Declarations!B$6:C$293,2,FALSE),_xlfn.TEXTAFTER(VLOOKUP($F173,Declarations!B$6:C$293,2,FALSE)," "))))</f>
        <v/>
      </c>
      <c r="D173" s="122" t="str">
        <f>IF(ISNA(VLOOKUP($F173,Declarations!$B$6:$F$293,5,FALSE)),"",IF(VLOOKUP($F173,Declarations!$B$6:$F$293,5,FALSE)="","NOT DECLARED",VLOOKUP($F173,Declarations!$B$6:$F$293,5,FALSE)))</f>
        <v/>
      </c>
      <c r="E173" s="120" t="str">
        <f>IF(ISNA(VLOOKUP($F173,Declarations!$B$6:$D$293,3,FALSE)),"",IF(VLOOKUP($F173,Declarations!$B$6:$D$293,3,FALSE)="","NOT DECLARED",VLOOKUP($F173,Declarations!$B$6:$D$293,3,FALSE)&amp;LEFT(VLOOKUP($F173,Declarations!$B$6:$E$293,4,FALSE))))</f>
        <v/>
      </c>
      <c r="F173" s="59"/>
      <c r="G173" s="129"/>
      <c r="H173" s="129"/>
      <c r="I173" s="122" t="str">
        <f>IF(ISNA(VLOOKUP(F173,Declarations!B$6:C$293,2,FALSE)),"",IF(VLOOKUP(F173,Declarations!B$6:C$293,2,FALSE)="","NOT DECLARED",VLOOKUP(F173,Declarations!B$6:C$293,2,FALSE)))</f>
        <v/>
      </c>
      <c r="J173" s="120">
        <f>IF(LOWER(LEFT(G173,1))="n",1,VLOOKUP(G173,ScoringTable!D$2:I$95,6))</f>
        <v>0</v>
      </c>
      <c r="K173" s="120" t="str" cm="1">
        <f t="array" ref="K173">IF(OR(E173="",G173=""),"",_xlfn.IFS(E173="U10B",_xlfn.XLOOKUP(G173,Data!$D$5:$L$5,Data!$D$1:$L$1,"",-1,1),E173="U12B",_xlfn.XLOOKUP(G173,Data!$D$12:$L$12,Data!$D$1:$L$1,"",-1,1),E173="U10G",_xlfn.XLOOKUP(G173,Data!$D$18:$L$18,Data!$D$1:$L$1,"",-1,1),E173="U12G",_xlfn.XLOOKUP(G173,Data!$D$25:$L$25,Data!$D$1:$L$1,"",-1,1)))</f>
        <v/>
      </c>
      <c r="L173" s="184" t="str" cm="1">
        <f t="array" ref="L173">IFERROR(_xlfn.IFNA(
                      _xlfn.IFS(
                      G173="", "",
                      AND(E173="U10B",G173&gt;=Data!$M$5), "U10 Boys record",
                      AND(E173="U12B",G173&gt;=Data!$M$12), "U12 Boys record",
                      AND(E173="U10G",G173&gt;=Data!$M$18), "U10 Girls record",
                      AND(E173="U12G",G173&gt;=Data!$M$25), "U12 Girls record"
                       ),""), "")</f>
        <v/>
      </c>
      <c r="M173" s="19" cm="1">
        <f t="array" ref="M173">_xlfn.IFS($G173="",0, AND(NOT(ISNUMBER($G173)),LOWER(LEFT($G173,1))&lt;&gt;"n"),"Not a valid distance",OR(LOWER(LEFT($G173,1))="n",$G173&lt;ScoringTable!$O$161),1,RIGHT($E173,1)="B",_xlfn.XLOOKUP($G173,ScoringTable!$O$2:$O$161,ScoringTable!$L$2:$L$161,,-1),TRUE,_xlfn.XLOOKUP($G173,ScoringTable!$U$2:$U$161,ScoringTable!$R$2:$R$161,,-1))</f>
        <v>0</v>
      </c>
    </row>
    <row r="174" spans="1:13" s="7" customFormat="1" ht="16" customHeight="1">
      <c r="A174" s="121" t="s">
        <v>81</v>
      </c>
      <c r="B174" s="122" t="str">
        <f>IF(ISNA(VLOOKUP($F174,Declarations!B$6:C$293,2,FALSE)),"",IF(VLOOKUP($F174,Declarations!B$6:C$293,2,FALSE)="","NOT DECLARED",IF(ISNA(_xlfn.TEXTBEFORE(VLOOKUP($F174,Declarations!B$6:C$293,2,FALSE)," ")),VLOOKUP($F174,Declarations!B$6:C$293,2,FALSE),_xlfn.TEXTBEFORE(VLOOKUP($F174,Declarations!B$6:C$293,2,FALSE)," "))))</f>
        <v/>
      </c>
      <c r="C174" s="122" t="str">
        <f>IF(ISNA(VLOOKUP($F174,Declarations!B$6:C$293,2,FALSE)),"",IF(VLOOKUP($F174,Declarations!B$6:C$293,2,FALSE)="","NOT DECLARED",IF(ISNA(_xlfn.TEXTAFTER(VLOOKUP($F174,Declarations!B$6:C$293,2,FALSE)," ")),VLOOKUP($F174,Declarations!B$6:C$293,2,FALSE),_xlfn.TEXTAFTER(VLOOKUP($F174,Declarations!B$6:C$293,2,FALSE)," "))))</f>
        <v/>
      </c>
      <c r="D174" s="122" t="str">
        <f>IF(ISNA(VLOOKUP($F174,Declarations!$B$6:$F$293,5,FALSE)),"",IF(VLOOKUP($F174,Declarations!$B$6:$F$293,5,FALSE)="","NOT DECLARED",VLOOKUP($F174,Declarations!$B$6:$F$293,5,FALSE)))</f>
        <v/>
      </c>
      <c r="E174" s="120" t="str">
        <f>IF(ISNA(VLOOKUP($F174,Declarations!$B$6:$D$293,3,FALSE)),"",IF(VLOOKUP($F174,Declarations!$B$6:$D$293,3,FALSE)="","NOT DECLARED",VLOOKUP($F174,Declarations!$B$6:$D$293,3,FALSE)&amp;LEFT(VLOOKUP($F174,Declarations!$B$6:$E$293,4,FALSE))))</f>
        <v/>
      </c>
      <c r="F174" s="59"/>
      <c r="G174" s="129"/>
      <c r="H174" s="129"/>
      <c r="I174" s="122" t="str">
        <f>IF(ISNA(VLOOKUP(F174,Declarations!B$6:C$293,2,FALSE)),"",IF(VLOOKUP(F174,Declarations!B$6:C$293,2,FALSE)="","NOT DECLARED",VLOOKUP(F174,Declarations!B$6:C$293,2,FALSE)))</f>
        <v/>
      </c>
      <c r="J174" s="120">
        <f>IF(LOWER(LEFT(G174,1))="n",1,VLOOKUP(G174,ScoringTable!D$2:I$95,6))</f>
        <v>0</v>
      </c>
      <c r="K174" s="120" t="str" cm="1">
        <f t="array" ref="K174">IF(OR(E174="",G174=""),"",_xlfn.IFS(E174="U10B",_xlfn.XLOOKUP(G174,Data!$D$5:$L$5,Data!$D$1:$L$1,"",-1,1),E174="U12B",_xlfn.XLOOKUP(G174,Data!$D$12:$L$12,Data!$D$1:$L$1,"",-1,1),E174="U10G",_xlfn.XLOOKUP(G174,Data!$D$18:$L$18,Data!$D$1:$L$1,"",-1,1),E174="U12G",_xlfn.XLOOKUP(G174,Data!$D$25:$L$25,Data!$D$1:$L$1,"",-1,1)))</f>
        <v/>
      </c>
      <c r="L174" s="184" t="str" cm="1">
        <f t="array" ref="L174">IFERROR(_xlfn.IFNA(
                      _xlfn.IFS(
                      G174="", "",
                      AND(E174="U10B",G174&gt;=Data!$M$5), "U10 Boys record",
                      AND(E174="U12B",G174&gt;=Data!$M$12), "U12 Boys record",
                      AND(E174="U10G",G174&gt;=Data!$M$18), "U10 Girls record",
                      AND(E174="U12G",G174&gt;=Data!$M$25), "U12 Girls record"
                       ),""), "")</f>
        <v/>
      </c>
      <c r="M174" s="19" cm="1">
        <f t="array" ref="M174">_xlfn.IFS($G174="",0, AND(NOT(ISNUMBER($G174)),LOWER(LEFT($G174,1))&lt;&gt;"n"),"Not a valid distance",OR(LOWER(LEFT($G174,1))="n",$G174&lt;ScoringTable!$O$161),1,RIGHT($E174,1)="B",_xlfn.XLOOKUP($G174,ScoringTable!$O$2:$O$161,ScoringTable!$L$2:$L$161,,-1),TRUE,_xlfn.XLOOKUP($G174,ScoringTable!$U$2:$U$161,ScoringTable!$R$2:$R$161,,-1))</f>
        <v>0</v>
      </c>
    </row>
    <row r="175" spans="1:13" s="7" customFormat="1" ht="16" customHeight="1">
      <c r="A175" s="121" t="s">
        <v>81</v>
      </c>
      <c r="B175" s="122" t="str">
        <f>IF(ISNA(VLOOKUP($F175,Declarations!B$6:C$293,2,FALSE)),"",IF(VLOOKUP($F175,Declarations!B$6:C$293,2,FALSE)="","NOT DECLARED",IF(ISNA(_xlfn.TEXTBEFORE(VLOOKUP($F175,Declarations!B$6:C$293,2,FALSE)," ")),VLOOKUP($F175,Declarations!B$6:C$293,2,FALSE),_xlfn.TEXTBEFORE(VLOOKUP($F175,Declarations!B$6:C$293,2,FALSE)," "))))</f>
        <v/>
      </c>
      <c r="C175" s="122" t="str">
        <f>IF(ISNA(VLOOKUP($F175,Declarations!B$6:C$293,2,FALSE)),"",IF(VLOOKUP($F175,Declarations!B$6:C$293,2,FALSE)="","NOT DECLARED",IF(ISNA(_xlfn.TEXTAFTER(VLOOKUP($F175,Declarations!B$6:C$293,2,FALSE)," ")),VLOOKUP($F175,Declarations!B$6:C$293,2,FALSE),_xlfn.TEXTAFTER(VLOOKUP($F175,Declarations!B$6:C$293,2,FALSE)," "))))</f>
        <v/>
      </c>
      <c r="D175" s="122" t="str">
        <f>IF(ISNA(VLOOKUP($F175,Declarations!$B$6:$F$293,5,FALSE)),"",IF(VLOOKUP($F175,Declarations!$B$6:$F$293,5,FALSE)="","NOT DECLARED",VLOOKUP($F175,Declarations!$B$6:$F$293,5,FALSE)))</f>
        <v/>
      </c>
      <c r="E175" s="120" t="str">
        <f>IF(ISNA(VLOOKUP($F175,Declarations!$B$6:$D$293,3,FALSE)),"",IF(VLOOKUP($F175,Declarations!$B$6:$D$293,3,FALSE)="","NOT DECLARED",VLOOKUP($F175,Declarations!$B$6:$D$293,3,FALSE)&amp;LEFT(VLOOKUP($F175,Declarations!$B$6:$E$293,4,FALSE))))</f>
        <v/>
      </c>
      <c r="F175" s="59"/>
      <c r="G175" s="129"/>
      <c r="H175" s="129"/>
      <c r="I175" s="122" t="str">
        <f>IF(ISNA(VLOOKUP(F175,Declarations!B$6:C$293,2,FALSE)),"",IF(VLOOKUP(F175,Declarations!B$6:C$293,2,FALSE)="","NOT DECLARED",VLOOKUP(F175,Declarations!B$6:C$293,2,FALSE)))</f>
        <v/>
      </c>
      <c r="J175" s="120">
        <f>IF(LOWER(LEFT(G175,1))="n",1,VLOOKUP(G175,ScoringTable!D$2:I$95,6))</f>
        <v>0</v>
      </c>
      <c r="K175" s="120" t="str" cm="1">
        <f t="array" ref="K175">IF(OR(E175="",G175=""),"",_xlfn.IFS(E175="U10B",_xlfn.XLOOKUP(G175,Data!$D$5:$L$5,Data!$D$1:$L$1,"",-1,1),E175="U12B",_xlfn.XLOOKUP(G175,Data!$D$12:$L$12,Data!$D$1:$L$1,"",-1,1),E175="U10G",_xlfn.XLOOKUP(G175,Data!$D$18:$L$18,Data!$D$1:$L$1,"",-1,1),E175="U12G",_xlfn.XLOOKUP(G175,Data!$D$25:$L$25,Data!$D$1:$L$1,"",-1,1)))</f>
        <v/>
      </c>
      <c r="L175" s="184" t="str" cm="1">
        <f t="array" ref="L175">IFERROR(_xlfn.IFNA(
                      _xlfn.IFS(
                      G175="", "",
                      AND(E175="U10B",G175&gt;=Data!$M$5), "U10 Boys record",
                      AND(E175="U12B",G175&gt;=Data!$M$12), "U12 Boys record",
                      AND(E175="U10G",G175&gt;=Data!$M$18), "U10 Girls record",
                      AND(E175="U12G",G175&gt;=Data!$M$25), "U12 Girls record"
                       ),""), "")</f>
        <v/>
      </c>
      <c r="M175" s="19" cm="1">
        <f t="array" ref="M175">_xlfn.IFS($G175="",0, AND(NOT(ISNUMBER($G175)),LOWER(LEFT($G175,1))&lt;&gt;"n"),"Not a valid distance",OR(LOWER(LEFT($G175,1))="n",$G175&lt;ScoringTable!$O$161),1,RIGHT($E175,1)="B",_xlfn.XLOOKUP($G175,ScoringTable!$O$2:$O$161,ScoringTable!$L$2:$L$161,,-1),TRUE,_xlfn.XLOOKUP($G175,ScoringTable!$U$2:$U$161,ScoringTable!$R$2:$R$161,,-1))</f>
        <v>0</v>
      </c>
    </row>
    <row r="176" spans="1:13" s="7" customFormat="1" ht="16" customHeight="1">
      <c r="A176" s="121" t="s">
        <v>81</v>
      </c>
      <c r="B176" s="122" t="str">
        <f>IF(ISNA(VLOOKUP($F176,Declarations!B$6:C$293,2,FALSE)),"",IF(VLOOKUP($F176,Declarations!B$6:C$293,2,FALSE)="","NOT DECLARED",IF(ISNA(_xlfn.TEXTBEFORE(VLOOKUP($F176,Declarations!B$6:C$293,2,FALSE)," ")),VLOOKUP($F176,Declarations!B$6:C$293,2,FALSE),_xlfn.TEXTBEFORE(VLOOKUP($F176,Declarations!B$6:C$293,2,FALSE)," "))))</f>
        <v/>
      </c>
      <c r="C176" s="122" t="str">
        <f>IF(ISNA(VLOOKUP($F176,Declarations!B$6:C$293,2,FALSE)),"",IF(VLOOKUP($F176,Declarations!B$6:C$293,2,FALSE)="","NOT DECLARED",IF(ISNA(_xlfn.TEXTAFTER(VLOOKUP($F176,Declarations!B$6:C$293,2,FALSE)," ")),VLOOKUP($F176,Declarations!B$6:C$293,2,FALSE),_xlfn.TEXTAFTER(VLOOKUP($F176,Declarations!B$6:C$293,2,FALSE)," "))))</f>
        <v/>
      </c>
      <c r="D176" s="122" t="str">
        <f>IF(ISNA(VLOOKUP($F176,Declarations!$B$6:$F$293,5,FALSE)),"",IF(VLOOKUP($F176,Declarations!$B$6:$F$293,5,FALSE)="","NOT DECLARED",VLOOKUP($F176,Declarations!$B$6:$F$293,5,FALSE)))</f>
        <v/>
      </c>
      <c r="E176" s="120" t="str">
        <f>IF(ISNA(VLOOKUP($F176,Declarations!$B$6:$D$293,3,FALSE)),"",IF(VLOOKUP($F176,Declarations!$B$6:$D$293,3,FALSE)="","NOT DECLARED",VLOOKUP($F176,Declarations!$B$6:$D$293,3,FALSE)&amp;LEFT(VLOOKUP($F176,Declarations!$B$6:$E$293,4,FALSE))))</f>
        <v/>
      </c>
      <c r="F176" s="59"/>
      <c r="G176" s="129"/>
      <c r="H176" s="129"/>
      <c r="I176" s="122" t="str">
        <f>IF(ISNA(VLOOKUP(F176,Declarations!B$6:C$293,2,FALSE)),"",IF(VLOOKUP(F176,Declarations!B$6:C$293,2,FALSE)="","NOT DECLARED",VLOOKUP(F176,Declarations!B$6:C$293,2,FALSE)))</f>
        <v/>
      </c>
      <c r="J176" s="120">
        <f>IF(LOWER(LEFT(G176,1))="n",1,VLOOKUP(G176,ScoringTable!D$2:I$95,6))</f>
        <v>0</v>
      </c>
      <c r="K176" s="120" t="str" cm="1">
        <f t="array" ref="K176">IF(OR(E176="",G176=""),"",_xlfn.IFS(E176="U10B",_xlfn.XLOOKUP(G176,Data!$D$5:$L$5,Data!$D$1:$L$1,"",-1,1),E176="U12B",_xlfn.XLOOKUP(G176,Data!$D$12:$L$12,Data!$D$1:$L$1,"",-1,1),E176="U10G",_xlfn.XLOOKUP(G176,Data!$D$18:$L$18,Data!$D$1:$L$1,"",-1,1),E176="U12G",_xlfn.XLOOKUP(G176,Data!$D$25:$L$25,Data!$D$1:$L$1,"",-1,1)))</f>
        <v/>
      </c>
      <c r="L176" s="184" t="str" cm="1">
        <f t="array" ref="L176">IFERROR(_xlfn.IFNA(
                      _xlfn.IFS(
                      G176="", "",
                      AND(E176="U10B",G176&gt;=Data!$M$5), "U10 Boys record",
                      AND(E176="U12B",G176&gt;=Data!$M$12), "U12 Boys record",
                      AND(E176="U10G",G176&gt;=Data!$M$18), "U10 Girls record",
                      AND(E176="U12G",G176&gt;=Data!$M$25), "U12 Girls record"
                       ),""), "")</f>
        <v/>
      </c>
      <c r="M176" s="19" cm="1">
        <f t="array" ref="M176">_xlfn.IFS($G176="",0, AND(NOT(ISNUMBER($G176)),LOWER(LEFT($G176,1))&lt;&gt;"n"),"Not a valid distance",OR(LOWER(LEFT($G176,1))="n",$G176&lt;ScoringTable!$O$161),1,RIGHT($E176,1)="B",_xlfn.XLOOKUP($G176,ScoringTable!$O$2:$O$161,ScoringTable!$L$2:$L$161,,-1),TRUE,_xlfn.XLOOKUP($G176,ScoringTable!$U$2:$U$161,ScoringTable!$R$2:$R$161,,-1))</f>
        <v>0</v>
      </c>
    </row>
    <row r="177" spans="1:13" s="7" customFormat="1" ht="16" customHeight="1">
      <c r="A177" s="121" t="s">
        <v>81</v>
      </c>
      <c r="B177" s="122" t="str">
        <f>IF(ISNA(VLOOKUP($F177,Declarations!B$6:C$293,2,FALSE)),"",IF(VLOOKUP($F177,Declarations!B$6:C$293,2,FALSE)="","NOT DECLARED",IF(ISNA(_xlfn.TEXTBEFORE(VLOOKUP($F177,Declarations!B$6:C$293,2,FALSE)," ")),VLOOKUP($F177,Declarations!B$6:C$293,2,FALSE),_xlfn.TEXTBEFORE(VLOOKUP($F177,Declarations!B$6:C$293,2,FALSE)," "))))</f>
        <v/>
      </c>
      <c r="C177" s="122" t="str">
        <f>IF(ISNA(VLOOKUP($F177,Declarations!B$6:C$293,2,FALSE)),"",IF(VLOOKUP($F177,Declarations!B$6:C$293,2,FALSE)="","NOT DECLARED",IF(ISNA(_xlfn.TEXTAFTER(VLOOKUP($F177,Declarations!B$6:C$293,2,FALSE)," ")),VLOOKUP($F177,Declarations!B$6:C$293,2,FALSE),_xlfn.TEXTAFTER(VLOOKUP($F177,Declarations!B$6:C$293,2,FALSE)," "))))</f>
        <v/>
      </c>
      <c r="D177" s="122" t="str">
        <f>IF(ISNA(VLOOKUP($F177,Declarations!$B$6:$F$293,5,FALSE)),"",IF(VLOOKUP($F177,Declarations!$B$6:$F$293,5,FALSE)="","NOT DECLARED",VLOOKUP($F177,Declarations!$B$6:$F$293,5,FALSE)))</f>
        <v/>
      </c>
      <c r="E177" s="120" t="str">
        <f>IF(ISNA(VLOOKUP($F177,Declarations!$B$6:$D$293,3,FALSE)),"",IF(VLOOKUP($F177,Declarations!$B$6:$D$293,3,FALSE)="","NOT DECLARED",VLOOKUP($F177,Declarations!$B$6:$D$293,3,FALSE)&amp;LEFT(VLOOKUP($F177,Declarations!$B$6:$E$293,4,FALSE))))</f>
        <v/>
      </c>
      <c r="F177" s="59"/>
      <c r="G177" s="129"/>
      <c r="H177" s="129"/>
      <c r="I177" s="122" t="str">
        <f>IF(ISNA(VLOOKUP(F177,Declarations!B$6:C$293,2,FALSE)),"",IF(VLOOKUP(F177,Declarations!B$6:C$293,2,FALSE)="","NOT DECLARED",VLOOKUP(F177,Declarations!B$6:C$293,2,FALSE)))</f>
        <v/>
      </c>
      <c r="J177" s="120">
        <f>IF(LOWER(LEFT(G177,1))="n",1,VLOOKUP(G177,ScoringTable!D$2:I$95,6))</f>
        <v>0</v>
      </c>
      <c r="K177" s="120" t="str" cm="1">
        <f t="array" ref="K177">IF(OR(E177="",G177=""),"",_xlfn.IFS(E177="U10B",_xlfn.XLOOKUP(G177,Data!$D$5:$L$5,Data!$D$1:$L$1,"",-1,1),E177="U12B",_xlfn.XLOOKUP(G177,Data!$D$12:$L$12,Data!$D$1:$L$1,"",-1,1),E177="U10G",_xlfn.XLOOKUP(G177,Data!$D$18:$L$18,Data!$D$1:$L$1,"",-1,1),E177="U12G",_xlfn.XLOOKUP(G177,Data!$D$25:$L$25,Data!$D$1:$L$1,"",-1,1)))</f>
        <v/>
      </c>
      <c r="L177" s="184" t="str" cm="1">
        <f t="array" ref="L177">IFERROR(_xlfn.IFNA(
                      _xlfn.IFS(
                      G177="", "",
                      AND(E177="U10B",G177&gt;=Data!$M$5), "U10 Boys record",
                      AND(E177="U12B",G177&gt;=Data!$M$12), "U12 Boys record",
                      AND(E177="U10G",G177&gt;=Data!$M$18), "U10 Girls record",
                      AND(E177="U12G",G177&gt;=Data!$M$25), "U12 Girls record"
                       ),""), "")</f>
        <v/>
      </c>
      <c r="M177" s="19" cm="1">
        <f t="array" ref="M177">_xlfn.IFS($G177="",0, AND(NOT(ISNUMBER($G177)),LOWER(LEFT($G177,1))&lt;&gt;"n"),"Not a valid distance",OR(LOWER(LEFT($G177,1))="n",$G177&lt;ScoringTable!$O$161),1,RIGHT($E177,1)="B",_xlfn.XLOOKUP($G177,ScoringTable!$O$2:$O$161,ScoringTable!$L$2:$L$161,,-1),TRUE,_xlfn.XLOOKUP($G177,ScoringTable!$U$2:$U$161,ScoringTable!$R$2:$R$161,,-1))</f>
        <v>0</v>
      </c>
    </row>
    <row r="178" spans="1:13" s="7" customFormat="1" ht="16" customHeight="1">
      <c r="A178" s="121" t="s">
        <v>81</v>
      </c>
      <c r="B178" s="122" t="str">
        <f>IF(ISNA(VLOOKUP($F178,Declarations!B$6:C$293,2,FALSE)),"",IF(VLOOKUP($F178,Declarations!B$6:C$293,2,FALSE)="","NOT DECLARED",IF(ISNA(_xlfn.TEXTBEFORE(VLOOKUP($F178,Declarations!B$6:C$293,2,FALSE)," ")),VLOOKUP($F178,Declarations!B$6:C$293,2,FALSE),_xlfn.TEXTBEFORE(VLOOKUP($F178,Declarations!B$6:C$293,2,FALSE)," "))))</f>
        <v/>
      </c>
      <c r="C178" s="122" t="str">
        <f>IF(ISNA(VLOOKUP($F178,Declarations!B$6:C$293,2,FALSE)),"",IF(VLOOKUP($F178,Declarations!B$6:C$293,2,FALSE)="","NOT DECLARED",IF(ISNA(_xlfn.TEXTAFTER(VLOOKUP($F178,Declarations!B$6:C$293,2,FALSE)," ")),VLOOKUP($F178,Declarations!B$6:C$293,2,FALSE),_xlfn.TEXTAFTER(VLOOKUP($F178,Declarations!B$6:C$293,2,FALSE)," "))))</f>
        <v/>
      </c>
      <c r="D178" s="122" t="str">
        <f>IF(ISNA(VLOOKUP($F178,Declarations!$B$6:$F$293,5,FALSE)),"",IF(VLOOKUP($F178,Declarations!$B$6:$F$293,5,FALSE)="","NOT DECLARED",VLOOKUP($F178,Declarations!$B$6:$F$293,5,FALSE)))</f>
        <v/>
      </c>
      <c r="E178" s="120" t="str">
        <f>IF(ISNA(VLOOKUP($F178,Declarations!$B$6:$D$293,3,FALSE)),"",IF(VLOOKUP($F178,Declarations!$B$6:$D$293,3,FALSE)="","NOT DECLARED",VLOOKUP($F178,Declarations!$B$6:$D$293,3,FALSE)&amp;LEFT(VLOOKUP($F178,Declarations!$B$6:$E$293,4,FALSE))))</f>
        <v/>
      </c>
      <c r="F178" s="59"/>
      <c r="G178" s="129"/>
      <c r="H178" s="129"/>
      <c r="I178" s="122" t="str">
        <f>IF(ISNA(VLOOKUP(F178,Declarations!B$6:C$293,2,FALSE)),"",IF(VLOOKUP(F178,Declarations!B$6:C$293,2,FALSE)="","NOT DECLARED",VLOOKUP(F178,Declarations!B$6:C$293,2,FALSE)))</f>
        <v/>
      </c>
      <c r="J178" s="120">
        <f>IF(LOWER(LEFT(G178,1))="n",1,VLOOKUP(G178,ScoringTable!D$2:I$95,6))</f>
        <v>0</v>
      </c>
      <c r="K178" s="120" t="str" cm="1">
        <f t="array" ref="K178">IF(OR(E178="",G178=""),"",_xlfn.IFS(E178="U10B",_xlfn.XLOOKUP(G178,Data!$D$5:$L$5,Data!$D$1:$L$1,"",-1,1),E178="U12B",_xlfn.XLOOKUP(G178,Data!$D$12:$L$12,Data!$D$1:$L$1,"",-1,1),E178="U10G",_xlfn.XLOOKUP(G178,Data!$D$18:$L$18,Data!$D$1:$L$1,"",-1,1),E178="U12G",_xlfn.XLOOKUP(G178,Data!$D$25:$L$25,Data!$D$1:$L$1,"",-1,1)))</f>
        <v/>
      </c>
      <c r="L178" s="184" t="str" cm="1">
        <f t="array" ref="L178">IFERROR(_xlfn.IFNA(
                      _xlfn.IFS(
                      G178="", "",
                      AND(E178="U10B",G178&gt;=Data!$M$5), "U10 Boys record",
                      AND(E178="U12B",G178&gt;=Data!$M$12), "U12 Boys record",
                      AND(E178="U10G",G178&gt;=Data!$M$18), "U10 Girls record",
                      AND(E178="U12G",G178&gt;=Data!$M$25), "U12 Girls record"
                       ),""), "")</f>
        <v/>
      </c>
      <c r="M178" s="19" cm="1">
        <f t="array" ref="M178">_xlfn.IFS($G178="",0, AND(NOT(ISNUMBER($G178)),LOWER(LEFT($G178,1))&lt;&gt;"n"),"Not a valid distance",OR(LOWER(LEFT($G178,1))="n",$G178&lt;ScoringTable!$O$161),1,RIGHT($E178,1)="B",_xlfn.XLOOKUP($G178,ScoringTable!$O$2:$O$161,ScoringTable!$L$2:$L$161,,-1),TRUE,_xlfn.XLOOKUP($G178,ScoringTable!$U$2:$U$161,ScoringTable!$R$2:$R$161,,-1))</f>
        <v>0</v>
      </c>
    </row>
    <row r="179" spans="1:13" s="7" customFormat="1" ht="16" customHeight="1">
      <c r="A179" s="121" t="s">
        <v>81</v>
      </c>
      <c r="B179" s="122" t="str">
        <f>IF(ISNA(VLOOKUP($F179,Declarations!B$6:C$293,2,FALSE)),"",IF(VLOOKUP($F179,Declarations!B$6:C$293,2,FALSE)="","NOT DECLARED",IF(ISNA(_xlfn.TEXTBEFORE(VLOOKUP($F179,Declarations!B$6:C$293,2,FALSE)," ")),VLOOKUP($F179,Declarations!B$6:C$293,2,FALSE),_xlfn.TEXTBEFORE(VLOOKUP($F179,Declarations!B$6:C$293,2,FALSE)," "))))</f>
        <v/>
      </c>
      <c r="C179" s="122" t="str">
        <f>IF(ISNA(VLOOKUP($F179,Declarations!B$6:C$293,2,FALSE)),"",IF(VLOOKUP($F179,Declarations!B$6:C$293,2,FALSE)="","NOT DECLARED",IF(ISNA(_xlfn.TEXTAFTER(VLOOKUP($F179,Declarations!B$6:C$293,2,FALSE)," ")),VLOOKUP($F179,Declarations!B$6:C$293,2,FALSE),_xlfn.TEXTAFTER(VLOOKUP($F179,Declarations!B$6:C$293,2,FALSE)," "))))</f>
        <v/>
      </c>
      <c r="D179" s="122" t="str">
        <f>IF(ISNA(VLOOKUP($F179,Declarations!$B$6:$F$293,5,FALSE)),"",IF(VLOOKUP($F179,Declarations!$B$6:$F$293,5,FALSE)="","NOT DECLARED",VLOOKUP($F179,Declarations!$B$6:$F$293,5,FALSE)))</f>
        <v/>
      </c>
      <c r="E179" s="120" t="str">
        <f>IF(ISNA(VLOOKUP($F179,Declarations!$B$6:$D$293,3,FALSE)),"",IF(VLOOKUP($F179,Declarations!$B$6:$D$293,3,FALSE)="","NOT DECLARED",VLOOKUP($F179,Declarations!$B$6:$D$293,3,FALSE)&amp;LEFT(VLOOKUP($F179,Declarations!$B$6:$E$293,4,FALSE))))</f>
        <v/>
      </c>
      <c r="F179" s="59"/>
      <c r="G179" s="129"/>
      <c r="H179" s="129"/>
      <c r="I179" s="122" t="str">
        <f>IF(ISNA(VLOOKUP(F179,Declarations!B$6:C$293,2,FALSE)),"",IF(VLOOKUP(F179,Declarations!B$6:C$293,2,FALSE)="","NOT DECLARED",VLOOKUP(F179,Declarations!B$6:C$293,2,FALSE)))</f>
        <v/>
      </c>
      <c r="J179" s="120">
        <f>IF(LOWER(LEFT(G179,1))="n",1,VLOOKUP(G179,ScoringTable!D$2:I$95,6))</f>
        <v>0</v>
      </c>
      <c r="K179" s="120" t="str" cm="1">
        <f t="array" ref="K179">IF(OR(E179="",G179=""),"",_xlfn.IFS(E179="U10B",_xlfn.XLOOKUP(G179,Data!$D$5:$L$5,Data!$D$1:$L$1,"",-1,1),E179="U12B",_xlfn.XLOOKUP(G179,Data!$D$12:$L$12,Data!$D$1:$L$1,"",-1,1),E179="U10G",_xlfn.XLOOKUP(G179,Data!$D$18:$L$18,Data!$D$1:$L$1,"",-1,1),E179="U12G",_xlfn.XLOOKUP(G179,Data!$D$25:$L$25,Data!$D$1:$L$1,"",-1,1)))</f>
        <v/>
      </c>
      <c r="L179" s="184" t="str" cm="1">
        <f t="array" ref="L179">IFERROR(_xlfn.IFNA(
                      _xlfn.IFS(
                      G179="", "",
                      AND(E179="U10B",G179&gt;=Data!$M$5), "U10 Boys record",
                      AND(E179="U12B",G179&gt;=Data!$M$12), "U12 Boys record",
                      AND(E179="U10G",G179&gt;=Data!$M$18), "U10 Girls record",
                      AND(E179="U12G",G179&gt;=Data!$M$25), "U12 Girls record"
                       ),""), "")</f>
        <v/>
      </c>
      <c r="M179" s="19" cm="1">
        <f t="array" ref="M179">_xlfn.IFS($G179="",0, AND(NOT(ISNUMBER($G179)),LOWER(LEFT($G179,1))&lt;&gt;"n"),"Not a valid distance",OR(LOWER(LEFT($G179,1))="n",$G179&lt;ScoringTable!$O$161),1,RIGHT($E179,1)="B",_xlfn.XLOOKUP($G179,ScoringTable!$O$2:$O$161,ScoringTable!$L$2:$L$161,,-1),TRUE,_xlfn.XLOOKUP($G179,ScoringTable!$U$2:$U$161,ScoringTable!$R$2:$R$161,,-1))</f>
        <v>0</v>
      </c>
    </row>
    <row r="180" spans="1:13" s="7" customFormat="1" ht="16" customHeight="1">
      <c r="A180" s="121" t="s">
        <v>81</v>
      </c>
      <c r="B180" s="122" t="str">
        <f>IF(ISNA(VLOOKUP($F180,Declarations!B$6:C$293,2,FALSE)),"",IF(VLOOKUP($F180,Declarations!B$6:C$293,2,FALSE)="","NOT DECLARED",IF(ISNA(_xlfn.TEXTBEFORE(VLOOKUP($F180,Declarations!B$6:C$293,2,FALSE)," ")),VLOOKUP($F180,Declarations!B$6:C$293,2,FALSE),_xlfn.TEXTBEFORE(VLOOKUP($F180,Declarations!B$6:C$293,2,FALSE)," "))))</f>
        <v/>
      </c>
      <c r="C180" s="122" t="str">
        <f>IF(ISNA(VLOOKUP($F180,Declarations!B$6:C$293,2,FALSE)),"",IF(VLOOKUP($F180,Declarations!B$6:C$293,2,FALSE)="","NOT DECLARED",IF(ISNA(_xlfn.TEXTAFTER(VLOOKUP($F180,Declarations!B$6:C$293,2,FALSE)," ")),VLOOKUP($F180,Declarations!B$6:C$293,2,FALSE),_xlfn.TEXTAFTER(VLOOKUP($F180,Declarations!B$6:C$293,2,FALSE)," "))))</f>
        <v/>
      </c>
      <c r="D180" s="122" t="str">
        <f>IF(ISNA(VLOOKUP($F180,Declarations!$B$6:$F$293,5,FALSE)),"",IF(VLOOKUP($F180,Declarations!$B$6:$F$293,5,FALSE)="","NOT DECLARED",VLOOKUP($F180,Declarations!$B$6:$F$293,5,FALSE)))</f>
        <v/>
      </c>
      <c r="E180" s="120" t="str">
        <f>IF(ISNA(VLOOKUP($F180,Declarations!$B$6:$D$293,3,FALSE)),"",IF(VLOOKUP($F180,Declarations!$B$6:$D$293,3,FALSE)="","NOT DECLARED",VLOOKUP($F180,Declarations!$B$6:$D$293,3,FALSE)&amp;LEFT(VLOOKUP($F180,Declarations!$B$6:$E$293,4,FALSE))))</f>
        <v/>
      </c>
      <c r="F180" s="59"/>
      <c r="G180" s="129"/>
      <c r="H180" s="129"/>
      <c r="I180" s="122" t="str">
        <f>IF(ISNA(VLOOKUP(F180,Declarations!B$6:C$293,2,FALSE)),"",IF(VLOOKUP(F180,Declarations!B$6:C$293,2,FALSE)="","NOT DECLARED",VLOOKUP(F180,Declarations!B$6:C$293,2,FALSE)))</f>
        <v/>
      </c>
      <c r="J180" s="120">
        <f>IF(LOWER(LEFT(G180,1))="n",1,VLOOKUP(G180,ScoringTable!D$2:I$95,6))</f>
        <v>0</v>
      </c>
      <c r="K180" s="120" t="str" cm="1">
        <f t="array" ref="K180">IF(OR(E180="",G180=""),"",_xlfn.IFS(E180="U10B",_xlfn.XLOOKUP(G180,Data!$D$5:$L$5,Data!$D$1:$L$1,"",-1,1),E180="U12B",_xlfn.XLOOKUP(G180,Data!$D$12:$L$12,Data!$D$1:$L$1,"",-1,1),E180="U10G",_xlfn.XLOOKUP(G180,Data!$D$18:$L$18,Data!$D$1:$L$1,"",-1,1),E180="U12G",_xlfn.XLOOKUP(G180,Data!$D$25:$L$25,Data!$D$1:$L$1,"",-1,1)))</f>
        <v/>
      </c>
      <c r="L180" s="184" t="str" cm="1">
        <f t="array" ref="L180">IFERROR(_xlfn.IFNA(
                      _xlfn.IFS(
                      G180="", "",
                      AND(E180="U10B",G180&gt;=Data!$M$5), "U10 Boys record",
                      AND(E180="U12B",G180&gt;=Data!$M$12), "U12 Boys record",
                      AND(E180="U10G",G180&gt;=Data!$M$18), "U10 Girls record",
                      AND(E180="U12G",G180&gt;=Data!$M$25), "U12 Girls record"
                       ),""), "")</f>
        <v/>
      </c>
      <c r="M180" s="19" cm="1">
        <f t="array" ref="M180">_xlfn.IFS($G180="",0, AND(NOT(ISNUMBER($G180)),LOWER(LEFT($G180,1))&lt;&gt;"n"),"Not a valid distance",OR(LOWER(LEFT($G180,1))="n",$G180&lt;ScoringTable!$O$161),1,RIGHT($E180,1)="B",_xlfn.XLOOKUP($G180,ScoringTable!$O$2:$O$161,ScoringTable!$L$2:$L$161,,-1),TRUE,_xlfn.XLOOKUP($G180,ScoringTable!$U$2:$U$161,ScoringTable!$R$2:$R$161,,-1))</f>
        <v>0</v>
      </c>
    </row>
    <row r="181" spans="1:13" s="7" customFormat="1" ht="16" customHeight="1">
      <c r="A181" s="121" t="s">
        <v>81</v>
      </c>
      <c r="B181" s="122" t="str">
        <f>IF(ISNA(VLOOKUP($F181,Declarations!B$6:C$293,2,FALSE)),"",IF(VLOOKUP($F181,Declarations!B$6:C$293,2,FALSE)="","NOT DECLARED",IF(ISNA(_xlfn.TEXTBEFORE(VLOOKUP($F181,Declarations!B$6:C$293,2,FALSE)," ")),VLOOKUP($F181,Declarations!B$6:C$293,2,FALSE),_xlfn.TEXTBEFORE(VLOOKUP($F181,Declarations!B$6:C$293,2,FALSE)," "))))</f>
        <v/>
      </c>
      <c r="C181" s="122" t="str">
        <f>IF(ISNA(VLOOKUP($F181,Declarations!B$6:C$293,2,FALSE)),"",IF(VLOOKUP($F181,Declarations!B$6:C$293,2,FALSE)="","NOT DECLARED",IF(ISNA(_xlfn.TEXTAFTER(VLOOKUP($F181,Declarations!B$6:C$293,2,FALSE)," ")),VLOOKUP($F181,Declarations!B$6:C$293,2,FALSE),_xlfn.TEXTAFTER(VLOOKUP($F181,Declarations!B$6:C$293,2,FALSE)," "))))</f>
        <v/>
      </c>
      <c r="D181" s="122" t="str">
        <f>IF(ISNA(VLOOKUP($F181,Declarations!$B$6:$F$293,5,FALSE)),"",IF(VLOOKUP($F181,Declarations!$B$6:$F$293,5,FALSE)="","NOT DECLARED",VLOOKUP($F181,Declarations!$B$6:$F$293,5,FALSE)))</f>
        <v/>
      </c>
      <c r="E181" s="120" t="str">
        <f>IF(ISNA(VLOOKUP($F181,Declarations!$B$6:$D$293,3,FALSE)),"",IF(VLOOKUP($F181,Declarations!$B$6:$D$293,3,FALSE)="","NOT DECLARED",VLOOKUP($F181,Declarations!$B$6:$D$293,3,FALSE)&amp;LEFT(VLOOKUP($F181,Declarations!$B$6:$E$293,4,FALSE))))</f>
        <v/>
      </c>
      <c r="F181" s="59"/>
      <c r="G181" s="129"/>
      <c r="H181" s="129"/>
      <c r="I181" s="122" t="str">
        <f>IF(ISNA(VLOOKUP(F181,Declarations!B$6:C$293,2,FALSE)),"",IF(VLOOKUP(F181,Declarations!B$6:C$293,2,FALSE)="","NOT DECLARED",VLOOKUP(F181,Declarations!B$6:C$293,2,FALSE)))</f>
        <v/>
      </c>
      <c r="J181" s="120">
        <f>IF(LOWER(LEFT(G181,1))="n",1,VLOOKUP(G181,ScoringTable!D$2:I$95,6))</f>
        <v>0</v>
      </c>
      <c r="K181" s="120" t="str" cm="1">
        <f t="array" ref="K181">IF(OR(E181="",G181=""),"",_xlfn.IFS(E181="U10B",_xlfn.XLOOKUP(G181,Data!$D$5:$L$5,Data!$D$1:$L$1,"",-1,1),E181="U12B",_xlfn.XLOOKUP(G181,Data!$D$12:$L$12,Data!$D$1:$L$1,"",-1,1),E181="U10G",_xlfn.XLOOKUP(G181,Data!$D$18:$L$18,Data!$D$1:$L$1,"",-1,1),E181="U12G",_xlfn.XLOOKUP(G181,Data!$D$25:$L$25,Data!$D$1:$L$1,"",-1,1)))</f>
        <v/>
      </c>
      <c r="L181" s="184" t="str" cm="1">
        <f t="array" ref="L181">IFERROR(_xlfn.IFNA(
                      _xlfn.IFS(
                      G181="", "",
                      AND(E181="U10B",G181&gt;=Data!$M$5), "U10 Boys record",
                      AND(E181="U12B",G181&gt;=Data!$M$12), "U12 Boys record",
                      AND(E181="U10G",G181&gt;=Data!$M$18), "U10 Girls record",
                      AND(E181="U12G",G181&gt;=Data!$M$25), "U12 Girls record"
                       ),""), "")</f>
        <v/>
      </c>
      <c r="M181" s="19" cm="1">
        <f t="array" ref="M181">_xlfn.IFS($G181="",0, AND(NOT(ISNUMBER($G181)),LOWER(LEFT($G181,1))&lt;&gt;"n"),"Not a valid distance",OR(LOWER(LEFT($G181,1))="n",$G181&lt;ScoringTable!$O$161),1,RIGHT($E181,1)="B",_xlfn.XLOOKUP($G181,ScoringTable!$O$2:$O$161,ScoringTable!$L$2:$L$161,,-1),TRUE,_xlfn.XLOOKUP($G181,ScoringTable!$U$2:$U$161,ScoringTable!$R$2:$R$161,,-1))</f>
        <v>0</v>
      </c>
    </row>
    <row r="182" spans="1:13" s="7" customFormat="1" ht="16" customHeight="1">
      <c r="A182" s="121" t="s">
        <v>81</v>
      </c>
      <c r="B182" s="122" t="str">
        <f>IF(ISNA(VLOOKUP($F182,Declarations!B$6:C$293,2,FALSE)),"",IF(VLOOKUP($F182,Declarations!B$6:C$293,2,FALSE)="","NOT DECLARED",IF(ISNA(_xlfn.TEXTBEFORE(VLOOKUP($F182,Declarations!B$6:C$293,2,FALSE)," ")),VLOOKUP($F182,Declarations!B$6:C$293,2,FALSE),_xlfn.TEXTBEFORE(VLOOKUP($F182,Declarations!B$6:C$293,2,FALSE)," "))))</f>
        <v/>
      </c>
      <c r="C182" s="122" t="str">
        <f>IF(ISNA(VLOOKUP($F182,Declarations!B$6:C$293,2,FALSE)),"",IF(VLOOKUP($F182,Declarations!B$6:C$293,2,FALSE)="","NOT DECLARED",IF(ISNA(_xlfn.TEXTAFTER(VLOOKUP($F182,Declarations!B$6:C$293,2,FALSE)," ")),VLOOKUP($F182,Declarations!B$6:C$293,2,FALSE),_xlfn.TEXTAFTER(VLOOKUP($F182,Declarations!B$6:C$293,2,FALSE)," "))))</f>
        <v/>
      </c>
      <c r="D182" s="122" t="str">
        <f>IF(ISNA(VLOOKUP($F182,Declarations!$B$6:$F$293,5,FALSE)),"",IF(VLOOKUP($F182,Declarations!$B$6:$F$293,5,FALSE)="","NOT DECLARED",VLOOKUP($F182,Declarations!$B$6:$F$293,5,FALSE)))</f>
        <v/>
      </c>
      <c r="E182" s="120" t="str">
        <f>IF(ISNA(VLOOKUP($F182,Declarations!$B$6:$D$293,3,FALSE)),"",IF(VLOOKUP($F182,Declarations!$B$6:$D$293,3,FALSE)="","NOT DECLARED",VLOOKUP($F182,Declarations!$B$6:$D$293,3,FALSE)&amp;LEFT(VLOOKUP($F182,Declarations!$B$6:$E$293,4,FALSE))))</f>
        <v/>
      </c>
      <c r="F182" s="59"/>
      <c r="G182" s="129"/>
      <c r="H182" s="129"/>
      <c r="I182" s="122" t="str">
        <f>IF(ISNA(VLOOKUP(F182,Declarations!B$6:C$293,2,FALSE)),"",IF(VLOOKUP(F182,Declarations!B$6:C$293,2,FALSE)="","NOT DECLARED",VLOOKUP(F182,Declarations!B$6:C$293,2,FALSE)))</f>
        <v/>
      </c>
      <c r="J182" s="120">
        <f>IF(LOWER(LEFT(G182,1))="n",1,VLOOKUP(G182,ScoringTable!D$2:I$95,6))</f>
        <v>0</v>
      </c>
      <c r="K182" s="120" t="str" cm="1">
        <f t="array" ref="K182">IF(OR(E182="",G182=""),"",_xlfn.IFS(E182="U10B",_xlfn.XLOOKUP(G182,Data!$D$5:$L$5,Data!$D$1:$L$1,"",-1,1),E182="U12B",_xlfn.XLOOKUP(G182,Data!$D$12:$L$12,Data!$D$1:$L$1,"",-1,1),E182="U10G",_xlfn.XLOOKUP(G182,Data!$D$18:$L$18,Data!$D$1:$L$1,"",-1,1),E182="U12G",_xlfn.XLOOKUP(G182,Data!$D$25:$L$25,Data!$D$1:$L$1,"",-1,1)))</f>
        <v/>
      </c>
      <c r="L182" s="184" t="str" cm="1">
        <f t="array" ref="L182">IFERROR(_xlfn.IFNA(
                      _xlfn.IFS(
                      G182="", "",
                      AND(E182="U10B",G182&gt;=Data!$M$5), "U10 Boys record",
                      AND(E182="U12B",G182&gt;=Data!$M$12), "U12 Boys record",
                      AND(E182="U10G",G182&gt;=Data!$M$18), "U10 Girls record",
                      AND(E182="U12G",G182&gt;=Data!$M$25), "U12 Girls record"
                       ),""), "")</f>
        <v/>
      </c>
      <c r="M182" s="19" cm="1">
        <f t="array" ref="M182">_xlfn.IFS($G182="",0, AND(NOT(ISNUMBER($G182)),LOWER(LEFT($G182,1))&lt;&gt;"n"),"Not a valid distance",OR(LOWER(LEFT($G182,1))="n",$G182&lt;ScoringTable!$O$161),1,RIGHT($E182,1)="B",_xlfn.XLOOKUP($G182,ScoringTable!$O$2:$O$161,ScoringTable!$L$2:$L$161,,-1),TRUE,_xlfn.XLOOKUP($G182,ScoringTable!$U$2:$U$161,ScoringTable!$R$2:$R$161,,-1))</f>
        <v>0</v>
      </c>
    </row>
    <row r="183" spans="1:13" s="7" customFormat="1" ht="16" customHeight="1">
      <c r="A183" s="121" t="s">
        <v>81</v>
      </c>
      <c r="B183" s="122" t="str">
        <f>IF(ISNA(VLOOKUP($F183,Declarations!B$6:C$293,2,FALSE)),"",IF(VLOOKUP($F183,Declarations!B$6:C$293,2,FALSE)="","NOT DECLARED",IF(ISNA(_xlfn.TEXTBEFORE(VLOOKUP($F183,Declarations!B$6:C$293,2,FALSE)," ")),VLOOKUP($F183,Declarations!B$6:C$293,2,FALSE),_xlfn.TEXTBEFORE(VLOOKUP($F183,Declarations!B$6:C$293,2,FALSE)," "))))</f>
        <v/>
      </c>
      <c r="C183" s="122" t="str">
        <f>IF(ISNA(VLOOKUP($F183,Declarations!B$6:C$293,2,FALSE)),"",IF(VLOOKUP($F183,Declarations!B$6:C$293,2,FALSE)="","NOT DECLARED",IF(ISNA(_xlfn.TEXTAFTER(VLOOKUP($F183,Declarations!B$6:C$293,2,FALSE)," ")),VLOOKUP($F183,Declarations!B$6:C$293,2,FALSE),_xlfn.TEXTAFTER(VLOOKUP($F183,Declarations!B$6:C$293,2,FALSE)," "))))</f>
        <v/>
      </c>
      <c r="D183" s="122" t="str">
        <f>IF(ISNA(VLOOKUP($F183,Declarations!$B$6:$F$293,5,FALSE)),"",IF(VLOOKUP($F183,Declarations!$B$6:$F$293,5,FALSE)="","NOT DECLARED",VLOOKUP($F183,Declarations!$B$6:$F$293,5,FALSE)))</f>
        <v/>
      </c>
      <c r="E183" s="120" t="str">
        <f>IF(ISNA(VLOOKUP($F183,Declarations!$B$6:$D$293,3,FALSE)),"",IF(VLOOKUP($F183,Declarations!$B$6:$D$293,3,FALSE)="","NOT DECLARED",VLOOKUP($F183,Declarations!$B$6:$D$293,3,FALSE)&amp;LEFT(VLOOKUP($F183,Declarations!$B$6:$E$293,4,FALSE))))</f>
        <v/>
      </c>
      <c r="F183" s="59"/>
      <c r="G183" s="129"/>
      <c r="H183" s="129"/>
      <c r="I183" s="122" t="str">
        <f>IF(ISNA(VLOOKUP(F183,Declarations!B$6:C$293,2,FALSE)),"",IF(VLOOKUP(F183,Declarations!B$6:C$293,2,FALSE)="","NOT DECLARED",VLOOKUP(F183,Declarations!B$6:C$293,2,FALSE)))</f>
        <v/>
      </c>
      <c r="J183" s="120">
        <f>IF(LOWER(LEFT(G183,1))="n",1,VLOOKUP(G183,ScoringTable!D$2:I$95,6))</f>
        <v>0</v>
      </c>
      <c r="K183" s="120" t="str" cm="1">
        <f t="array" ref="K183">IF(OR(E183="",G183=""),"",_xlfn.IFS(E183="U10B",_xlfn.XLOOKUP(G183,Data!$D$5:$L$5,Data!$D$1:$L$1,"",-1,1),E183="U12B",_xlfn.XLOOKUP(G183,Data!$D$12:$L$12,Data!$D$1:$L$1,"",-1,1),E183="U10G",_xlfn.XLOOKUP(G183,Data!$D$18:$L$18,Data!$D$1:$L$1,"",-1,1),E183="U12G",_xlfn.XLOOKUP(G183,Data!$D$25:$L$25,Data!$D$1:$L$1,"",-1,1)))</f>
        <v/>
      </c>
      <c r="L183" s="184" t="str" cm="1">
        <f t="array" ref="L183">IFERROR(_xlfn.IFNA(
                      _xlfn.IFS(
                      G183="", "",
                      AND(E183="U10B",G183&gt;=Data!$M$5), "U10 Boys record",
                      AND(E183="U12B",G183&gt;=Data!$M$12), "U12 Boys record",
                      AND(E183="U10G",G183&gt;=Data!$M$18), "U10 Girls record",
                      AND(E183="U12G",G183&gt;=Data!$M$25), "U12 Girls record"
                       ),""), "")</f>
        <v/>
      </c>
      <c r="M183" s="19" cm="1">
        <f t="array" ref="M183">_xlfn.IFS($G183="",0, AND(NOT(ISNUMBER($G183)),LOWER(LEFT($G183,1))&lt;&gt;"n"),"Not a valid distance",OR(LOWER(LEFT($G183,1))="n",$G183&lt;ScoringTable!$O$161),1,RIGHT($E183,1)="B",_xlfn.XLOOKUP($G183,ScoringTable!$O$2:$O$161,ScoringTable!$L$2:$L$161,,-1),TRUE,_xlfn.XLOOKUP($G183,ScoringTable!$U$2:$U$161,ScoringTable!$R$2:$R$161,,-1))</f>
        <v>0</v>
      </c>
    </row>
    <row r="184" spans="1:13" s="7" customFormat="1" ht="16" customHeight="1">
      <c r="A184" s="121" t="s">
        <v>81</v>
      </c>
      <c r="B184" s="122" t="str">
        <f>IF(ISNA(VLOOKUP($F184,Declarations!B$6:C$293,2,FALSE)),"",IF(VLOOKUP($F184,Declarations!B$6:C$293,2,FALSE)="","NOT DECLARED",IF(ISNA(_xlfn.TEXTBEFORE(VLOOKUP($F184,Declarations!B$6:C$293,2,FALSE)," ")),VLOOKUP($F184,Declarations!B$6:C$293,2,FALSE),_xlfn.TEXTBEFORE(VLOOKUP($F184,Declarations!B$6:C$293,2,FALSE)," "))))</f>
        <v/>
      </c>
      <c r="C184" s="122" t="str">
        <f>IF(ISNA(VLOOKUP($F184,Declarations!B$6:C$293,2,FALSE)),"",IF(VLOOKUP($F184,Declarations!B$6:C$293,2,FALSE)="","NOT DECLARED",IF(ISNA(_xlfn.TEXTAFTER(VLOOKUP($F184,Declarations!B$6:C$293,2,FALSE)," ")),VLOOKUP($F184,Declarations!B$6:C$293,2,FALSE),_xlfn.TEXTAFTER(VLOOKUP($F184,Declarations!B$6:C$293,2,FALSE)," "))))</f>
        <v/>
      </c>
      <c r="D184" s="122" t="str">
        <f>IF(ISNA(VLOOKUP($F184,Declarations!$B$6:$F$293,5,FALSE)),"",IF(VLOOKUP($F184,Declarations!$B$6:$F$293,5,FALSE)="","NOT DECLARED",VLOOKUP($F184,Declarations!$B$6:$F$293,5,FALSE)))</f>
        <v/>
      </c>
      <c r="E184" s="120" t="str">
        <f>IF(ISNA(VLOOKUP($F184,Declarations!$B$6:$D$293,3,FALSE)),"",IF(VLOOKUP($F184,Declarations!$B$6:$D$293,3,FALSE)="","NOT DECLARED",VLOOKUP($F184,Declarations!$B$6:$D$293,3,FALSE)&amp;LEFT(VLOOKUP($F184,Declarations!$B$6:$E$293,4,FALSE))))</f>
        <v/>
      </c>
      <c r="F184" s="59"/>
      <c r="G184" s="129"/>
      <c r="H184" s="129"/>
      <c r="I184" s="122" t="str">
        <f>IF(ISNA(VLOOKUP(F184,Declarations!B$6:C$293,2,FALSE)),"",IF(VLOOKUP(F184,Declarations!B$6:C$293,2,FALSE)="","NOT DECLARED",VLOOKUP(F184,Declarations!B$6:C$293,2,FALSE)))</f>
        <v/>
      </c>
      <c r="J184" s="120">
        <f>IF(LOWER(LEFT(G184,1))="n",1,VLOOKUP(G184,ScoringTable!D$2:I$95,6))</f>
        <v>0</v>
      </c>
      <c r="K184" s="120" t="str" cm="1">
        <f t="array" ref="K184">IF(OR(E184="",G184=""),"",_xlfn.IFS(E184="U10B",_xlfn.XLOOKUP(G184,Data!$D$5:$L$5,Data!$D$1:$L$1,"",-1,1),E184="U12B",_xlfn.XLOOKUP(G184,Data!$D$12:$L$12,Data!$D$1:$L$1,"",-1,1),E184="U10G",_xlfn.XLOOKUP(G184,Data!$D$18:$L$18,Data!$D$1:$L$1,"",-1,1),E184="U12G",_xlfn.XLOOKUP(G184,Data!$D$25:$L$25,Data!$D$1:$L$1,"",-1,1)))</f>
        <v/>
      </c>
      <c r="L184" s="184" t="str" cm="1">
        <f t="array" ref="L184">IFERROR(_xlfn.IFNA(
                      _xlfn.IFS(
                      G184="", "",
                      AND(E184="U10B",G184&gt;=Data!$M$5), "U10 Boys record",
                      AND(E184="U12B",G184&gt;=Data!$M$12), "U12 Boys record",
                      AND(E184="U10G",G184&gt;=Data!$M$18), "U10 Girls record",
                      AND(E184="U12G",G184&gt;=Data!$M$25), "U12 Girls record"
                       ),""), "")</f>
        <v/>
      </c>
      <c r="M184" s="19" cm="1">
        <f t="array" ref="M184">_xlfn.IFS($G184="",0, AND(NOT(ISNUMBER($G184)),LOWER(LEFT($G184,1))&lt;&gt;"n"),"Not a valid distance",OR(LOWER(LEFT($G184,1))="n",$G184&lt;ScoringTable!$O$161),1,RIGHT($E184,1)="B",_xlfn.XLOOKUP($G184,ScoringTable!$O$2:$O$161,ScoringTable!$L$2:$L$161,,-1),TRUE,_xlfn.XLOOKUP($G184,ScoringTable!$U$2:$U$161,ScoringTable!$R$2:$R$161,,-1))</f>
        <v>0</v>
      </c>
    </row>
    <row r="185" spans="1:13" s="7" customFormat="1" ht="16" customHeight="1">
      <c r="A185" s="121" t="s">
        <v>81</v>
      </c>
      <c r="B185" s="122" t="str">
        <f>IF(ISNA(VLOOKUP($F185,Declarations!B$6:C$293,2,FALSE)),"",IF(VLOOKUP($F185,Declarations!B$6:C$293,2,FALSE)="","NOT DECLARED",IF(ISNA(_xlfn.TEXTBEFORE(VLOOKUP($F185,Declarations!B$6:C$293,2,FALSE)," ")),VLOOKUP($F185,Declarations!B$6:C$293,2,FALSE),_xlfn.TEXTBEFORE(VLOOKUP($F185,Declarations!B$6:C$293,2,FALSE)," "))))</f>
        <v/>
      </c>
      <c r="C185" s="122" t="str">
        <f>IF(ISNA(VLOOKUP($F185,Declarations!B$6:C$293,2,FALSE)),"",IF(VLOOKUP($F185,Declarations!B$6:C$293,2,FALSE)="","NOT DECLARED",IF(ISNA(_xlfn.TEXTAFTER(VLOOKUP($F185,Declarations!B$6:C$293,2,FALSE)," ")),VLOOKUP($F185,Declarations!B$6:C$293,2,FALSE),_xlfn.TEXTAFTER(VLOOKUP($F185,Declarations!B$6:C$293,2,FALSE)," "))))</f>
        <v/>
      </c>
      <c r="D185" s="122" t="str">
        <f>IF(ISNA(VLOOKUP($F185,Declarations!$B$6:$F$293,5,FALSE)),"",IF(VLOOKUP($F185,Declarations!$B$6:$F$293,5,FALSE)="","NOT DECLARED",VLOOKUP($F185,Declarations!$B$6:$F$293,5,FALSE)))</f>
        <v/>
      </c>
      <c r="E185" s="120" t="str">
        <f>IF(ISNA(VLOOKUP($F185,Declarations!$B$6:$D$293,3,FALSE)),"",IF(VLOOKUP($F185,Declarations!$B$6:$D$293,3,FALSE)="","NOT DECLARED",VLOOKUP($F185,Declarations!$B$6:$D$293,3,FALSE)&amp;LEFT(VLOOKUP($F185,Declarations!$B$6:$E$293,4,FALSE))))</f>
        <v/>
      </c>
      <c r="F185" s="59"/>
      <c r="G185" s="129"/>
      <c r="H185" s="129"/>
      <c r="I185" s="122" t="str">
        <f>IF(ISNA(VLOOKUP(F185,Declarations!B$6:C$293,2,FALSE)),"",IF(VLOOKUP(F185,Declarations!B$6:C$293,2,FALSE)="","NOT DECLARED",VLOOKUP(F185,Declarations!B$6:C$293,2,FALSE)))</f>
        <v/>
      </c>
      <c r="J185" s="120">
        <f>IF(LOWER(LEFT(G185,1))="n",1,VLOOKUP(G185,ScoringTable!D$2:I$95,6))</f>
        <v>0</v>
      </c>
      <c r="K185" s="120" t="str" cm="1">
        <f t="array" ref="K185">IF(OR(E185="",G185=""),"",_xlfn.IFS(E185="U10B",_xlfn.XLOOKUP(G185,Data!$D$5:$L$5,Data!$D$1:$L$1,"",-1,1),E185="U12B",_xlfn.XLOOKUP(G185,Data!$D$12:$L$12,Data!$D$1:$L$1,"",-1,1),E185="U10G",_xlfn.XLOOKUP(G185,Data!$D$18:$L$18,Data!$D$1:$L$1,"",-1,1),E185="U12G",_xlfn.XLOOKUP(G185,Data!$D$25:$L$25,Data!$D$1:$L$1,"",-1,1)))</f>
        <v/>
      </c>
      <c r="L185" s="184" t="str" cm="1">
        <f t="array" ref="L185">IFERROR(_xlfn.IFNA(
                      _xlfn.IFS(
                      G185="", "",
                      AND(E185="U10B",G185&gt;=Data!$M$5), "U10 Boys record",
                      AND(E185="U12B",G185&gt;=Data!$M$12), "U12 Boys record",
                      AND(E185="U10G",G185&gt;=Data!$M$18), "U10 Girls record",
                      AND(E185="U12G",G185&gt;=Data!$M$25), "U12 Girls record"
                       ),""), "")</f>
        <v/>
      </c>
      <c r="M185" s="19" cm="1">
        <f t="array" ref="M185">_xlfn.IFS($G185="",0, AND(NOT(ISNUMBER($G185)),LOWER(LEFT($G185,1))&lt;&gt;"n"),"Not a valid distance",OR(LOWER(LEFT($G185,1))="n",$G185&lt;ScoringTable!$O$161),1,RIGHT($E185,1)="B",_xlfn.XLOOKUP($G185,ScoringTable!$O$2:$O$161,ScoringTable!$L$2:$L$161,,-1),TRUE,_xlfn.XLOOKUP($G185,ScoringTable!$U$2:$U$161,ScoringTable!$R$2:$R$161,,-1))</f>
        <v>0</v>
      </c>
    </row>
    <row r="186" spans="1:13" s="7" customFormat="1" ht="16" customHeight="1">
      <c r="A186" s="121" t="s">
        <v>81</v>
      </c>
      <c r="B186" s="122" t="str">
        <f>IF(ISNA(VLOOKUP($F186,Declarations!B$6:C$293,2,FALSE)),"",IF(VLOOKUP($F186,Declarations!B$6:C$293,2,FALSE)="","NOT DECLARED",IF(ISNA(_xlfn.TEXTBEFORE(VLOOKUP($F186,Declarations!B$6:C$293,2,FALSE)," ")),VLOOKUP($F186,Declarations!B$6:C$293,2,FALSE),_xlfn.TEXTBEFORE(VLOOKUP($F186,Declarations!B$6:C$293,2,FALSE)," "))))</f>
        <v/>
      </c>
      <c r="C186" s="122" t="str">
        <f>IF(ISNA(VLOOKUP($F186,Declarations!B$6:C$293,2,FALSE)),"",IF(VLOOKUP($F186,Declarations!B$6:C$293,2,FALSE)="","NOT DECLARED",IF(ISNA(_xlfn.TEXTAFTER(VLOOKUP($F186,Declarations!B$6:C$293,2,FALSE)," ")),VLOOKUP($F186,Declarations!B$6:C$293,2,FALSE),_xlfn.TEXTAFTER(VLOOKUP($F186,Declarations!B$6:C$293,2,FALSE)," "))))</f>
        <v/>
      </c>
      <c r="D186" s="122" t="str">
        <f>IF(ISNA(VLOOKUP($F186,Declarations!$B$6:$F$293,5,FALSE)),"",IF(VLOOKUP($F186,Declarations!$B$6:$F$293,5,FALSE)="","NOT DECLARED",VLOOKUP($F186,Declarations!$B$6:$F$293,5,FALSE)))</f>
        <v/>
      </c>
      <c r="E186" s="120" t="str">
        <f>IF(ISNA(VLOOKUP($F186,Declarations!$B$6:$D$293,3,FALSE)),"",IF(VLOOKUP($F186,Declarations!$B$6:$D$293,3,FALSE)="","NOT DECLARED",VLOOKUP($F186,Declarations!$B$6:$D$293,3,FALSE)&amp;LEFT(VLOOKUP($F186,Declarations!$B$6:$E$293,4,FALSE))))</f>
        <v/>
      </c>
      <c r="F186" s="59"/>
      <c r="G186" s="129"/>
      <c r="H186" s="129"/>
      <c r="I186" s="122" t="str">
        <f>IF(ISNA(VLOOKUP(F186,Declarations!B$6:C$293,2,FALSE)),"",IF(VLOOKUP(F186,Declarations!B$6:C$293,2,FALSE)="","NOT DECLARED",VLOOKUP(F186,Declarations!B$6:C$293,2,FALSE)))</f>
        <v/>
      </c>
      <c r="J186" s="120">
        <f>IF(LOWER(LEFT(G186,1))="n",1,VLOOKUP(G186,ScoringTable!D$2:I$95,6))</f>
        <v>0</v>
      </c>
      <c r="K186" s="120" t="str" cm="1">
        <f t="array" ref="K186">IF(OR(E186="",G186=""),"",_xlfn.IFS(E186="U10B",_xlfn.XLOOKUP(G186,Data!$D$5:$L$5,Data!$D$1:$L$1,"",-1,1),E186="U12B",_xlfn.XLOOKUP(G186,Data!$D$12:$L$12,Data!$D$1:$L$1,"",-1,1),E186="U10G",_xlfn.XLOOKUP(G186,Data!$D$18:$L$18,Data!$D$1:$L$1,"",-1,1),E186="U12G",_xlfn.XLOOKUP(G186,Data!$D$25:$L$25,Data!$D$1:$L$1,"",-1,1)))</f>
        <v/>
      </c>
      <c r="L186" s="184" t="str" cm="1">
        <f t="array" ref="L186">IFERROR(_xlfn.IFNA(
                      _xlfn.IFS(
                      G186="", "",
                      AND(E186="U10B",G186&gt;=Data!$M$5), "U10 Boys record",
                      AND(E186="U12B",G186&gt;=Data!$M$12), "U12 Boys record",
                      AND(E186="U10G",G186&gt;=Data!$M$18), "U10 Girls record",
                      AND(E186="U12G",G186&gt;=Data!$M$25), "U12 Girls record"
                       ),""), "")</f>
        <v/>
      </c>
      <c r="M186" s="19" cm="1">
        <f t="array" ref="M186">_xlfn.IFS($G186="",0, AND(NOT(ISNUMBER($G186)),LOWER(LEFT($G186,1))&lt;&gt;"n"),"Not a valid distance",OR(LOWER(LEFT($G186,1))="n",$G186&lt;ScoringTable!$O$161),1,RIGHT($E186,1)="B",_xlfn.XLOOKUP($G186,ScoringTable!$O$2:$O$161,ScoringTable!$L$2:$L$161,,-1),TRUE,_xlfn.XLOOKUP($G186,ScoringTable!$U$2:$U$161,ScoringTable!$R$2:$R$161,,-1))</f>
        <v>0</v>
      </c>
    </row>
    <row r="187" spans="1:13" s="7" customFormat="1" ht="16" customHeight="1">
      <c r="A187" s="121" t="s">
        <v>81</v>
      </c>
      <c r="B187" s="122" t="str">
        <f>IF(ISNA(VLOOKUP($F187,Declarations!B$6:C$293,2,FALSE)),"",IF(VLOOKUP($F187,Declarations!B$6:C$293,2,FALSE)="","NOT DECLARED",IF(ISNA(_xlfn.TEXTBEFORE(VLOOKUP($F187,Declarations!B$6:C$293,2,FALSE)," ")),VLOOKUP($F187,Declarations!B$6:C$293,2,FALSE),_xlfn.TEXTBEFORE(VLOOKUP($F187,Declarations!B$6:C$293,2,FALSE)," "))))</f>
        <v/>
      </c>
      <c r="C187" s="122" t="str">
        <f>IF(ISNA(VLOOKUP($F187,Declarations!B$6:C$293,2,FALSE)),"",IF(VLOOKUP($F187,Declarations!B$6:C$293,2,FALSE)="","NOT DECLARED",IF(ISNA(_xlfn.TEXTAFTER(VLOOKUP($F187,Declarations!B$6:C$293,2,FALSE)," ")),VLOOKUP($F187,Declarations!B$6:C$293,2,FALSE),_xlfn.TEXTAFTER(VLOOKUP($F187,Declarations!B$6:C$293,2,FALSE)," "))))</f>
        <v/>
      </c>
      <c r="D187" s="122" t="str">
        <f>IF(ISNA(VLOOKUP($F187,Declarations!$B$6:$F$293,5,FALSE)),"",IF(VLOOKUP($F187,Declarations!$B$6:$F$293,5,FALSE)="","NOT DECLARED",VLOOKUP($F187,Declarations!$B$6:$F$293,5,FALSE)))</f>
        <v/>
      </c>
      <c r="E187" s="120" t="str">
        <f>IF(ISNA(VLOOKUP($F187,Declarations!$B$6:$D$293,3,FALSE)),"",IF(VLOOKUP($F187,Declarations!$B$6:$D$293,3,FALSE)="","NOT DECLARED",VLOOKUP($F187,Declarations!$B$6:$D$293,3,FALSE)&amp;LEFT(VLOOKUP($F187,Declarations!$B$6:$E$293,4,FALSE))))</f>
        <v/>
      </c>
      <c r="F187" s="59"/>
      <c r="G187" s="129"/>
      <c r="H187" s="129"/>
      <c r="I187" s="122" t="str">
        <f>IF(ISNA(VLOOKUP(F187,Declarations!B$6:C$293,2,FALSE)),"",IF(VLOOKUP(F187,Declarations!B$6:C$293,2,FALSE)="","NOT DECLARED",VLOOKUP(F187,Declarations!B$6:C$293,2,FALSE)))</f>
        <v/>
      </c>
      <c r="J187" s="120">
        <f>IF(LOWER(LEFT(G187,1))="n",1,VLOOKUP(G187,ScoringTable!D$2:I$95,6))</f>
        <v>0</v>
      </c>
      <c r="K187" s="120" t="str" cm="1">
        <f t="array" ref="K187">IF(OR(E187="",G187=""),"",_xlfn.IFS(E187="U10B",_xlfn.XLOOKUP(G187,Data!$D$5:$L$5,Data!$D$1:$L$1,"",-1,1),E187="U12B",_xlfn.XLOOKUP(G187,Data!$D$12:$L$12,Data!$D$1:$L$1,"",-1,1),E187="U10G",_xlfn.XLOOKUP(G187,Data!$D$18:$L$18,Data!$D$1:$L$1,"",-1,1),E187="U12G",_xlfn.XLOOKUP(G187,Data!$D$25:$L$25,Data!$D$1:$L$1,"",-1,1)))</f>
        <v/>
      </c>
      <c r="L187" s="184" t="str" cm="1">
        <f t="array" ref="L187">IFERROR(_xlfn.IFNA(
                      _xlfn.IFS(
                      G187="", "",
                      AND(E187="U10B",G187&gt;=Data!$M$5), "U10 Boys record",
                      AND(E187="U12B",G187&gt;=Data!$M$12), "U12 Boys record",
                      AND(E187="U10G",G187&gt;=Data!$M$18), "U10 Girls record",
                      AND(E187="U12G",G187&gt;=Data!$M$25), "U12 Girls record"
                       ),""), "")</f>
        <v/>
      </c>
      <c r="M187" s="19" cm="1">
        <f t="array" ref="M187">_xlfn.IFS($G187="",0, AND(NOT(ISNUMBER($G187)),LOWER(LEFT($G187,1))&lt;&gt;"n"),"Not a valid distance",OR(LOWER(LEFT($G187,1))="n",$G187&lt;ScoringTable!$O$161),1,RIGHT($E187,1)="B",_xlfn.XLOOKUP($G187,ScoringTable!$O$2:$O$161,ScoringTable!$L$2:$L$161,,-1),TRUE,_xlfn.XLOOKUP($G187,ScoringTable!$U$2:$U$161,ScoringTable!$R$2:$R$161,,-1))</f>
        <v>0</v>
      </c>
    </row>
    <row r="188" spans="1:13" s="7" customFormat="1" ht="16" customHeight="1">
      <c r="A188" s="121" t="s">
        <v>81</v>
      </c>
      <c r="B188" s="122" t="str">
        <f>IF(ISNA(VLOOKUP($F188,Declarations!B$6:C$293,2,FALSE)),"",IF(VLOOKUP($F188,Declarations!B$6:C$293,2,FALSE)="","NOT DECLARED",IF(ISNA(_xlfn.TEXTBEFORE(VLOOKUP($F188,Declarations!B$6:C$293,2,FALSE)," ")),VLOOKUP($F188,Declarations!B$6:C$293,2,FALSE),_xlfn.TEXTBEFORE(VLOOKUP($F188,Declarations!B$6:C$293,2,FALSE)," "))))</f>
        <v/>
      </c>
      <c r="C188" s="122" t="str">
        <f>IF(ISNA(VLOOKUP($F188,Declarations!B$6:C$293,2,FALSE)),"",IF(VLOOKUP($F188,Declarations!B$6:C$293,2,FALSE)="","NOT DECLARED",IF(ISNA(_xlfn.TEXTAFTER(VLOOKUP($F188,Declarations!B$6:C$293,2,FALSE)," ")),VLOOKUP($F188,Declarations!B$6:C$293,2,FALSE),_xlfn.TEXTAFTER(VLOOKUP($F188,Declarations!B$6:C$293,2,FALSE)," "))))</f>
        <v/>
      </c>
      <c r="D188" s="122" t="str">
        <f>IF(ISNA(VLOOKUP($F188,Declarations!$B$6:$F$293,5,FALSE)),"",IF(VLOOKUP($F188,Declarations!$B$6:$F$293,5,FALSE)="","NOT DECLARED",VLOOKUP($F188,Declarations!$B$6:$F$293,5,FALSE)))</f>
        <v/>
      </c>
      <c r="E188" s="120" t="str">
        <f>IF(ISNA(VLOOKUP($F188,Declarations!$B$6:$D$293,3,FALSE)),"",IF(VLOOKUP($F188,Declarations!$B$6:$D$293,3,FALSE)="","NOT DECLARED",VLOOKUP($F188,Declarations!$B$6:$D$293,3,FALSE)&amp;LEFT(VLOOKUP($F188,Declarations!$B$6:$E$293,4,FALSE))))</f>
        <v/>
      </c>
      <c r="F188" s="59"/>
      <c r="G188" s="129"/>
      <c r="H188" s="129"/>
      <c r="I188" s="122" t="str">
        <f>IF(ISNA(VLOOKUP(F188,Declarations!B$6:C$293,2,FALSE)),"",IF(VLOOKUP(F188,Declarations!B$6:C$293,2,FALSE)="","NOT DECLARED",VLOOKUP(F188,Declarations!B$6:C$293,2,FALSE)))</f>
        <v/>
      </c>
      <c r="J188" s="120">
        <f>IF(LOWER(LEFT(G188,1))="n",1,VLOOKUP(G188,ScoringTable!D$2:I$95,6))</f>
        <v>0</v>
      </c>
      <c r="K188" s="120" t="str" cm="1">
        <f t="array" ref="K188">IF(OR(E188="",G188=""),"",_xlfn.IFS(E188="U10B",_xlfn.XLOOKUP(G188,Data!$D$5:$L$5,Data!$D$1:$L$1,"",-1,1),E188="U12B",_xlfn.XLOOKUP(G188,Data!$D$12:$L$12,Data!$D$1:$L$1,"",-1,1),E188="U10G",_xlfn.XLOOKUP(G188,Data!$D$18:$L$18,Data!$D$1:$L$1,"",-1,1),E188="U12G",_xlfn.XLOOKUP(G188,Data!$D$25:$L$25,Data!$D$1:$L$1,"",-1,1)))</f>
        <v/>
      </c>
      <c r="L188" s="184" t="str" cm="1">
        <f t="array" ref="L188">IFERROR(_xlfn.IFNA(
                      _xlfn.IFS(
                      G188="", "",
                      AND(E188="U10B",G188&gt;=Data!$M$5), "U10 Boys record",
                      AND(E188="U12B",G188&gt;=Data!$M$12), "U12 Boys record",
                      AND(E188="U10G",G188&gt;=Data!$M$18), "U10 Girls record",
                      AND(E188="U12G",G188&gt;=Data!$M$25), "U12 Girls record"
                       ),""), "")</f>
        <v/>
      </c>
      <c r="M188" s="19" cm="1">
        <f t="array" ref="M188">_xlfn.IFS($G188="",0, AND(NOT(ISNUMBER($G188)),LOWER(LEFT($G188,1))&lt;&gt;"n"),"Not a valid distance",OR(LOWER(LEFT($G188,1))="n",$G188&lt;ScoringTable!$O$161),1,RIGHT($E188,1)="B",_xlfn.XLOOKUP($G188,ScoringTable!$O$2:$O$161,ScoringTable!$L$2:$L$161,,-1),TRUE,_xlfn.XLOOKUP($G188,ScoringTable!$U$2:$U$161,ScoringTable!$R$2:$R$161,,-1))</f>
        <v>0</v>
      </c>
    </row>
    <row r="189" spans="1:13" s="7" customFormat="1" ht="16" customHeight="1">
      <c r="A189" s="121" t="s">
        <v>81</v>
      </c>
      <c r="B189" s="122" t="str">
        <f>IF(ISNA(VLOOKUP($F189,Declarations!B$6:C$293,2,FALSE)),"",IF(VLOOKUP($F189,Declarations!B$6:C$293,2,FALSE)="","NOT DECLARED",IF(ISNA(_xlfn.TEXTBEFORE(VLOOKUP($F189,Declarations!B$6:C$293,2,FALSE)," ")),VLOOKUP($F189,Declarations!B$6:C$293,2,FALSE),_xlfn.TEXTBEFORE(VLOOKUP($F189,Declarations!B$6:C$293,2,FALSE)," "))))</f>
        <v/>
      </c>
      <c r="C189" s="122" t="str">
        <f>IF(ISNA(VLOOKUP($F189,Declarations!B$6:C$293,2,FALSE)),"",IF(VLOOKUP($F189,Declarations!B$6:C$293,2,FALSE)="","NOT DECLARED",IF(ISNA(_xlfn.TEXTAFTER(VLOOKUP($F189,Declarations!B$6:C$293,2,FALSE)," ")),VLOOKUP($F189,Declarations!B$6:C$293,2,FALSE),_xlfn.TEXTAFTER(VLOOKUP($F189,Declarations!B$6:C$293,2,FALSE)," "))))</f>
        <v/>
      </c>
      <c r="D189" s="122" t="str">
        <f>IF(ISNA(VLOOKUP($F189,Declarations!$B$6:$F$293,5,FALSE)),"",IF(VLOOKUP($F189,Declarations!$B$6:$F$293,5,FALSE)="","NOT DECLARED",VLOOKUP($F189,Declarations!$B$6:$F$293,5,FALSE)))</f>
        <v/>
      </c>
      <c r="E189" s="120" t="str">
        <f>IF(ISNA(VLOOKUP($F189,Declarations!$B$6:$D$293,3,FALSE)),"",IF(VLOOKUP($F189,Declarations!$B$6:$D$293,3,FALSE)="","NOT DECLARED",VLOOKUP($F189,Declarations!$B$6:$D$293,3,FALSE)&amp;LEFT(VLOOKUP($F189,Declarations!$B$6:$E$293,4,FALSE))))</f>
        <v/>
      </c>
      <c r="F189" s="59"/>
      <c r="G189" s="129"/>
      <c r="H189" s="129"/>
      <c r="I189" s="122" t="str">
        <f>IF(ISNA(VLOOKUP(F189,Declarations!B$6:C$293,2,FALSE)),"",IF(VLOOKUP(F189,Declarations!B$6:C$293,2,FALSE)="","NOT DECLARED",VLOOKUP(F189,Declarations!B$6:C$293,2,FALSE)))</f>
        <v/>
      </c>
      <c r="J189" s="120">
        <f>IF(LOWER(LEFT(G189,1))="n",1,VLOOKUP(G189,ScoringTable!D$2:I$95,6))</f>
        <v>0</v>
      </c>
      <c r="K189" s="120" t="str" cm="1">
        <f t="array" ref="K189">IF(OR(E189="",G189=""),"",_xlfn.IFS(E189="U10B",_xlfn.XLOOKUP(G189,Data!$D$5:$L$5,Data!$D$1:$L$1,"",-1,1),E189="U12B",_xlfn.XLOOKUP(G189,Data!$D$12:$L$12,Data!$D$1:$L$1,"",-1,1),E189="U10G",_xlfn.XLOOKUP(G189,Data!$D$18:$L$18,Data!$D$1:$L$1,"",-1,1),E189="U12G",_xlfn.XLOOKUP(G189,Data!$D$25:$L$25,Data!$D$1:$L$1,"",-1,1)))</f>
        <v/>
      </c>
      <c r="L189" s="184" t="str" cm="1">
        <f t="array" ref="L189">IFERROR(_xlfn.IFNA(
                      _xlfn.IFS(
                      G189="", "",
                      AND(E189="U10B",G189&gt;=Data!$M$5), "U10 Boys record",
                      AND(E189="U12B",G189&gt;=Data!$M$12), "U12 Boys record",
                      AND(E189="U10G",G189&gt;=Data!$M$18), "U10 Girls record",
                      AND(E189="U12G",G189&gt;=Data!$M$25), "U12 Girls record"
                       ),""), "")</f>
        <v/>
      </c>
      <c r="M189" s="19" cm="1">
        <f t="array" ref="M189">_xlfn.IFS($G189="",0, AND(NOT(ISNUMBER($G189)),LOWER(LEFT($G189,1))&lt;&gt;"n"),"Not a valid distance",OR(LOWER(LEFT($G189,1))="n",$G189&lt;ScoringTable!$O$161),1,RIGHT($E189,1)="B",_xlfn.XLOOKUP($G189,ScoringTable!$O$2:$O$161,ScoringTable!$L$2:$L$161,,-1),TRUE,_xlfn.XLOOKUP($G189,ScoringTable!$U$2:$U$161,ScoringTable!$R$2:$R$161,,-1))</f>
        <v>0</v>
      </c>
    </row>
    <row r="190" spans="1:13" s="7" customFormat="1" ht="16" customHeight="1">
      <c r="A190" s="121" t="s">
        <v>81</v>
      </c>
      <c r="B190" s="122" t="str">
        <f>IF(ISNA(VLOOKUP($F190,Declarations!B$6:C$293,2,FALSE)),"",IF(VLOOKUP($F190,Declarations!B$6:C$293,2,FALSE)="","NOT DECLARED",IF(ISNA(_xlfn.TEXTBEFORE(VLOOKUP($F190,Declarations!B$6:C$293,2,FALSE)," ")),VLOOKUP($F190,Declarations!B$6:C$293,2,FALSE),_xlfn.TEXTBEFORE(VLOOKUP($F190,Declarations!B$6:C$293,2,FALSE)," "))))</f>
        <v/>
      </c>
      <c r="C190" s="122" t="str">
        <f>IF(ISNA(VLOOKUP($F190,Declarations!B$6:C$293,2,FALSE)),"",IF(VLOOKUP($F190,Declarations!B$6:C$293,2,FALSE)="","NOT DECLARED",IF(ISNA(_xlfn.TEXTAFTER(VLOOKUP($F190,Declarations!B$6:C$293,2,FALSE)," ")),VLOOKUP($F190,Declarations!B$6:C$293,2,FALSE),_xlfn.TEXTAFTER(VLOOKUP($F190,Declarations!B$6:C$293,2,FALSE)," "))))</f>
        <v/>
      </c>
      <c r="D190" s="122" t="str">
        <f>IF(ISNA(VLOOKUP($F190,Declarations!$B$6:$F$293,5,FALSE)),"",IF(VLOOKUP($F190,Declarations!$B$6:$F$293,5,FALSE)="","NOT DECLARED",VLOOKUP($F190,Declarations!$B$6:$F$293,5,FALSE)))</f>
        <v/>
      </c>
      <c r="E190" s="120" t="str">
        <f>IF(ISNA(VLOOKUP($F190,Declarations!$B$6:$D$293,3,FALSE)),"",IF(VLOOKUP($F190,Declarations!$B$6:$D$293,3,FALSE)="","NOT DECLARED",VLOOKUP($F190,Declarations!$B$6:$D$293,3,FALSE)&amp;LEFT(VLOOKUP($F190,Declarations!$B$6:$E$293,4,FALSE))))</f>
        <v/>
      </c>
      <c r="F190" s="59"/>
      <c r="G190" s="129"/>
      <c r="H190" s="129"/>
      <c r="I190" s="122" t="str">
        <f>IF(ISNA(VLOOKUP(F190,Declarations!B$6:C$293,2,FALSE)),"",IF(VLOOKUP(F190,Declarations!B$6:C$293,2,FALSE)="","NOT DECLARED",VLOOKUP(F190,Declarations!B$6:C$293,2,FALSE)))</f>
        <v/>
      </c>
      <c r="J190" s="120">
        <f>IF(LOWER(LEFT(G190,1))="n",1,VLOOKUP(G190,ScoringTable!D$2:I$95,6))</f>
        <v>0</v>
      </c>
      <c r="K190" s="120" t="str" cm="1">
        <f t="array" ref="K190">IF(OR(E190="",G190=""),"",_xlfn.IFS(E190="U10B",_xlfn.XLOOKUP(G190,Data!$D$5:$L$5,Data!$D$1:$L$1,"",-1,1),E190="U12B",_xlfn.XLOOKUP(G190,Data!$D$12:$L$12,Data!$D$1:$L$1,"",-1,1),E190="U10G",_xlfn.XLOOKUP(G190,Data!$D$18:$L$18,Data!$D$1:$L$1,"",-1,1),E190="U12G",_xlfn.XLOOKUP(G190,Data!$D$25:$L$25,Data!$D$1:$L$1,"",-1,1)))</f>
        <v/>
      </c>
      <c r="L190" s="184" t="str" cm="1">
        <f t="array" ref="L190">IFERROR(_xlfn.IFNA(
                      _xlfn.IFS(
                      G190="", "",
                      AND(E190="U10B",G190&gt;=Data!$M$5), "U10 Boys record",
                      AND(E190="U12B",G190&gt;=Data!$M$12), "U12 Boys record",
                      AND(E190="U10G",G190&gt;=Data!$M$18), "U10 Girls record",
                      AND(E190="U12G",G190&gt;=Data!$M$25), "U12 Girls record"
                       ),""), "")</f>
        <v/>
      </c>
      <c r="M190" s="19" cm="1">
        <f t="array" ref="M190">_xlfn.IFS($G190="",0, AND(NOT(ISNUMBER($G190)),LOWER(LEFT($G190,1))&lt;&gt;"n"),"Not a valid distance",OR(LOWER(LEFT($G190,1))="n",$G190&lt;ScoringTable!$O$161),1,RIGHT($E190,1)="B",_xlfn.XLOOKUP($G190,ScoringTable!$O$2:$O$161,ScoringTable!$L$2:$L$161,,-1),TRUE,_xlfn.XLOOKUP($G190,ScoringTable!$U$2:$U$161,ScoringTable!$R$2:$R$161,,-1))</f>
        <v>0</v>
      </c>
    </row>
    <row r="191" spans="1:13" s="7" customFormat="1" ht="16" customHeight="1">
      <c r="A191" s="121" t="s">
        <v>81</v>
      </c>
      <c r="B191" s="122" t="str">
        <f>IF(ISNA(VLOOKUP($F191,Declarations!B$6:C$293,2,FALSE)),"",IF(VLOOKUP($F191,Declarations!B$6:C$293,2,FALSE)="","NOT DECLARED",IF(ISNA(_xlfn.TEXTBEFORE(VLOOKUP($F191,Declarations!B$6:C$293,2,FALSE)," ")),VLOOKUP($F191,Declarations!B$6:C$293,2,FALSE),_xlfn.TEXTBEFORE(VLOOKUP($F191,Declarations!B$6:C$293,2,FALSE)," "))))</f>
        <v/>
      </c>
      <c r="C191" s="122" t="str">
        <f>IF(ISNA(VLOOKUP($F191,Declarations!B$6:C$293,2,FALSE)),"",IF(VLOOKUP($F191,Declarations!B$6:C$293,2,FALSE)="","NOT DECLARED",IF(ISNA(_xlfn.TEXTAFTER(VLOOKUP($F191,Declarations!B$6:C$293,2,FALSE)," ")),VLOOKUP($F191,Declarations!B$6:C$293,2,FALSE),_xlfn.TEXTAFTER(VLOOKUP($F191,Declarations!B$6:C$293,2,FALSE)," "))))</f>
        <v/>
      </c>
      <c r="D191" s="122" t="str">
        <f>IF(ISNA(VLOOKUP($F191,Declarations!$B$6:$F$293,5,FALSE)),"",IF(VLOOKUP($F191,Declarations!$B$6:$F$293,5,FALSE)="","NOT DECLARED",VLOOKUP($F191,Declarations!$B$6:$F$293,5,FALSE)))</f>
        <v/>
      </c>
      <c r="E191" s="120" t="str">
        <f>IF(ISNA(VLOOKUP($F191,Declarations!$B$6:$D$293,3,FALSE)),"",IF(VLOOKUP($F191,Declarations!$B$6:$D$293,3,FALSE)="","NOT DECLARED",VLOOKUP($F191,Declarations!$B$6:$D$293,3,FALSE)&amp;LEFT(VLOOKUP($F191,Declarations!$B$6:$E$293,4,FALSE))))</f>
        <v/>
      </c>
      <c r="F191" s="59"/>
      <c r="G191" s="129"/>
      <c r="H191" s="129"/>
      <c r="I191" s="122" t="str">
        <f>IF(ISNA(VLOOKUP(F191,Declarations!B$6:C$293,2,FALSE)),"",IF(VLOOKUP(F191,Declarations!B$6:C$293,2,FALSE)="","NOT DECLARED",VLOOKUP(F191,Declarations!B$6:C$293,2,FALSE)))</f>
        <v/>
      </c>
      <c r="J191" s="120">
        <f>IF(LOWER(LEFT(G191,1))="n",1,VLOOKUP(G191,ScoringTable!D$2:I$95,6))</f>
        <v>0</v>
      </c>
      <c r="K191" s="120" t="str" cm="1">
        <f t="array" ref="K191">IF(OR(E191="",G191=""),"",_xlfn.IFS(E191="U10B",_xlfn.XLOOKUP(G191,Data!$D$5:$L$5,Data!$D$1:$L$1,"",-1,1),E191="U12B",_xlfn.XLOOKUP(G191,Data!$D$12:$L$12,Data!$D$1:$L$1,"",-1,1),E191="U10G",_xlfn.XLOOKUP(G191,Data!$D$18:$L$18,Data!$D$1:$L$1,"",-1,1),E191="U12G",_xlfn.XLOOKUP(G191,Data!$D$25:$L$25,Data!$D$1:$L$1,"",-1,1)))</f>
        <v/>
      </c>
      <c r="L191" s="184" t="str" cm="1">
        <f t="array" ref="L191">IFERROR(_xlfn.IFNA(
                      _xlfn.IFS(
                      G191="", "",
                      AND(E191="U10B",G191&gt;=Data!$M$5), "U10 Boys record",
                      AND(E191="U12B",G191&gt;=Data!$M$12), "U12 Boys record",
                      AND(E191="U10G",G191&gt;=Data!$M$18), "U10 Girls record",
                      AND(E191="U12G",G191&gt;=Data!$M$25), "U12 Girls record"
                       ),""), "")</f>
        <v/>
      </c>
      <c r="M191" s="19" cm="1">
        <f t="array" ref="M191">_xlfn.IFS($G191="",0, AND(NOT(ISNUMBER($G191)),LOWER(LEFT($G191,1))&lt;&gt;"n"),"Not a valid distance",OR(LOWER(LEFT($G191,1))="n",$G191&lt;ScoringTable!$O$161),1,RIGHT($E191,1)="B",_xlfn.XLOOKUP($G191,ScoringTable!$O$2:$O$161,ScoringTable!$L$2:$L$161,,-1),TRUE,_xlfn.XLOOKUP($G191,ScoringTable!$U$2:$U$161,ScoringTable!$R$2:$R$161,,-1))</f>
        <v>0</v>
      </c>
    </row>
    <row r="192" spans="1:13" s="7" customFormat="1" ht="16" customHeight="1">
      <c r="A192" s="121" t="s">
        <v>81</v>
      </c>
      <c r="B192" s="122" t="str">
        <f>IF(ISNA(VLOOKUP($F192,Declarations!B$6:C$293,2,FALSE)),"",IF(VLOOKUP($F192,Declarations!B$6:C$293,2,FALSE)="","NOT DECLARED",IF(ISNA(_xlfn.TEXTBEFORE(VLOOKUP($F192,Declarations!B$6:C$293,2,FALSE)," ")),VLOOKUP($F192,Declarations!B$6:C$293,2,FALSE),_xlfn.TEXTBEFORE(VLOOKUP($F192,Declarations!B$6:C$293,2,FALSE)," "))))</f>
        <v/>
      </c>
      <c r="C192" s="122" t="str">
        <f>IF(ISNA(VLOOKUP($F192,Declarations!B$6:C$293,2,FALSE)),"",IF(VLOOKUP($F192,Declarations!B$6:C$293,2,FALSE)="","NOT DECLARED",IF(ISNA(_xlfn.TEXTAFTER(VLOOKUP($F192,Declarations!B$6:C$293,2,FALSE)," ")),VLOOKUP($F192,Declarations!B$6:C$293,2,FALSE),_xlfn.TEXTAFTER(VLOOKUP($F192,Declarations!B$6:C$293,2,FALSE)," "))))</f>
        <v/>
      </c>
      <c r="D192" s="122" t="str">
        <f>IF(ISNA(VLOOKUP($F192,Declarations!$B$6:$F$293,5,FALSE)),"",IF(VLOOKUP($F192,Declarations!$B$6:$F$293,5,FALSE)="","NOT DECLARED",VLOOKUP($F192,Declarations!$B$6:$F$293,5,FALSE)))</f>
        <v/>
      </c>
      <c r="E192" s="120" t="str">
        <f>IF(ISNA(VLOOKUP($F192,Declarations!$B$6:$D$293,3,FALSE)),"",IF(VLOOKUP($F192,Declarations!$B$6:$D$293,3,FALSE)="","NOT DECLARED",VLOOKUP($F192,Declarations!$B$6:$D$293,3,FALSE)&amp;LEFT(VLOOKUP($F192,Declarations!$B$6:$E$293,4,FALSE))))</f>
        <v/>
      </c>
      <c r="F192" s="59"/>
      <c r="G192" s="129"/>
      <c r="H192" s="129"/>
      <c r="I192" s="122" t="str">
        <f>IF(ISNA(VLOOKUP(F192,Declarations!B$6:C$293,2,FALSE)),"",IF(VLOOKUP(F192,Declarations!B$6:C$293,2,FALSE)="","NOT DECLARED",VLOOKUP(F192,Declarations!B$6:C$293,2,FALSE)))</f>
        <v/>
      </c>
      <c r="J192" s="120">
        <f>IF(LOWER(LEFT(G192,1))="n",1,VLOOKUP(G192,ScoringTable!D$2:I$95,6))</f>
        <v>0</v>
      </c>
      <c r="K192" s="120" t="str" cm="1">
        <f t="array" ref="K192">IF(OR(E192="",G192=""),"",_xlfn.IFS(E192="U10B",_xlfn.XLOOKUP(G192,Data!$D$5:$L$5,Data!$D$1:$L$1,"",-1,1),E192="U12B",_xlfn.XLOOKUP(G192,Data!$D$12:$L$12,Data!$D$1:$L$1,"",-1,1),E192="U10G",_xlfn.XLOOKUP(G192,Data!$D$18:$L$18,Data!$D$1:$L$1,"",-1,1),E192="U12G",_xlfn.XLOOKUP(G192,Data!$D$25:$L$25,Data!$D$1:$L$1,"",-1,1)))</f>
        <v/>
      </c>
      <c r="L192" s="184" t="str" cm="1">
        <f t="array" ref="L192">IFERROR(_xlfn.IFNA(
                      _xlfn.IFS(
                      G192="", "",
                      AND(E192="U10B",G192&gt;=Data!$M$5), "U10 Boys record",
                      AND(E192="U12B",G192&gt;=Data!$M$12), "U12 Boys record",
                      AND(E192="U10G",G192&gt;=Data!$M$18), "U10 Girls record",
                      AND(E192="U12G",G192&gt;=Data!$M$25), "U12 Girls record"
                       ),""), "")</f>
        <v/>
      </c>
      <c r="M192" s="19" cm="1">
        <f t="array" ref="M192">_xlfn.IFS($G192="",0, AND(NOT(ISNUMBER($G192)),LOWER(LEFT($G192,1))&lt;&gt;"n"),"Not a valid distance",OR(LOWER(LEFT($G192,1))="n",$G192&lt;ScoringTable!$O$161),1,RIGHT($E192,1)="B",_xlfn.XLOOKUP($G192,ScoringTable!$O$2:$O$161,ScoringTable!$L$2:$L$161,,-1),TRUE,_xlfn.XLOOKUP($G192,ScoringTable!$U$2:$U$161,ScoringTable!$R$2:$R$161,,-1))</f>
        <v>0</v>
      </c>
    </row>
    <row r="193" spans="1:13" s="7" customFormat="1" ht="16" customHeight="1">
      <c r="A193" s="121" t="s">
        <v>81</v>
      </c>
      <c r="B193" s="122" t="str">
        <f>IF(ISNA(VLOOKUP($F193,Declarations!B$6:C$293,2,FALSE)),"",IF(VLOOKUP($F193,Declarations!B$6:C$293,2,FALSE)="","NOT DECLARED",IF(ISNA(_xlfn.TEXTBEFORE(VLOOKUP($F193,Declarations!B$6:C$293,2,FALSE)," ")),VLOOKUP($F193,Declarations!B$6:C$293,2,FALSE),_xlfn.TEXTBEFORE(VLOOKUP($F193,Declarations!B$6:C$293,2,FALSE)," "))))</f>
        <v/>
      </c>
      <c r="C193" s="122" t="str">
        <f>IF(ISNA(VLOOKUP($F193,Declarations!B$6:C$293,2,FALSE)),"",IF(VLOOKUP($F193,Declarations!B$6:C$293,2,FALSE)="","NOT DECLARED",IF(ISNA(_xlfn.TEXTAFTER(VLOOKUP($F193,Declarations!B$6:C$293,2,FALSE)," ")),VLOOKUP($F193,Declarations!B$6:C$293,2,FALSE),_xlfn.TEXTAFTER(VLOOKUP($F193,Declarations!B$6:C$293,2,FALSE)," "))))</f>
        <v/>
      </c>
      <c r="D193" s="122" t="str">
        <f>IF(ISNA(VLOOKUP($F193,Declarations!$B$6:$F$293,5,FALSE)),"",IF(VLOOKUP($F193,Declarations!$B$6:$F$293,5,FALSE)="","NOT DECLARED",VLOOKUP($F193,Declarations!$B$6:$F$293,5,FALSE)))</f>
        <v/>
      </c>
      <c r="E193" s="120" t="str">
        <f>IF(ISNA(VLOOKUP($F193,Declarations!$B$6:$D$293,3,FALSE)),"",IF(VLOOKUP($F193,Declarations!$B$6:$D$293,3,FALSE)="","NOT DECLARED",VLOOKUP($F193,Declarations!$B$6:$D$293,3,FALSE)&amp;LEFT(VLOOKUP($F193,Declarations!$B$6:$E$293,4,FALSE))))</f>
        <v/>
      </c>
      <c r="F193" s="59"/>
      <c r="G193" s="129"/>
      <c r="H193" s="129"/>
      <c r="I193" s="122" t="str">
        <f>IF(ISNA(VLOOKUP(F193,Declarations!B$6:C$293,2,FALSE)),"",IF(VLOOKUP(F193,Declarations!B$6:C$293,2,FALSE)="","NOT DECLARED",VLOOKUP(F193,Declarations!B$6:C$293,2,FALSE)))</f>
        <v/>
      </c>
      <c r="J193" s="120">
        <f>IF(LOWER(LEFT(G193,1))="n",1,VLOOKUP(G193,ScoringTable!D$2:I$95,6))</f>
        <v>0</v>
      </c>
      <c r="K193" s="120" t="str" cm="1">
        <f t="array" ref="K193">IF(OR(E193="",G193=""),"",_xlfn.IFS(E193="U10B",_xlfn.XLOOKUP(G193,Data!$D$5:$L$5,Data!$D$1:$L$1,"",-1,1),E193="U12B",_xlfn.XLOOKUP(G193,Data!$D$12:$L$12,Data!$D$1:$L$1,"",-1,1),E193="U10G",_xlfn.XLOOKUP(G193,Data!$D$18:$L$18,Data!$D$1:$L$1,"",-1,1),E193="U12G",_xlfn.XLOOKUP(G193,Data!$D$25:$L$25,Data!$D$1:$L$1,"",-1,1)))</f>
        <v/>
      </c>
      <c r="L193" s="184" t="str" cm="1">
        <f t="array" ref="L193">IFERROR(_xlfn.IFNA(
                      _xlfn.IFS(
                      G193="", "",
                      AND(E193="U10B",G193&gt;=Data!$M$5), "U10 Boys record",
                      AND(E193="U12B",G193&gt;=Data!$M$12), "U12 Boys record",
                      AND(E193="U10G",G193&gt;=Data!$M$18), "U10 Girls record",
                      AND(E193="U12G",G193&gt;=Data!$M$25), "U12 Girls record"
                       ),""), "")</f>
        <v/>
      </c>
      <c r="M193" s="19" cm="1">
        <f t="array" ref="M193">_xlfn.IFS($G193="",0, AND(NOT(ISNUMBER($G193)),LOWER(LEFT($G193,1))&lt;&gt;"n"),"Not a valid distance",OR(LOWER(LEFT($G193,1))="n",$G193&lt;ScoringTable!$O$161),1,RIGHT($E193,1)="B",_xlfn.XLOOKUP($G193,ScoringTable!$O$2:$O$161,ScoringTable!$L$2:$L$161,,-1),TRUE,_xlfn.XLOOKUP($G193,ScoringTable!$U$2:$U$161,ScoringTable!$R$2:$R$161,,-1))</f>
        <v>0</v>
      </c>
    </row>
    <row r="194" spans="1:13" s="7" customFormat="1" ht="16" customHeight="1">
      <c r="A194" s="121" t="s">
        <v>81</v>
      </c>
      <c r="B194" s="122" t="str">
        <f>IF(ISNA(VLOOKUP($F194,Declarations!B$6:C$293,2,FALSE)),"",IF(VLOOKUP($F194,Declarations!B$6:C$293,2,FALSE)="","NOT DECLARED",IF(ISNA(_xlfn.TEXTBEFORE(VLOOKUP($F194,Declarations!B$6:C$293,2,FALSE)," ")),VLOOKUP($F194,Declarations!B$6:C$293,2,FALSE),_xlfn.TEXTBEFORE(VLOOKUP($F194,Declarations!B$6:C$293,2,FALSE)," "))))</f>
        <v/>
      </c>
      <c r="C194" s="122" t="str">
        <f>IF(ISNA(VLOOKUP($F194,Declarations!B$6:C$293,2,FALSE)),"",IF(VLOOKUP($F194,Declarations!B$6:C$293,2,FALSE)="","NOT DECLARED",IF(ISNA(_xlfn.TEXTAFTER(VLOOKUP($F194,Declarations!B$6:C$293,2,FALSE)," ")),VLOOKUP($F194,Declarations!B$6:C$293,2,FALSE),_xlfn.TEXTAFTER(VLOOKUP($F194,Declarations!B$6:C$293,2,FALSE)," "))))</f>
        <v/>
      </c>
      <c r="D194" s="122" t="str">
        <f>IF(ISNA(VLOOKUP($F194,Declarations!$B$6:$F$293,5,FALSE)),"",IF(VLOOKUP($F194,Declarations!$B$6:$F$293,5,FALSE)="","NOT DECLARED",VLOOKUP($F194,Declarations!$B$6:$F$293,5,FALSE)))</f>
        <v/>
      </c>
      <c r="E194" s="120" t="str">
        <f>IF(ISNA(VLOOKUP($F194,Declarations!$B$6:$D$293,3,FALSE)),"",IF(VLOOKUP($F194,Declarations!$B$6:$D$293,3,FALSE)="","NOT DECLARED",VLOOKUP($F194,Declarations!$B$6:$D$293,3,FALSE)&amp;LEFT(VLOOKUP($F194,Declarations!$B$6:$E$293,4,FALSE))))</f>
        <v/>
      </c>
      <c r="F194" s="59"/>
      <c r="G194" s="129"/>
      <c r="H194" s="129"/>
      <c r="I194" s="122" t="str">
        <f>IF(ISNA(VLOOKUP(F194,Declarations!B$6:C$293,2,FALSE)),"",IF(VLOOKUP(F194,Declarations!B$6:C$293,2,FALSE)="","NOT DECLARED",VLOOKUP(F194,Declarations!B$6:C$293,2,FALSE)))</f>
        <v/>
      </c>
      <c r="J194" s="120">
        <f>IF(LOWER(LEFT(G194,1))="n",1,VLOOKUP(G194,ScoringTable!D$2:I$95,6))</f>
        <v>0</v>
      </c>
      <c r="K194" s="120" t="str" cm="1">
        <f t="array" ref="K194">IF(OR(E194="",G194=""),"",_xlfn.IFS(E194="U10B",_xlfn.XLOOKUP(G194,Data!$D$5:$L$5,Data!$D$1:$L$1,"",-1,1),E194="U12B",_xlfn.XLOOKUP(G194,Data!$D$12:$L$12,Data!$D$1:$L$1,"",-1,1),E194="U10G",_xlfn.XLOOKUP(G194,Data!$D$18:$L$18,Data!$D$1:$L$1,"",-1,1),E194="U12G",_xlfn.XLOOKUP(G194,Data!$D$25:$L$25,Data!$D$1:$L$1,"",-1,1)))</f>
        <v/>
      </c>
      <c r="L194" s="184" t="str" cm="1">
        <f t="array" ref="L194">IFERROR(_xlfn.IFNA(
                      _xlfn.IFS(
                      G194="", "",
                      AND(E194="U10B",G194&gt;=Data!$M$5), "U10 Boys record",
                      AND(E194="U12B",G194&gt;=Data!$M$12), "U12 Boys record",
                      AND(E194="U10G",G194&gt;=Data!$M$18), "U10 Girls record",
                      AND(E194="U12G",G194&gt;=Data!$M$25), "U12 Girls record"
                       ),""), "")</f>
        <v/>
      </c>
      <c r="M194" s="19" cm="1">
        <f t="array" ref="M194">_xlfn.IFS($G194="",0, AND(NOT(ISNUMBER($G194)),LOWER(LEFT($G194,1))&lt;&gt;"n"),"Not a valid distance",OR(LOWER(LEFT($G194,1))="n",$G194&lt;ScoringTable!$O$161),1,RIGHT($E194,1)="B",_xlfn.XLOOKUP($G194,ScoringTable!$O$2:$O$161,ScoringTable!$L$2:$L$161,,-1),TRUE,_xlfn.XLOOKUP($G194,ScoringTable!$U$2:$U$161,ScoringTable!$R$2:$R$161,,-1))</f>
        <v>0</v>
      </c>
    </row>
    <row r="195" spans="1:13" s="7" customFormat="1" ht="16" customHeight="1">
      <c r="A195" s="121" t="s">
        <v>81</v>
      </c>
      <c r="B195" s="122" t="str">
        <f>IF(ISNA(VLOOKUP($F195,Declarations!B$6:C$293,2,FALSE)),"",IF(VLOOKUP($F195,Declarations!B$6:C$293,2,FALSE)="","NOT DECLARED",IF(ISNA(_xlfn.TEXTBEFORE(VLOOKUP($F195,Declarations!B$6:C$293,2,FALSE)," ")),VLOOKUP($F195,Declarations!B$6:C$293,2,FALSE),_xlfn.TEXTBEFORE(VLOOKUP($F195,Declarations!B$6:C$293,2,FALSE)," "))))</f>
        <v/>
      </c>
      <c r="C195" s="122" t="str">
        <f>IF(ISNA(VLOOKUP($F195,Declarations!B$6:C$293,2,FALSE)),"",IF(VLOOKUP($F195,Declarations!B$6:C$293,2,FALSE)="","NOT DECLARED",IF(ISNA(_xlfn.TEXTAFTER(VLOOKUP($F195,Declarations!B$6:C$293,2,FALSE)," ")),VLOOKUP($F195,Declarations!B$6:C$293,2,FALSE),_xlfn.TEXTAFTER(VLOOKUP($F195,Declarations!B$6:C$293,2,FALSE)," "))))</f>
        <v/>
      </c>
      <c r="D195" s="122" t="str">
        <f>IF(ISNA(VLOOKUP($F195,Declarations!$B$6:$F$293,5,FALSE)),"",IF(VLOOKUP($F195,Declarations!$B$6:$F$293,5,FALSE)="","NOT DECLARED",VLOOKUP($F195,Declarations!$B$6:$F$293,5,FALSE)))</f>
        <v/>
      </c>
      <c r="E195" s="120" t="str">
        <f>IF(ISNA(VLOOKUP($F195,Declarations!$B$6:$D$293,3,FALSE)),"",IF(VLOOKUP($F195,Declarations!$B$6:$D$293,3,FALSE)="","NOT DECLARED",VLOOKUP($F195,Declarations!$B$6:$D$293,3,FALSE)&amp;LEFT(VLOOKUP($F195,Declarations!$B$6:$E$293,4,FALSE))))</f>
        <v/>
      </c>
      <c r="F195" s="59"/>
      <c r="G195" s="129"/>
      <c r="H195" s="129"/>
      <c r="I195" s="122" t="str">
        <f>IF(ISNA(VLOOKUP(F195,Declarations!B$6:C$293,2,FALSE)),"",IF(VLOOKUP(F195,Declarations!B$6:C$293,2,FALSE)="","NOT DECLARED",VLOOKUP(F195,Declarations!B$6:C$293,2,FALSE)))</f>
        <v/>
      </c>
      <c r="J195" s="120">
        <f>IF(LOWER(LEFT(G195,1))="n",1,VLOOKUP(G195,ScoringTable!D$2:I$95,6))</f>
        <v>0</v>
      </c>
      <c r="K195" s="120" t="str" cm="1">
        <f t="array" ref="K195">IF(OR(E195="",G195=""),"",_xlfn.IFS(E195="U10B",_xlfn.XLOOKUP(G195,Data!$D$5:$L$5,Data!$D$1:$L$1,"",-1,1),E195="U12B",_xlfn.XLOOKUP(G195,Data!$D$12:$L$12,Data!$D$1:$L$1,"",-1,1),E195="U10G",_xlfn.XLOOKUP(G195,Data!$D$18:$L$18,Data!$D$1:$L$1,"",-1,1),E195="U12G",_xlfn.XLOOKUP(G195,Data!$D$25:$L$25,Data!$D$1:$L$1,"",-1,1)))</f>
        <v/>
      </c>
      <c r="L195" s="184" t="str" cm="1">
        <f t="array" ref="L195">IFERROR(_xlfn.IFNA(
                      _xlfn.IFS(
                      G195="", "",
                      AND(E195="U10B",G195&gt;=Data!$M$5), "U10 Boys record",
                      AND(E195="U12B",G195&gt;=Data!$M$12), "U12 Boys record",
                      AND(E195="U10G",G195&gt;=Data!$M$18), "U10 Girls record",
                      AND(E195="U12G",G195&gt;=Data!$M$25), "U12 Girls record"
                       ),""), "")</f>
        <v/>
      </c>
      <c r="M195" s="19" cm="1">
        <f t="array" ref="M195">_xlfn.IFS($G195="",0, AND(NOT(ISNUMBER($G195)),LOWER(LEFT($G195,1))&lt;&gt;"n"),"Not a valid distance",OR(LOWER(LEFT($G195,1))="n",$G195&lt;ScoringTable!$O$161),1,RIGHT($E195,1)="B",_xlfn.XLOOKUP($G195,ScoringTable!$O$2:$O$161,ScoringTable!$L$2:$L$161,,-1),TRUE,_xlfn.XLOOKUP($G195,ScoringTable!$U$2:$U$161,ScoringTable!$R$2:$R$161,,-1))</f>
        <v>0</v>
      </c>
    </row>
    <row r="196" spans="1:13" s="7" customFormat="1" ht="16" customHeight="1">
      <c r="A196" s="121" t="s">
        <v>81</v>
      </c>
      <c r="B196" s="122" t="str">
        <f>IF(ISNA(VLOOKUP($F196,Declarations!B$6:C$293,2,FALSE)),"",IF(VLOOKUP($F196,Declarations!B$6:C$293,2,FALSE)="","NOT DECLARED",IF(ISNA(_xlfn.TEXTBEFORE(VLOOKUP($F196,Declarations!B$6:C$293,2,FALSE)," ")),VLOOKUP($F196,Declarations!B$6:C$293,2,FALSE),_xlfn.TEXTBEFORE(VLOOKUP($F196,Declarations!B$6:C$293,2,FALSE)," "))))</f>
        <v/>
      </c>
      <c r="C196" s="122" t="str">
        <f>IF(ISNA(VLOOKUP($F196,Declarations!B$6:C$293,2,FALSE)),"",IF(VLOOKUP($F196,Declarations!B$6:C$293,2,FALSE)="","NOT DECLARED",IF(ISNA(_xlfn.TEXTAFTER(VLOOKUP($F196,Declarations!B$6:C$293,2,FALSE)," ")),VLOOKUP($F196,Declarations!B$6:C$293,2,FALSE),_xlfn.TEXTAFTER(VLOOKUP($F196,Declarations!B$6:C$293,2,FALSE)," "))))</f>
        <v/>
      </c>
      <c r="D196" s="122" t="str">
        <f>IF(ISNA(VLOOKUP($F196,Declarations!$B$6:$F$293,5,FALSE)),"",IF(VLOOKUP($F196,Declarations!$B$6:$F$293,5,FALSE)="","NOT DECLARED",VLOOKUP($F196,Declarations!$B$6:$F$293,5,FALSE)))</f>
        <v/>
      </c>
      <c r="E196" s="120" t="str">
        <f>IF(ISNA(VLOOKUP($F196,Declarations!$B$6:$D$293,3,FALSE)),"",IF(VLOOKUP($F196,Declarations!$B$6:$D$293,3,FALSE)="","NOT DECLARED",VLOOKUP($F196,Declarations!$B$6:$D$293,3,FALSE)&amp;LEFT(VLOOKUP($F196,Declarations!$B$6:$E$293,4,FALSE))))</f>
        <v/>
      </c>
      <c r="F196" s="59"/>
      <c r="G196" s="129"/>
      <c r="H196" s="129"/>
      <c r="I196" s="122" t="str">
        <f>IF(ISNA(VLOOKUP(F196,Declarations!B$6:C$293,2,FALSE)),"",IF(VLOOKUP(F196,Declarations!B$6:C$293,2,FALSE)="","NOT DECLARED",VLOOKUP(F196,Declarations!B$6:C$293,2,FALSE)))</f>
        <v/>
      </c>
      <c r="J196" s="120">
        <f>IF(LOWER(LEFT(G196,1))="n",1,VLOOKUP(G196,ScoringTable!D$2:I$95,6))</f>
        <v>0</v>
      </c>
      <c r="K196" s="120" t="str" cm="1">
        <f t="array" ref="K196">IF(OR(E196="",G196=""),"",_xlfn.IFS(E196="U10B",_xlfn.XLOOKUP(G196,Data!$D$5:$L$5,Data!$D$1:$L$1,"",-1,1),E196="U12B",_xlfn.XLOOKUP(G196,Data!$D$12:$L$12,Data!$D$1:$L$1,"",-1,1),E196="U10G",_xlfn.XLOOKUP(G196,Data!$D$18:$L$18,Data!$D$1:$L$1,"",-1,1),E196="U12G",_xlfn.XLOOKUP(G196,Data!$D$25:$L$25,Data!$D$1:$L$1,"",-1,1)))</f>
        <v/>
      </c>
      <c r="L196" s="184" t="str" cm="1">
        <f t="array" ref="L196">IFERROR(_xlfn.IFNA(
                      _xlfn.IFS(
                      G196="", "",
                      AND(E196="U10B",G196&gt;=Data!$M$5), "U10 Boys record",
                      AND(E196="U12B",G196&gt;=Data!$M$12), "U12 Boys record",
                      AND(E196="U10G",G196&gt;=Data!$M$18), "U10 Girls record",
                      AND(E196="U12G",G196&gt;=Data!$M$25), "U12 Girls record"
                       ),""), "")</f>
        <v/>
      </c>
      <c r="M196" s="19" cm="1">
        <f t="array" ref="M196">_xlfn.IFS($G196="",0, AND(NOT(ISNUMBER($G196)),LOWER(LEFT($G196,1))&lt;&gt;"n"),"Not a valid distance",OR(LOWER(LEFT($G196,1))="n",$G196&lt;ScoringTable!$O$161),1,RIGHT($E196,1)="B",_xlfn.XLOOKUP($G196,ScoringTable!$O$2:$O$161,ScoringTable!$L$2:$L$161,,-1),TRUE,_xlfn.XLOOKUP($G196,ScoringTable!$U$2:$U$161,ScoringTable!$R$2:$R$161,,-1))</f>
        <v>0</v>
      </c>
    </row>
    <row r="197" spans="1:13" s="7" customFormat="1" ht="16" customHeight="1">
      <c r="A197" s="121" t="s">
        <v>81</v>
      </c>
      <c r="B197" s="122" t="str">
        <f>IF(ISNA(VLOOKUP($F197,Declarations!B$6:C$293,2,FALSE)),"",IF(VLOOKUP($F197,Declarations!B$6:C$293,2,FALSE)="","NOT DECLARED",IF(ISNA(_xlfn.TEXTBEFORE(VLOOKUP($F197,Declarations!B$6:C$293,2,FALSE)," ")),VLOOKUP($F197,Declarations!B$6:C$293,2,FALSE),_xlfn.TEXTBEFORE(VLOOKUP($F197,Declarations!B$6:C$293,2,FALSE)," "))))</f>
        <v/>
      </c>
      <c r="C197" s="122" t="str">
        <f>IF(ISNA(VLOOKUP($F197,Declarations!B$6:C$293,2,FALSE)),"",IF(VLOOKUP($F197,Declarations!B$6:C$293,2,FALSE)="","NOT DECLARED",IF(ISNA(_xlfn.TEXTAFTER(VLOOKUP($F197,Declarations!B$6:C$293,2,FALSE)," ")),VLOOKUP($F197,Declarations!B$6:C$293,2,FALSE),_xlfn.TEXTAFTER(VLOOKUP($F197,Declarations!B$6:C$293,2,FALSE)," "))))</f>
        <v/>
      </c>
      <c r="D197" s="122" t="str">
        <f>IF(ISNA(VLOOKUP($F197,Declarations!$B$6:$F$293,5,FALSE)),"",IF(VLOOKUP($F197,Declarations!$B$6:$F$293,5,FALSE)="","NOT DECLARED",VLOOKUP($F197,Declarations!$B$6:$F$293,5,FALSE)))</f>
        <v/>
      </c>
      <c r="E197" s="120" t="str">
        <f>IF(ISNA(VLOOKUP($F197,Declarations!$B$6:$D$293,3,FALSE)),"",IF(VLOOKUP($F197,Declarations!$B$6:$D$293,3,FALSE)="","NOT DECLARED",VLOOKUP($F197,Declarations!$B$6:$D$293,3,FALSE)&amp;LEFT(VLOOKUP($F197,Declarations!$B$6:$E$293,4,FALSE))))</f>
        <v/>
      </c>
      <c r="F197" s="59"/>
      <c r="G197" s="129"/>
      <c r="H197" s="129"/>
      <c r="I197" s="122" t="str">
        <f>IF(ISNA(VLOOKUP(F197,Declarations!B$6:C$293,2,FALSE)),"",IF(VLOOKUP(F197,Declarations!B$6:C$293,2,FALSE)="","NOT DECLARED",VLOOKUP(F197,Declarations!B$6:C$293,2,FALSE)))</f>
        <v/>
      </c>
      <c r="J197" s="120">
        <f>IF(LOWER(LEFT(G197,1))="n",1,VLOOKUP(G197,ScoringTable!D$2:I$95,6))</f>
        <v>0</v>
      </c>
      <c r="K197" s="120" t="str" cm="1">
        <f t="array" ref="K197">IF(OR(E197="",G197=""),"",_xlfn.IFS(E197="U10B",_xlfn.XLOOKUP(G197,Data!$D$5:$L$5,Data!$D$1:$L$1,"",-1,1),E197="U12B",_xlfn.XLOOKUP(G197,Data!$D$12:$L$12,Data!$D$1:$L$1,"",-1,1),E197="U10G",_xlfn.XLOOKUP(G197,Data!$D$18:$L$18,Data!$D$1:$L$1,"",-1,1),E197="U12G",_xlfn.XLOOKUP(G197,Data!$D$25:$L$25,Data!$D$1:$L$1,"",-1,1)))</f>
        <v/>
      </c>
      <c r="L197" s="184" t="str" cm="1">
        <f t="array" ref="L197">IFERROR(_xlfn.IFNA(
                      _xlfn.IFS(
                      G197="", "",
                      AND(E197="U10B",G197&gt;=Data!$M$5), "U10 Boys record",
                      AND(E197="U12B",G197&gt;=Data!$M$12), "U12 Boys record",
                      AND(E197="U10G",G197&gt;=Data!$M$18), "U10 Girls record",
                      AND(E197="U12G",G197&gt;=Data!$M$25), "U12 Girls record"
                       ),""), "")</f>
        <v/>
      </c>
      <c r="M197" s="19" cm="1">
        <f t="array" ref="M197">_xlfn.IFS($G197="",0, AND(NOT(ISNUMBER($G197)),LOWER(LEFT($G197,1))&lt;&gt;"n"),"Not a valid distance",OR(LOWER(LEFT($G197,1))="n",$G197&lt;ScoringTable!$O$161),1,RIGHT($E197,1)="B",_xlfn.XLOOKUP($G197,ScoringTable!$O$2:$O$161,ScoringTable!$L$2:$L$161,,-1),TRUE,_xlfn.XLOOKUP($G197,ScoringTable!$U$2:$U$161,ScoringTable!$R$2:$R$161,,-1))</f>
        <v>0</v>
      </c>
    </row>
    <row r="198" spans="1:13" s="7" customFormat="1" ht="16" customHeight="1">
      <c r="A198" s="121" t="s">
        <v>81</v>
      </c>
      <c r="B198" s="122" t="str">
        <f>IF(ISNA(VLOOKUP($F198,Declarations!B$6:C$293,2,FALSE)),"",IF(VLOOKUP($F198,Declarations!B$6:C$293,2,FALSE)="","NOT DECLARED",IF(ISNA(_xlfn.TEXTBEFORE(VLOOKUP($F198,Declarations!B$6:C$293,2,FALSE)," ")),VLOOKUP($F198,Declarations!B$6:C$293,2,FALSE),_xlfn.TEXTBEFORE(VLOOKUP($F198,Declarations!B$6:C$293,2,FALSE)," "))))</f>
        <v/>
      </c>
      <c r="C198" s="122" t="str">
        <f>IF(ISNA(VLOOKUP($F198,Declarations!B$6:C$293,2,FALSE)),"",IF(VLOOKUP($F198,Declarations!B$6:C$293,2,FALSE)="","NOT DECLARED",IF(ISNA(_xlfn.TEXTAFTER(VLOOKUP($F198,Declarations!B$6:C$293,2,FALSE)," ")),VLOOKUP($F198,Declarations!B$6:C$293,2,FALSE),_xlfn.TEXTAFTER(VLOOKUP($F198,Declarations!B$6:C$293,2,FALSE)," "))))</f>
        <v/>
      </c>
      <c r="D198" s="122" t="str">
        <f>IF(ISNA(VLOOKUP($F198,Declarations!$B$6:$F$293,5,FALSE)),"",IF(VLOOKUP($F198,Declarations!$B$6:$F$293,5,FALSE)="","NOT DECLARED",VLOOKUP($F198,Declarations!$B$6:$F$293,5,FALSE)))</f>
        <v/>
      </c>
      <c r="E198" s="120" t="str">
        <f>IF(ISNA(VLOOKUP($F198,Declarations!$B$6:$D$293,3,FALSE)),"",IF(VLOOKUP($F198,Declarations!$B$6:$D$293,3,FALSE)="","NOT DECLARED",VLOOKUP($F198,Declarations!$B$6:$D$293,3,FALSE)&amp;LEFT(VLOOKUP($F198,Declarations!$B$6:$E$293,4,FALSE))))</f>
        <v/>
      </c>
      <c r="F198" s="59"/>
      <c r="G198" s="129"/>
      <c r="H198" s="129"/>
      <c r="I198" s="122" t="str">
        <f>IF(ISNA(VLOOKUP(F198,Declarations!B$6:C$293,2,FALSE)),"",IF(VLOOKUP(F198,Declarations!B$6:C$293,2,FALSE)="","NOT DECLARED",VLOOKUP(F198,Declarations!B$6:C$293,2,FALSE)))</f>
        <v/>
      </c>
      <c r="J198" s="120">
        <f>IF(LOWER(LEFT(G198,1))="n",1,VLOOKUP(G198,ScoringTable!D$2:I$95,6))</f>
        <v>0</v>
      </c>
      <c r="K198" s="120" t="str" cm="1">
        <f t="array" ref="K198">IF(OR(E198="",G198=""),"",_xlfn.IFS(E198="U10B",_xlfn.XLOOKUP(G198,Data!$D$5:$L$5,Data!$D$1:$L$1,"",-1,1),E198="U12B",_xlfn.XLOOKUP(G198,Data!$D$12:$L$12,Data!$D$1:$L$1,"",-1,1),E198="U10G",_xlfn.XLOOKUP(G198,Data!$D$18:$L$18,Data!$D$1:$L$1,"",-1,1),E198="U12G",_xlfn.XLOOKUP(G198,Data!$D$25:$L$25,Data!$D$1:$L$1,"",-1,1)))</f>
        <v/>
      </c>
      <c r="L198" s="184" t="str" cm="1">
        <f t="array" ref="L198">IFERROR(_xlfn.IFNA(
                      _xlfn.IFS(
                      G198="", "",
                      AND(E198="U10B",G198&gt;=Data!$M$5), "U10 Boys record",
                      AND(E198="U12B",G198&gt;=Data!$M$12), "U12 Boys record",
                      AND(E198="U10G",G198&gt;=Data!$M$18), "U10 Girls record",
                      AND(E198="U12G",G198&gt;=Data!$M$25), "U12 Girls record"
                       ),""), "")</f>
        <v/>
      </c>
      <c r="M198" s="19" cm="1">
        <f t="array" ref="M198">_xlfn.IFS($G198="",0, AND(NOT(ISNUMBER($G198)),LOWER(LEFT($G198,1))&lt;&gt;"n"),"Not a valid distance",OR(LOWER(LEFT($G198,1))="n",$G198&lt;ScoringTable!$O$161),1,RIGHT($E198,1)="B",_xlfn.XLOOKUP($G198,ScoringTable!$O$2:$O$161,ScoringTable!$L$2:$L$161,,-1),TRUE,_xlfn.XLOOKUP($G198,ScoringTable!$U$2:$U$161,ScoringTable!$R$2:$R$161,,-1))</f>
        <v>0</v>
      </c>
    </row>
    <row r="199" spans="1:13" s="7" customFormat="1" ht="16" customHeight="1">
      <c r="A199" s="121" t="s">
        <v>81</v>
      </c>
      <c r="B199" s="122" t="str">
        <f>IF(ISNA(VLOOKUP($F199,Declarations!B$6:C$293,2,FALSE)),"",IF(VLOOKUP($F199,Declarations!B$6:C$293,2,FALSE)="","NOT DECLARED",IF(ISNA(_xlfn.TEXTBEFORE(VLOOKUP($F199,Declarations!B$6:C$293,2,FALSE)," ")),VLOOKUP($F199,Declarations!B$6:C$293,2,FALSE),_xlfn.TEXTBEFORE(VLOOKUP($F199,Declarations!B$6:C$293,2,FALSE)," "))))</f>
        <v/>
      </c>
      <c r="C199" s="122" t="str">
        <f>IF(ISNA(VLOOKUP($F199,Declarations!B$6:C$293,2,FALSE)),"",IF(VLOOKUP($F199,Declarations!B$6:C$293,2,FALSE)="","NOT DECLARED",IF(ISNA(_xlfn.TEXTAFTER(VLOOKUP($F199,Declarations!B$6:C$293,2,FALSE)," ")),VLOOKUP($F199,Declarations!B$6:C$293,2,FALSE),_xlfn.TEXTAFTER(VLOOKUP($F199,Declarations!B$6:C$293,2,FALSE)," "))))</f>
        <v/>
      </c>
      <c r="D199" s="122" t="str">
        <f>IF(ISNA(VLOOKUP($F199,Declarations!$B$6:$F$293,5,FALSE)),"",IF(VLOOKUP($F199,Declarations!$B$6:$F$293,5,FALSE)="","NOT DECLARED",VLOOKUP($F199,Declarations!$B$6:$F$293,5,FALSE)))</f>
        <v/>
      </c>
      <c r="E199" s="120" t="str">
        <f>IF(ISNA(VLOOKUP($F199,Declarations!$B$6:$D$293,3,FALSE)),"",IF(VLOOKUP($F199,Declarations!$B$6:$D$293,3,FALSE)="","NOT DECLARED",VLOOKUP($F199,Declarations!$B$6:$D$293,3,FALSE)&amp;LEFT(VLOOKUP($F199,Declarations!$B$6:$E$293,4,FALSE))))</f>
        <v/>
      </c>
      <c r="F199" s="59"/>
      <c r="G199" s="129"/>
      <c r="H199" s="129"/>
      <c r="I199" s="122" t="str">
        <f>IF(ISNA(VLOOKUP(F199,Declarations!B$6:C$293,2,FALSE)),"",IF(VLOOKUP(F199,Declarations!B$6:C$293,2,FALSE)="","NOT DECLARED",VLOOKUP(F199,Declarations!B$6:C$293,2,FALSE)))</f>
        <v/>
      </c>
      <c r="J199" s="120">
        <f>IF(LOWER(LEFT(G199,1))="n",1,VLOOKUP(G199,ScoringTable!D$2:I$95,6))</f>
        <v>0</v>
      </c>
      <c r="K199" s="120" t="str" cm="1">
        <f t="array" ref="K199">IF(OR(E199="",G199=""),"",_xlfn.IFS(E199="U10B",_xlfn.XLOOKUP(G199,Data!$D$5:$L$5,Data!$D$1:$L$1,"",-1,1),E199="U12B",_xlfn.XLOOKUP(G199,Data!$D$12:$L$12,Data!$D$1:$L$1,"",-1,1),E199="U10G",_xlfn.XLOOKUP(G199,Data!$D$18:$L$18,Data!$D$1:$L$1,"",-1,1),E199="U12G",_xlfn.XLOOKUP(G199,Data!$D$25:$L$25,Data!$D$1:$L$1,"",-1,1)))</f>
        <v/>
      </c>
      <c r="L199" s="184" t="str" cm="1">
        <f t="array" ref="L199">IFERROR(_xlfn.IFNA(
                      _xlfn.IFS(
                      G199="", "",
                      AND(E199="U10B",G199&gt;=Data!$M$5), "U10 Boys record",
                      AND(E199="U12B",G199&gt;=Data!$M$12), "U12 Boys record",
                      AND(E199="U10G",G199&gt;=Data!$M$18), "U10 Girls record",
                      AND(E199="U12G",G199&gt;=Data!$M$25), "U12 Girls record"
                       ),""), "")</f>
        <v/>
      </c>
      <c r="M199" s="19" cm="1">
        <f t="array" ref="M199">_xlfn.IFS($G199="",0, AND(NOT(ISNUMBER($G199)),LOWER(LEFT($G199,1))&lt;&gt;"n"),"Not a valid distance",OR(LOWER(LEFT($G199,1))="n",$G199&lt;ScoringTable!$O$161),1,RIGHT($E199,1)="B",_xlfn.XLOOKUP($G199,ScoringTable!$O$2:$O$161,ScoringTable!$L$2:$L$161,,-1),TRUE,_xlfn.XLOOKUP($G199,ScoringTable!$U$2:$U$161,ScoringTable!$R$2:$R$161,,-1))</f>
        <v>0</v>
      </c>
    </row>
    <row r="200" spans="1:13" s="7" customFormat="1" ht="16" customHeight="1">
      <c r="A200" s="121" t="s">
        <v>81</v>
      </c>
      <c r="B200" s="122" t="str">
        <f>IF(ISNA(VLOOKUP($F200,Declarations!B$6:C$293,2,FALSE)),"",IF(VLOOKUP($F200,Declarations!B$6:C$293,2,FALSE)="","NOT DECLARED",IF(ISNA(_xlfn.TEXTBEFORE(VLOOKUP($F200,Declarations!B$6:C$293,2,FALSE)," ")),VLOOKUP($F200,Declarations!B$6:C$293,2,FALSE),_xlfn.TEXTBEFORE(VLOOKUP($F200,Declarations!B$6:C$293,2,FALSE)," "))))</f>
        <v/>
      </c>
      <c r="C200" s="122" t="str">
        <f>IF(ISNA(VLOOKUP($F200,Declarations!B$6:C$293,2,FALSE)),"",IF(VLOOKUP($F200,Declarations!B$6:C$293,2,FALSE)="","NOT DECLARED",IF(ISNA(_xlfn.TEXTAFTER(VLOOKUP($F200,Declarations!B$6:C$293,2,FALSE)," ")),VLOOKUP($F200,Declarations!B$6:C$293,2,FALSE),_xlfn.TEXTAFTER(VLOOKUP($F200,Declarations!B$6:C$293,2,FALSE)," "))))</f>
        <v/>
      </c>
      <c r="D200" s="122" t="str">
        <f>IF(ISNA(VLOOKUP($F200,Declarations!$B$6:$F$293,5,FALSE)),"",IF(VLOOKUP($F200,Declarations!$B$6:$F$293,5,FALSE)="","NOT DECLARED",VLOOKUP($F200,Declarations!$B$6:$F$293,5,FALSE)))</f>
        <v/>
      </c>
      <c r="E200" s="120" t="str">
        <f>IF(ISNA(VLOOKUP($F200,Declarations!$B$6:$D$293,3,FALSE)),"",IF(VLOOKUP($F200,Declarations!$B$6:$D$293,3,FALSE)="","NOT DECLARED",VLOOKUP($F200,Declarations!$B$6:$D$293,3,FALSE)&amp;LEFT(VLOOKUP($F200,Declarations!$B$6:$E$293,4,FALSE))))</f>
        <v/>
      </c>
      <c r="F200" s="59"/>
      <c r="G200" s="129"/>
      <c r="H200" s="129"/>
      <c r="I200" s="122" t="str">
        <f>IF(ISNA(VLOOKUP(F200,Declarations!B$6:C$293,2,FALSE)),"",IF(VLOOKUP(F200,Declarations!B$6:C$293,2,FALSE)="","NOT DECLARED",VLOOKUP(F200,Declarations!B$6:C$293,2,FALSE)))</f>
        <v/>
      </c>
      <c r="J200" s="120">
        <f>IF(LOWER(LEFT(G200,1))="n",1,VLOOKUP(G200,ScoringTable!D$2:I$95,6))</f>
        <v>0</v>
      </c>
      <c r="K200" s="120" t="str" cm="1">
        <f t="array" ref="K200">IF(OR(E200="",G200=""),"",_xlfn.IFS(E200="U10B",_xlfn.XLOOKUP(G200,Data!$D$5:$L$5,Data!$D$1:$L$1,"",-1,1),E200="U12B",_xlfn.XLOOKUP(G200,Data!$D$12:$L$12,Data!$D$1:$L$1,"",-1,1),E200="U10G",_xlfn.XLOOKUP(G200,Data!$D$18:$L$18,Data!$D$1:$L$1,"",-1,1),E200="U12G",_xlfn.XLOOKUP(G200,Data!$D$25:$L$25,Data!$D$1:$L$1,"",-1,1)))</f>
        <v/>
      </c>
      <c r="L200" s="184" t="str" cm="1">
        <f t="array" ref="L200">IFERROR(_xlfn.IFNA(
                      _xlfn.IFS(
                      G200="", "",
                      AND(E200="U10B",G200&gt;=Data!$M$5), "U10 Boys record",
                      AND(E200="U12B",G200&gt;=Data!$M$12), "U12 Boys record",
                      AND(E200="U10G",G200&gt;=Data!$M$18), "U10 Girls record",
                      AND(E200="U12G",G200&gt;=Data!$M$25), "U12 Girls record"
                       ),""), "")</f>
        <v/>
      </c>
      <c r="M200" s="19" cm="1">
        <f t="array" ref="M200">_xlfn.IFS($G200="",0, AND(NOT(ISNUMBER($G200)),LOWER(LEFT($G200,1))&lt;&gt;"n"),"Not a valid distance",OR(LOWER(LEFT($G200,1))="n",$G200&lt;ScoringTable!$O$161),1,RIGHT($E200,1)="B",_xlfn.XLOOKUP($G200,ScoringTable!$O$2:$O$161,ScoringTable!$L$2:$L$161,,-1),TRUE,_xlfn.XLOOKUP($G200,ScoringTable!$U$2:$U$161,ScoringTable!$R$2:$R$161,,-1))</f>
        <v>0</v>
      </c>
    </row>
    <row r="201" spans="1:13" s="7" customFormat="1" ht="16" customHeight="1">
      <c r="A201" s="121" t="s">
        <v>81</v>
      </c>
      <c r="B201" s="122" t="str">
        <f>IF(ISNA(VLOOKUP($F201,Declarations!B$6:C$293,2,FALSE)),"",IF(VLOOKUP($F201,Declarations!B$6:C$293,2,FALSE)="","NOT DECLARED",IF(ISNA(_xlfn.TEXTBEFORE(VLOOKUP($F201,Declarations!B$6:C$293,2,FALSE)," ")),VLOOKUP($F201,Declarations!B$6:C$293,2,FALSE),_xlfn.TEXTBEFORE(VLOOKUP($F201,Declarations!B$6:C$293,2,FALSE)," "))))</f>
        <v/>
      </c>
      <c r="C201" s="122" t="str">
        <f>IF(ISNA(VLOOKUP($F201,Declarations!B$6:C$293,2,FALSE)),"",IF(VLOOKUP($F201,Declarations!B$6:C$293,2,FALSE)="","NOT DECLARED",IF(ISNA(_xlfn.TEXTAFTER(VLOOKUP($F201,Declarations!B$6:C$293,2,FALSE)," ")),VLOOKUP($F201,Declarations!B$6:C$293,2,FALSE),_xlfn.TEXTAFTER(VLOOKUP($F201,Declarations!B$6:C$293,2,FALSE)," "))))</f>
        <v/>
      </c>
      <c r="D201" s="122" t="str">
        <f>IF(ISNA(VLOOKUP($F201,Declarations!$B$6:$F$293,5,FALSE)),"",IF(VLOOKUP($F201,Declarations!$B$6:$F$293,5,FALSE)="","NOT DECLARED",VLOOKUP($F201,Declarations!$B$6:$F$293,5,FALSE)))</f>
        <v/>
      </c>
      <c r="E201" s="120" t="str">
        <f>IF(ISNA(VLOOKUP($F201,Declarations!$B$6:$D$293,3,FALSE)),"",IF(VLOOKUP($F201,Declarations!$B$6:$D$293,3,FALSE)="","NOT DECLARED",VLOOKUP($F201,Declarations!$B$6:$D$293,3,FALSE)&amp;LEFT(VLOOKUP($F201,Declarations!$B$6:$E$293,4,FALSE))))</f>
        <v/>
      </c>
      <c r="F201" s="59"/>
      <c r="G201" s="129"/>
      <c r="H201" s="129"/>
      <c r="I201" s="122" t="str">
        <f>IF(ISNA(VLOOKUP(F201,Declarations!B$6:C$293,2,FALSE)),"",IF(VLOOKUP(F201,Declarations!B$6:C$293,2,FALSE)="","NOT DECLARED",VLOOKUP(F201,Declarations!B$6:C$293,2,FALSE)))</f>
        <v/>
      </c>
      <c r="J201" s="120">
        <f>IF(LOWER(LEFT(G201,1))="n",1,VLOOKUP(G201,ScoringTable!D$2:I$95,6))</f>
        <v>0</v>
      </c>
      <c r="K201" s="120" t="str" cm="1">
        <f t="array" ref="K201">IF(OR(E201="",G201=""),"",_xlfn.IFS(E201="U10B",_xlfn.XLOOKUP(G201,Data!$D$5:$L$5,Data!$D$1:$L$1,"",-1,1),E201="U12B",_xlfn.XLOOKUP(G201,Data!$D$12:$L$12,Data!$D$1:$L$1,"",-1,1),E201="U10G",_xlfn.XLOOKUP(G201,Data!$D$18:$L$18,Data!$D$1:$L$1,"",-1,1),E201="U12G",_xlfn.XLOOKUP(G201,Data!$D$25:$L$25,Data!$D$1:$L$1,"",-1,1)))</f>
        <v/>
      </c>
      <c r="L201" s="184" t="str" cm="1">
        <f t="array" ref="L201">IFERROR(_xlfn.IFNA(
                      _xlfn.IFS(
                      G201="", "",
                      AND(E201="U10B",G201&gt;=Data!$M$5), "U10 Boys record",
                      AND(E201="U12B",G201&gt;=Data!$M$12), "U12 Boys record",
                      AND(E201="U10G",G201&gt;=Data!$M$18), "U10 Girls record",
                      AND(E201="U12G",G201&gt;=Data!$M$25), "U12 Girls record"
                       ),""), "")</f>
        <v/>
      </c>
      <c r="M201" s="19" cm="1">
        <f t="array" ref="M201">_xlfn.IFS($G201="",0, AND(NOT(ISNUMBER($G201)),LOWER(LEFT($G201,1))&lt;&gt;"n"),"Not a valid distance",OR(LOWER(LEFT($G201,1))="n",$G201&lt;ScoringTable!$O$161),1,RIGHT($E201,1)="B",_xlfn.XLOOKUP($G201,ScoringTable!$O$2:$O$161,ScoringTable!$L$2:$L$161,,-1),TRUE,_xlfn.XLOOKUP($G201,ScoringTable!$U$2:$U$161,ScoringTable!$R$2:$R$161,,-1))</f>
        <v>0</v>
      </c>
    </row>
    <row r="202" spans="1:13" s="7" customFormat="1" ht="16" customHeight="1">
      <c r="A202" s="121" t="s">
        <v>81</v>
      </c>
      <c r="B202" s="122" t="str">
        <f>IF(ISNA(VLOOKUP($F202,Declarations!B$6:C$293,2,FALSE)),"",IF(VLOOKUP($F202,Declarations!B$6:C$293,2,FALSE)="","NOT DECLARED",IF(ISNA(_xlfn.TEXTBEFORE(VLOOKUP($F202,Declarations!B$6:C$293,2,FALSE)," ")),VLOOKUP($F202,Declarations!B$6:C$293,2,FALSE),_xlfn.TEXTBEFORE(VLOOKUP($F202,Declarations!B$6:C$293,2,FALSE)," "))))</f>
        <v/>
      </c>
      <c r="C202" s="122" t="str">
        <f>IF(ISNA(VLOOKUP($F202,Declarations!B$6:C$293,2,FALSE)),"",IF(VLOOKUP($F202,Declarations!B$6:C$293,2,FALSE)="","NOT DECLARED",IF(ISNA(_xlfn.TEXTAFTER(VLOOKUP($F202,Declarations!B$6:C$293,2,FALSE)," ")),VLOOKUP($F202,Declarations!B$6:C$293,2,FALSE),_xlfn.TEXTAFTER(VLOOKUP($F202,Declarations!B$6:C$293,2,FALSE)," "))))</f>
        <v/>
      </c>
      <c r="D202" s="122" t="str">
        <f>IF(ISNA(VLOOKUP($F202,Declarations!$B$6:$F$293,5,FALSE)),"",IF(VLOOKUP($F202,Declarations!$B$6:$F$293,5,FALSE)="","NOT DECLARED",VLOOKUP($F202,Declarations!$B$6:$F$293,5,FALSE)))</f>
        <v/>
      </c>
      <c r="E202" s="120" t="str">
        <f>IF(ISNA(VLOOKUP($F202,Declarations!$B$6:$D$293,3,FALSE)),"",IF(VLOOKUP($F202,Declarations!$B$6:$D$293,3,FALSE)="","NOT DECLARED",VLOOKUP($F202,Declarations!$B$6:$D$293,3,FALSE)&amp;LEFT(VLOOKUP($F202,Declarations!$B$6:$E$293,4,FALSE))))</f>
        <v/>
      </c>
      <c r="F202" s="59"/>
      <c r="G202" s="129"/>
      <c r="H202" s="129"/>
      <c r="I202" s="122" t="str">
        <f>IF(ISNA(VLOOKUP(F202,Declarations!B$6:C$293,2,FALSE)),"",IF(VLOOKUP(F202,Declarations!B$6:C$293,2,FALSE)="","NOT DECLARED",VLOOKUP(F202,Declarations!B$6:C$293,2,FALSE)))</f>
        <v/>
      </c>
      <c r="J202" s="120">
        <f>IF(LOWER(LEFT(G202,1))="n",1,VLOOKUP(G202,ScoringTable!D$2:I$95,6))</f>
        <v>0</v>
      </c>
      <c r="K202" s="120" t="str" cm="1">
        <f t="array" ref="K202">IF(OR(E202="",G202=""),"",_xlfn.IFS(E202="U10B",_xlfn.XLOOKUP(G202,Data!$D$5:$L$5,Data!$D$1:$L$1,"",-1,1),E202="U12B",_xlfn.XLOOKUP(G202,Data!$D$12:$L$12,Data!$D$1:$L$1,"",-1,1),E202="U10G",_xlfn.XLOOKUP(G202,Data!$D$18:$L$18,Data!$D$1:$L$1,"",-1,1),E202="U12G",_xlfn.XLOOKUP(G202,Data!$D$25:$L$25,Data!$D$1:$L$1,"",-1,1)))</f>
        <v/>
      </c>
      <c r="L202" s="184" t="str" cm="1">
        <f t="array" ref="L202">IFERROR(_xlfn.IFNA(
                      _xlfn.IFS(
                      G202="", "",
                      AND(E202="U10B",G202&gt;=Data!$M$5), "U10 Boys record",
                      AND(E202="U12B",G202&gt;=Data!$M$12), "U12 Boys record",
                      AND(E202="U10G",G202&gt;=Data!$M$18), "U10 Girls record",
                      AND(E202="U12G",G202&gt;=Data!$M$25), "U12 Girls record"
                       ),""), "")</f>
        <v/>
      </c>
      <c r="M202" s="19" cm="1">
        <f t="array" ref="M202">_xlfn.IFS($G202="",0, AND(NOT(ISNUMBER($G202)),LOWER(LEFT($G202,1))&lt;&gt;"n"),"Not a valid distance",OR(LOWER(LEFT($G202,1))="n",$G202&lt;ScoringTable!$O$161),1,RIGHT($E202,1)="B",_xlfn.XLOOKUP($G202,ScoringTable!$O$2:$O$161,ScoringTable!$L$2:$L$161,,-1),TRUE,_xlfn.XLOOKUP($G202,ScoringTable!$U$2:$U$161,ScoringTable!$R$2:$R$161,,-1))</f>
        <v>0</v>
      </c>
    </row>
    <row r="203" spans="1:13" s="7" customFormat="1" ht="16" customHeight="1">
      <c r="A203" s="121" t="s">
        <v>81</v>
      </c>
      <c r="B203" s="122" t="str">
        <f>IF(ISNA(VLOOKUP($F203,Declarations!B$6:C$293,2,FALSE)),"",IF(VLOOKUP($F203,Declarations!B$6:C$293,2,FALSE)="","NOT DECLARED",IF(ISNA(_xlfn.TEXTBEFORE(VLOOKUP($F203,Declarations!B$6:C$293,2,FALSE)," ")),VLOOKUP($F203,Declarations!B$6:C$293,2,FALSE),_xlfn.TEXTBEFORE(VLOOKUP($F203,Declarations!B$6:C$293,2,FALSE)," "))))</f>
        <v/>
      </c>
      <c r="C203" s="122" t="str">
        <f>IF(ISNA(VLOOKUP($F203,Declarations!B$6:C$293,2,FALSE)),"",IF(VLOOKUP($F203,Declarations!B$6:C$293,2,FALSE)="","NOT DECLARED",IF(ISNA(_xlfn.TEXTAFTER(VLOOKUP($F203,Declarations!B$6:C$293,2,FALSE)," ")),VLOOKUP($F203,Declarations!B$6:C$293,2,FALSE),_xlfn.TEXTAFTER(VLOOKUP($F203,Declarations!B$6:C$293,2,FALSE)," "))))</f>
        <v/>
      </c>
      <c r="D203" s="122" t="str">
        <f>IF(ISNA(VLOOKUP($F203,Declarations!$B$6:$F$293,5,FALSE)),"",IF(VLOOKUP($F203,Declarations!$B$6:$F$293,5,FALSE)="","NOT DECLARED",VLOOKUP($F203,Declarations!$B$6:$F$293,5,FALSE)))</f>
        <v/>
      </c>
      <c r="E203" s="120" t="str">
        <f>IF(ISNA(VLOOKUP($F203,Declarations!$B$6:$D$293,3,FALSE)),"",IF(VLOOKUP($F203,Declarations!$B$6:$D$293,3,FALSE)="","NOT DECLARED",VLOOKUP($F203,Declarations!$B$6:$D$293,3,FALSE)&amp;LEFT(VLOOKUP($F203,Declarations!$B$6:$E$293,4,FALSE))))</f>
        <v/>
      </c>
      <c r="F203" s="59"/>
      <c r="G203" s="129"/>
      <c r="H203" s="129"/>
      <c r="I203" s="122" t="str">
        <f>IF(ISNA(VLOOKUP(F203,Declarations!B$6:C$293,2,FALSE)),"",IF(VLOOKUP(F203,Declarations!B$6:C$293,2,FALSE)="","NOT DECLARED",VLOOKUP(F203,Declarations!B$6:C$293,2,FALSE)))</f>
        <v/>
      </c>
      <c r="J203" s="120">
        <f>IF(LOWER(LEFT(G203,1))="n",1,VLOOKUP(G203,ScoringTable!D$2:I$95,6))</f>
        <v>0</v>
      </c>
      <c r="K203" s="120" t="str" cm="1">
        <f t="array" ref="K203">IF(OR(E203="",G203=""),"",_xlfn.IFS(E203="U10B",_xlfn.XLOOKUP(G203,Data!$D$5:$L$5,Data!$D$1:$L$1,"",-1,1),E203="U12B",_xlfn.XLOOKUP(G203,Data!$D$12:$L$12,Data!$D$1:$L$1,"",-1,1),E203="U10G",_xlfn.XLOOKUP(G203,Data!$D$18:$L$18,Data!$D$1:$L$1,"",-1,1),E203="U12G",_xlfn.XLOOKUP(G203,Data!$D$25:$L$25,Data!$D$1:$L$1,"",-1,1)))</f>
        <v/>
      </c>
      <c r="L203" s="184" t="str" cm="1">
        <f t="array" ref="L203">IFERROR(_xlfn.IFNA(
                      _xlfn.IFS(
                      G203="", "",
                      AND(E203="U10B",G203&gt;=Data!$M$5), "U10 Boys record",
                      AND(E203="U12B",G203&gt;=Data!$M$12), "U12 Boys record",
                      AND(E203="U10G",G203&gt;=Data!$M$18), "U10 Girls record",
                      AND(E203="U12G",G203&gt;=Data!$M$25), "U12 Girls record"
                       ),""), "")</f>
        <v/>
      </c>
      <c r="M203" s="19" cm="1">
        <f t="array" ref="M203">_xlfn.IFS($G203="",0, AND(NOT(ISNUMBER($G203)),LOWER(LEFT($G203,1))&lt;&gt;"n"),"Not a valid distance",OR(LOWER(LEFT($G203,1))="n",$G203&lt;ScoringTable!$O$161),1,RIGHT($E203,1)="B",_xlfn.XLOOKUP($G203,ScoringTable!$O$2:$O$161,ScoringTable!$L$2:$L$161,,-1),TRUE,_xlfn.XLOOKUP($G203,ScoringTable!$U$2:$U$161,ScoringTable!$R$2:$R$161,,-1))</f>
        <v>0</v>
      </c>
    </row>
    <row r="204" spans="1:13" s="7" customFormat="1" ht="16" customHeight="1">
      <c r="A204" s="121" t="s">
        <v>81</v>
      </c>
      <c r="B204" s="122" t="str">
        <f>IF(ISNA(VLOOKUP($F204,Declarations!B$6:C$293,2,FALSE)),"",IF(VLOOKUP($F204,Declarations!B$6:C$293,2,FALSE)="","NOT DECLARED",IF(ISNA(_xlfn.TEXTBEFORE(VLOOKUP($F204,Declarations!B$6:C$293,2,FALSE)," ")),VLOOKUP($F204,Declarations!B$6:C$293,2,FALSE),_xlfn.TEXTBEFORE(VLOOKUP($F204,Declarations!B$6:C$293,2,FALSE)," "))))</f>
        <v/>
      </c>
      <c r="C204" s="122" t="str">
        <f>IF(ISNA(VLOOKUP($F204,Declarations!B$6:C$293,2,FALSE)),"",IF(VLOOKUP($F204,Declarations!B$6:C$293,2,FALSE)="","NOT DECLARED",IF(ISNA(_xlfn.TEXTAFTER(VLOOKUP($F204,Declarations!B$6:C$293,2,FALSE)," ")),VLOOKUP($F204,Declarations!B$6:C$293,2,FALSE),_xlfn.TEXTAFTER(VLOOKUP($F204,Declarations!B$6:C$293,2,FALSE)," "))))</f>
        <v/>
      </c>
      <c r="D204" s="122" t="str">
        <f>IF(ISNA(VLOOKUP($F204,Declarations!$B$6:$F$293,5,FALSE)),"",IF(VLOOKUP($F204,Declarations!$B$6:$F$293,5,FALSE)="","NOT DECLARED",VLOOKUP($F204,Declarations!$B$6:$F$293,5,FALSE)))</f>
        <v/>
      </c>
      <c r="E204" s="120" t="str">
        <f>IF(ISNA(VLOOKUP($F204,Declarations!$B$6:$D$293,3,FALSE)),"",IF(VLOOKUP($F204,Declarations!$B$6:$D$293,3,FALSE)="","NOT DECLARED",VLOOKUP($F204,Declarations!$B$6:$D$293,3,FALSE)&amp;LEFT(VLOOKUP($F204,Declarations!$B$6:$E$293,4,FALSE))))</f>
        <v/>
      </c>
      <c r="F204" s="59"/>
      <c r="G204" s="129"/>
      <c r="H204" s="129"/>
      <c r="I204" s="122" t="str">
        <f>IF(ISNA(VLOOKUP(F204,Declarations!B$6:C$293,2,FALSE)),"",IF(VLOOKUP(F204,Declarations!B$6:C$293,2,FALSE)="","NOT DECLARED",VLOOKUP(F204,Declarations!B$6:C$293,2,FALSE)))</f>
        <v/>
      </c>
      <c r="J204" s="120">
        <f>IF(LOWER(LEFT(G204,1))="n",1,VLOOKUP(G204,ScoringTable!D$2:I$95,6))</f>
        <v>0</v>
      </c>
      <c r="K204" s="120" t="str" cm="1">
        <f t="array" ref="K204">IF(OR(E204="",G204=""),"",_xlfn.IFS(E204="U10B",_xlfn.XLOOKUP(G204,Data!$D$5:$L$5,Data!$D$1:$L$1,"",-1,1),E204="U12B",_xlfn.XLOOKUP(G204,Data!$D$12:$L$12,Data!$D$1:$L$1,"",-1,1),E204="U10G",_xlfn.XLOOKUP(G204,Data!$D$18:$L$18,Data!$D$1:$L$1,"",-1,1),E204="U12G",_xlfn.XLOOKUP(G204,Data!$D$25:$L$25,Data!$D$1:$L$1,"",-1,1)))</f>
        <v/>
      </c>
      <c r="L204" s="184" t="str" cm="1">
        <f t="array" ref="L204">IFERROR(_xlfn.IFNA(
                      _xlfn.IFS(
                      G204="", "",
                      AND(E204="U10B",G204&gt;=Data!$M$5), "U10 Boys record",
                      AND(E204="U12B",G204&gt;=Data!$M$12), "U12 Boys record",
                      AND(E204="U10G",G204&gt;=Data!$M$18), "U10 Girls record",
                      AND(E204="U12G",G204&gt;=Data!$M$25), "U12 Girls record"
                       ),""), "")</f>
        <v/>
      </c>
      <c r="M204" s="19" cm="1">
        <f t="array" ref="M204">_xlfn.IFS($G204="",0, AND(NOT(ISNUMBER($G204)),LOWER(LEFT($G204,1))&lt;&gt;"n"),"Not a valid distance",OR(LOWER(LEFT($G204,1))="n",$G204&lt;ScoringTable!$O$161),1,RIGHT($E204,1)="B",_xlfn.XLOOKUP($G204,ScoringTable!$O$2:$O$161,ScoringTable!$L$2:$L$161,,-1),TRUE,_xlfn.XLOOKUP($G204,ScoringTable!$U$2:$U$161,ScoringTable!$R$2:$R$161,,-1))</f>
        <v>0</v>
      </c>
    </row>
    <row r="205" spans="1:13" s="7" customFormat="1" ht="16" customHeight="1">
      <c r="A205" s="121" t="s">
        <v>81</v>
      </c>
      <c r="B205" s="122" t="str">
        <f>IF(ISNA(VLOOKUP($F205,Declarations!B$6:C$293,2,FALSE)),"",IF(VLOOKUP($F205,Declarations!B$6:C$293,2,FALSE)="","NOT DECLARED",IF(ISNA(_xlfn.TEXTBEFORE(VLOOKUP($F205,Declarations!B$6:C$293,2,FALSE)," ")),VLOOKUP($F205,Declarations!B$6:C$293,2,FALSE),_xlfn.TEXTBEFORE(VLOOKUP($F205,Declarations!B$6:C$293,2,FALSE)," "))))</f>
        <v/>
      </c>
      <c r="C205" s="122" t="str">
        <f>IF(ISNA(VLOOKUP($F205,Declarations!B$6:C$293,2,FALSE)),"",IF(VLOOKUP($F205,Declarations!B$6:C$293,2,FALSE)="","NOT DECLARED",IF(ISNA(_xlfn.TEXTAFTER(VLOOKUP($F205,Declarations!B$6:C$293,2,FALSE)," ")),VLOOKUP($F205,Declarations!B$6:C$293,2,FALSE),_xlfn.TEXTAFTER(VLOOKUP($F205,Declarations!B$6:C$293,2,FALSE)," "))))</f>
        <v/>
      </c>
      <c r="D205" s="122" t="str">
        <f>IF(ISNA(VLOOKUP($F205,Declarations!$B$6:$F$293,5,FALSE)),"",IF(VLOOKUP($F205,Declarations!$B$6:$F$293,5,FALSE)="","NOT DECLARED",VLOOKUP($F205,Declarations!$B$6:$F$293,5,FALSE)))</f>
        <v/>
      </c>
      <c r="E205" s="120" t="str">
        <f>IF(ISNA(VLOOKUP($F205,Declarations!$B$6:$D$293,3,FALSE)),"",IF(VLOOKUP($F205,Declarations!$B$6:$D$293,3,FALSE)="","NOT DECLARED",VLOOKUP($F205,Declarations!$B$6:$D$293,3,FALSE)&amp;LEFT(VLOOKUP($F205,Declarations!$B$6:$E$293,4,FALSE))))</f>
        <v/>
      </c>
      <c r="F205" s="59"/>
      <c r="G205" s="129"/>
      <c r="H205" s="129"/>
      <c r="I205" s="122" t="str">
        <f>IF(ISNA(VLOOKUP(F205,Declarations!B$6:C$293,2,FALSE)),"",IF(VLOOKUP(F205,Declarations!B$6:C$293,2,FALSE)="","NOT DECLARED",VLOOKUP(F205,Declarations!B$6:C$293,2,FALSE)))</f>
        <v/>
      </c>
      <c r="J205" s="120">
        <f>IF(LOWER(LEFT(G205,1))="n",1,VLOOKUP(G205,ScoringTable!D$2:I$95,6))</f>
        <v>0</v>
      </c>
      <c r="K205" s="120" t="str" cm="1">
        <f t="array" ref="K205">IF(OR(E205="",G205=""),"",_xlfn.IFS(E205="U10B",_xlfn.XLOOKUP(G205,Data!$D$5:$L$5,Data!$D$1:$L$1,"",-1,1),E205="U12B",_xlfn.XLOOKUP(G205,Data!$D$12:$L$12,Data!$D$1:$L$1,"",-1,1),E205="U10G",_xlfn.XLOOKUP(G205,Data!$D$18:$L$18,Data!$D$1:$L$1,"",-1,1),E205="U12G",_xlfn.XLOOKUP(G205,Data!$D$25:$L$25,Data!$D$1:$L$1,"",-1,1)))</f>
        <v/>
      </c>
      <c r="L205" s="184" t="str" cm="1">
        <f t="array" ref="L205">IFERROR(_xlfn.IFNA(
                      _xlfn.IFS(
                      G205="", "",
                      AND(E205="U10B",G205&gt;=Data!$M$5), "U10 Boys record",
                      AND(E205="U12B",G205&gt;=Data!$M$12), "U12 Boys record",
                      AND(E205="U10G",G205&gt;=Data!$M$18), "U10 Girls record",
                      AND(E205="U12G",G205&gt;=Data!$M$25), "U12 Girls record"
                       ),""), "")</f>
        <v/>
      </c>
      <c r="M205" s="19" cm="1">
        <f t="array" ref="M205">_xlfn.IFS($G205="",0, AND(NOT(ISNUMBER($G205)),LOWER(LEFT($G205,1))&lt;&gt;"n"),"Not a valid distance",OR(LOWER(LEFT($G205,1))="n",$G205&lt;ScoringTable!$O$161),1,RIGHT($E205,1)="B",_xlfn.XLOOKUP($G205,ScoringTable!$O$2:$O$161,ScoringTable!$L$2:$L$161,,-1),TRUE,_xlfn.XLOOKUP($G205,ScoringTable!$U$2:$U$161,ScoringTable!$R$2:$R$161,,-1))</f>
        <v>0</v>
      </c>
    </row>
    <row r="206" spans="1:13" s="7" customFormat="1" ht="16" customHeight="1">
      <c r="A206" s="121" t="s">
        <v>81</v>
      </c>
      <c r="B206" s="122" t="str">
        <f>IF(ISNA(VLOOKUP($F206,Declarations!B$6:C$293,2,FALSE)),"",IF(VLOOKUP($F206,Declarations!B$6:C$293,2,FALSE)="","NOT DECLARED",IF(ISNA(_xlfn.TEXTBEFORE(VLOOKUP($F206,Declarations!B$6:C$293,2,FALSE)," ")),VLOOKUP($F206,Declarations!B$6:C$293,2,FALSE),_xlfn.TEXTBEFORE(VLOOKUP($F206,Declarations!B$6:C$293,2,FALSE)," "))))</f>
        <v/>
      </c>
      <c r="C206" s="122" t="str">
        <f>IF(ISNA(VLOOKUP($F206,Declarations!B$6:C$293,2,FALSE)),"",IF(VLOOKUP($F206,Declarations!B$6:C$293,2,FALSE)="","NOT DECLARED",IF(ISNA(_xlfn.TEXTAFTER(VLOOKUP($F206,Declarations!B$6:C$293,2,FALSE)," ")),VLOOKUP($F206,Declarations!B$6:C$293,2,FALSE),_xlfn.TEXTAFTER(VLOOKUP($F206,Declarations!B$6:C$293,2,FALSE)," "))))</f>
        <v/>
      </c>
      <c r="D206" s="122" t="str">
        <f>IF(ISNA(VLOOKUP($F206,Declarations!$B$6:$F$293,5,FALSE)),"",IF(VLOOKUP($F206,Declarations!$B$6:$F$293,5,FALSE)="","NOT DECLARED",VLOOKUP($F206,Declarations!$B$6:$F$293,5,FALSE)))</f>
        <v/>
      </c>
      <c r="E206" s="120" t="str">
        <f>IF(ISNA(VLOOKUP($F206,Declarations!$B$6:$D$293,3,FALSE)),"",IF(VLOOKUP($F206,Declarations!$B$6:$D$293,3,FALSE)="","NOT DECLARED",VLOOKUP($F206,Declarations!$B$6:$D$293,3,FALSE)&amp;LEFT(VLOOKUP($F206,Declarations!$B$6:$E$293,4,FALSE))))</f>
        <v/>
      </c>
      <c r="F206" s="59"/>
      <c r="G206" s="129"/>
      <c r="H206" s="129"/>
      <c r="I206" s="122" t="str">
        <f>IF(ISNA(VLOOKUP(F206,Declarations!B$6:C$293,2,FALSE)),"",IF(VLOOKUP(F206,Declarations!B$6:C$293,2,FALSE)="","NOT DECLARED",VLOOKUP(F206,Declarations!B$6:C$293,2,FALSE)))</f>
        <v/>
      </c>
      <c r="J206" s="120">
        <f>IF(LOWER(LEFT(G206,1))="n",1,VLOOKUP(G206,ScoringTable!D$2:I$95,6))</f>
        <v>0</v>
      </c>
      <c r="K206" s="120" t="str" cm="1">
        <f t="array" ref="K206">IF(OR(E206="",G206=""),"",_xlfn.IFS(E206="U10B",_xlfn.XLOOKUP(G206,Data!$D$5:$L$5,Data!$D$1:$L$1,"",-1,1),E206="U12B",_xlfn.XLOOKUP(G206,Data!$D$12:$L$12,Data!$D$1:$L$1,"",-1,1),E206="U10G",_xlfn.XLOOKUP(G206,Data!$D$18:$L$18,Data!$D$1:$L$1,"",-1,1),E206="U12G",_xlfn.XLOOKUP(G206,Data!$D$25:$L$25,Data!$D$1:$L$1,"",-1,1)))</f>
        <v/>
      </c>
      <c r="L206" s="184" t="str" cm="1">
        <f t="array" ref="L206">IFERROR(_xlfn.IFNA(
                      _xlfn.IFS(
                      G206="", "",
                      AND(E206="U10B",G206&gt;=Data!$M$5), "U10 Boys record",
                      AND(E206="U12B",G206&gt;=Data!$M$12), "U12 Boys record",
                      AND(E206="U10G",G206&gt;=Data!$M$18), "U10 Girls record",
                      AND(E206="U12G",G206&gt;=Data!$M$25), "U12 Girls record"
                       ),""), "")</f>
        <v/>
      </c>
      <c r="M206" s="19" cm="1">
        <f t="array" ref="M206">_xlfn.IFS($G206="",0, AND(NOT(ISNUMBER($G206)),LOWER(LEFT($G206,1))&lt;&gt;"n"),"Not a valid distance",OR(LOWER(LEFT($G206,1))="n",$G206&lt;ScoringTable!$O$161),1,RIGHT($E206,1)="B",_xlfn.XLOOKUP($G206,ScoringTable!$O$2:$O$161,ScoringTable!$L$2:$L$161,,-1),TRUE,_xlfn.XLOOKUP($G206,ScoringTable!$U$2:$U$161,ScoringTable!$R$2:$R$161,,-1))</f>
        <v>0</v>
      </c>
    </row>
    <row r="207" spans="1:13" s="7" customFormat="1" ht="16" customHeight="1">
      <c r="A207" s="121" t="s">
        <v>81</v>
      </c>
      <c r="B207" s="122" t="str">
        <f>IF(ISNA(VLOOKUP($F207,Declarations!B$6:C$293,2,FALSE)),"",IF(VLOOKUP($F207,Declarations!B$6:C$293,2,FALSE)="","NOT DECLARED",IF(ISNA(_xlfn.TEXTBEFORE(VLOOKUP($F207,Declarations!B$6:C$293,2,FALSE)," ")),VLOOKUP($F207,Declarations!B$6:C$293,2,FALSE),_xlfn.TEXTBEFORE(VLOOKUP($F207,Declarations!B$6:C$293,2,FALSE)," "))))</f>
        <v/>
      </c>
      <c r="C207" s="122" t="str">
        <f>IF(ISNA(VLOOKUP($F207,Declarations!B$6:C$293,2,FALSE)),"",IF(VLOOKUP($F207,Declarations!B$6:C$293,2,FALSE)="","NOT DECLARED",IF(ISNA(_xlfn.TEXTAFTER(VLOOKUP($F207,Declarations!B$6:C$293,2,FALSE)," ")),VLOOKUP($F207,Declarations!B$6:C$293,2,FALSE),_xlfn.TEXTAFTER(VLOOKUP($F207,Declarations!B$6:C$293,2,FALSE)," "))))</f>
        <v/>
      </c>
      <c r="D207" s="122" t="str">
        <f>IF(ISNA(VLOOKUP($F207,Declarations!$B$6:$F$293,5,FALSE)),"",IF(VLOOKUP($F207,Declarations!$B$6:$F$293,5,FALSE)="","NOT DECLARED",VLOOKUP($F207,Declarations!$B$6:$F$293,5,FALSE)))</f>
        <v/>
      </c>
      <c r="E207" s="120" t="str">
        <f>IF(ISNA(VLOOKUP($F207,Declarations!$B$6:$D$293,3,FALSE)),"",IF(VLOOKUP($F207,Declarations!$B$6:$D$293,3,FALSE)="","NOT DECLARED",VLOOKUP($F207,Declarations!$B$6:$D$293,3,FALSE)&amp;LEFT(VLOOKUP($F207,Declarations!$B$6:$E$293,4,FALSE))))</f>
        <v/>
      </c>
      <c r="F207" s="59"/>
      <c r="G207" s="129"/>
      <c r="H207" s="129"/>
      <c r="I207" s="122" t="str">
        <f>IF(ISNA(VLOOKUP(F207,Declarations!B$6:C$293,2,FALSE)),"",IF(VLOOKUP(F207,Declarations!B$6:C$293,2,FALSE)="","NOT DECLARED",VLOOKUP(F207,Declarations!B$6:C$293,2,FALSE)))</f>
        <v/>
      </c>
      <c r="J207" s="120">
        <f>IF(LOWER(LEFT(G207,1))="n",1,VLOOKUP(G207,ScoringTable!D$2:I$95,6))</f>
        <v>0</v>
      </c>
      <c r="K207" s="120" t="str" cm="1">
        <f t="array" ref="K207">IF(OR(E207="",G207=""),"",_xlfn.IFS(E207="U10B",_xlfn.XLOOKUP(G207,Data!$D$5:$L$5,Data!$D$1:$L$1,"",-1,1),E207="U12B",_xlfn.XLOOKUP(G207,Data!$D$12:$L$12,Data!$D$1:$L$1,"",-1,1),E207="U10G",_xlfn.XLOOKUP(G207,Data!$D$18:$L$18,Data!$D$1:$L$1,"",-1,1),E207="U12G",_xlfn.XLOOKUP(G207,Data!$D$25:$L$25,Data!$D$1:$L$1,"",-1,1)))</f>
        <v/>
      </c>
      <c r="L207" s="184" t="str" cm="1">
        <f t="array" ref="L207">IFERROR(_xlfn.IFNA(
                      _xlfn.IFS(
                      G207="", "",
                      AND(E207="U10B",G207&gt;=Data!$M$5), "U10 Boys record",
                      AND(E207="U12B",G207&gt;=Data!$M$12), "U12 Boys record",
                      AND(E207="U10G",G207&gt;=Data!$M$18), "U10 Girls record",
                      AND(E207="U12G",G207&gt;=Data!$M$25), "U12 Girls record"
                       ),""), "")</f>
        <v/>
      </c>
      <c r="M207" s="19" cm="1">
        <f t="array" ref="M207">_xlfn.IFS($G207="",0, AND(NOT(ISNUMBER($G207)),LOWER(LEFT($G207,1))&lt;&gt;"n"),"Not a valid distance",OR(LOWER(LEFT($G207,1))="n",$G207&lt;ScoringTable!$O$161),1,RIGHT($E207,1)="B",_xlfn.XLOOKUP($G207,ScoringTable!$O$2:$O$161,ScoringTable!$L$2:$L$161,,-1),TRUE,_xlfn.XLOOKUP($G207,ScoringTable!$U$2:$U$161,ScoringTable!$R$2:$R$161,,-1))</f>
        <v>0</v>
      </c>
    </row>
    <row r="208" spans="1:13" s="7" customFormat="1" ht="16" customHeight="1">
      <c r="A208" s="121" t="s">
        <v>81</v>
      </c>
      <c r="B208" s="122" t="str">
        <f>IF(ISNA(VLOOKUP($F208,Declarations!B$6:C$293,2,FALSE)),"",IF(VLOOKUP($F208,Declarations!B$6:C$293,2,FALSE)="","NOT DECLARED",IF(ISNA(_xlfn.TEXTBEFORE(VLOOKUP($F208,Declarations!B$6:C$293,2,FALSE)," ")),VLOOKUP($F208,Declarations!B$6:C$293,2,FALSE),_xlfn.TEXTBEFORE(VLOOKUP($F208,Declarations!B$6:C$293,2,FALSE)," "))))</f>
        <v/>
      </c>
      <c r="C208" s="122" t="str">
        <f>IF(ISNA(VLOOKUP($F208,Declarations!B$6:C$293,2,FALSE)),"",IF(VLOOKUP($F208,Declarations!B$6:C$293,2,FALSE)="","NOT DECLARED",IF(ISNA(_xlfn.TEXTAFTER(VLOOKUP($F208,Declarations!B$6:C$293,2,FALSE)," ")),VLOOKUP($F208,Declarations!B$6:C$293,2,FALSE),_xlfn.TEXTAFTER(VLOOKUP($F208,Declarations!B$6:C$293,2,FALSE)," "))))</f>
        <v/>
      </c>
      <c r="D208" s="122" t="str">
        <f>IF(ISNA(VLOOKUP($F208,Declarations!$B$6:$F$293,5,FALSE)),"",IF(VLOOKUP($F208,Declarations!$B$6:$F$293,5,FALSE)="","NOT DECLARED",VLOOKUP($F208,Declarations!$B$6:$F$293,5,FALSE)))</f>
        <v/>
      </c>
      <c r="E208" s="120" t="str">
        <f>IF(ISNA(VLOOKUP($F208,Declarations!$B$6:$D$293,3,FALSE)),"",IF(VLOOKUP($F208,Declarations!$B$6:$D$293,3,FALSE)="","NOT DECLARED",VLOOKUP($F208,Declarations!$B$6:$D$293,3,FALSE)&amp;LEFT(VLOOKUP($F208,Declarations!$B$6:$E$293,4,FALSE))))</f>
        <v/>
      </c>
      <c r="F208" s="59"/>
      <c r="G208" s="129"/>
      <c r="H208" s="129"/>
      <c r="I208" s="122" t="str">
        <f>IF(ISNA(VLOOKUP(F208,Declarations!B$6:C$293,2,FALSE)),"",IF(VLOOKUP(F208,Declarations!B$6:C$293,2,FALSE)="","NOT DECLARED",VLOOKUP(F208,Declarations!B$6:C$293,2,FALSE)))</f>
        <v/>
      </c>
      <c r="J208" s="120">
        <f>IF(LOWER(LEFT(G208,1))="n",1,VLOOKUP(G208,ScoringTable!D$2:I$95,6))</f>
        <v>0</v>
      </c>
      <c r="K208" s="120" t="str" cm="1">
        <f t="array" ref="K208">IF(OR(E208="",G208=""),"",_xlfn.IFS(E208="U10B",_xlfn.XLOOKUP(G208,Data!$D$5:$L$5,Data!$D$1:$L$1,"",-1,1),E208="U12B",_xlfn.XLOOKUP(G208,Data!$D$12:$L$12,Data!$D$1:$L$1,"",-1,1),E208="U10G",_xlfn.XLOOKUP(G208,Data!$D$18:$L$18,Data!$D$1:$L$1,"",-1,1),E208="U12G",_xlfn.XLOOKUP(G208,Data!$D$25:$L$25,Data!$D$1:$L$1,"",-1,1)))</f>
        <v/>
      </c>
      <c r="L208" s="184" t="str" cm="1">
        <f t="array" ref="L208">IFERROR(_xlfn.IFNA(
                      _xlfn.IFS(
                      G208="", "",
                      AND(E208="U10B",G208&gt;=Data!$M$5), "U10 Boys record",
                      AND(E208="U12B",G208&gt;=Data!$M$12), "U12 Boys record",
                      AND(E208="U10G",G208&gt;=Data!$M$18), "U10 Girls record",
                      AND(E208="U12G",G208&gt;=Data!$M$25), "U12 Girls record"
                       ),""), "")</f>
        <v/>
      </c>
      <c r="M208" s="19" cm="1">
        <f t="array" ref="M208">_xlfn.IFS($G208="",0, AND(NOT(ISNUMBER($G208)),LOWER(LEFT($G208,1))&lt;&gt;"n"),"Not a valid distance",OR(LOWER(LEFT($G208,1))="n",$G208&lt;ScoringTable!$O$161),1,RIGHT($E208,1)="B",_xlfn.XLOOKUP($G208,ScoringTable!$O$2:$O$161,ScoringTable!$L$2:$L$161,,-1),TRUE,_xlfn.XLOOKUP($G208,ScoringTable!$U$2:$U$161,ScoringTable!$R$2:$R$161,,-1))</f>
        <v>0</v>
      </c>
    </row>
    <row r="209" spans="1:13" s="7" customFormat="1" ht="16" customHeight="1">
      <c r="A209" s="121" t="s">
        <v>81</v>
      </c>
      <c r="B209" s="122" t="str">
        <f>IF(ISNA(VLOOKUP($F209,Declarations!B$6:C$293,2,FALSE)),"",IF(VLOOKUP($F209,Declarations!B$6:C$293,2,FALSE)="","NOT DECLARED",IF(ISNA(_xlfn.TEXTBEFORE(VLOOKUP($F209,Declarations!B$6:C$293,2,FALSE)," ")),VLOOKUP($F209,Declarations!B$6:C$293,2,FALSE),_xlfn.TEXTBEFORE(VLOOKUP($F209,Declarations!B$6:C$293,2,FALSE)," "))))</f>
        <v/>
      </c>
      <c r="C209" s="122" t="str">
        <f>IF(ISNA(VLOOKUP($F209,Declarations!B$6:C$293,2,FALSE)),"",IF(VLOOKUP($F209,Declarations!B$6:C$293,2,FALSE)="","NOT DECLARED",IF(ISNA(_xlfn.TEXTAFTER(VLOOKUP($F209,Declarations!B$6:C$293,2,FALSE)," ")),VLOOKUP($F209,Declarations!B$6:C$293,2,FALSE),_xlfn.TEXTAFTER(VLOOKUP($F209,Declarations!B$6:C$293,2,FALSE)," "))))</f>
        <v/>
      </c>
      <c r="D209" s="122" t="str">
        <f>IF(ISNA(VLOOKUP($F209,Declarations!$B$6:$F$293,5,FALSE)),"",IF(VLOOKUP($F209,Declarations!$B$6:$F$293,5,FALSE)="","NOT DECLARED",VLOOKUP($F209,Declarations!$B$6:$F$293,5,FALSE)))</f>
        <v/>
      </c>
      <c r="E209" s="120" t="str">
        <f>IF(ISNA(VLOOKUP($F209,Declarations!$B$6:$D$293,3,FALSE)),"",IF(VLOOKUP($F209,Declarations!$B$6:$D$293,3,FALSE)="","NOT DECLARED",VLOOKUP($F209,Declarations!$B$6:$D$293,3,FALSE)&amp;LEFT(VLOOKUP($F209,Declarations!$B$6:$E$293,4,FALSE))))</f>
        <v/>
      </c>
      <c r="F209" s="59"/>
      <c r="G209" s="129"/>
      <c r="H209" s="129"/>
      <c r="I209" s="122" t="str">
        <f>IF(ISNA(VLOOKUP(F209,Declarations!B$6:C$293,2,FALSE)),"",IF(VLOOKUP(F209,Declarations!B$6:C$293,2,FALSE)="","NOT DECLARED",VLOOKUP(F209,Declarations!B$6:C$293,2,FALSE)))</f>
        <v/>
      </c>
      <c r="J209" s="120">
        <f>IF(LOWER(LEFT(G209,1))="n",1,VLOOKUP(G209,ScoringTable!D$2:I$95,6))</f>
        <v>0</v>
      </c>
      <c r="K209" s="120" t="str" cm="1">
        <f t="array" ref="K209">IF(OR(E209="",G209=""),"",_xlfn.IFS(E209="U10B",_xlfn.XLOOKUP(G209,Data!$D$5:$L$5,Data!$D$1:$L$1,"",-1,1),E209="U12B",_xlfn.XLOOKUP(G209,Data!$D$12:$L$12,Data!$D$1:$L$1,"",-1,1),E209="U10G",_xlfn.XLOOKUP(G209,Data!$D$18:$L$18,Data!$D$1:$L$1,"",-1,1),E209="U12G",_xlfn.XLOOKUP(G209,Data!$D$25:$L$25,Data!$D$1:$L$1,"",-1,1)))</f>
        <v/>
      </c>
      <c r="L209" s="184" t="str" cm="1">
        <f t="array" ref="L209">IFERROR(_xlfn.IFNA(
                      _xlfn.IFS(
                      G209="", "",
                      AND(E209="U10B",G209&gt;=Data!$M$5), "U10 Boys record",
                      AND(E209="U12B",G209&gt;=Data!$M$12), "U12 Boys record",
                      AND(E209="U10G",G209&gt;=Data!$M$18), "U10 Girls record",
                      AND(E209="U12G",G209&gt;=Data!$M$25), "U12 Girls record"
                       ),""), "")</f>
        <v/>
      </c>
      <c r="M209" s="19" cm="1">
        <f t="array" ref="M209">_xlfn.IFS($G209="",0, AND(NOT(ISNUMBER($G209)),LOWER(LEFT($G209,1))&lt;&gt;"n"),"Not a valid distance",OR(LOWER(LEFT($G209,1))="n",$G209&lt;ScoringTable!$O$161),1,RIGHT($E209,1)="B",_xlfn.XLOOKUP($G209,ScoringTable!$O$2:$O$161,ScoringTable!$L$2:$L$161,,-1),TRUE,_xlfn.XLOOKUP($G209,ScoringTable!$U$2:$U$161,ScoringTable!$R$2:$R$161,,-1))</f>
        <v>0</v>
      </c>
    </row>
    <row r="210" spans="1:13" s="7" customFormat="1" ht="16" customHeight="1">
      <c r="A210" s="121" t="s">
        <v>81</v>
      </c>
      <c r="B210" s="122" t="str">
        <f>IF(ISNA(VLOOKUP($F210,Declarations!B$6:C$293,2,FALSE)),"",IF(VLOOKUP($F210,Declarations!B$6:C$293,2,FALSE)="","NOT DECLARED",IF(ISNA(_xlfn.TEXTBEFORE(VLOOKUP($F210,Declarations!B$6:C$293,2,FALSE)," ")),VLOOKUP($F210,Declarations!B$6:C$293,2,FALSE),_xlfn.TEXTBEFORE(VLOOKUP($F210,Declarations!B$6:C$293,2,FALSE)," "))))</f>
        <v/>
      </c>
      <c r="C210" s="122" t="str">
        <f>IF(ISNA(VLOOKUP($F210,Declarations!B$6:C$293,2,FALSE)),"",IF(VLOOKUP($F210,Declarations!B$6:C$293,2,FALSE)="","NOT DECLARED",IF(ISNA(_xlfn.TEXTAFTER(VLOOKUP($F210,Declarations!B$6:C$293,2,FALSE)," ")),VLOOKUP($F210,Declarations!B$6:C$293,2,FALSE),_xlfn.TEXTAFTER(VLOOKUP($F210,Declarations!B$6:C$293,2,FALSE)," "))))</f>
        <v/>
      </c>
      <c r="D210" s="122" t="str">
        <f>IF(ISNA(VLOOKUP($F210,Declarations!$B$6:$F$293,5,FALSE)),"",IF(VLOOKUP($F210,Declarations!$B$6:$F$293,5,FALSE)="","NOT DECLARED",VLOOKUP($F210,Declarations!$B$6:$F$293,5,FALSE)))</f>
        <v/>
      </c>
      <c r="E210" s="120" t="str">
        <f>IF(ISNA(VLOOKUP($F210,Declarations!$B$6:$D$293,3,FALSE)),"",IF(VLOOKUP($F210,Declarations!$B$6:$D$293,3,FALSE)="","NOT DECLARED",VLOOKUP($F210,Declarations!$B$6:$D$293,3,FALSE)&amp;LEFT(VLOOKUP($F210,Declarations!$B$6:$E$293,4,FALSE))))</f>
        <v/>
      </c>
      <c r="F210" s="59"/>
      <c r="G210" s="129"/>
      <c r="H210" s="129"/>
      <c r="I210" s="122" t="str">
        <f>IF(ISNA(VLOOKUP(F210,Declarations!B$6:C$293,2,FALSE)),"",IF(VLOOKUP(F210,Declarations!B$6:C$293,2,FALSE)="","NOT DECLARED",VLOOKUP(F210,Declarations!B$6:C$293,2,FALSE)))</f>
        <v/>
      </c>
      <c r="J210" s="120">
        <f>IF(LOWER(LEFT(G210,1))="n",1,VLOOKUP(G210,ScoringTable!D$2:I$95,6))</f>
        <v>0</v>
      </c>
      <c r="K210" s="120" t="str" cm="1">
        <f t="array" ref="K210">IF(OR(E210="",G210=""),"",_xlfn.IFS(E210="U10B",_xlfn.XLOOKUP(G210,Data!$D$5:$L$5,Data!$D$1:$L$1,"",-1,1),E210="U12B",_xlfn.XLOOKUP(G210,Data!$D$12:$L$12,Data!$D$1:$L$1,"",-1,1),E210="U10G",_xlfn.XLOOKUP(G210,Data!$D$18:$L$18,Data!$D$1:$L$1,"",-1,1),E210="U12G",_xlfn.XLOOKUP(G210,Data!$D$25:$L$25,Data!$D$1:$L$1,"",-1,1)))</f>
        <v/>
      </c>
      <c r="L210" s="184" t="str" cm="1">
        <f t="array" ref="L210">IFERROR(_xlfn.IFNA(
                      _xlfn.IFS(
                      G210="", "",
                      AND(E210="U10B",G210&gt;=Data!$M$5), "U10 Boys record",
                      AND(E210="U12B",G210&gt;=Data!$M$12), "U12 Boys record",
                      AND(E210="U10G",G210&gt;=Data!$M$18), "U10 Girls record",
                      AND(E210="U12G",G210&gt;=Data!$M$25), "U12 Girls record"
                       ),""), "")</f>
        <v/>
      </c>
      <c r="M210" s="19" cm="1">
        <f t="array" ref="M210">_xlfn.IFS($G210="",0, AND(NOT(ISNUMBER($G210)),LOWER(LEFT($G210,1))&lt;&gt;"n"),"Not a valid distance",OR(LOWER(LEFT($G210,1))="n",$G210&lt;ScoringTable!$O$161),1,RIGHT($E210,1)="B",_xlfn.XLOOKUP($G210,ScoringTable!$O$2:$O$161,ScoringTable!$L$2:$L$161,,-1),TRUE,_xlfn.XLOOKUP($G210,ScoringTable!$U$2:$U$161,ScoringTable!$R$2:$R$161,,-1))</f>
        <v>0</v>
      </c>
    </row>
    <row r="211" spans="1:13" s="7" customFormat="1" ht="16" customHeight="1">
      <c r="A211" s="121" t="s">
        <v>81</v>
      </c>
      <c r="B211" s="122" t="str">
        <f>IF(ISNA(VLOOKUP($F211,Declarations!B$6:C$293,2,FALSE)),"",IF(VLOOKUP($F211,Declarations!B$6:C$293,2,FALSE)="","NOT DECLARED",IF(ISNA(_xlfn.TEXTBEFORE(VLOOKUP($F211,Declarations!B$6:C$293,2,FALSE)," ")),VLOOKUP($F211,Declarations!B$6:C$293,2,FALSE),_xlfn.TEXTBEFORE(VLOOKUP($F211,Declarations!B$6:C$293,2,FALSE)," "))))</f>
        <v/>
      </c>
      <c r="C211" s="122" t="str">
        <f>IF(ISNA(VLOOKUP($F211,Declarations!B$6:C$293,2,FALSE)),"",IF(VLOOKUP($F211,Declarations!B$6:C$293,2,FALSE)="","NOT DECLARED",IF(ISNA(_xlfn.TEXTAFTER(VLOOKUP($F211,Declarations!B$6:C$293,2,FALSE)," ")),VLOOKUP($F211,Declarations!B$6:C$293,2,FALSE),_xlfn.TEXTAFTER(VLOOKUP($F211,Declarations!B$6:C$293,2,FALSE)," "))))</f>
        <v/>
      </c>
      <c r="D211" s="122" t="str">
        <f>IF(ISNA(VLOOKUP($F211,Declarations!$B$6:$F$293,5,FALSE)),"",IF(VLOOKUP($F211,Declarations!$B$6:$F$293,5,FALSE)="","NOT DECLARED",VLOOKUP($F211,Declarations!$B$6:$F$293,5,FALSE)))</f>
        <v/>
      </c>
      <c r="E211" s="120" t="str">
        <f>IF(ISNA(VLOOKUP($F211,Declarations!$B$6:$D$293,3,FALSE)),"",IF(VLOOKUP($F211,Declarations!$B$6:$D$293,3,FALSE)="","NOT DECLARED",VLOOKUP($F211,Declarations!$B$6:$D$293,3,FALSE)&amp;LEFT(VLOOKUP($F211,Declarations!$B$6:$E$293,4,FALSE))))</f>
        <v/>
      </c>
      <c r="F211" s="59"/>
      <c r="G211" s="129"/>
      <c r="H211" s="129"/>
      <c r="I211" s="122" t="str">
        <f>IF(ISNA(VLOOKUP(F211,Declarations!B$6:C$293,2,FALSE)),"",IF(VLOOKUP(F211,Declarations!B$6:C$293,2,FALSE)="","NOT DECLARED",VLOOKUP(F211,Declarations!B$6:C$293,2,FALSE)))</f>
        <v/>
      </c>
      <c r="J211" s="120">
        <f>IF(LOWER(LEFT(G211,1))="n",1,VLOOKUP(G211,ScoringTable!D$2:I$95,6))</f>
        <v>0</v>
      </c>
      <c r="K211" s="120" t="str" cm="1">
        <f t="array" ref="K211">IF(OR(E211="",G211=""),"",_xlfn.IFS(E211="U10B",_xlfn.XLOOKUP(G211,Data!$D$5:$L$5,Data!$D$1:$L$1,"",-1,1),E211="U12B",_xlfn.XLOOKUP(G211,Data!$D$12:$L$12,Data!$D$1:$L$1,"",-1,1),E211="U10G",_xlfn.XLOOKUP(G211,Data!$D$18:$L$18,Data!$D$1:$L$1,"",-1,1),E211="U12G",_xlfn.XLOOKUP(G211,Data!$D$25:$L$25,Data!$D$1:$L$1,"",-1,1)))</f>
        <v/>
      </c>
      <c r="L211" s="184" t="str" cm="1">
        <f t="array" ref="L211">IFERROR(_xlfn.IFNA(
                      _xlfn.IFS(
                      G211="", "",
                      AND(E211="U10B",G211&gt;=Data!$M$5), "U10 Boys record",
                      AND(E211="U12B",G211&gt;=Data!$M$12), "U12 Boys record",
                      AND(E211="U10G",G211&gt;=Data!$M$18), "U10 Girls record",
                      AND(E211="U12G",G211&gt;=Data!$M$25), "U12 Girls record"
                       ),""), "")</f>
        <v/>
      </c>
      <c r="M211" s="19" cm="1">
        <f t="array" ref="M211">_xlfn.IFS($G211="",0, AND(NOT(ISNUMBER($G211)),LOWER(LEFT($G211,1))&lt;&gt;"n"),"Not a valid distance",OR(LOWER(LEFT($G211,1))="n",$G211&lt;ScoringTable!$O$161),1,RIGHT($E211,1)="B",_xlfn.XLOOKUP($G211,ScoringTable!$O$2:$O$161,ScoringTable!$L$2:$L$161,,-1),TRUE,_xlfn.XLOOKUP($G211,ScoringTable!$U$2:$U$161,ScoringTable!$R$2:$R$161,,-1))</f>
        <v>0</v>
      </c>
    </row>
    <row r="212" spans="1:13" s="7" customFormat="1" ht="16" customHeight="1">
      <c r="A212" s="121" t="s">
        <v>81</v>
      </c>
      <c r="B212" s="122" t="str">
        <f>IF(ISNA(VLOOKUP($F212,Declarations!B$6:C$293,2,FALSE)),"",IF(VLOOKUP($F212,Declarations!B$6:C$293,2,FALSE)="","NOT DECLARED",IF(ISNA(_xlfn.TEXTBEFORE(VLOOKUP($F212,Declarations!B$6:C$293,2,FALSE)," ")),VLOOKUP($F212,Declarations!B$6:C$293,2,FALSE),_xlfn.TEXTBEFORE(VLOOKUP($F212,Declarations!B$6:C$293,2,FALSE)," "))))</f>
        <v/>
      </c>
      <c r="C212" s="122" t="str">
        <f>IF(ISNA(VLOOKUP($F212,Declarations!B$6:C$293,2,FALSE)),"",IF(VLOOKUP($F212,Declarations!B$6:C$293,2,FALSE)="","NOT DECLARED",IF(ISNA(_xlfn.TEXTAFTER(VLOOKUP($F212,Declarations!B$6:C$293,2,FALSE)," ")),VLOOKUP($F212,Declarations!B$6:C$293,2,FALSE),_xlfn.TEXTAFTER(VLOOKUP($F212,Declarations!B$6:C$293,2,FALSE)," "))))</f>
        <v/>
      </c>
      <c r="D212" s="122" t="str">
        <f>IF(ISNA(VLOOKUP($F212,Declarations!$B$6:$F$293,5,FALSE)),"",IF(VLOOKUP($F212,Declarations!$B$6:$F$293,5,FALSE)="","NOT DECLARED",VLOOKUP($F212,Declarations!$B$6:$F$293,5,FALSE)))</f>
        <v/>
      </c>
      <c r="E212" s="120" t="str">
        <f>IF(ISNA(VLOOKUP($F212,Declarations!$B$6:$D$293,3,FALSE)),"",IF(VLOOKUP($F212,Declarations!$B$6:$D$293,3,FALSE)="","NOT DECLARED",VLOOKUP($F212,Declarations!$B$6:$D$293,3,FALSE)&amp;LEFT(VLOOKUP($F212,Declarations!$B$6:$E$293,4,FALSE))))</f>
        <v/>
      </c>
      <c r="F212" s="59"/>
      <c r="G212" s="129"/>
      <c r="H212" s="129"/>
      <c r="I212" s="122" t="str">
        <f>IF(ISNA(VLOOKUP(F212,Declarations!B$6:C$293,2,FALSE)),"",IF(VLOOKUP(F212,Declarations!B$6:C$293,2,FALSE)="","NOT DECLARED",VLOOKUP(F212,Declarations!B$6:C$293,2,FALSE)))</f>
        <v/>
      </c>
      <c r="J212" s="120">
        <f>IF(LOWER(LEFT(G212,1))="n",1,VLOOKUP(G212,ScoringTable!D$2:I$95,6))</f>
        <v>0</v>
      </c>
      <c r="K212" s="120" t="str" cm="1">
        <f t="array" ref="K212">IF(OR(E212="",G212=""),"",_xlfn.IFS(E212="U10B",_xlfn.XLOOKUP(G212,Data!$D$5:$L$5,Data!$D$1:$L$1,"",-1,1),E212="U12B",_xlfn.XLOOKUP(G212,Data!$D$12:$L$12,Data!$D$1:$L$1,"",-1,1),E212="U10G",_xlfn.XLOOKUP(G212,Data!$D$18:$L$18,Data!$D$1:$L$1,"",-1,1),E212="U12G",_xlfn.XLOOKUP(G212,Data!$D$25:$L$25,Data!$D$1:$L$1,"",-1,1)))</f>
        <v/>
      </c>
      <c r="L212" s="184" t="str" cm="1">
        <f t="array" ref="L212">IFERROR(_xlfn.IFNA(
                      _xlfn.IFS(
                      G212="", "",
                      AND(E212="U10B",G212&gt;=Data!$M$5), "U10 Boys record",
                      AND(E212="U12B",G212&gt;=Data!$M$12), "U12 Boys record",
                      AND(E212="U10G",G212&gt;=Data!$M$18), "U10 Girls record",
                      AND(E212="U12G",G212&gt;=Data!$M$25), "U12 Girls record"
                       ),""), "")</f>
        <v/>
      </c>
      <c r="M212" s="19" cm="1">
        <f t="array" ref="M212">_xlfn.IFS($G212="",0, AND(NOT(ISNUMBER($G212)),LOWER(LEFT($G212,1))&lt;&gt;"n"),"Not a valid distance",OR(LOWER(LEFT($G212,1))="n",$G212&lt;ScoringTable!$O$161),1,RIGHT($E212,1)="B",_xlfn.XLOOKUP($G212,ScoringTable!$O$2:$O$161,ScoringTable!$L$2:$L$161,,-1),TRUE,_xlfn.XLOOKUP($G212,ScoringTable!$U$2:$U$161,ScoringTable!$R$2:$R$161,,-1))</f>
        <v>0</v>
      </c>
    </row>
    <row r="213" spans="1:13" s="7" customFormat="1" ht="16" customHeight="1">
      <c r="A213" s="121" t="s">
        <v>81</v>
      </c>
      <c r="B213" s="122" t="str">
        <f>IF(ISNA(VLOOKUP($F213,Declarations!B$6:C$293,2,FALSE)),"",IF(VLOOKUP($F213,Declarations!B$6:C$293,2,FALSE)="","NOT DECLARED",IF(ISNA(_xlfn.TEXTBEFORE(VLOOKUP($F213,Declarations!B$6:C$293,2,FALSE)," ")),VLOOKUP($F213,Declarations!B$6:C$293,2,FALSE),_xlfn.TEXTBEFORE(VLOOKUP($F213,Declarations!B$6:C$293,2,FALSE)," "))))</f>
        <v/>
      </c>
      <c r="C213" s="122" t="str">
        <f>IF(ISNA(VLOOKUP($F213,Declarations!B$6:C$293,2,FALSE)),"",IF(VLOOKUP($F213,Declarations!B$6:C$293,2,FALSE)="","NOT DECLARED",IF(ISNA(_xlfn.TEXTAFTER(VLOOKUP($F213,Declarations!B$6:C$293,2,FALSE)," ")),VLOOKUP($F213,Declarations!B$6:C$293,2,FALSE),_xlfn.TEXTAFTER(VLOOKUP($F213,Declarations!B$6:C$293,2,FALSE)," "))))</f>
        <v/>
      </c>
      <c r="D213" s="122" t="str">
        <f>IF(ISNA(VLOOKUP($F213,Declarations!$B$6:$F$293,5,FALSE)),"",IF(VLOOKUP($F213,Declarations!$B$6:$F$293,5,FALSE)="","NOT DECLARED",VLOOKUP($F213,Declarations!$B$6:$F$293,5,FALSE)))</f>
        <v/>
      </c>
      <c r="E213" s="120" t="str">
        <f>IF(ISNA(VLOOKUP($F213,Declarations!$B$6:$D$293,3,FALSE)),"",IF(VLOOKUP($F213,Declarations!$B$6:$D$293,3,FALSE)="","NOT DECLARED",VLOOKUP($F213,Declarations!$B$6:$D$293,3,FALSE)&amp;LEFT(VLOOKUP($F213,Declarations!$B$6:$E$293,4,FALSE))))</f>
        <v/>
      </c>
      <c r="F213" s="59"/>
      <c r="G213" s="129"/>
      <c r="H213" s="129"/>
      <c r="I213" s="122" t="str">
        <f>IF(ISNA(VLOOKUP(F213,Declarations!B$6:C$293,2,FALSE)),"",IF(VLOOKUP(F213,Declarations!B$6:C$293,2,FALSE)="","NOT DECLARED",VLOOKUP(F213,Declarations!B$6:C$293,2,FALSE)))</f>
        <v/>
      </c>
      <c r="J213" s="120">
        <f>IF(LOWER(LEFT(G213,1))="n",1,VLOOKUP(G213,ScoringTable!D$2:I$95,6))</f>
        <v>0</v>
      </c>
      <c r="K213" s="120" t="str" cm="1">
        <f t="array" ref="K213">IF(OR(E213="",G213=""),"",_xlfn.IFS(E213="U10B",_xlfn.XLOOKUP(G213,Data!$D$5:$L$5,Data!$D$1:$L$1,"",-1,1),E213="U12B",_xlfn.XLOOKUP(G213,Data!$D$12:$L$12,Data!$D$1:$L$1,"",-1,1),E213="U10G",_xlfn.XLOOKUP(G213,Data!$D$18:$L$18,Data!$D$1:$L$1,"",-1,1),E213="U12G",_xlfn.XLOOKUP(G213,Data!$D$25:$L$25,Data!$D$1:$L$1,"",-1,1)))</f>
        <v/>
      </c>
      <c r="L213" s="184" t="str" cm="1">
        <f t="array" ref="L213">IFERROR(_xlfn.IFNA(
                      _xlfn.IFS(
                      G213="", "",
                      AND(E213="U10B",G213&gt;=Data!$M$5), "U10 Boys record",
                      AND(E213="U12B",G213&gt;=Data!$M$12), "U12 Boys record",
                      AND(E213="U10G",G213&gt;=Data!$M$18), "U10 Girls record",
                      AND(E213="U12G",G213&gt;=Data!$M$25), "U12 Girls record"
                       ),""), "")</f>
        <v/>
      </c>
      <c r="M213" s="19" cm="1">
        <f t="array" ref="M213">_xlfn.IFS($G213="",0, AND(NOT(ISNUMBER($G213)),LOWER(LEFT($G213,1))&lt;&gt;"n"),"Not a valid distance",OR(LOWER(LEFT($G213,1))="n",$G213&lt;ScoringTable!$O$161),1,RIGHT($E213,1)="B",_xlfn.XLOOKUP($G213,ScoringTable!$O$2:$O$161,ScoringTable!$L$2:$L$161,,-1),TRUE,_xlfn.XLOOKUP($G213,ScoringTable!$U$2:$U$161,ScoringTable!$R$2:$R$161,,-1))</f>
        <v>0</v>
      </c>
    </row>
    <row r="214" spans="1:13" s="7" customFormat="1" ht="16" customHeight="1">
      <c r="A214" s="121" t="s">
        <v>81</v>
      </c>
      <c r="B214" s="122" t="str">
        <f>IF(ISNA(VLOOKUP($F214,Declarations!B$6:C$293,2,FALSE)),"",IF(VLOOKUP($F214,Declarations!B$6:C$293,2,FALSE)="","NOT DECLARED",IF(ISNA(_xlfn.TEXTBEFORE(VLOOKUP($F214,Declarations!B$6:C$293,2,FALSE)," ")),VLOOKUP($F214,Declarations!B$6:C$293,2,FALSE),_xlfn.TEXTBEFORE(VLOOKUP($F214,Declarations!B$6:C$293,2,FALSE)," "))))</f>
        <v/>
      </c>
      <c r="C214" s="122" t="str">
        <f>IF(ISNA(VLOOKUP($F214,Declarations!B$6:C$293,2,FALSE)),"",IF(VLOOKUP($F214,Declarations!B$6:C$293,2,FALSE)="","NOT DECLARED",IF(ISNA(_xlfn.TEXTAFTER(VLOOKUP($F214,Declarations!B$6:C$293,2,FALSE)," ")),VLOOKUP($F214,Declarations!B$6:C$293,2,FALSE),_xlfn.TEXTAFTER(VLOOKUP($F214,Declarations!B$6:C$293,2,FALSE)," "))))</f>
        <v/>
      </c>
      <c r="D214" s="122" t="str">
        <f>IF(ISNA(VLOOKUP($F214,Declarations!$B$6:$F$293,5,FALSE)),"",IF(VLOOKUP($F214,Declarations!$B$6:$F$293,5,FALSE)="","NOT DECLARED",VLOOKUP($F214,Declarations!$B$6:$F$293,5,FALSE)))</f>
        <v/>
      </c>
      <c r="E214" s="120" t="str">
        <f>IF(ISNA(VLOOKUP($F214,Declarations!$B$6:$D$293,3,FALSE)),"",IF(VLOOKUP($F214,Declarations!$B$6:$D$293,3,FALSE)="","NOT DECLARED",VLOOKUP($F214,Declarations!$B$6:$D$293,3,FALSE)&amp;LEFT(VLOOKUP($F214,Declarations!$B$6:$E$293,4,FALSE))))</f>
        <v/>
      </c>
      <c r="F214" s="59"/>
      <c r="G214" s="129"/>
      <c r="H214" s="129"/>
      <c r="I214" s="122" t="str">
        <f>IF(ISNA(VLOOKUP(F214,Declarations!B$6:C$293,2,FALSE)),"",IF(VLOOKUP(F214,Declarations!B$6:C$293,2,FALSE)="","NOT DECLARED",VLOOKUP(F214,Declarations!B$6:C$293,2,FALSE)))</f>
        <v/>
      </c>
      <c r="J214" s="120">
        <f>IF(LOWER(LEFT(G214,1))="n",1,VLOOKUP(G214,ScoringTable!D$2:I$95,6))</f>
        <v>0</v>
      </c>
      <c r="K214" s="120" t="str" cm="1">
        <f t="array" ref="K214">IF(OR(E214="",G214=""),"",_xlfn.IFS(E214="U10B",_xlfn.XLOOKUP(G214,Data!$D$5:$L$5,Data!$D$1:$L$1,"",-1,1),E214="U12B",_xlfn.XLOOKUP(G214,Data!$D$12:$L$12,Data!$D$1:$L$1,"",-1,1),E214="U10G",_xlfn.XLOOKUP(G214,Data!$D$18:$L$18,Data!$D$1:$L$1,"",-1,1),E214="U12G",_xlfn.XLOOKUP(G214,Data!$D$25:$L$25,Data!$D$1:$L$1,"",-1,1)))</f>
        <v/>
      </c>
      <c r="L214" s="184" t="str" cm="1">
        <f t="array" ref="L214">IFERROR(_xlfn.IFNA(
                      _xlfn.IFS(
                      G214="", "",
                      AND(E214="U10B",G214&gt;=Data!$M$5), "U10 Boys record",
                      AND(E214="U12B",G214&gt;=Data!$M$12), "U12 Boys record",
                      AND(E214="U10G",G214&gt;=Data!$M$18), "U10 Girls record",
                      AND(E214="U12G",G214&gt;=Data!$M$25), "U12 Girls record"
                       ),""), "")</f>
        <v/>
      </c>
      <c r="M214" s="19" cm="1">
        <f t="array" ref="M214">_xlfn.IFS($G214="",0, AND(NOT(ISNUMBER($G214)),LOWER(LEFT($G214,1))&lt;&gt;"n"),"Not a valid distance",OR(LOWER(LEFT($G214,1))="n",$G214&lt;ScoringTable!$O$161),1,RIGHT($E214,1)="B",_xlfn.XLOOKUP($G214,ScoringTable!$O$2:$O$161,ScoringTable!$L$2:$L$161,,-1),TRUE,_xlfn.XLOOKUP($G214,ScoringTable!$U$2:$U$161,ScoringTable!$R$2:$R$161,,-1))</f>
        <v>0</v>
      </c>
    </row>
    <row r="215" spans="1:13" s="7" customFormat="1" ht="16" customHeight="1">
      <c r="A215" s="121" t="s">
        <v>81</v>
      </c>
      <c r="B215" s="122" t="str">
        <f>IF(ISNA(VLOOKUP($F215,Declarations!B$6:C$293,2,FALSE)),"",IF(VLOOKUP($F215,Declarations!B$6:C$293,2,FALSE)="","NOT DECLARED",IF(ISNA(_xlfn.TEXTBEFORE(VLOOKUP($F215,Declarations!B$6:C$293,2,FALSE)," ")),VLOOKUP($F215,Declarations!B$6:C$293,2,FALSE),_xlfn.TEXTBEFORE(VLOOKUP($F215,Declarations!B$6:C$293,2,FALSE)," "))))</f>
        <v/>
      </c>
      <c r="C215" s="122" t="str">
        <f>IF(ISNA(VLOOKUP($F215,Declarations!B$6:C$293,2,FALSE)),"",IF(VLOOKUP($F215,Declarations!B$6:C$293,2,FALSE)="","NOT DECLARED",IF(ISNA(_xlfn.TEXTAFTER(VLOOKUP($F215,Declarations!B$6:C$293,2,FALSE)," ")),VLOOKUP($F215,Declarations!B$6:C$293,2,FALSE),_xlfn.TEXTAFTER(VLOOKUP($F215,Declarations!B$6:C$293,2,FALSE)," "))))</f>
        <v/>
      </c>
      <c r="D215" s="122" t="str">
        <f>IF(ISNA(VLOOKUP($F215,Declarations!$B$6:$F$293,5,FALSE)),"",IF(VLOOKUP($F215,Declarations!$B$6:$F$293,5,FALSE)="","NOT DECLARED",VLOOKUP($F215,Declarations!$B$6:$F$293,5,FALSE)))</f>
        <v/>
      </c>
      <c r="E215" s="120" t="str">
        <f>IF(ISNA(VLOOKUP($F215,Declarations!$B$6:$D$293,3,FALSE)),"",IF(VLOOKUP($F215,Declarations!$B$6:$D$293,3,FALSE)="","NOT DECLARED",VLOOKUP($F215,Declarations!$B$6:$D$293,3,FALSE)&amp;LEFT(VLOOKUP($F215,Declarations!$B$6:$E$293,4,FALSE))))</f>
        <v/>
      </c>
      <c r="F215" s="59"/>
      <c r="G215" s="129"/>
      <c r="H215" s="129"/>
      <c r="I215" s="122" t="str">
        <f>IF(ISNA(VLOOKUP(F215,Declarations!B$6:C$293,2,FALSE)),"",IF(VLOOKUP(F215,Declarations!B$6:C$293,2,FALSE)="","NOT DECLARED",VLOOKUP(F215,Declarations!B$6:C$293,2,FALSE)))</f>
        <v/>
      </c>
      <c r="J215" s="120">
        <f>IF(LOWER(LEFT(G215,1))="n",1,VLOOKUP(G215,ScoringTable!D$2:I$95,6))</f>
        <v>0</v>
      </c>
      <c r="K215" s="120" t="str" cm="1">
        <f t="array" ref="K215">IF(OR(E215="",G215=""),"",_xlfn.IFS(E215="U10B",_xlfn.XLOOKUP(G215,Data!$D$5:$L$5,Data!$D$1:$L$1,"",-1,1),E215="U12B",_xlfn.XLOOKUP(G215,Data!$D$12:$L$12,Data!$D$1:$L$1,"",-1,1),E215="U10G",_xlfn.XLOOKUP(G215,Data!$D$18:$L$18,Data!$D$1:$L$1,"",-1,1),E215="U12G",_xlfn.XLOOKUP(G215,Data!$D$25:$L$25,Data!$D$1:$L$1,"",-1,1)))</f>
        <v/>
      </c>
      <c r="L215" s="184" t="str" cm="1">
        <f t="array" ref="L215">IFERROR(_xlfn.IFNA(
                      _xlfn.IFS(
                      G215="", "",
                      AND(E215="U10B",G215&gt;=Data!$M$5), "U10 Boys record",
                      AND(E215="U12B",G215&gt;=Data!$M$12), "U12 Boys record",
                      AND(E215="U10G",G215&gt;=Data!$M$18), "U10 Girls record",
                      AND(E215="U12G",G215&gt;=Data!$M$25), "U12 Girls record"
                       ),""), "")</f>
        <v/>
      </c>
      <c r="M215" s="19" cm="1">
        <f t="array" ref="M215">_xlfn.IFS($G215="",0, AND(NOT(ISNUMBER($G215)),LOWER(LEFT($G215,1))&lt;&gt;"n"),"Not a valid distance",OR(LOWER(LEFT($G215,1))="n",$G215&lt;ScoringTable!$O$161),1,RIGHT($E215,1)="B",_xlfn.XLOOKUP($G215,ScoringTable!$O$2:$O$161,ScoringTable!$L$2:$L$161,,-1),TRUE,_xlfn.XLOOKUP($G215,ScoringTable!$U$2:$U$161,ScoringTable!$R$2:$R$161,,-1))</f>
        <v>0</v>
      </c>
    </row>
    <row r="216" spans="1:13" s="7" customFormat="1" ht="16" customHeight="1">
      <c r="A216" s="121" t="s">
        <v>81</v>
      </c>
      <c r="B216" s="122" t="str">
        <f>IF(ISNA(VLOOKUP($F216,Declarations!B$6:C$293,2,FALSE)),"",IF(VLOOKUP($F216,Declarations!B$6:C$293,2,FALSE)="","NOT DECLARED",IF(ISNA(_xlfn.TEXTBEFORE(VLOOKUP($F216,Declarations!B$6:C$293,2,FALSE)," ")),VLOOKUP($F216,Declarations!B$6:C$293,2,FALSE),_xlfn.TEXTBEFORE(VLOOKUP($F216,Declarations!B$6:C$293,2,FALSE)," "))))</f>
        <v/>
      </c>
      <c r="C216" s="122" t="str">
        <f>IF(ISNA(VLOOKUP($F216,Declarations!B$6:C$293,2,FALSE)),"",IF(VLOOKUP($F216,Declarations!B$6:C$293,2,FALSE)="","NOT DECLARED",IF(ISNA(_xlfn.TEXTAFTER(VLOOKUP($F216,Declarations!B$6:C$293,2,FALSE)," ")),VLOOKUP($F216,Declarations!B$6:C$293,2,FALSE),_xlfn.TEXTAFTER(VLOOKUP($F216,Declarations!B$6:C$293,2,FALSE)," "))))</f>
        <v/>
      </c>
      <c r="D216" s="122" t="str">
        <f>IF(ISNA(VLOOKUP($F216,Declarations!$B$6:$F$293,5,FALSE)),"",IF(VLOOKUP($F216,Declarations!$B$6:$F$293,5,FALSE)="","NOT DECLARED",VLOOKUP($F216,Declarations!$B$6:$F$293,5,FALSE)))</f>
        <v/>
      </c>
      <c r="E216" s="120" t="str">
        <f>IF(ISNA(VLOOKUP($F216,Declarations!$B$6:$D$293,3,FALSE)),"",IF(VLOOKUP($F216,Declarations!$B$6:$D$293,3,FALSE)="","NOT DECLARED",VLOOKUP($F216,Declarations!$B$6:$D$293,3,FALSE)&amp;LEFT(VLOOKUP($F216,Declarations!$B$6:$E$293,4,FALSE))))</f>
        <v/>
      </c>
      <c r="F216" s="59"/>
      <c r="G216" s="129"/>
      <c r="H216" s="129"/>
      <c r="I216" s="122" t="str">
        <f>IF(ISNA(VLOOKUP(F216,Declarations!B$6:C$293,2,FALSE)),"",IF(VLOOKUP(F216,Declarations!B$6:C$293,2,FALSE)="","NOT DECLARED",VLOOKUP(F216,Declarations!B$6:C$293,2,FALSE)))</f>
        <v/>
      </c>
      <c r="J216" s="120">
        <f>IF(LOWER(LEFT(G216,1))="n",1,VLOOKUP(G216,ScoringTable!D$2:I$95,6))</f>
        <v>0</v>
      </c>
      <c r="K216" s="120" t="str" cm="1">
        <f t="array" ref="K216">IF(OR(E216="",G216=""),"",_xlfn.IFS(E216="U10B",_xlfn.XLOOKUP(G216,Data!$D$5:$L$5,Data!$D$1:$L$1,"",-1,1),E216="U12B",_xlfn.XLOOKUP(G216,Data!$D$12:$L$12,Data!$D$1:$L$1,"",-1,1),E216="U10G",_xlfn.XLOOKUP(G216,Data!$D$18:$L$18,Data!$D$1:$L$1,"",-1,1),E216="U12G",_xlfn.XLOOKUP(G216,Data!$D$25:$L$25,Data!$D$1:$L$1,"",-1,1)))</f>
        <v/>
      </c>
      <c r="L216" s="184" t="str" cm="1">
        <f t="array" ref="L216">IFERROR(_xlfn.IFNA(
                      _xlfn.IFS(
                      G216="", "",
                      AND(E216="U10B",G216&gt;=Data!$M$5), "U10 Boys record",
                      AND(E216="U12B",G216&gt;=Data!$M$12), "U12 Boys record",
                      AND(E216="U10G",G216&gt;=Data!$M$18), "U10 Girls record",
                      AND(E216="U12G",G216&gt;=Data!$M$25), "U12 Girls record"
                       ),""), "")</f>
        <v/>
      </c>
      <c r="M216" s="19" cm="1">
        <f t="array" ref="M216">_xlfn.IFS($G216="",0, AND(NOT(ISNUMBER($G216)),LOWER(LEFT($G216,1))&lt;&gt;"n"),"Not a valid distance",OR(LOWER(LEFT($G216,1))="n",$G216&lt;ScoringTable!$O$161),1,RIGHT($E216,1)="B",_xlfn.XLOOKUP($G216,ScoringTable!$O$2:$O$161,ScoringTable!$L$2:$L$161,,-1),TRUE,_xlfn.XLOOKUP($G216,ScoringTable!$U$2:$U$161,ScoringTable!$R$2:$R$161,,-1))</f>
        <v>0</v>
      </c>
    </row>
    <row r="217" spans="1:13" s="7" customFormat="1" ht="16" customHeight="1">
      <c r="A217" s="121" t="s">
        <v>81</v>
      </c>
      <c r="B217" s="122" t="str">
        <f>IF(ISNA(VLOOKUP($F217,Declarations!B$6:C$293,2,FALSE)),"",IF(VLOOKUP($F217,Declarations!B$6:C$293,2,FALSE)="","NOT DECLARED",IF(ISNA(_xlfn.TEXTBEFORE(VLOOKUP($F217,Declarations!B$6:C$293,2,FALSE)," ")),VLOOKUP($F217,Declarations!B$6:C$293,2,FALSE),_xlfn.TEXTBEFORE(VLOOKUP($F217,Declarations!B$6:C$293,2,FALSE)," "))))</f>
        <v/>
      </c>
      <c r="C217" s="122" t="str">
        <f>IF(ISNA(VLOOKUP($F217,Declarations!B$6:C$293,2,FALSE)),"",IF(VLOOKUP($F217,Declarations!B$6:C$293,2,FALSE)="","NOT DECLARED",IF(ISNA(_xlfn.TEXTAFTER(VLOOKUP($F217,Declarations!B$6:C$293,2,FALSE)," ")),VLOOKUP($F217,Declarations!B$6:C$293,2,FALSE),_xlfn.TEXTAFTER(VLOOKUP($F217,Declarations!B$6:C$293,2,FALSE)," "))))</f>
        <v/>
      </c>
      <c r="D217" s="122" t="str">
        <f>IF(ISNA(VLOOKUP($F217,Declarations!$B$6:$F$293,5,FALSE)),"",IF(VLOOKUP($F217,Declarations!$B$6:$F$293,5,FALSE)="","NOT DECLARED",VLOOKUP($F217,Declarations!$B$6:$F$293,5,FALSE)))</f>
        <v/>
      </c>
      <c r="E217" s="120" t="str">
        <f>IF(ISNA(VLOOKUP($F217,Declarations!$B$6:$D$293,3,FALSE)),"",IF(VLOOKUP($F217,Declarations!$B$6:$D$293,3,FALSE)="","NOT DECLARED",VLOOKUP($F217,Declarations!$B$6:$D$293,3,FALSE)&amp;LEFT(VLOOKUP($F217,Declarations!$B$6:$E$293,4,FALSE))))</f>
        <v/>
      </c>
      <c r="F217" s="59"/>
      <c r="G217" s="129"/>
      <c r="H217" s="129"/>
      <c r="I217" s="122" t="str">
        <f>IF(ISNA(VLOOKUP(F217,Declarations!B$6:C$293,2,FALSE)),"",IF(VLOOKUP(F217,Declarations!B$6:C$293,2,FALSE)="","NOT DECLARED",VLOOKUP(F217,Declarations!B$6:C$293,2,FALSE)))</f>
        <v/>
      </c>
      <c r="J217" s="120">
        <f>IF(LOWER(LEFT(G217,1))="n",1,VLOOKUP(G217,ScoringTable!D$2:I$95,6))</f>
        <v>0</v>
      </c>
      <c r="K217" s="120" t="str" cm="1">
        <f t="array" ref="K217">IF(OR(E217="",G217=""),"",_xlfn.IFS(E217="U10B",_xlfn.XLOOKUP(G217,Data!$D$5:$L$5,Data!$D$1:$L$1,"",-1,1),E217="U12B",_xlfn.XLOOKUP(G217,Data!$D$12:$L$12,Data!$D$1:$L$1,"",-1,1),E217="U10G",_xlfn.XLOOKUP(G217,Data!$D$18:$L$18,Data!$D$1:$L$1,"",-1,1),E217="U12G",_xlfn.XLOOKUP(G217,Data!$D$25:$L$25,Data!$D$1:$L$1,"",-1,1)))</f>
        <v/>
      </c>
      <c r="L217" s="184" t="str" cm="1">
        <f t="array" ref="L217">IFERROR(_xlfn.IFNA(
                      _xlfn.IFS(
                      G217="", "",
                      AND(E217="U10B",G217&gt;=Data!$M$5), "U10 Boys record",
                      AND(E217="U12B",G217&gt;=Data!$M$12), "U12 Boys record",
                      AND(E217="U10G",G217&gt;=Data!$M$18), "U10 Girls record",
                      AND(E217="U12G",G217&gt;=Data!$M$25), "U12 Girls record"
                       ),""), "")</f>
        <v/>
      </c>
      <c r="M217" s="19" cm="1">
        <f t="array" ref="M217">_xlfn.IFS($G217="",0, AND(NOT(ISNUMBER($G217)),LOWER(LEFT($G217,1))&lt;&gt;"n"),"Not a valid distance",OR(LOWER(LEFT($G217,1))="n",$G217&lt;ScoringTable!$O$161),1,RIGHT($E217,1)="B",_xlfn.XLOOKUP($G217,ScoringTable!$O$2:$O$161,ScoringTable!$L$2:$L$161,,-1),TRUE,_xlfn.XLOOKUP($G217,ScoringTable!$U$2:$U$161,ScoringTable!$R$2:$R$161,,-1))</f>
        <v>0</v>
      </c>
    </row>
    <row r="218" spans="1:13" s="7" customFormat="1" ht="16" customHeight="1">
      <c r="A218" s="121" t="s">
        <v>81</v>
      </c>
      <c r="B218" s="122" t="str">
        <f>IF(ISNA(VLOOKUP($F218,Declarations!B$6:C$293,2,FALSE)),"",IF(VLOOKUP($F218,Declarations!B$6:C$293,2,FALSE)="","NOT DECLARED",IF(ISNA(_xlfn.TEXTBEFORE(VLOOKUP($F218,Declarations!B$6:C$293,2,FALSE)," ")),VLOOKUP($F218,Declarations!B$6:C$293,2,FALSE),_xlfn.TEXTBEFORE(VLOOKUP($F218,Declarations!B$6:C$293,2,FALSE)," "))))</f>
        <v/>
      </c>
      <c r="C218" s="122" t="str">
        <f>IF(ISNA(VLOOKUP($F218,Declarations!B$6:C$293,2,FALSE)),"",IF(VLOOKUP($F218,Declarations!B$6:C$293,2,FALSE)="","NOT DECLARED",IF(ISNA(_xlfn.TEXTAFTER(VLOOKUP($F218,Declarations!B$6:C$293,2,FALSE)," ")),VLOOKUP($F218,Declarations!B$6:C$293,2,FALSE),_xlfn.TEXTAFTER(VLOOKUP($F218,Declarations!B$6:C$293,2,FALSE)," "))))</f>
        <v/>
      </c>
      <c r="D218" s="122" t="str">
        <f>IF(ISNA(VLOOKUP($F218,Declarations!$B$6:$F$293,5,FALSE)),"",IF(VLOOKUP($F218,Declarations!$B$6:$F$293,5,FALSE)="","NOT DECLARED",VLOOKUP($F218,Declarations!$B$6:$F$293,5,FALSE)))</f>
        <v/>
      </c>
      <c r="E218" s="120" t="str">
        <f>IF(ISNA(VLOOKUP($F218,Declarations!$B$6:$D$293,3,FALSE)),"",IF(VLOOKUP($F218,Declarations!$B$6:$D$293,3,FALSE)="","NOT DECLARED",VLOOKUP($F218,Declarations!$B$6:$D$293,3,FALSE)&amp;LEFT(VLOOKUP($F218,Declarations!$B$6:$E$293,4,FALSE))))</f>
        <v/>
      </c>
      <c r="F218" s="59"/>
      <c r="G218" s="129"/>
      <c r="H218" s="129"/>
      <c r="I218" s="122" t="str">
        <f>IF(ISNA(VLOOKUP(F218,Declarations!B$6:C$293,2,FALSE)),"",IF(VLOOKUP(F218,Declarations!B$6:C$293,2,FALSE)="","NOT DECLARED",VLOOKUP(F218,Declarations!B$6:C$293,2,FALSE)))</f>
        <v/>
      </c>
      <c r="J218" s="120">
        <f>IF(LOWER(LEFT(G218,1))="n",1,VLOOKUP(G218,ScoringTable!D$2:I$95,6))</f>
        <v>0</v>
      </c>
      <c r="K218" s="120" t="str" cm="1">
        <f t="array" ref="K218">IF(OR(E218="",G218=""),"",_xlfn.IFS(E218="U10B",_xlfn.XLOOKUP(G218,Data!$D$5:$L$5,Data!$D$1:$L$1,"",-1,1),E218="U12B",_xlfn.XLOOKUP(G218,Data!$D$12:$L$12,Data!$D$1:$L$1,"",-1,1),E218="U10G",_xlfn.XLOOKUP(G218,Data!$D$18:$L$18,Data!$D$1:$L$1,"",-1,1),E218="U12G",_xlfn.XLOOKUP(G218,Data!$D$25:$L$25,Data!$D$1:$L$1,"",-1,1)))</f>
        <v/>
      </c>
      <c r="L218" s="184" t="str" cm="1">
        <f t="array" ref="L218">IFERROR(_xlfn.IFNA(
                      _xlfn.IFS(
                      G218="", "",
                      AND(E218="U10B",G218&gt;=Data!$M$5), "U10 Boys record",
                      AND(E218="U12B",G218&gt;=Data!$M$12), "U12 Boys record",
                      AND(E218="U10G",G218&gt;=Data!$M$18), "U10 Girls record",
                      AND(E218="U12G",G218&gt;=Data!$M$25), "U12 Girls record"
                       ),""), "")</f>
        <v/>
      </c>
      <c r="M218" s="19" cm="1">
        <f t="array" ref="M218">_xlfn.IFS($G218="",0, AND(NOT(ISNUMBER($G218)),LOWER(LEFT($G218,1))&lt;&gt;"n"),"Not a valid distance",OR(LOWER(LEFT($G218,1))="n",$G218&lt;ScoringTable!$O$161),1,RIGHT($E218,1)="B",_xlfn.XLOOKUP($G218,ScoringTable!$O$2:$O$161,ScoringTable!$L$2:$L$161,,-1),TRUE,_xlfn.XLOOKUP($G218,ScoringTable!$U$2:$U$161,ScoringTable!$R$2:$R$161,,-1))</f>
        <v>0</v>
      </c>
    </row>
    <row r="219" spans="1:13" s="7" customFormat="1" ht="16" customHeight="1">
      <c r="A219" s="121" t="s">
        <v>81</v>
      </c>
      <c r="B219" s="122" t="str">
        <f>IF(ISNA(VLOOKUP($F219,Declarations!B$6:C$293,2,FALSE)),"",IF(VLOOKUP($F219,Declarations!B$6:C$293,2,FALSE)="","NOT DECLARED",IF(ISNA(_xlfn.TEXTBEFORE(VLOOKUP($F219,Declarations!B$6:C$293,2,FALSE)," ")),VLOOKUP($F219,Declarations!B$6:C$293,2,FALSE),_xlfn.TEXTBEFORE(VLOOKUP($F219,Declarations!B$6:C$293,2,FALSE)," "))))</f>
        <v/>
      </c>
      <c r="C219" s="122" t="str">
        <f>IF(ISNA(VLOOKUP($F219,Declarations!B$6:C$293,2,FALSE)),"",IF(VLOOKUP($F219,Declarations!B$6:C$293,2,FALSE)="","NOT DECLARED",IF(ISNA(_xlfn.TEXTAFTER(VLOOKUP($F219,Declarations!B$6:C$293,2,FALSE)," ")),VLOOKUP($F219,Declarations!B$6:C$293,2,FALSE),_xlfn.TEXTAFTER(VLOOKUP($F219,Declarations!B$6:C$293,2,FALSE)," "))))</f>
        <v/>
      </c>
      <c r="D219" s="122" t="str">
        <f>IF(ISNA(VLOOKUP($F219,Declarations!$B$6:$F$293,5,FALSE)),"",IF(VLOOKUP($F219,Declarations!$B$6:$F$293,5,FALSE)="","NOT DECLARED",VLOOKUP($F219,Declarations!$B$6:$F$293,5,FALSE)))</f>
        <v/>
      </c>
      <c r="E219" s="120" t="str">
        <f>IF(ISNA(VLOOKUP($F219,Declarations!$B$6:$D$293,3,FALSE)),"",IF(VLOOKUP($F219,Declarations!$B$6:$D$293,3,FALSE)="","NOT DECLARED",VLOOKUP($F219,Declarations!$B$6:$D$293,3,FALSE)&amp;LEFT(VLOOKUP($F219,Declarations!$B$6:$E$293,4,FALSE))))</f>
        <v/>
      </c>
      <c r="F219" s="59"/>
      <c r="G219" s="129"/>
      <c r="H219" s="129"/>
      <c r="I219" s="122" t="str">
        <f>IF(ISNA(VLOOKUP(F219,Declarations!B$6:C$293,2,FALSE)),"",IF(VLOOKUP(F219,Declarations!B$6:C$293,2,FALSE)="","NOT DECLARED",VLOOKUP(F219,Declarations!B$6:C$293,2,FALSE)))</f>
        <v/>
      </c>
      <c r="J219" s="120">
        <f>IF(LOWER(LEFT(G219,1))="n",1,VLOOKUP(G219,ScoringTable!D$2:I$95,6))</f>
        <v>0</v>
      </c>
      <c r="K219" s="120" t="str" cm="1">
        <f t="array" ref="K219">IF(OR(E219="",G219=""),"",_xlfn.IFS(E219="U10B",_xlfn.XLOOKUP(G219,Data!$D$5:$L$5,Data!$D$1:$L$1,"",-1,1),E219="U12B",_xlfn.XLOOKUP(G219,Data!$D$12:$L$12,Data!$D$1:$L$1,"",-1,1),E219="U10G",_xlfn.XLOOKUP(G219,Data!$D$18:$L$18,Data!$D$1:$L$1,"",-1,1),E219="U12G",_xlfn.XLOOKUP(G219,Data!$D$25:$L$25,Data!$D$1:$L$1,"",-1,1)))</f>
        <v/>
      </c>
      <c r="L219" s="184" t="str" cm="1">
        <f t="array" ref="L219">IFERROR(_xlfn.IFNA(
                      _xlfn.IFS(
                      G219="", "",
                      AND(E219="U10B",G219&gt;=Data!$M$5), "U10 Boys record",
                      AND(E219="U12B",G219&gt;=Data!$M$12), "U12 Boys record",
                      AND(E219="U10G",G219&gt;=Data!$M$18), "U10 Girls record",
                      AND(E219="U12G",G219&gt;=Data!$M$25), "U12 Girls record"
                       ),""), "")</f>
        <v/>
      </c>
      <c r="M219" s="19" cm="1">
        <f t="array" ref="M219">_xlfn.IFS($G219="",0, AND(NOT(ISNUMBER($G219)),LOWER(LEFT($G219,1))&lt;&gt;"n"),"Not a valid distance",OR(LOWER(LEFT($G219,1))="n",$G219&lt;ScoringTable!$O$161),1,RIGHT($E219,1)="B",_xlfn.XLOOKUP($G219,ScoringTable!$O$2:$O$161,ScoringTable!$L$2:$L$161,,-1),TRUE,_xlfn.XLOOKUP($G219,ScoringTable!$U$2:$U$161,ScoringTable!$R$2:$R$161,,-1))</f>
        <v>0</v>
      </c>
    </row>
    <row r="220" spans="1:13" s="7" customFormat="1" ht="16" customHeight="1">
      <c r="A220" s="121" t="s">
        <v>81</v>
      </c>
      <c r="B220" s="122" t="str">
        <f>IF(ISNA(VLOOKUP($F220,Declarations!B$6:C$293,2,FALSE)),"",IF(VLOOKUP($F220,Declarations!B$6:C$293,2,FALSE)="","NOT DECLARED",IF(ISNA(_xlfn.TEXTBEFORE(VLOOKUP($F220,Declarations!B$6:C$293,2,FALSE)," ")),VLOOKUP($F220,Declarations!B$6:C$293,2,FALSE),_xlfn.TEXTBEFORE(VLOOKUP($F220,Declarations!B$6:C$293,2,FALSE)," "))))</f>
        <v/>
      </c>
      <c r="C220" s="122" t="str">
        <f>IF(ISNA(VLOOKUP($F220,Declarations!B$6:C$293,2,FALSE)),"",IF(VLOOKUP($F220,Declarations!B$6:C$293,2,FALSE)="","NOT DECLARED",IF(ISNA(_xlfn.TEXTAFTER(VLOOKUP($F220,Declarations!B$6:C$293,2,FALSE)," ")),VLOOKUP($F220,Declarations!B$6:C$293,2,FALSE),_xlfn.TEXTAFTER(VLOOKUP($F220,Declarations!B$6:C$293,2,FALSE)," "))))</f>
        <v/>
      </c>
      <c r="D220" s="122" t="str">
        <f>IF(ISNA(VLOOKUP($F220,Declarations!$B$6:$F$293,5,FALSE)),"",IF(VLOOKUP($F220,Declarations!$B$6:$F$293,5,FALSE)="","NOT DECLARED",VLOOKUP($F220,Declarations!$B$6:$F$293,5,FALSE)))</f>
        <v/>
      </c>
      <c r="E220" s="120" t="str">
        <f>IF(ISNA(VLOOKUP($F220,Declarations!$B$6:$D$293,3,FALSE)),"",IF(VLOOKUP($F220,Declarations!$B$6:$D$293,3,FALSE)="","NOT DECLARED",VLOOKUP($F220,Declarations!$B$6:$D$293,3,FALSE)&amp;LEFT(VLOOKUP($F220,Declarations!$B$6:$E$293,4,FALSE))))</f>
        <v/>
      </c>
      <c r="F220" s="59"/>
      <c r="G220" s="129"/>
      <c r="H220" s="129"/>
      <c r="I220" s="122" t="str">
        <f>IF(ISNA(VLOOKUP(F220,Declarations!B$6:C$293,2,FALSE)),"",IF(VLOOKUP(F220,Declarations!B$6:C$293,2,FALSE)="","NOT DECLARED",VLOOKUP(F220,Declarations!B$6:C$293,2,FALSE)))</f>
        <v/>
      </c>
      <c r="J220" s="120">
        <f>IF(LOWER(LEFT(G220,1))="n",1,VLOOKUP(G220,ScoringTable!D$2:I$95,6))</f>
        <v>0</v>
      </c>
      <c r="K220" s="120" t="str" cm="1">
        <f t="array" ref="K220">IF(OR(E220="",G220=""),"",_xlfn.IFS(E220="U10B",_xlfn.XLOOKUP(G220,Data!$D$5:$L$5,Data!$D$1:$L$1,"",-1,1),E220="U12B",_xlfn.XLOOKUP(G220,Data!$D$12:$L$12,Data!$D$1:$L$1,"",-1,1),E220="U10G",_xlfn.XLOOKUP(G220,Data!$D$18:$L$18,Data!$D$1:$L$1,"",-1,1),E220="U12G",_xlfn.XLOOKUP(G220,Data!$D$25:$L$25,Data!$D$1:$L$1,"",-1,1)))</f>
        <v/>
      </c>
      <c r="L220" s="184" t="str" cm="1">
        <f t="array" ref="L220">IFERROR(_xlfn.IFNA(
                      _xlfn.IFS(
                      G220="", "",
                      AND(E220="U10B",G220&gt;=Data!$M$5), "U10 Boys record",
                      AND(E220="U12B",G220&gt;=Data!$M$12), "U12 Boys record",
                      AND(E220="U10G",G220&gt;=Data!$M$18), "U10 Girls record",
                      AND(E220="U12G",G220&gt;=Data!$M$25), "U12 Girls record"
                       ),""), "")</f>
        <v/>
      </c>
      <c r="M220" s="19" cm="1">
        <f t="array" ref="M220">_xlfn.IFS($G220="",0, AND(NOT(ISNUMBER($G220)),LOWER(LEFT($G220,1))&lt;&gt;"n"),"Not a valid distance",OR(LOWER(LEFT($G220,1))="n",$G220&lt;ScoringTable!$O$161),1,RIGHT($E220,1)="B",_xlfn.XLOOKUP($G220,ScoringTable!$O$2:$O$161,ScoringTable!$L$2:$L$161,,-1),TRUE,_xlfn.XLOOKUP($G220,ScoringTable!$U$2:$U$161,ScoringTable!$R$2:$R$161,,-1))</f>
        <v>0</v>
      </c>
    </row>
    <row r="221" spans="1:13" s="7" customFormat="1" ht="16" customHeight="1">
      <c r="A221" s="121" t="s">
        <v>81</v>
      </c>
      <c r="B221" s="122" t="str">
        <f>IF(ISNA(VLOOKUP($F221,Declarations!B$6:C$293,2,FALSE)),"",IF(VLOOKUP($F221,Declarations!B$6:C$293,2,FALSE)="","NOT DECLARED",IF(ISNA(_xlfn.TEXTBEFORE(VLOOKUP($F221,Declarations!B$6:C$293,2,FALSE)," ")),VLOOKUP($F221,Declarations!B$6:C$293,2,FALSE),_xlfn.TEXTBEFORE(VLOOKUP($F221,Declarations!B$6:C$293,2,FALSE)," "))))</f>
        <v/>
      </c>
      <c r="C221" s="122" t="str">
        <f>IF(ISNA(VLOOKUP($F221,Declarations!B$6:C$293,2,FALSE)),"",IF(VLOOKUP($F221,Declarations!B$6:C$293,2,FALSE)="","NOT DECLARED",IF(ISNA(_xlfn.TEXTAFTER(VLOOKUP($F221,Declarations!B$6:C$293,2,FALSE)," ")),VLOOKUP($F221,Declarations!B$6:C$293,2,FALSE),_xlfn.TEXTAFTER(VLOOKUP($F221,Declarations!B$6:C$293,2,FALSE)," "))))</f>
        <v/>
      </c>
      <c r="D221" s="122" t="str">
        <f>IF(ISNA(VLOOKUP($F221,Declarations!$B$6:$F$293,5,FALSE)),"",IF(VLOOKUP($F221,Declarations!$B$6:$F$293,5,FALSE)="","NOT DECLARED",VLOOKUP($F221,Declarations!$B$6:$F$293,5,FALSE)))</f>
        <v/>
      </c>
      <c r="E221" s="120" t="str">
        <f>IF(ISNA(VLOOKUP($F221,Declarations!$B$6:$D$293,3,FALSE)),"",IF(VLOOKUP($F221,Declarations!$B$6:$D$293,3,FALSE)="","NOT DECLARED",VLOOKUP($F221,Declarations!$B$6:$D$293,3,FALSE)&amp;LEFT(VLOOKUP($F221,Declarations!$B$6:$E$293,4,FALSE))))</f>
        <v/>
      </c>
      <c r="F221" s="59"/>
      <c r="G221" s="129"/>
      <c r="H221" s="129"/>
      <c r="I221" s="122" t="str">
        <f>IF(ISNA(VLOOKUP(F221,Declarations!B$6:C$293,2,FALSE)),"",IF(VLOOKUP(F221,Declarations!B$6:C$293,2,FALSE)="","NOT DECLARED",VLOOKUP(F221,Declarations!B$6:C$293,2,FALSE)))</f>
        <v/>
      </c>
      <c r="J221" s="120">
        <f>IF(LOWER(LEFT(G221,1))="n",1,VLOOKUP(G221,ScoringTable!D$2:I$95,6))</f>
        <v>0</v>
      </c>
      <c r="K221" s="120" t="str" cm="1">
        <f t="array" ref="K221">IF(OR(E221="",G221=""),"",_xlfn.IFS(E221="U10B",_xlfn.XLOOKUP(G221,Data!$D$5:$L$5,Data!$D$1:$L$1,"",-1,1),E221="U12B",_xlfn.XLOOKUP(G221,Data!$D$12:$L$12,Data!$D$1:$L$1,"",-1,1),E221="U10G",_xlfn.XLOOKUP(G221,Data!$D$18:$L$18,Data!$D$1:$L$1,"",-1,1),E221="U12G",_xlfn.XLOOKUP(G221,Data!$D$25:$L$25,Data!$D$1:$L$1,"",-1,1)))</f>
        <v/>
      </c>
      <c r="L221" s="184" t="str" cm="1">
        <f t="array" ref="L221">IFERROR(_xlfn.IFNA(
                      _xlfn.IFS(
                      G221="", "",
                      AND(E221="U10B",G221&gt;=Data!$M$5), "U10 Boys record",
                      AND(E221="U12B",G221&gt;=Data!$M$12), "U12 Boys record",
                      AND(E221="U10G",G221&gt;=Data!$M$18), "U10 Girls record",
                      AND(E221="U12G",G221&gt;=Data!$M$25), "U12 Girls record"
                       ),""), "")</f>
        <v/>
      </c>
      <c r="M221" s="19" cm="1">
        <f t="array" ref="M221">_xlfn.IFS($G221="",0, AND(NOT(ISNUMBER($G221)),LOWER(LEFT($G221,1))&lt;&gt;"n"),"Not a valid distance",OR(LOWER(LEFT($G221,1))="n",$G221&lt;ScoringTable!$O$161),1,RIGHT($E221,1)="B",_xlfn.XLOOKUP($G221,ScoringTable!$O$2:$O$161,ScoringTable!$L$2:$L$161,,-1),TRUE,_xlfn.XLOOKUP($G221,ScoringTable!$U$2:$U$161,ScoringTable!$R$2:$R$161,,-1))</f>
        <v>0</v>
      </c>
    </row>
    <row r="222" spans="1:13" s="7" customFormat="1" ht="16" customHeight="1">
      <c r="A222" s="121" t="s">
        <v>81</v>
      </c>
      <c r="B222" s="122" t="str">
        <f>IF(ISNA(VLOOKUP($F222,Declarations!B$6:C$293,2,FALSE)),"",IF(VLOOKUP($F222,Declarations!B$6:C$293,2,FALSE)="","NOT DECLARED",IF(ISNA(_xlfn.TEXTBEFORE(VLOOKUP($F222,Declarations!B$6:C$293,2,FALSE)," ")),VLOOKUP($F222,Declarations!B$6:C$293,2,FALSE),_xlfn.TEXTBEFORE(VLOOKUP($F222,Declarations!B$6:C$293,2,FALSE)," "))))</f>
        <v/>
      </c>
      <c r="C222" s="122" t="str">
        <f>IF(ISNA(VLOOKUP($F222,Declarations!B$6:C$293,2,FALSE)),"",IF(VLOOKUP($F222,Declarations!B$6:C$293,2,FALSE)="","NOT DECLARED",IF(ISNA(_xlfn.TEXTAFTER(VLOOKUP($F222,Declarations!B$6:C$293,2,FALSE)," ")),VLOOKUP($F222,Declarations!B$6:C$293,2,FALSE),_xlfn.TEXTAFTER(VLOOKUP($F222,Declarations!B$6:C$293,2,FALSE)," "))))</f>
        <v/>
      </c>
      <c r="D222" s="122" t="str">
        <f>IF(ISNA(VLOOKUP($F222,Declarations!$B$6:$F$293,5,FALSE)),"",IF(VLOOKUP($F222,Declarations!$B$6:$F$293,5,FALSE)="","NOT DECLARED",VLOOKUP($F222,Declarations!$B$6:$F$293,5,FALSE)))</f>
        <v/>
      </c>
      <c r="E222" s="120" t="str">
        <f>IF(ISNA(VLOOKUP($F222,Declarations!$B$6:$D$293,3,FALSE)),"",IF(VLOOKUP($F222,Declarations!$B$6:$D$293,3,FALSE)="","NOT DECLARED",VLOOKUP($F222,Declarations!$B$6:$D$293,3,FALSE)&amp;LEFT(VLOOKUP($F222,Declarations!$B$6:$E$293,4,FALSE))))</f>
        <v/>
      </c>
      <c r="F222" s="59"/>
      <c r="G222" s="129"/>
      <c r="H222" s="129"/>
      <c r="I222" s="122" t="str">
        <f>IF(ISNA(VLOOKUP(F222,Declarations!B$6:C$293,2,FALSE)),"",IF(VLOOKUP(F222,Declarations!B$6:C$293,2,FALSE)="","NOT DECLARED",VLOOKUP(F222,Declarations!B$6:C$293,2,FALSE)))</f>
        <v/>
      </c>
      <c r="J222" s="120">
        <f>IF(LOWER(LEFT(G222,1))="n",1,VLOOKUP(G222,ScoringTable!D$2:I$95,6))</f>
        <v>0</v>
      </c>
      <c r="K222" s="120" t="str" cm="1">
        <f t="array" ref="K222">IF(OR(E222="",G222=""),"",_xlfn.IFS(E222="U10B",_xlfn.XLOOKUP(G222,Data!$D$5:$L$5,Data!$D$1:$L$1,"",-1,1),E222="U12B",_xlfn.XLOOKUP(G222,Data!$D$12:$L$12,Data!$D$1:$L$1,"",-1,1),E222="U10G",_xlfn.XLOOKUP(G222,Data!$D$18:$L$18,Data!$D$1:$L$1,"",-1,1),E222="U12G",_xlfn.XLOOKUP(G222,Data!$D$25:$L$25,Data!$D$1:$L$1,"",-1,1)))</f>
        <v/>
      </c>
      <c r="L222" s="184" t="str" cm="1">
        <f t="array" ref="L222">IFERROR(_xlfn.IFNA(
                      _xlfn.IFS(
                      G222="", "",
                      AND(E222="U10B",G222&gt;=Data!$M$5), "U10 Boys record",
                      AND(E222="U12B",G222&gt;=Data!$M$12), "U12 Boys record",
                      AND(E222="U10G",G222&gt;=Data!$M$18), "U10 Girls record",
                      AND(E222="U12G",G222&gt;=Data!$M$25), "U12 Girls record"
                       ),""), "")</f>
        <v/>
      </c>
      <c r="M222" s="19" cm="1">
        <f t="array" ref="M222">_xlfn.IFS($G222="",0, AND(NOT(ISNUMBER($G222)),LOWER(LEFT($G222,1))&lt;&gt;"n"),"Not a valid distance",OR(LOWER(LEFT($G222,1))="n",$G222&lt;ScoringTable!$O$161),1,RIGHT($E222,1)="B",_xlfn.XLOOKUP($G222,ScoringTable!$O$2:$O$161,ScoringTable!$L$2:$L$161,,-1),TRUE,_xlfn.XLOOKUP($G222,ScoringTable!$U$2:$U$161,ScoringTable!$R$2:$R$161,,-1))</f>
        <v>0</v>
      </c>
    </row>
    <row r="223" spans="1:13" s="7" customFormat="1" ht="16" customHeight="1">
      <c r="A223" s="121" t="s">
        <v>81</v>
      </c>
      <c r="B223" s="122" t="str">
        <f>IF(ISNA(VLOOKUP($F223,Declarations!B$6:C$293,2,FALSE)),"",IF(VLOOKUP($F223,Declarations!B$6:C$293,2,FALSE)="","NOT DECLARED",IF(ISNA(_xlfn.TEXTBEFORE(VLOOKUP($F223,Declarations!B$6:C$293,2,FALSE)," ")),VLOOKUP($F223,Declarations!B$6:C$293,2,FALSE),_xlfn.TEXTBEFORE(VLOOKUP($F223,Declarations!B$6:C$293,2,FALSE)," "))))</f>
        <v/>
      </c>
      <c r="C223" s="122" t="str">
        <f>IF(ISNA(VLOOKUP($F223,Declarations!B$6:C$293,2,FALSE)),"",IF(VLOOKUP($F223,Declarations!B$6:C$293,2,FALSE)="","NOT DECLARED",IF(ISNA(_xlfn.TEXTAFTER(VLOOKUP($F223,Declarations!B$6:C$293,2,FALSE)," ")),VLOOKUP($F223,Declarations!B$6:C$293,2,FALSE),_xlfn.TEXTAFTER(VLOOKUP($F223,Declarations!B$6:C$293,2,FALSE)," "))))</f>
        <v/>
      </c>
      <c r="D223" s="122" t="str">
        <f>IF(ISNA(VLOOKUP($F223,Declarations!$B$6:$F$293,5,FALSE)),"",IF(VLOOKUP($F223,Declarations!$B$6:$F$293,5,FALSE)="","NOT DECLARED",VLOOKUP($F223,Declarations!$B$6:$F$293,5,FALSE)))</f>
        <v/>
      </c>
      <c r="E223" s="120" t="str">
        <f>IF(ISNA(VLOOKUP($F223,Declarations!$B$6:$D$293,3,FALSE)),"",IF(VLOOKUP($F223,Declarations!$B$6:$D$293,3,FALSE)="","NOT DECLARED",VLOOKUP($F223,Declarations!$B$6:$D$293,3,FALSE)&amp;LEFT(VLOOKUP($F223,Declarations!$B$6:$E$293,4,FALSE))))</f>
        <v/>
      </c>
      <c r="F223" s="59"/>
      <c r="G223" s="129"/>
      <c r="H223" s="129"/>
      <c r="I223" s="122" t="str">
        <f>IF(ISNA(VLOOKUP(F223,Declarations!B$6:C$293,2,FALSE)),"",IF(VLOOKUP(F223,Declarations!B$6:C$293,2,FALSE)="","NOT DECLARED",VLOOKUP(F223,Declarations!B$6:C$293,2,FALSE)))</f>
        <v/>
      </c>
      <c r="J223" s="120">
        <f>IF(LOWER(LEFT(G223,1))="n",1,VLOOKUP(G223,ScoringTable!D$2:I$95,6))</f>
        <v>0</v>
      </c>
      <c r="K223" s="120" t="str" cm="1">
        <f t="array" ref="K223">IF(OR(E223="",G223=""),"",_xlfn.IFS(E223="U10B",_xlfn.XLOOKUP(G223,Data!$D$5:$L$5,Data!$D$1:$L$1,"",-1,1),E223="U12B",_xlfn.XLOOKUP(G223,Data!$D$12:$L$12,Data!$D$1:$L$1,"",-1,1),E223="U10G",_xlfn.XLOOKUP(G223,Data!$D$18:$L$18,Data!$D$1:$L$1,"",-1,1),E223="U12G",_xlfn.XLOOKUP(G223,Data!$D$25:$L$25,Data!$D$1:$L$1,"",-1,1)))</f>
        <v/>
      </c>
      <c r="L223" s="184" t="str" cm="1">
        <f t="array" ref="L223">IFERROR(_xlfn.IFNA(
                      _xlfn.IFS(
                      G223="", "",
                      AND(E223="U10B",G223&gt;=Data!$M$5), "U10 Boys record",
                      AND(E223="U12B",G223&gt;=Data!$M$12), "U12 Boys record",
                      AND(E223="U10G",G223&gt;=Data!$M$18), "U10 Girls record",
                      AND(E223="U12G",G223&gt;=Data!$M$25), "U12 Girls record"
                       ),""), "")</f>
        <v/>
      </c>
      <c r="M223" s="19" cm="1">
        <f t="array" ref="M223">_xlfn.IFS($G223="",0, AND(NOT(ISNUMBER($G223)),LOWER(LEFT($G223,1))&lt;&gt;"n"),"Not a valid distance",OR(LOWER(LEFT($G223,1))="n",$G223&lt;ScoringTable!$O$161),1,RIGHT($E223,1)="B",_xlfn.XLOOKUP($G223,ScoringTable!$O$2:$O$161,ScoringTable!$L$2:$L$161,,-1),TRUE,_xlfn.XLOOKUP($G223,ScoringTable!$U$2:$U$161,ScoringTable!$R$2:$R$161,,-1))</f>
        <v>0</v>
      </c>
    </row>
    <row r="224" spans="1:13" s="7" customFormat="1" ht="16" customHeight="1">
      <c r="A224" s="121" t="s">
        <v>81</v>
      </c>
      <c r="B224" s="122" t="str">
        <f>IF(ISNA(VLOOKUP($F224,Declarations!B$6:C$293,2,FALSE)),"",IF(VLOOKUP($F224,Declarations!B$6:C$293,2,FALSE)="","NOT DECLARED",IF(ISNA(_xlfn.TEXTBEFORE(VLOOKUP($F224,Declarations!B$6:C$293,2,FALSE)," ")),VLOOKUP($F224,Declarations!B$6:C$293,2,FALSE),_xlfn.TEXTBEFORE(VLOOKUP($F224,Declarations!B$6:C$293,2,FALSE)," "))))</f>
        <v/>
      </c>
      <c r="C224" s="122" t="str">
        <f>IF(ISNA(VLOOKUP($F224,Declarations!B$6:C$293,2,FALSE)),"",IF(VLOOKUP($F224,Declarations!B$6:C$293,2,FALSE)="","NOT DECLARED",IF(ISNA(_xlfn.TEXTAFTER(VLOOKUP($F224,Declarations!B$6:C$293,2,FALSE)," ")),VLOOKUP($F224,Declarations!B$6:C$293,2,FALSE),_xlfn.TEXTAFTER(VLOOKUP($F224,Declarations!B$6:C$293,2,FALSE)," "))))</f>
        <v/>
      </c>
      <c r="D224" s="122" t="str">
        <f>IF(ISNA(VLOOKUP($F224,Declarations!$B$6:$F$293,5,FALSE)),"",IF(VLOOKUP($F224,Declarations!$B$6:$F$293,5,FALSE)="","NOT DECLARED",VLOOKUP($F224,Declarations!$B$6:$F$293,5,FALSE)))</f>
        <v/>
      </c>
      <c r="E224" s="120" t="str">
        <f>IF(ISNA(VLOOKUP($F224,Declarations!$B$6:$D$293,3,FALSE)),"",IF(VLOOKUP($F224,Declarations!$B$6:$D$293,3,FALSE)="","NOT DECLARED",VLOOKUP($F224,Declarations!$B$6:$D$293,3,FALSE)&amp;LEFT(VLOOKUP($F224,Declarations!$B$6:$E$293,4,FALSE))))</f>
        <v/>
      </c>
      <c r="F224" s="59"/>
      <c r="G224" s="129"/>
      <c r="H224" s="129"/>
      <c r="I224" s="122" t="str">
        <f>IF(ISNA(VLOOKUP(F224,Declarations!B$6:C$293,2,FALSE)),"",IF(VLOOKUP(F224,Declarations!B$6:C$293,2,FALSE)="","NOT DECLARED",VLOOKUP(F224,Declarations!B$6:C$293,2,FALSE)))</f>
        <v/>
      </c>
      <c r="J224" s="120">
        <f>IF(LOWER(LEFT(G224,1))="n",1,VLOOKUP(G224,ScoringTable!D$2:I$95,6))</f>
        <v>0</v>
      </c>
      <c r="K224" s="120" t="str" cm="1">
        <f t="array" ref="K224">IF(OR(E224="",G224=""),"",_xlfn.IFS(E224="U10B",_xlfn.XLOOKUP(G224,Data!$D$5:$L$5,Data!$D$1:$L$1,"",-1,1),E224="U12B",_xlfn.XLOOKUP(G224,Data!$D$12:$L$12,Data!$D$1:$L$1,"",-1,1),E224="U10G",_xlfn.XLOOKUP(G224,Data!$D$18:$L$18,Data!$D$1:$L$1,"",-1,1),E224="U12G",_xlfn.XLOOKUP(G224,Data!$D$25:$L$25,Data!$D$1:$L$1,"",-1,1)))</f>
        <v/>
      </c>
      <c r="L224" s="184" t="str" cm="1">
        <f t="array" ref="L224">IFERROR(_xlfn.IFNA(
                      _xlfn.IFS(
                      G224="", "",
                      AND(E224="U10B",G224&gt;=Data!$M$5), "U10 Boys record",
                      AND(E224="U12B",G224&gt;=Data!$M$12), "U12 Boys record",
                      AND(E224="U10G",G224&gt;=Data!$M$18), "U10 Girls record",
                      AND(E224="U12G",G224&gt;=Data!$M$25), "U12 Girls record"
                       ),""), "")</f>
        <v/>
      </c>
      <c r="M224" s="19" cm="1">
        <f t="array" ref="M224">_xlfn.IFS($G224="",0, AND(NOT(ISNUMBER($G224)),LOWER(LEFT($G224,1))&lt;&gt;"n"),"Not a valid distance",OR(LOWER(LEFT($G224,1))="n",$G224&lt;ScoringTable!$O$161),1,RIGHT($E224,1)="B",_xlfn.XLOOKUP($G224,ScoringTable!$O$2:$O$161,ScoringTable!$L$2:$L$161,,-1),TRUE,_xlfn.XLOOKUP($G224,ScoringTable!$U$2:$U$161,ScoringTable!$R$2:$R$161,,-1))</f>
        <v>0</v>
      </c>
    </row>
    <row r="225" spans="1:13" s="7" customFormat="1" ht="16" customHeight="1">
      <c r="A225" s="121" t="s">
        <v>81</v>
      </c>
      <c r="B225" s="122" t="str">
        <f>IF(ISNA(VLOOKUP($F225,Declarations!B$6:C$293,2,FALSE)),"",IF(VLOOKUP($F225,Declarations!B$6:C$293,2,FALSE)="","NOT DECLARED",IF(ISNA(_xlfn.TEXTBEFORE(VLOOKUP($F225,Declarations!B$6:C$293,2,FALSE)," ")),VLOOKUP($F225,Declarations!B$6:C$293,2,FALSE),_xlfn.TEXTBEFORE(VLOOKUP($F225,Declarations!B$6:C$293,2,FALSE)," "))))</f>
        <v/>
      </c>
      <c r="C225" s="122" t="str">
        <f>IF(ISNA(VLOOKUP($F225,Declarations!B$6:C$293,2,FALSE)),"",IF(VLOOKUP($F225,Declarations!B$6:C$293,2,FALSE)="","NOT DECLARED",IF(ISNA(_xlfn.TEXTAFTER(VLOOKUP($F225,Declarations!B$6:C$293,2,FALSE)," ")),VLOOKUP($F225,Declarations!B$6:C$293,2,FALSE),_xlfn.TEXTAFTER(VLOOKUP($F225,Declarations!B$6:C$293,2,FALSE)," "))))</f>
        <v/>
      </c>
      <c r="D225" s="122" t="str">
        <f>IF(ISNA(VLOOKUP($F225,Declarations!$B$6:$F$293,5,FALSE)),"",IF(VLOOKUP($F225,Declarations!$B$6:$F$293,5,FALSE)="","NOT DECLARED",VLOOKUP($F225,Declarations!$B$6:$F$293,5,FALSE)))</f>
        <v/>
      </c>
      <c r="E225" s="120" t="str">
        <f>IF(ISNA(VLOOKUP($F225,Declarations!$B$6:$D$293,3,FALSE)),"",IF(VLOOKUP($F225,Declarations!$B$6:$D$293,3,FALSE)="","NOT DECLARED",VLOOKUP($F225,Declarations!$B$6:$D$293,3,FALSE)&amp;LEFT(VLOOKUP($F225,Declarations!$B$6:$E$293,4,FALSE))))</f>
        <v/>
      </c>
      <c r="F225" s="59"/>
      <c r="G225" s="129"/>
      <c r="H225" s="129"/>
      <c r="I225" s="122" t="str">
        <f>IF(ISNA(VLOOKUP(F225,Declarations!B$6:C$293,2,FALSE)),"",IF(VLOOKUP(F225,Declarations!B$6:C$293,2,FALSE)="","NOT DECLARED",VLOOKUP(F225,Declarations!B$6:C$293,2,FALSE)))</f>
        <v/>
      </c>
      <c r="J225" s="120">
        <f>IF(LOWER(LEFT(G225,1))="n",1,VLOOKUP(G225,ScoringTable!D$2:I$95,6))</f>
        <v>0</v>
      </c>
      <c r="K225" s="120" t="str" cm="1">
        <f t="array" ref="K225">IF(OR(E225="",G225=""),"",_xlfn.IFS(E225="U10B",_xlfn.XLOOKUP(G225,Data!$D$5:$L$5,Data!$D$1:$L$1,"",-1,1),E225="U12B",_xlfn.XLOOKUP(G225,Data!$D$12:$L$12,Data!$D$1:$L$1,"",-1,1),E225="U10G",_xlfn.XLOOKUP(G225,Data!$D$18:$L$18,Data!$D$1:$L$1,"",-1,1),E225="U12G",_xlfn.XLOOKUP(G225,Data!$D$25:$L$25,Data!$D$1:$L$1,"",-1,1)))</f>
        <v/>
      </c>
      <c r="L225" s="184" t="str" cm="1">
        <f t="array" ref="L225">IFERROR(_xlfn.IFNA(
                      _xlfn.IFS(
                      G225="", "",
                      AND(E225="U10B",G225&gt;=Data!$M$5), "U10 Boys record",
                      AND(E225="U12B",G225&gt;=Data!$M$12), "U12 Boys record",
                      AND(E225="U10G",G225&gt;=Data!$M$18), "U10 Girls record",
                      AND(E225="U12G",G225&gt;=Data!$M$25), "U12 Girls record"
                       ),""), "")</f>
        <v/>
      </c>
      <c r="M225" s="19" cm="1">
        <f t="array" ref="M225">_xlfn.IFS($G225="",0, AND(NOT(ISNUMBER($G225)),LOWER(LEFT($G225,1))&lt;&gt;"n"),"Not a valid distance",OR(LOWER(LEFT($G225,1))="n",$G225&lt;ScoringTable!$O$161),1,RIGHT($E225,1)="B",_xlfn.XLOOKUP($G225,ScoringTable!$O$2:$O$161,ScoringTable!$L$2:$L$161,,-1),TRUE,_xlfn.XLOOKUP($G225,ScoringTable!$U$2:$U$161,ScoringTable!$R$2:$R$161,,-1))</f>
        <v>0</v>
      </c>
    </row>
    <row r="226" spans="1:13" s="7" customFormat="1" ht="16" customHeight="1">
      <c r="A226" s="121" t="s">
        <v>81</v>
      </c>
      <c r="B226" s="122" t="str">
        <f>IF(ISNA(VLOOKUP($F226,Declarations!B$6:C$293,2,FALSE)),"",IF(VLOOKUP($F226,Declarations!B$6:C$293,2,FALSE)="","NOT DECLARED",IF(ISNA(_xlfn.TEXTBEFORE(VLOOKUP($F226,Declarations!B$6:C$293,2,FALSE)," ")),VLOOKUP($F226,Declarations!B$6:C$293,2,FALSE),_xlfn.TEXTBEFORE(VLOOKUP($F226,Declarations!B$6:C$293,2,FALSE)," "))))</f>
        <v/>
      </c>
      <c r="C226" s="122" t="str">
        <f>IF(ISNA(VLOOKUP($F226,Declarations!B$6:C$293,2,FALSE)),"",IF(VLOOKUP($F226,Declarations!B$6:C$293,2,FALSE)="","NOT DECLARED",IF(ISNA(_xlfn.TEXTAFTER(VLOOKUP($F226,Declarations!B$6:C$293,2,FALSE)," ")),VLOOKUP($F226,Declarations!B$6:C$293,2,FALSE),_xlfn.TEXTAFTER(VLOOKUP($F226,Declarations!B$6:C$293,2,FALSE)," "))))</f>
        <v/>
      </c>
      <c r="D226" s="122" t="str">
        <f>IF(ISNA(VLOOKUP($F226,Declarations!$B$6:$F$293,5,FALSE)),"",IF(VLOOKUP($F226,Declarations!$B$6:$F$293,5,FALSE)="","NOT DECLARED",VLOOKUP($F226,Declarations!$B$6:$F$293,5,FALSE)))</f>
        <v/>
      </c>
      <c r="E226" s="120" t="str">
        <f>IF(ISNA(VLOOKUP($F226,Declarations!$B$6:$D$293,3,FALSE)),"",IF(VLOOKUP($F226,Declarations!$B$6:$D$293,3,FALSE)="","NOT DECLARED",VLOOKUP($F226,Declarations!$B$6:$D$293,3,FALSE)&amp;LEFT(VLOOKUP($F226,Declarations!$B$6:$E$293,4,FALSE))))</f>
        <v/>
      </c>
      <c r="F226" s="59"/>
      <c r="G226" s="129"/>
      <c r="H226" s="129"/>
      <c r="I226" s="122" t="str">
        <f>IF(ISNA(VLOOKUP(F226,Declarations!B$6:C$293,2,FALSE)),"",IF(VLOOKUP(F226,Declarations!B$6:C$293,2,FALSE)="","NOT DECLARED",VLOOKUP(F226,Declarations!B$6:C$293,2,FALSE)))</f>
        <v/>
      </c>
      <c r="J226" s="120">
        <f>IF(LOWER(LEFT(G226,1))="n",1,VLOOKUP(G226,ScoringTable!D$2:I$95,6))</f>
        <v>0</v>
      </c>
      <c r="K226" s="120" t="str" cm="1">
        <f t="array" ref="K226">IF(OR(E226="",G226=""),"",_xlfn.IFS(E226="U10B",_xlfn.XLOOKUP(G226,Data!$D$5:$L$5,Data!$D$1:$L$1,"",-1,1),E226="U12B",_xlfn.XLOOKUP(G226,Data!$D$12:$L$12,Data!$D$1:$L$1,"",-1,1),E226="U10G",_xlfn.XLOOKUP(G226,Data!$D$18:$L$18,Data!$D$1:$L$1,"",-1,1),E226="U12G",_xlfn.XLOOKUP(G226,Data!$D$25:$L$25,Data!$D$1:$L$1,"",-1,1)))</f>
        <v/>
      </c>
      <c r="L226" s="184" t="str" cm="1">
        <f t="array" ref="L226">IFERROR(_xlfn.IFNA(
                      _xlfn.IFS(
                      G226="", "",
                      AND(E226="U10B",G226&gt;=Data!$M$5), "U10 Boys record",
                      AND(E226="U12B",G226&gt;=Data!$M$12), "U12 Boys record",
                      AND(E226="U10G",G226&gt;=Data!$M$18), "U10 Girls record",
                      AND(E226="U12G",G226&gt;=Data!$M$25), "U12 Girls record"
                       ),""), "")</f>
        <v/>
      </c>
      <c r="M226" s="19" cm="1">
        <f t="array" ref="M226">_xlfn.IFS($G226="",0, AND(NOT(ISNUMBER($G226)),LOWER(LEFT($G226,1))&lt;&gt;"n"),"Not a valid distance",OR(LOWER(LEFT($G226,1))="n",$G226&lt;ScoringTable!$O$161),1,RIGHT($E226,1)="B",_xlfn.XLOOKUP($G226,ScoringTable!$O$2:$O$161,ScoringTable!$L$2:$L$161,,-1),TRUE,_xlfn.XLOOKUP($G226,ScoringTable!$U$2:$U$161,ScoringTable!$R$2:$R$161,,-1))</f>
        <v>0</v>
      </c>
    </row>
    <row r="227" spans="1:13" s="7" customFormat="1" ht="16" customHeight="1">
      <c r="A227" s="121" t="s">
        <v>81</v>
      </c>
      <c r="B227" s="122" t="str">
        <f>IF(ISNA(VLOOKUP($F227,Declarations!B$6:C$293,2,FALSE)),"",IF(VLOOKUP($F227,Declarations!B$6:C$293,2,FALSE)="","NOT DECLARED",IF(ISNA(_xlfn.TEXTBEFORE(VLOOKUP($F227,Declarations!B$6:C$293,2,FALSE)," ")),VLOOKUP($F227,Declarations!B$6:C$293,2,FALSE),_xlfn.TEXTBEFORE(VLOOKUP($F227,Declarations!B$6:C$293,2,FALSE)," "))))</f>
        <v/>
      </c>
      <c r="C227" s="122" t="str">
        <f>IF(ISNA(VLOOKUP($F227,Declarations!B$6:C$293,2,FALSE)),"",IF(VLOOKUP($F227,Declarations!B$6:C$293,2,FALSE)="","NOT DECLARED",IF(ISNA(_xlfn.TEXTAFTER(VLOOKUP($F227,Declarations!B$6:C$293,2,FALSE)," ")),VLOOKUP($F227,Declarations!B$6:C$293,2,FALSE),_xlfn.TEXTAFTER(VLOOKUP($F227,Declarations!B$6:C$293,2,FALSE)," "))))</f>
        <v/>
      </c>
      <c r="D227" s="122" t="str">
        <f>IF(ISNA(VLOOKUP($F227,Declarations!$B$6:$F$293,5,FALSE)),"",IF(VLOOKUP($F227,Declarations!$B$6:$F$293,5,FALSE)="","NOT DECLARED",VLOOKUP($F227,Declarations!$B$6:$F$293,5,FALSE)))</f>
        <v/>
      </c>
      <c r="E227" s="120" t="str">
        <f>IF(ISNA(VLOOKUP($F227,Declarations!$B$6:$D$293,3,FALSE)),"",IF(VLOOKUP($F227,Declarations!$B$6:$D$293,3,FALSE)="","NOT DECLARED",VLOOKUP($F227,Declarations!$B$6:$D$293,3,FALSE)&amp;LEFT(VLOOKUP($F227,Declarations!$B$6:$E$293,4,FALSE))))</f>
        <v/>
      </c>
      <c r="F227" s="59"/>
      <c r="G227" s="129"/>
      <c r="H227" s="129"/>
      <c r="I227" s="122" t="str">
        <f>IF(ISNA(VLOOKUP(F227,Declarations!B$6:C$293,2,FALSE)),"",IF(VLOOKUP(F227,Declarations!B$6:C$293,2,FALSE)="","NOT DECLARED",VLOOKUP(F227,Declarations!B$6:C$293,2,FALSE)))</f>
        <v/>
      </c>
      <c r="J227" s="120">
        <f>IF(LOWER(LEFT(G227,1))="n",1,VLOOKUP(G227,ScoringTable!D$2:I$95,6))</f>
        <v>0</v>
      </c>
      <c r="K227" s="120" t="str" cm="1">
        <f t="array" ref="K227">IF(OR(E227="",G227=""),"",_xlfn.IFS(E227="U10B",_xlfn.XLOOKUP(G227,Data!$D$5:$L$5,Data!$D$1:$L$1,"",-1,1),E227="U12B",_xlfn.XLOOKUP(G227,Data!$D$12:$L$12,Data!$D$1:$L$1,"",-1,1),E227="U10G",_xlfn.XLOOKUP(G227,Data!$D$18:$L$18,Data!$D$1:$L$1,"",-1,1),E227="U12G",_xlfn.XLOOKUP(G227,Data!$D$25:$L$25,Data!$D$1:$L$1,"",-1,1)))</f>
        <v/>
      </c>
      <c r="L227" s="184" t="str" cm="1">
        <f t="array" ref="L227">IFERROR(_xlfn.IFNA(
                      _xlfn.IFS(
                      G227="", "",
                      AND(E227="U10B",G227&gt;=Data!$M$5), "U10 Boys record",
                      AND(E227="U12B",G227&gt;=Data!$M$12), "U12 Boys record",
                      AND(E227="U10G",G227&gt;=Data!$M$18), "U10 Girls record",
                      AND(E227="U12G",G227&gt;=Data!$M$25), "U12 Girls record"
                       ),""), "")</f>
        <v/>
      </c>
      <c r="M227" s="19" cm="1">
        <f t="array" ref="M227">_xlfn.IFS($G227="",0, AND(NOT(ISNUMBER($G227)),LOWER(LEFT($G227,1))&lt;&gt;"n"),"Not a valid distance",OR(LOWER(LEFT($G227,1))="n",$G227&lt;ScoringTable!$O$161),1,RIGHT($E227,1)="B",_xlfn.XLOOKUP($G227,ScoringTable!$O$2:$O$161,ScoringTable!$L$2:$L$161,,-1),TRUE,_xlfn.XLOOKUP($G227,ScoringTable!$U$2:$U$161,ScoringTable!$R$2:$R$161,,-1))</f>
        <v>0</v>
      </c>
    </row>
    <row r="228" spans="1:13" s="7" customFormat="1" ht="16" customHeight="1">
      <c r="A228" s="121" t="s">
        <v>81</v>
      </c>
      <c r="B228" s="122" t="str">
        <f>IF(ISNA(VLOOKUP($F228,Declarations!B$6:C$293,2,FALSE)),"",IF(VLOOKUP($F228,Declarations!B$6:C$293,2,FALSE)="","NOT DECLARED",IF(ISNA(_xlfn.TEXTBEFORE(VLOOKUP($F228,Declarations!B$6:C$293,2,FALSE)," ")),VLOOKUP($F228,Declarations!B$6:C$293,2,FALSE),_xlfn.TEXTBEFORE(VLOOKUP($F228,Declarations!B$6:C$293,2,FALSE)," "))))</f>
        <v/>
      </c>
      <c r="C228" s="122" t="str">
        <f>IF(ISNA(VLOOKUP($F228,Declarations!B$6:C$293,2,FALSE)),"",IF(VLOOKUP($F228,Declarations!B$6:C$293,2,FALSE)="","NOT DECLARED",IF(ISNA(_xlfn.TEXTAFTER(VLOOKUP($F228,Declarations!B$6:C$293,2,FALSE)," ")),VLOOKUP($F228,Declarations!B$6:C$293,2,FALSE),_xlfn.TEXTAFTER(VLOOKUP($F228,Declarations!B$6:C$293,2,FALSE)," "))))</f>
        <v/>
      </c>
      <c r="D228" s="122" t="str">
        <f>IF(ISNA(VLOOKUP($F228,Declarations!$B$6:$F$293,5,FALSE)),"",IF(VLOOKUP($F228,Declarations!$B$6:$F$293,5,FALSE)="","NOT DECLARED",VLOOKUP($F228,Declarations!$B$6:$F$293,5,FALSE)))</f>
        <v/>
      </c>
      <c r="E228" s="120" t="str">
        <f>IF(ISNA(VLOOKUP($F228,Declarations!$B$6:$D$293,3,FALSE)),"",IF(VLOOKUP($F228,Declarations!$B$6:$D$293,3,FALSE)="","NOT DECLARED",VLOOKUP($F228,Declarations!$B$6:$D$293,3,FALSE)&amp;LEFT(VLOOKUP($F228,Declarations!$B$6:$E$293,4,FALSE))))</f>
        <v/>
      </c>
      <c r="F228" s="59"/>
      <c r="G228" s="129"/>
      <c r="H228" s="129"/>
      <c r="I228" s="122" t="str">
        <f>IF(ISNA(VLOOKUP(F228,Declarations!B$6:C$293,2,FALSE)),"",IF(VLOOKUP(F228,Declarations!B$6:C$293,2,FALSE)="","NOT DECLARED",VLOOKUP(F228,Declarations!B$6:C$293,2,FALSE)))</f>
        <v/>
      </c>
      <c r="J228" s="120">
        <f>IF(LOWER(LEFT(G228,1))="n",1,VLOOKUP(G228,ScoringTable!D$2:I$95,6))</f>
        <v>0</v>
      </c>
      <c r="K228" s="120" t="str" cm="1">
        <f t="array" ref="K228">IF(OR(E228="",G228=""),"",_xlfn.IFS(E228="U10B",_xlfn.XLOOKUP(G228,Data!$D$5:$L$5,Data!$D$1:$L$1,"",-1,1),E228="U12B",_xlfn.XLOOKUP(G228,Data!$D$12:$L$12,Data!$D$1:$L$1,"",-1,1),E228="U10G",_xlfn.XLOOKUP(G228,Data!$D$18:$L$18,Data!$D$1:$L$1,"",-1,1),E228="U12G",_xlfn.XLOOKUP(G228,Data!$D$25:$L$25,Data!$D$1:$L$1,"",-1,1)))</f>
        <v/>
      </c>
      <c r="L228" s="184" t="str" cm="1">
        <f t="array" ref="L228">IFERROR(_xlfn.IFNA(
                      _xlfn.IFS(
                      G228="", "",
                      AND(E228="U10B",G228&gt;=Data!$M$5), "U10 Boys record",
                      AND(E228="U12B",G228&gt;=Data!$M$12), "U12 Boys record",
                      AND(E228="U10G",G228&gt;=Data!$M$18), "U10 Girls record",
                      AND(E228="U12G",G228&gt;=Data!$M$25), "U12 Girls record"
                       ),""), "")</f>
        <v/>
      </c>
      <c r="M228" s="19" cm="1">
        <f t="array" ref="M228">_xlfn.IFS($G228="",0, AND(NOT(ISNUMBER($G228)),LOWER(LEFT($G228,1))&lt;&gt;"n"),"Not a valid distance",OR(LOWER(LEFT($G228,1))="n",$G228&lt;ScoringTable!$O$161),1,RIGHT($E228,1)="B",_xlfn.XLOOKUP($G228,ScoringTable!$O$2:$O$161,ScoringTable!$L$2:$L$161,,-1),TRUE,_xlfn.XLOOKUP($G228,ScoringTable!$U$2:$U$161,ScoringTable!$R$2:$R$161,,-1))</f>
        <v>0</v>
      </c>
    </row>
    <row r="229" spans="1:13" s="7" customFormat="1" ht="16" customHeight="1">
      <c r="A229" s="121" t="s">
        <v>81</v>
      </c>
      <c r="B229" s="122" t="str">
        <f>IF(ISNA(VLOOKUP($F229,Declarations!B$6:C$293,2,FALSE)),"",IF(VLOOKUP($F229,Declarations!B$6:C$293,2,FALSE)="","NOT DECLARED",IF(ISNA(_xlfn.TEXTBEFORE(VLOOKUP($F229,Declarations!B$6:C$293,2,FALSE)," ")),VLOOKUP($F229,Declarations!B$6:C$293,2,FALSE),_xlfn.TEXTBEFORE(VLOOKUP($F229,Declarations!B$6:C$293,2,FALSE)," "))))</f>
        <v/>
      </c>
      <c r="C229" s="122" t="str">
        <f>IF(ISNA(VLOOKUP($F229,Declarations!B$6:C$293,2,FALSE)),"",IF(VLOOKUP($F229,Declarations!B$6:C$293,2,FALSE)="","NOT DECLARED",IF(ISNA(_xlfn.TEXTAFTER(VLOOKUP($F229,Declarations!B$6:C$293,2,FALSE)," ")),VLOOKUP($F229,Declarations!B$6:C$293,2,FALSE),_xlfn.TEXTAFTER(VLOOKUP($F229,Declarations!B$6:C$293,2,FALSE)," "))))</f>
        <v/>
      </c>
      <c r="D229" s="122" t="str">
        <f>IF(ISNA(VLOOKUP($F229,Declarations!$B$6:$F$293,5,FALSE)),"",IF(VLOOKUP($F229,Declarations!$B$6:$F$293,5,FALSE)="","NOT DECLARED",VLOOKUP($F229,Declarations!$B$6:$F$293,5,FALSE)))</f>
        <v/>
      </c>
      <c r="E229" s="120" t="str">
        <f>IF(ISNA(VLOOKUP($F229,Declarations!$B$6:$D$293,3,FALSE)),"",IF(VLOOKUP($F229,Declarations!$B$6:$D$293,3,FALSE)="","NOT DECLARED",VLOOKUP($F229,Declarations!$B$6:$D$293,3,FALSE)&amp;LEFT(VLOOKUP($F229,Declarations!$B$6:$E$293,4,FALSE))))</f>
        <v/>
      </c>
      <c r="F229" s="59"/>
      <c r="G229" s="129"/>
      <c r="H229" s="129"/>
      <c r="I229" s="122" t="str">
        <f>IF(ISNA(VLOOKUP(F229,Declarations!B$6:C$293,2,FALSE)),"",IF(VLOOKUP(F229,Declarations!B$6:C$293,2,FALSE)="","NOT DECLARED",VLOOKUP(F229,Declarations!B$6:C$293,2,FALSE)))</f>
        <v/>
      </c>
      <c r="J229" s="120">
        <f>IF(LOWER(LEFT(G229,1))="n",1,VLOOKUP(G229,ScoringTable!D$2:I$95,6))</f>
        <v>0</v>
      </c>
      <c r="K229" s="120" t="str" cm="1">
        <f t="array" ref="K229">IF(OR(E229="",G229=""),"",_xlfn.IFS(E229="U10B",_xlfn.XLOOKUP(G229,Data!$D$5:$L$5,Data!$D$1:$L$1,"",-1,1),E229="U12B",_xlfn.XLOOKUP(G229,Data!$D$12:$L$12,Data!$D$1:$L$1,"",-1,1),E229="U10G",_xlfn.XLOOKUP(G229,Data!$D$18:$L$18,Data!$D$1:$L$1,"",-1,1),E229="U12G",_xlfn.XLOOKUP(G229,Data!$D$25:$L$25,Data!$D$1:$L$1,"",-1,1)))</f>
        <v/>
      </c>
      <c r="L229" s="184" t="str" cm="1">
        <f t="array" ref="L229">IFERROR(_xlfn.IFNA(
                      _xlfn.IFS(
                      G229="", "",
                      AND(E229="U10B",G229&gt;=Data!$M$5), "U10 Boys record",
                      AND(E229="U12B",G229&gt;=Data!$M$12), "U12 Boys record",
                      AND(E229="U10G",G229&gt;=Data!$M$18), "U10 Girls record",
                      AND(E229="U12G",G229&gt;=Data!$M$25), "U12 Girls record"
                       ),""), "")</f>
        <v/>
      </c>
      <c r="M229" s="19" cm="1">
        <f t="array" ref="M229">_xlfn.IFS($G229="",0, AND(NOT(ISNUMBER($G229)),LOWER(LEFT($G229,1))&lt;&gt;"n"),"Not a valid distance",OR(LOWER(LEFT($G229,1))="n",$G229&lt;ScoringTable!$O$161),1,RIGHT($E229,1)="B",_xlfn.XLOOKUP($G229,ScoringTable!$O$2:$O$161,ScoringTable!$L$2:$L$161,,-1),TRUE,_xlfn.XLOOKUP($G229,ScoringTable!$U$2:$U$161,ScoringTable!$R$2:$R$161,,-1))</f>
        <v>0</v>
      </c>
    </row>
    <row r="230" spans="1:13" s="7" customFormat="1" ht="16" customHeight="1">
      <c r="A230" s="121" t="s">
        <v>81</v>
      </c>
      <c r="B230" s="122" t="str">
        <f>IF(ISNA(VLOOKUP($F230,Declarations!B$6:C$293,2,FALSE)),"",IF(VLOOKUP($F230,Declarations!B$6:C$293,2,FALSE)="","NOT DECLARED",IF(ISNA(_xlfn.TEXTBEFORE(VLOOKUP($F230,Declarations!B$6:C$293,2,FALSE)," ")),VLOOKUP($F230,Declarations!B$6:C$293,2,FALSE),_xlfn.TEXTBEFORE(VLOOKUP($F230,Declarations!B$6:C$293,2,FALSE)," "))))</f>
        <v/>
      </c>
      <c r="C230" s="122" t="str">
        <f>IF(ISNA(VLOOKUP($F230,Declarations!B$6:C$293,2,FALSE)),"",IF(VLOOKUP($F230,Declarations!B$6:C$293,2,FALSE)="","NOT DECLARED",IF(ISNA(_xlfn.TEXTAFTER(VLOOKUP($F230,Declarations!B$6:C$293,2,FALSE)," ")),VLOOKUP($F230,Declarations!B$6:C$293,2,FALSE),_xlfn.TEXTAFTER(VLOOKUP($F230,Declarations!B$6:C$293,2,FALSE)," "))))</f>
        <v/>
      </c>
      <c r="D230" s="122" t="str">
        <f>IF(ISNA(VLOOKUP($F230,Declarations!$B$6:$F$293,5,FALSE)),"",IF(VLOOKUP($F230,Declarations!$B$6:$F$293,5,FALSE)="","NOT DECLARED",VLOOKUP($F230,Declarations!$B$6:$F$293,5,FALSE)))</f>
        <v/>
      </c>
      <c r="E230" s="120" t="str">
        <f>IF(ISNA(VLOOKUP($F230,Declarations!$B$6:$D$293,3,FALSE)),"",IF(VLOOKUP($F230,Declarations!$B$6:$D$293,3,FALSE)="","NOT DECLARED",VLOOKUP($F230,Declarations!$B$6:$D$293,3,FALSE)&amp;LEFT(VLOOKUP($F230,Declarations!$B$6:$E$293,4,FALSE))))</f>
        <v/>
      </c>
      <c r="F230" s="59"/>
      <c r="G230" s="129"/>
      <c r="H230" s="129"/>
      <c r="I230" s="122" t="str">
        <f>IF(ISNA(VLOOKUP(F230,Declarations!B$6:C$293,2,FALSE)),"",IF(VLOOKUP(F230,Declarations!B$6:C$293,2,FALSE)="","NOT DECLARED",VLOOKUP(F230,Declarations!B$6:C$293,2,FALSE)))</f>
        <v/>
      </c>
      <c r="J230" s="120">
        <f>IF(LOWER(LEFT(G230,1))="n",1,VLOOKUP(G230,ScoringTable!D$2:I$95,6))</f>
        <v>0</v>
      </c>
      <c r="K230" s="120" t="str" cm="1">
        <f t="array" ref="K230">IF(OR(E230="",G230=""),"",_xlfn.IFS(E230="U10B",_xlfn.XLOOKUP(G230,Data!$D$5:$L$5,Data!$D$1:$L$1,"",-1,1),E230="U12B",_xlfn.XLOOKUP(G230,Data!$D$12:$L$12,Data!$D$1:$L$1,"",-1,1),E230="U10G",_xlfn.XLOOKUP(G230,Data!$D$18:$L$18,Data!$D$1:$L$1,"",-1,1),E230="U12G",_xlfn.XLOOKUP(G230,Data!$D$25:$L$25,Data!$D$1:$L$1,"",-1,1)))</f>
        <v/>
      </c>
      <c r="L230" s="184" t="str" cm="1">
        <f t="array" ref="L230">IFERROR(_xlfn.IFNA(
                      _xlfn.IFS(
                      G230="", "",
                      AND(E230="U10B",G230&gt;=Data!$M$5), "U10 Boys record",
                      AND(E230="U12B",G230&gt;=Data!$M$12), "U12 Boys record",
                      AND(E230="U10G",G230&gt;=Data!$M$18), "U10 Girls record",
                      AND(E230="U12G",G230&gt;=Data!$M$25), "U12 Girls record"
                       ),""), "")</f>
        <v/>
      </c>
      <c r="M230" s="19" cm="1">
        <f t="array" ref="M230">_xlfn.IFS($G230="",0, AND(NOT(ISNUMBER($G230)),LOWER(LEFT($G230,1))&lt;&gt;"n"),"Not a valid distance",OR(LOWER(LEFT($G230,1))="n",$G230&lt;ScoringTable!$O$161),1,RIGHT($E230,1)="B",_xlfn.XLOOKUP($G230,ScoringTable!$O$2:$O$161,ScoringTable!$L$2:$L$161,,-1),TRUE,_xlfn.XLOOKUP($G230,ScoringTable!$U$2:$U$161,ScoringTable!$R$2:$R$161,,-1))</f>
        <v>0</v>
      </c>
    </row>
    <row r="231" spans="1:13" s="7" customFormat="1" ht="16" customHeight="1">
      <c r="A231" s="121" t="s">
        <v>81</v>
      </c>
      <c r="B231" s="122" t="str">
        <f>IF(ISNA(VLOOKUP($F231,Declarations!B$6:C$293,2,FALSE)),"",IF(VLOOKUP($F231,Declarations!B$6:C$293,2,FALSE)="","NOT DECLARED",IF(ISNA(_xlfn.TEXTBEFORE(VLOOKUP($F231,Declarations!B$6:C$293,2,FALSE)," ")),VLOOKUP($F231,Declarations!B$6:C$293,2,FALSE),_xlfn.TEXTBEFORE(VLOOKUP($F231,Declarations!B$6:C$293,2,FALSE)," "))))</f>
        <v/>
      </c>
      <c r="C231" s="122" t="str">
        <f>IF(ISNA(VLOOKUP($F231,Declarations!B$6:C$293,2,FALSE)),"",IF(VLOOKUP($F231,Declarations!B$6:C$293,2,FALSE)="","NOT DECLARED",IF(ISNA(_xlfn.TEXTAFTER(VLOOKUP($F231,Declarations!B$6:C$293,2,FALSE)," ")),VLOOKUP($F231,Declarations!B$6:C$293,2,FALSE),_xlfn.TEXTAFTER(VLOOKUP($F231,Declarations!B$6:C$293,2,FALSE)," "))))</f>
        <v/>
      </c>
      <c r="D231" s="122" t="str">
        <f>IF(ISNA(VLOOKUP($F231,Declarations!$B$6:$F$293,5,FALSE)),"",IF(VLOOKUP($F231,Declarations!$B$6:$F$293,5,FALSE)="","NOT DECLARED",VLOOKUP($F231,Declarations!$B$6:$F$293,5,FALSE)))</f>
        <v/>
      </c>
      <c r="E231" s="120" t="str">
        <f>IF(ISNA(VLOOKUP($F231,Declarations!$B$6:$D$293,3,FALSE)),"",IF(VLOOKUP($F231,Declarations!$B$6:$D$293,3,FALSE)="","NOT DECLARED",VLOOKUP($F231,Declarations!$B$6:$D$293,3,FALSE)&amp;LEFT(VLOOKUP($F231,Declarations!$B$6:$E$293,4,FALSE))))</f>
        <v/>
      </c>
      <c r="F231" s="59"/>
      <c r="G231" s="129"/>
      <c r="H231" s="129"/>
      <c r="I231" s="122" t="str">
        <f>IF(ISNA(VLOOKUP(F231,Declarations!B$6:C$293,2,FALSE)),"",IF(VLOOKUP(F231,Declarations!B$6:C$293,2,FALSE)="","NOT DECLARED",VLOOKUP(F231,Declarations!B$6:C$293,2,FALSE)))</f>
        <v/>
      </c>
      <c r="J231" s="120">
        <f>IF(LOWER(LEFT(G231,1))="n",1,VLOOKUP(G231,ScoringTable!D$2:I$95,6))</f>
        <v>0</v>
      </c>
      <c r="K231" s="120" t="str" cm="1">
        <f t="array" ref="K231">IF(OR(E231="",G231=""),"",_xlfn.IFS(E231="U10B",_xlfn.XLOOKUP(G231,Data!$D$5:$L$5,Data!$D$1:$L$1,"",-1,1),E231="U12B",_xlfn.XLOOKUP(G231,Data!$D$12:$L$12,Data!$D$1:$L$1,"",-1,1),E231="U10G",_xlfn.XLOOKUP(G231,Data!$D$18:$L$18,Data!$D$1:$L$1,"",-1,1),E231="U12G",_xlfn.XLOOKUP(G231,Data!$D$25:$L$25,Data!$D$1:$L$1,"",-1,1)))</f>
        <v/>
      </c>
      <c r="L231" s="184" t="str" cm="1">
        <f t="array" ref="L231">IFERROR(_xlfn.IFNA(
                      _xlfn.IFS(
                      G231="", "",
                      AND(E231="U10B",G231&gt;=Data!$M$5), "U10 Boys record",
                      AND(E231="U12B",G231&gt;=Data!$M$12), "U12 Boys record",
                      AND(E231="U10G",G231&gt;=Data!$M$18), "U10 Girls record",
                      AND(E231="U12G",G231&gt;=Data!$M$25), "U12 Girls record"
                       ),""), "")</f>
        <v/>
      </c>
      <c r="M231" s="19" cm="1">
        <f t="array" ref="M231">_xlfn.IFS($G231="",0, AND(NOT(ISNUMBER($G231)),LOWER(LEFT($G231,1))&lt;&gt;"n"),"Not a valid distance",OR(LOWER(LEFT($G231,1))="n",$G231&lt;ScoringTable!$O$161),1,RIGHT($E231,1)="B",_xlfn.XLOOKUP($G231,ScoringTable!$O$2:$O$161,ScoringTable!$L$2:$L$161,,-1),TRUE,_xlfn.XLOOKUP($G231,ScoringTable!$U$2:$U$161,ScoringTable!$R$2:$R$161,,-1))</f>
        <v>0</v>
      </c>
    </row>
    <row r="232" spans="1:13" s="7" customFormat="1" ht="16" customHeight="1">
      <c r="A232" s="121" t="s">
        <v>81</v>
      </c>
      <c r="B232" s="122" t="str">
        <f>IF(ISNA(VLOOKUP($F232,Declarations!B$6:C$293,2,FALSE)),"",IF(VLOOKUP($F232,Declarations!B$6:C$293,2,FALSE)="","NOT DECLARED",IF(ISNA(_xlfn.TEXTBEFORE(VLOOKUP($F232,Declarations!B$6:C$293,2,FALSE)," ")),VLOOKUP($F232,Declarations!B$6:C$293,2,FALSE),_xlfn.TEXTBEFORE(VLOOKUP($F232,Declarations!B$6:C$293,2,FALSE)," "))))</f>
        <v/>
      </c>
      <c r="C232" s="122" t="str">
        <f>IF(ISNA(VLOOKUP($F232,Declarations!B$6:C$293,2,FALSE)),"",IF(VLOOKUP($F232,Declarations!B$6:C$293,2,FALSE)="","NOT DECLARED",IF(ISNA(_xlfn.TEXTAFTER(VLOOKUP($F232,Declarations!B$6:C$293,2,FALSE)," ")),VLOOKUP($F232,Declarations!B$6:C$293,2,FALSE),_xlfn.TEXTAFTER(VLOOKUP($F232,Declarations!B$6:C$293,2,FALSE)," "))))</f>
        <v/>
      </c>
      <c r="D232" s="122" t="str">
        <f>IF(ISNA(VLOOKUP($F232,Declarations!$B$6:$F$293,5,FALSE)),"",IF(VLOOKUP($F232,Declarations!$B$6:$F$293,5,FALSE)="","NOT DECLARED",VLOOKUP($F232,Declarations!$B$6:$F$293,5,FALSE)))</f>
        <v/>
      </c>
      <c r="E232" s="120" t="str">
        <f>IF(ISNA(VLOOKUP($F232,Declarations!$B$6:$D$293,3,FALSE)),"",IF(VLOOKUP($F232,Declarations!$B$6:$D$293,3,FALSE)="","NOT DECLARED",VLOOKUP($F232,Declarations!$B$6:$D$293,3,FALSE)&amp;LEFT(VLOOKUP($F232,Declarations!$B$6:$E$293,4,FALSE))))</f>
        <v/>
      </c>
      <c r="F232" s="59"/>
      <c r="G232" s="129"/>
      <c r="H232" s="129"/>
      <c r="I232" s="122" t="str">
        <f>IF(ISNA(VLOOKUP(F232,Declarations!B$6:C$293,2,FALSE)),"",IF(VLOOKUP(F232,Declarations!B$6:C$293,2,FALSE)="","NOT DECLARED",VLOOKUP(F232,Declarations!B$6:C$293,2,FALSE)))</f>
        <v/>
      </c>
      <c r="J232" s="120">
        <f>IF(LOWER(LEFT(G232,1))="n",1,VLOOKUP(G232,ScoringTable!D$2:I$95,6))</f>
        <v>0</v>
      </c>
      <c r="K232" s="120" t="str" cm="1">
        <f t="array" ref="K232">IF(OR(E232="",G232=""),"",_xlfn.IFS(E232="U10B",_xlfn.XLOOKUP(G232,Data!$D$5:$L$5,Data!$D$1:$L$1,"",-1,1),E232="U12B",_xlfn.XLOOKUP(G232,Data!$D$12:$L$12,Data!$D$1:$L$1,"",-1,1),E232="U10G",_xlfn.XLOOKUP(G232,Data!$D$18:$L$18,Data!$D$1:$L$1,"",-1,1),E232="U12G",_xlfn.XLOOKUP(G232,Data!$D$25:$L$25,Data!$D$1:$L$1,"",-1,1)))</f>
        <v/>
      </c>
      <c r="L232" s="184" t="str" cm="1">
        <f t="array" ref="L232">IFERROR(_xlfn.IFNA(
                      _xlfn.IFS(
                      G232="", "",
                      AND(E232="U10B",G232&gt;=Data!$M$5), "U10 Boys record",
                      AND(E232="U12B",G232&gt;=Data!$M$12), "U12 Boys record",
                      AND(E232="U10G",G232&gt;=Data!$M$18), "U10 Girls record",
                      AND(E232="U12G",G232&gt;=Data!$M$25), "U12 Girls record"
                       ),""), "")</f>
        <v/>
      </c>
      <c r="M232" s="19" cm="1">
        <f t="array" ref="M232">_xlfn.IFS($G232="",0, AND(NOT(ISNUMBER($G232)),LOWER(LEFT($G232,1))&lt;&gt;"n"),"Not a valid distance",OR(LOWER(LEFT($G232,1))="n",$G232&lt;ScoringTable!$O$161),1,RIGHT($E232,1)="B",_xlfn.XLOOKUP($G232,ScoringTable!$O$2:$O$161,ScoringTable!$L$2:$L$161,,-1),TRUE,_xlfn.XLOOKUP($G232,ScoringTable!$U$2:$U$161,ScoringTable!$R$2:$R$161,,-1))</f>
        <v>0</v>
      </c>
    </row>
    <row r="233" spans="1:13" s="7" customFormat="1" ht="16" customHeight="1">
      <c r="A233" s="121" t="s">
        <v>81</v>
      </c>
      <c r="B233" s="122" t="str">
        <f>IF(ISNA(VLOOKUP($F233,Declarations!B$6:C$293,2,FALSE)),"",IF(VLOOKUP($F233,Declarations!B$6:C$293,2,FALSE)="","NOT DECLARED",IF(ISNA(_xlfn.TEXTBEFORE(VLOOKUP($F233,Declarations!B$6:C$293,2,FALSE)," ")),VLOOKUP($F233,Declarations!B$6:C$293,2,FALSE),_xlfn.TEXTBEFORE(VLOOKUP($F233,Declarations!B$6:C$293,2,FALSE)," "))))</f>
        <v/>
      </c>
      <c r="C233" s="122" t="str">
        <f>IF(ISNA(VLOOKUP($F233,Declarations!B$6:C$293,2,FALSE)),"",IF(VLOOKUP($F233,Declarations!B$6:C$293,2,FALSE)="","NOT DECLARED",IF(ISNA(_xlfn.TEXTAFTER(VLOOKUP($F233,Declarations!B$6:C$293,2,FALSE)," ")),VLOOKUP($F233,Declarations!B$6:C$293,2,FALSE),_xlfn.TEXTAFTER(VLOOKUP($F233,Declarations!B$6:C$293,2,FALSE)," "))))</f>
        <v/>
      </c>
      <c r="D233" s="122" t="str">
        <f>IF(ISNA(VLOOKUP($F233,Declarations!$B$6:$F$293,5,FALSE)),"",IF(VLOOKUP($F233,Declarations!$B$6:$F$293,5,FALSE)="","NOT DECLARED",VLOOKUP($F233,Declarations!$B$6:$F$293,5,FALSE)))</f>
        <v/>
      </c>
      <c r="E233" s="120" t="str">
        <f>IF(ISNA(VLOOKUP($F233,Declarations!$B$6:$D$293,3,FALSE)),"",IF(VLOOKUP($F233,Declarations!$B$6:$D$293,3,FALSE)="","NOT DECLARED",VLOOKUP($F233,Declarations!$B$6:$D$293,3,FALSE)&amp;LEFT(VLOOKUP($F233,Declarations!$B$6:$E$293,4,FALSE))))</f>
        <v/>
      </c>
      <c r="F233" s="59"/>
      <c r="G233" s="129"/>
      <c r="H233" s="129"/>
      <c r="I233" s="122" t="str">
        <f>IF(ISNA(VLOOKUP(F233,Declarations!B$6:C$293,2,FALSE)),"",IF(VLOOKUP(F233,Declarations!B$6:C$293,2,FALSE)="","NOT DECLARED",VLOOKUP(F233,Declarations!B$6:C$293,2,FALSE)))</f>
        <v/>
      </c>
      <c r="J233" s="120">
        <f>IF(LOWER(LEFT(G233,1))="n",1,VLOOKUP(G233,ScoringTable!D$2:I$95,6))</f>
        <v>0</v>
      </c>
      <c r="K233" s="120" t="str" cm="1">
        <f t="array" ref="K233">IF(OR(E233="",G233=""),"",_xlfn.IFS(E233="U10B",_xlfn.XLOOKUP(G233,Data!$D$5:$L$5,Data!$D$1:$L$1,"",-1,1),E233="U12B",_xlfn.XLOOKUP(G233,Data!$D$12:$L$12,Data!$D$1:$L$1,"",-1,1),E233="U10G",_xlfn.XLOOKUP(G233,Data!$D$18:$L$18,Data!$D$1:$L$1,"",-1,1),E233="U12G",_xlfn.XLOOKUP(G233,Data!$D$25:$L$25,Data!$D$1:$L$1,"",-1,1)))</f>
        <v/>
      </c>
      <c r="L233" s="184" t="str" cm="1">
        <f t="array" ref="L233">IFERROR(_xlfn.IFNA(
                      _xlfn.IFS(
                      G233="", "",
                      AND(E233="U10B",G233&gt;=Data!$M$5), "U10 Boys record",
                      AND(E233="U12B",G233&gt;=Data!$M$12), "U12 Boys record",
                      AND(E233="U10G",G233&gt;=Data!$M$18), "U10 Girls record",
                      AND(E233="U12G",G233&gt;=Data!$M$25), "U12 Girls record"
                       ),""), "")</f>
        <v/>
      </c>
      <c r="M233" s="19" cm="1">
        <f t="array" ref="M233">_xlfn.IFS($G233="",0, AND(NOT(ISNUMBER($G233)),LOWER(LEFT($G233,1))&lt;&gt;"n"),"Not a valid distance",OR(LOWER(LEFT($G233,1))="n",$G233&lt;ScoringTable!$O$161),1,RIGHT($E233,1)="B",_xlfn.XLOOKUP($G233,ScoringTable!$O$2:$O$161,ScoringTable!$L$2:$L$161,,-1),TRUE,_xlfn.XLOOKUP($G233,ScoringTable!$U$2:$U$161,ScoringTable!$R$2:$R$161,,-1))</f>
        <v>0</v>
      </c>
    </row>
    <row r="234" spans="1:13" s="7" customFormat="1" ht="16" customHeight="1">
      <c r="A234" s="121" t="s">
        <v>81</v>
      </c>
      <c r="B234" s="122" t="str">
        <f>IF(ISNA(VLOOKUP($F234,Declarations!B$6:C$293,2,FALSE)),"",IF(VLOOKUP($F234,Declarations!B$6:C$293,2,FALSE)="","NOT DECLARED",IF(ISNA(_xlfn.TEXTBEFORE(VLOOKUP($F234,Declarations!B$6:C$293,2,FALSE)," ")),VLOOKUP($F234,Declarations!B$6:C$293,2,FALSE),_xlfn.TEXTBEFORE(VLOOKUP($F234,Declarations!B$6:C$293,2,FALSE)," "))))</f>
        <v/>
      </c>
      <c r="C234" s="122" t="str">
        <f>IF(ISNA(VLOOKUP($F234,Declarations!B$6:C$293,2,FALSE)),"",IF(VLOOKUP($F234,Declarations!B$6:C$293,2,FALSE)="","NOT DECLARED",IF(ISNA(_xlfn.TEXTAFTER(VLOOKUP($F234,Declarations!B$6:C$293,2,FALSE)," ")),VLOOKUP($F234,Declarations!B$6:C$293,2,FALSE),_xlfn.TEXTAFTER(VLOOKUP($F234,Declarations!B$6:C$293,2,FALSE)," "))))</f>
        <v/>
      </c>
      <c r="D234" s="122" t="str">
        <f>IF(ISNA(VLOOKUP($F234,Declarations!$B$6:$F$293,5,FALSE)),"",IF(VLOOKUP($F234,Declarations!$B$6:$F$293,5,FALSE)="","NOT DECLARED",VLOOKUP($F234,Declarations!$B$6:$F$293,5,FALSE)))</f>
        <v/>
      </c>
      <c r="E234" s="120" t="str">
        <f>IF(ISNA(VLOOKUP($F234,Declarations!$B$6:$D$293,3,FALSE)),"",IF(VLOOKUP($F234,Declarations!$B$6:$D$293,3,FALSE)="","NOT DECLARED",VLOOKUP($F234,Declarations!$B$6:$D$293,3,FALSE)&amp;LEFT(VLOOKUP($F234,Declarations!$B$6:$E$293,4,FALSE))))</f>
        <v/>
      </c>
      <c r="F234" s="59"/>
      <c r="G234" s="129"/>
      <c r="H234" s="129"/>
      <c r="I234" s="122" t="str">
        <f>IF(ISNA(VLOOKUP(F234,Declarations!B$6:C$293,2,FALSE)),"",IF(VLOOKUP(F234,Declarations!B$6:C$293,2,FALSE)="","NOT DECLARED",VLOOKUP(F234,Declarations!B$6:C$293,2,FALSE)))</f>
        <v/>
      </c>
      <c r="J234" s="120">
        <f>IF(LOWER(LEFT(G234,1))="n",1,VLOOKUP(G234,ScoringTable!D$2:I$95,6))</f>
        <v>0</v>
      </c>
      <c r="K234" s="120" t="str" cm="1">
        <f t="array" ref="K234">IF(OR(E234="",G234=""),"",_xlfn.IFS(E234="U10B",_xlfn.XLOOKUP(G234,Data!$D$5:$L$5,Data!$D$1:$L$1,"",-1,1),E234="U12B",_xlfn.XLOOKUP(G234,Data!$D$12:$L$12,Data!$D$1:$L$1,"",-1,1),E234="U10G",_xlfn.XLOOKUP(G234,Data!$D$18:$L$18,Data!$D$1:$L$1,"",-1,1),E234="U12G",_xlfn.XLOOKUP(G234,Data!$D$25:$L$25,Data!$D$1:$L$1,"",-1,1)))</f>
        <v/>
      </c>
      <c r="L234" s="184" t="str" cm="1">
        <f t="array" ref="L234">IFERROR(_xlfn.IFNA(
                      _xlfn.IFS(
                      G234="", "",
                      AND(E234="U10B",G234&gt;=Data!$M$5), "U10 Boys record",
                      AND(E234="U12B",G234&gt;=Data!$M$12), "U12 Boys record",
                      AND(E234="U10G",G234&gt;=Data!$M$18), "U10 Girls record",
                      AND(E234="U12G",G234&gt;=Data!$M$25), "U12 Girls record"
                       ),""), "")</f>
        <v/>
      </c>
      <c r="M234" s="19" cm="1">
        <f t="array" ref="M234">_xlfn.IFS($G234="",0, AND(NOT(ISNUMBER($G234)),LOWER(LEFT($G234,1))&lt;&gt;"n"),"Not a valid distance",OR(LOWER(LEFT($G234,1))="n",$G234&lt;ScoringTable!$O$161),1,RIGHT($E234,1)="B",_xlfn.XLOOKUP($G234,ScoringTable!$O$2:$O$161,ScoringTable!$L$2:$L$161,,-1),TRUE,_xlfn.XLOOKUP($G234,ScoringTable!$U$2:$U$161,ScoringTable!$R$2:$R$161,,-1))</f>
        <v>0</v>
      </c>
    </row>
    <row r="235" spans="1:13" s="7" customFormat="1" ht="16" customHeight="1">
      <c r="A235" s="121" t="s">
        <v>81</v>
      </c>
      <c r="B235" s="122" t="str">
        <f>IF(ISNA(VLOOKUP($F235,Declarations!B$6:C$293,2,FALSE)),"",IF(VLOOKUP($F235,Declarations!B$6:C$293,2,FALSE)="","NOT DECLARED",IF(ISNA(_xlfn.TEXTBEFORE(VLOOKUP($F235,Declarations!B$6:C$293,2,FALSE)," ")),VLOOKUP($F235,Declarations!B$6:C$293,2,FALSE),_xlfn.TEXTBEFORE(VLOOKUP($F235,Declarations!B$6:C$293,2,FALSE)," "))))</f>
        <v/>
      </c>
      <c r="C235" s="122" t="str">
        <f>IF(ISNA(VLOOKUP($F235,Declarations!B$6:C$293,2,FALSE)),"",IF(VLOOKUP($F235,Declarations!B$6:C$293,2,FALSE)="","NOT DECLARED",IF(ISNA(_xlfn.TEXTAFTER(VLOOKUP($F235,Declarations!B$6:C$293,2,FALSE)," ")),VLOOKUP($F235,Declarations!B$6:C$293,2,FALSE),_xlfn.TEXTAFTER(VLOOKUP($F235,Declarations!B$6:C$293,2,FALSE)," "))))</f>
        <v/>
      </c>
      <c r="D235" s="122" t="str">
        <f>IF(ISNA(VLOOKUP($F235,Declarations!$B$6:$F$293,5,FALSE)),"",IF(VLOOKUP($F235,Declarations!$B$6:$F$293,5,FALSE)="","NOT DECLARED",VLOOKUP($F235,Declarations!$B$6:$F$293,5,FALSE)))</f>
        <v/>
      </c>
      <c r="E235" s="120" t="str">
        <f>IF(ISNA(VLOOKUP($F235,Declarations!$B$6:$D$293,3,FALSE)),"",IF(VLOOKUP($F235,Declarations!$B$6:$D$293,3,FALSE)="","NOT DECLARED",VLOOKUP($F235,Declarations!$B$6:$D$293,3,FALSE)&amp;LEFT(VLOOKUP($F235,Declarations!$B$6:$E$293,4,FALSE))))</f>
        <v/>
      </c>
      <c r="F235" s="59"/>
      <c r="G235" s="129"/>
      <c r="H235" s="129"/>
      <c r="I235" s="122" t="str">
        <f>IF(ISNA(VLOOKUP(F235,Declarations!B$6:C$293,2,FALSE)),"",IF(VLOOKUP(F235,Declarations!B$6:C$293,2,FALSE)="","NOT DECLARED",VLOOKUP(F235,Declarations!B$6:C$293,2,FALSE)))</f>
        <v/>
      </c>
      <c r="J235" s="120">
        <f>IF(LOWER(LEFT(G235,1))="n",1,VLOOKUP(G235,ScoringTable!D$2:I$95,6))</f>
        <v>0</v>
      </c>
      <c r="K235" s="120" t="str" cm="1">
        <f t="array" ref="K235">IF(OR(E235="",G235=""),"",_xlfn.IFS(E235="U10B",_xlfn.XLOOKUP(G235,Data!$D$5:$L$5,Data!$D$1:$L$1,"",-1,1),E235="U12B",_xlfn.XLOOKUP(G235,Data!$D$12:$L$12,Data!$D$1:$L$1,"",-1,1),E235="U10G",_xlfn.XLOOKUP(G235,Data!$D$18:$L$18,Data!$D$1:$L$1,"",-1,1),E235="U12G",_xlfn.XLOOKUP(G235,Data!$D$25:$L$25,Data!$D$1:$L$1,"",-1,1)))</f>
        <v/>
      </c>
      <c r="L235" s="184" t="str" cm="1">
        <f t="array" ref="L235">IFERROR(_xlfn.IFNA(
                      _xlfn.IFS(
                      G235="", "",
                      AND(E235="U10B",G235&gt;=Data!$M$5), "U10 Boys record",
                      AND(E235="U12B",G235&gt;=Data!$M$12), "U12 Boys record",
                      AND(E235="U10G",G235&gt;=Data!$M$18), "U10 Girls record",
                      AND(E235="U12G",G235&gt;=Data!$M$25), "U12 Girls record"
                       ),""), "")</f>
        <v/>
      </c>
      <c r="M235" s="19" cm="1">
        <f t="array" ref="M235">_xlfn.IFS($G235="",0, AND(NOT(ISNUMBER($G235)),LOWER(LEFT($G235,1))&lt;&gt;"n"),"Not a valid distance",OR(LOWER(LEFT($G235,1))="n",$G235&lt;ScoringTable!$O$161),1,RIGHT($E235,1)="B",_xlfn.XLOOKUP($G235,ScoringTable!$O$2:$O$161,ScoringTable!$L$2:$L$161,,-1),TRUE,_xlfn.XLOOKUP($G235,ScoringTable!$U$2:$U$161,ScoringTable!$R$2:$R$161,,-1))</f>
        <v>0</v>
      </c>
    </row>
    <row r="236" spans="1:13" s="7" customFormat="1" ht="16" customHeight="1">
      <c r="A236" s="121" t="s">
        <v>81</v>
      </c>
      <c r="B236" s="122" t="str">
        <f>IF(ISNA(VLOOKUP($F236,Declarations!B$6:C$293,2,FALSE)),"",IF(VLOOKUP($F236,Declarations!B$6:C$293,2,FALSE)="","NOT DECLARED",IF(ISNA(_xlfn.TEXTBEFORE(VLOOKUP($F236,Declarations!B$6:C$293,2,FALSE)," ")),VLOOKUP($F236,Declarations!B$6:C$293,2,FALSE),_xlfn.TEXTBEFORE(VLOOKUP($F236,Declarations!B$6:C$293,2,FALSE)," "))))</f>
        <v/>
      </c>
      <c r="C236" s="122" t="str">
        <f>IF(ISNA(VLOOKUP($F236,Declarations!B$6:C$293,2,FALSE)),"",IF(VLOOKUP($F236,Declarations!B$6:C$293,2,FALSE)="","NOT DECLARED",IF(ISNA(_xlfn.TEXTAFTER(VLOOKUP($F236,Declarations!B$6:C$293,2,FALSE)," ")),VLOOKUP($F236,Declarations!B$6:C$293,2,FALSE),_xlfn.TEXTAFTER(VLOOKUP($F236,Declarations!B$6:C$293,2,FALSE)," "))))</f>
        <v/>
      </c>
      <c r="D236" s="122" t="str">
        <f>IF(ISNA(VLOOKUP($F236,Declarations!$B$6:$F$293,5,FALSE)),"",IF(VLOOKUP($F236,Declarations!$B$6:$F$293,5,FALSE)="","NOT DECLARED",VLOOKUP($F236,Declarations!$B$6:$F$293,5,FALSE)))</f>
        <v/>
      </c>
      <c r="E236" s="120" t="str">
        <f>IF(ISNA(VLOOKUP($F236,Declarations!$B$6:$D$293,3,FALSE)),"",IF(VLOOKUP($F236,Declarations!$B$6:$D$293,3,FALSE)="","NOT DECLARED",VLOOKUP($F236,Declarations!$B$6:$D$293,3,FALSE)&amp;LEFT(VLOOKUP($F236,Declarations!$B$6:$E$293,4,FALSE))))</f>
        <v/>
      </c>
      <c r="F236" s="59"/>
      <c r="G236" s="129"/>
      <c r="H236" s="129"/>
      <c r="I236" s="122" t="str">
        <f>IF(ISNA(VLOOKUP(F236,Declarations!B$6:C$293,2,FALSE)),"",IF(VLOOKUP(F236,Declarations!B$6:C$293,2,FALSE)="","NOT DECLARED",VLOOKUP(F236,Declarations!B$6:C$293,2,FALSE)))</f>
        <v/>
      </c>
      <c r="J236" s="120">
        <f>IF(LOWER(LEFT(G236,1))="n",1,VLOOKUP(G236,ScoringTable!D$2:I$95,6))</f>
        <v>0</v>
      </c>
      <c r="K236" s="120" t="str" cm="1">
        <f t="array" ref="K236">IF(OR(E236="",G236=""),"",_xlfn.IFS(E236="U10B",_xlfn.XLOOKUP(G236,Data!$D$5:$L$5,Data!$D$1:$L$1,"",-1,1),E236="U12B",_xlfn.XLOOKUP(G236,Data!$D$12:$L$12,Data!$D$1:$L$1,"",-1,1),E236="U10G",_xlfn.XLOOKUP(G236,Data!$D$18:$L$18,Data!$D$1:$L$1,"",-1,1),E236="U12G",_xlfn.XLOOKUP(G236,Data!$D$25:$L$25,Data!$D$1:$L$1,"",-1,1)))</f>
        <v/>
      </c>
      <c r="L236" s="184" t="str" cm="1">
        <f t="array" ref="L236">IFERROR(_xlfn.IFNA(
                      _xlfn.IFS(
                      G236="", "",
                      AND(E236="U10B",G236&gt;=Data!$M$5), "U10 Boys record",
                      AND(E236="U12B",G236&gt;=Data!$M$12), "U12 Boys record",
                      AND(E236="U10G",G236&gt;=Data!$M$18), "U10 Girls record",
                      AND(E236="U12G",G236&gt;=Data!$M$25), "U12 Girls record"
                       ),""), "")</f>
        <v/>
      </c>
      <c r="M236" s="19" cm="1">
        <f t="array" ref="M236">_xlfn.IFS($G236="",0, AND(NOT(ISNUMBER($G236)),LOWER(LEFT($G236,1))&lt;&gt;"n"),"Not a valid distance",OR(LOWER(LEFT($G236,1))="n",$G236&lt;ScoringTable!$O$161),1,RIGHT($E236,1)="B",_xlfn.XLOOKUP($G236,ScoringTable!$O$2:$O$161,ScoringTable!$L$2:$L$161,,-1),TRUE,_xlfn.XLOOKUP($G236,ScoringTable!$U$2:$U$161,ScoringTable!$R$2:$R$161,,-1))</f>
        <v>0</v>
      </c>
    </row>
    <row r="237" spans="1:13" s="7" customFormat="1" ht="16" customHeight="1">
      <c r="A237" s="121" t="s">
        <v>81</v>
      </c>
      <c r="B237" s="122" t="str">
        <f>IF(ISNA(VLOOKUP($F237,Declarations!B$6:C$293,2,FALSE)),"",IF(VLOOKUP($F237,Declarations!B$6:C$293,2,FALSE)="","NOT DECLARED",IF(ISNA(_xlfn.TEXTBEFORE(VLOOKUP($F237,Declarations!B$6:C$293,2,FALSE)," ")),VLOOKUP($F237,Declarations!B$6:C$293,2,FALSE),_xlfn.TEXTBEFORE(VLOOKUP($F237,Declarations!B$6:C$293,2,FALSE)," "))))</f>
        <v/>
      </c>
      <c r="C237" s="122" t="str">
        <f>IF(ISNA(VLOOKUP($F237,Declarations!B$6:C$293,2,FALSE)),"",IF(VLOOKUP($F237,Declarations!B$6:C$293,2,FALSE)="","NOT DECLARED",IF(ISNA(_xlfn.TEXTAFTER(VLOOKUP($F237,Declarations!B$6:C$293,2,FALSE)," ")),VLOOKUP($F237,Declarations!B$6:C$293,2,FALSE),_xlfn.TEXTAFTER(VLOOKUP($F237,Declarations!B$6:C$293,2,FALSE)," "))))</f>
        <v/>
      </c>
      <c r="D237" s="122" t="str">
        <f>IF(ISNA(VLOOKUP($F237,Declarations!$B$6:$F$293,5,FALSE)),"",IF(VLOOKUP($F237,Declarations!$B$6:$F$293,5,FALSE)="","NOT DECLARED",VLOOKUP($F237,Declarations!$B$6:$F$293,5,FALSE)))</f>
        <v/>
      </c>
      <c r="E237" s="120" t="str">
        <f>IF(ISNA(VLOOKUP($F237,Declarations!$B$6:$D$293,3,FALSE)),"",IF(VLOOKUP($F237,Declarations!$B$6:$D$293,3,FALSE)="","NOT DECLARED",VLOOKUP($F237,Declarations!$B$6:$D$293,3,FALSE)&amp;LEFT(VLOOKUP($F237,Declarations!$B$6:$E$293,4,FALSE))))</f>
        <v/>
      </c>
      <c r="F237" s="59"/>
      <c r="G237" s="129"/>
      <c r="H237" s="129"/>
      <c r="I237" s="122" t="str">
        <f>IF(ISNA(VLOOKUP(F237,Declarations!B$6:C$293,2,FALSE)),"",IF(VLOOKUP(F237,Declarations!B$6:C$293,2,FALSE)="","NOT DECLARED",VLOOKUP(F237,Declarations!B$6:C$293,2,FALSE)))</f>
        <v/>
      </c>
      <c r="J237" s="120">
        <f>IF(LOWER(LEFT(G237,1))="n",1,VLOOKUP(G237,ScoringTable!D$2:I$95,6))</f>
        <v>0</v>
      </c>
      <c r="K237" s="120" t="str" cm="1">
        <f t="array" ref="K237">IF(OR(E237="",G237=""),"",_xlfn.IFS(E237="U10B",_xlfn.XLOOKUP(G237,Data!$D$5:$L$5,Data!$D$1:$L$1,"",-1,1),E237="U12B",_xlfn.XLOOKUP(G237,Data!$D$12:$L$12,Data!$D$1:$L$1,"",-1,1),E237="U10G",_xlfn.XLOOKUP(G237,Data!$D$18:$L$18,Data!$D$1:$L$1,"",-1,1),E237="U12G",_xlfn.XLOOKUP(G237,Data!$D$25:$L$25,Data!$D$1:$L$1,"",-1,1)))</f>
        <v/>
      </c>
      <c r="L237" s="184" t="str" cm="1">
        <f t="array" ref="L237">IFERROR(_xlfn.IFNA(
                      _xlfn.IFS(
                      G237="", "",
                      AND(E237="U10B",G237&gt;=Data!$M$5), "U10 Boys record",
                      AND(E237="U12B",G237&gt;=Data!$M$12), "U12 Boys record",
                      AND(E237="U10G",G237&gt;=Data!$M$18), "U10 Girls record",
                      AND(E237="U12G",G237&gt;=Data!$M$25), "U12 Girls record"
                       ),""), "")</f>
        <v/>
      </c>
      <c r="M237" s="19" cm="1">
        <f t="array" ref="M237">_xlfn.IFS($G237="",0, AND(NOT(ISNUMBER($G237)),LOWER(LEFT($G237,1))&lt;&gt;"n"),"Not a valid distance",OR(LOWER(LEFT($G237,1))="n",$G237&lt;ScoringTable!$O$161),1,RIGHT($E237,1)="B",_xlfn.XLOOKUP($G237,ScoringTable!$O$2:$O$161,ScoringTable!$L$2:$L$161,,-1),TRUE,_xlfn.XLOOKUP($G237,ScoringTable!$U$2:$U$161,ScoringTable!$R$2:$R$161,,-1))</f>
        <v>0</v>
      </c>
    </row>
    <row r="238" spans="1:13" s="7" customFormat="1" ht="16" customHeight="1">
      <c r="A238" s="121" t="s">
        <v>81</v>
      </c>
      <c r="B238" s="122" t="str">
        <f>IF(ISNA(VLOOKUP($F238,Declarations!B$6:C$293,2,FALSE)),"",IF(VLOOKUP($F238,Declarations!B$6:C$293,2,FALSE)="","NOT DECLARED",IF(ISNA(_xlfn.TEXTBEFORE(VLOOKUP($F238,Declarations!B$6:C$293,2,FALSE)," ")),VLOOKUP($F238,Declarations!B$6:C$293,2,FALSE),_xlfn.TEXTBEFORE(VLOOKUP($F238,Declarations!B$6:C$293,2,FALSE)," "))))</f>
        <v/>
      </c>
      <c r="C238" s="122" t="str">
        <f>IF(ISNA(VLOOKUP($F238,Declarations!B$6:C$293,2,FALSE)),"",IF(VLOOKUP($F238,Declarations!B$6:C$293,2,FALSE)="","NOT DECLARED",IF(ISNA(_xlfn.TEXTAFTER(VLOOKUP($F238,Declarations!B$6:C$293,2,FALSE)," ")),VLOOKUP($F238,Declarations!B$6:C$293,2,FALSE),_xlfn.TEXTAFTER(VLOOKUP($F238,Declarations!B$6:C$293,2,FALSE)," "))))</f>
        <v/>
      </c>
      <c r="D238" s="122" t="str">
        <f>IF(ISNA(VLOOKUP($F238,Declarations!$B$6:$F$293,5,FALSE)),"",IF(VLOOKUP($F238,Declarations!$B$6:$F$293,5,FALSE)="","NOT DECLARED",VLOOKUP($F238,Declarations!$B$6:$F$293,5,FALSE)))</f>
        <v/>
      </c>
      <c r="E238" s="120" t="str">
        <f>IF(ISNA(VLOOKUP($F238,Declarations!$B$6:$D$293,3,FALSE)),"",IF(VLOOKUP($F238,Declarations!$B$6:$D$293,3,FALSE)="","NOT DECLARED",VLOOKUP($F238,Declarations!$B$6:$D$293,3,FALSE)&amp;LEFT(VLOOKUP($F238,Declarations!$B$6:$E$293,4,FALSE))))</f>
        <v/>
      </c>
      <c r="F238" s="59"/>
      <c r="G238" s="129"/>
      <c r="H238" s="129"/>
      <c r="I238" s="122" t="str">
        <f>IF(ISNA(VLOOKUP(F238,Declarations!B$6:C$293,2,FALSE)),"",IF(VLOOKUP(F238,Declarations!B$6:C$293,2,FALSE)="","NOT DECLARED",VLOOKUP(F238,Declarations!B$6:C$293,2,FALSE)))</f>
        <v/>
      </c>
      <c r="J238" s="120">
        <f>IF(LOWER(LEFT(G238,1))="n",1,VLOOKUP(G238,ScoringTable!D$2:I$95,6))</f>
        <v>0</v>
      </c>
      <c r="K238" s="120" t="str" cm="1">
        <f t="array" ref="K238">IF(OR(E238="",G238=""),"",_xlfn.IFS(E238="U10B",_xlfn.XLOOKUP(G238,Data!$D$5:$L$5,Data!$D$1:$L$1,"",-1,1),E238="U12B",_xlfn.XLOOKUP(G238,Data!$D$12:$L$12,Data!$D$1:$L$1,"",-1,1),E238="U10G",_xlfn.XLOOKUP(G238,Data!$D$18:$L$18,Data!$D$1:$L$1,"",-1,1),E238="U12G",_xlfn.XLOOKUP(G238,Data!$D$25:$L$25,Data!$D$1:$L$1,"",-1,1)))</f>
        <v/>
      </c>
      <c r="L238" s="184" t="str" cm="1">
        <f t="array" ref="L238">IFERROR(_xlfn.IFNA(
                      _xlfn.IFS(
                      G238="", "",
                      AND(E238="U10B",G238&gt;=Data!$M$5), "U10 Boys record",
                      AND(E238="U12B",G238&gt;=Data!$M$12), "U12 Boys record",
                      AND(E238="U10G",G238&gt;=Data!$M$18), "U10 Girls record",
                      AND(E238="U12G",G238&gt;=Data!$M$25), "U12 Girls record"
                       ),""), "")</f>
        <v/>
      </c>
      <c r="M238" s="19" cm="1">
        <f t="array" ref="M238">_xlfn.IFS($G238="",0, AND(NOT(ISNUMBER($G238)),LOWER(LEFT($G238,1))&lt;&gt;"n"),"Not a valid distance",OR(LOWER(LEFT($G238,1))="n",$G238&lt;ScoringTable!$O$161),1,RIGHT($E238,1)="B",_xlfn.XLOOKUP($G238,ScoringTable!$O$2:$O$161,ScoringTable!$L$2:$L$161,,-1),TRUE,_xlfn.XLOOKUP($G238,ScoringTable!$U$2:$U$161,ScoringTable!$R$2:$R$161,,-1))</f>
        <v>0</v>
      </c>
    </row>
    <row r="239" spans="1:13" s="7" customFormat="1" ht="16" customHeight="1">
      <c r="A239" s="121" t="s">
        <v>81</v>
      </c>
      <c r="B239" s="122" t="str">
        <f>IF(ISNA(VLOOKUP($F239,Declarations!B$6:C$293,2,FALSE)),"",IF(VLOOKUP($F239,Declarations!B$6:C$293,2,FALSE)="","NOT DECLARED",IF(ISNA(_xlfn.TEXTBEFORE(VLOOKUP($F239,Declarations!B$6:C$293,2,FALSE)," ")),VLOOKUP($F239,Declarations!B$6:C$293,2,FALSE),_xlfn.TEXTBEFORE(VLOOKUP($F239,Declarations!B$6:C$293,2,FALSE)," "))))</f>
        <v/>
      </c>
      <c r="C239" s="122" t="str">
        <f>IF(ISNA(VLOOKUP($F239,Declarations!B$6:C$293,2,FALSE)),"",IF(VLOOKUP($F239,Declarations!B$6:C$293,2,FALSE)="","NOT DECLARED",IF(ISNA(_xlfn.TEXTAFTER(VLOOKUP($F239,Declarations!B$6:C$293,2,FALSE)," ")),VLOOKUP($F239,Declarations!B$6:C$293,2,FALSE),_xlfn.TEXTAFTER(VLOOKUP($F239,Declarations!B$6:C$293,2,FALSE)," "))))</f>
        <v/>
      </c>
      <c r="D239" s="122" t="str">
        <f>IF(ISNA(VLOOKUP($F239,Declarations!$B$6:$F$293,5,FALSE)),"",IF(VLOOKUP($F239,Declarations!$B$6:$F$293,5,FALSE)="","NOT DECLARED",VLOOKUP($F239,Declarations!$B$6:$F$293,5,FALSE)))</f>
        <v/>
      </c>
      <c r="E239" s="120" t="str">
        <f>IF(ISNA(VLOOKUP($F239,Declarations!$B$6:$D$293,3,FALSE)),"",IF(VLOOKUP($F239,Declarations!$B$6:$D$293,3,FALSE)="","NOT DECLARED",VLOOKUP($F239,Declarations!$B$6:$D$293,3,FALSE)&amp;LEFT(VLOOKUP($F239,Declarations!$B$6:$E$293,4,FALSE))))</f>
        <v/>
      </c>
      <c r="F239" s="59"/>
      <c r="G239" s="129"/>
      <c r="H239" s="129"/>
      <c r="I239" s="122" t="str">
        <f>IF(ISNA(VLOOKUP(F239,Declarations!B$6:C$293,2,FALSE)),"",IF(VLOOKUP(F239,Declarations!B$6:C$293,2,FALSE)="","NOT DECLARED",VLOOKUP(F239,Declarations!B$6:C$293,2,FALSE)))</f>
        <v/>
      </c>
      <c r="J239" s="120">
        <f>IF(LOWER(LEFT(G239,1))="n",1,VLOOKUP(G239,ScoringTable!D$2:I$95,6))</f>
        <v>0</v>
      </c>
      <c r="K239" s="120" t="str" cm="1">
        <f t="array" ref="K239">IF(OR(E239="",G239=""),"",_xlfn.IFS(E239="U10B",_xlfn.XLOOKUP(G239,Data!$D$5:$L$5,Data!$D$1:$L$1,"",-1,1),E239="U12B",_xlfn.XLOOKUP(G239,Data!$D$12:$L$12,Data!$D$1:$L$1,"",-1,1),E239="U10G",_xlfn.XLOOKUP(G239,Data!$D$18:$L$18,Data!$D$1:$L$1,"",-1,1),E239="U12G",_xlfn.XLOOKUP(G239,Data!$D$25:$L$25,Data!$D$1:$L$1,"",-1,1)))</f>
        <v/>
      </c>
      <c r="L239" s="184" t="str" cm="1">
        <f t="array" ref="L239">IFERROR(_xlfn.IFNA(
                      _xlfn.IFS(
                      G239="", "",
                      AND(E239="U10B",G239&gt;=Data!$M$5), "U10 Boys record",
                      AND(E239="U12B",G239&gt;=Data!$M$12), "U12 Boys record",
                      AND(E239="U10G",G239&gt;=Data!$M$18), "U10 Girls record",
                      AND(E239="U12G",G239&gt;=Data!$M$25), "U12 Girls record"
                       ),""), "")</f>
        <v/>
      </c>
      <c r="M239" s="19" cm="1">
        <f t="array" ref="M239">_xlfn.IFS($G239="",0, AND(NOT(ISNUMBER($G239)),LOWER(LEFT($G239,1))&lt;&gt;"n"),"Not a valid distance",OR(LOWER(LEFT($G239,1))="n",$G239&lt;ScoringTable!$O$161),1,RIGHT($E239,1)="B",_xlfn.XLOOKUP($G239,ScoringTable!$O$2:$O$161,ScoringTable!$L$2:$L$161,,-1),TRUE,_xlfn.XLOOKUP($G239,ScoringTable!$U$2:$U$161,ScoringTable!$R$2:$R$161,,-1))</f>
        <v>0</v>
      </c>
    </row>
    <row r="240" spans="1:13" s="7" customFormat="1" ht="16" customHeight="1">
      <c r="A240" s="121" t="s">
        <v>81</v>
      </c>
      <c r="B240" s="122" t="str">
        <f>IF(ISNA(VLOOKUP($F240,Declarations!B$6:C$293,2,FALSE)),"",IF(VLOOKUP($F240,Declarations!B$6:C$293,2,FALSE)="","NOT DECLARED",IF(ISNA(_xlfn.TEXTBEFORE(VLOOKUP($F240,Declarations!B$6:C$293,2,FALSE)," ")),VLOOKUP($F240,Declarations!B$6:C$293,2,FALSE),_xlfn.TEXTBEFORE(VLOOKUP($F240,Declarations!B$6:C$293,2,FALSE)," "))))</f>
        <v/>
      </c>
      <c r="C240" s="122" t="str">
        <f>IF(ISNA(VLOOKUP($F240,Declarations!B$6:C$293,2,FALSE)),"",IF(VLOOKUP($F240,Declarations!B$6:C$293,2,FALSE)="","NOT DECLARED",IF(ISNA(_xlfn.TEXTAFTER(VLOOKUP($F240,Declarations!B$6:C$293,2,FALSE)," ")),VLOOKUP($F240,Declarations!B$6:C$293,2,FALSE),_xlfn.TEXTAFTER(VLOOKUP($F240,Declarations!B$6:C$293,2,FALSE)," "))))</f>
        <v/>
      </c>
      <c r="D240" s="122" t="str">
        <f>IF(ISNA(VLOOKUP($F240,Declarations!$B$6:$F$293,5,FALSE)),"",IF(VLOOKUP($F240,Declarations!$B$6:$F$293,5,FALSE)="","NOT DECLARED",VLOOKUP($F240,Declarations!$B$6:$F$293,5,FALSE)))</f>
        <v/>
      </c>
      <c r="E240" s="120" t="str">
        <f>IF(ISNA(VLOOKUP($F240,Declarations!$B$6:$D$293,3,FALSE)),"",IF(VLOOKUP($F240,Declarations!$B$6:$D$293,3,FALSE)="","NOT DECLARED",VLOOKUP($F240,Declarations!$B$6:$D$293,3,FALSE)&amp;LEFT(VLOOKUP($F240,Declarations!$B$6:$E$293,4,FALSE))))</f>
        <v/>
      </c>
      <c r="F240" s="59"/>
      <c r="G240" s="129"/>
      <c r="H240" s="129"/>
      <c r="I240" s="122" t="str">
        <f>IF(ISNA(VLOOKUP(F240,Declarations!B$6:C$293,2,FALSE)),"",IF(VLOOKUP(F240,Declarations!B$6:C$293,2,FALSE)="","NOT DECLARED",VLOOKUP(F240,Declarations!B$6:C$293,2,FALSE)))</f>
        <v/>
      </c>
      <c r="J240" s="120">
        <f>IF(LOWER(LEFT(G240,1))="n",1,VLOOKUP(G240,ScoringTable!D$2:I$95,6))</f>
        <v>0</v>
      </c>
      <c r="K240" s="120" t="str" cm="1">
        <f t="array" ref="K240">IF(OR(E240="",G240=""),"",_xlfn.IFS(E240="U10B",_xlfn.XLOOKUP(G240,Data!$D$5:$L$5,Data!$D$1:$L$1,"",-1,1),E240="U12B",_xlfn.XLOOKUP(G240,Data!$D$12:$L$12,Data!$D$1:$L$1,"",-1,1),E240="U10G",_xlfn.XLOOKUP(G240,Data!$D$18:$L$18,Data!$D$1:$L$1,"",-1,1),E240="U12G",_xlfn.XLOOKUP(G240,Data!$D$25:$L$25,Data!$D$1:$L$1,"",-1,1)))</f>
        <v/>
      </c>
      <c r="L240" s="184" t="str" cm="1">
        <f t="array" ref="L240">IFERROR(_xlfn.IFNA(
                      _xlfn.IFS(
                      G240="", "",
                      AND(E240="U10B",G240&gt;=Data!$M$5), "U10 Boys record",
                      AND(E240="U12B",G240&gt;=Data!$M$12), "U12 Boys record",
                      AND(E240="U10G",G240&gt;=Data!$M$18), "U10 Girls record",
                      AND(E240="U12G",G240&gt;=Data!$M$25), "U12 Girls record"
                       ),""), "")</f>
        <v/>
      </c>
      <c r="M240" s="19" cm="1">
        <f t="array" ref="M240">_xlfn.IFS($G240="",0, AND(NOT(ISNUMBER($G240)),LOWER(LEFT($G240,1))&lt;&gt;"n"),"Not a valid distance",OR(LOWER(LEFT($G240,1))="n",$G240&lt;ScoringTable!$O$161),1,RIGHT($E240,1)="B",_xlfn.XLOOKUP($G240,ScoringTable!$O$2:$O$161,ScoringTable!$L$2:$L$161,,-1),TRUE,_xlfn.XLOOKUP($G240,ScoringTable!$U$2:$U$161,ScoringTable!$R$2:$R$161,,-1))</f>
        <v>0</v>
      </c>
    </row>
    <row r="241" spans="1:13" s="7" customFormat="1" ht="16" customHeight="1">
      <c r="A241" s="121" t="s">
        <v>81</v>
      </c>
      <c r="B241" s="122" t="str">
        <f>IF(ISNA(VLOOKUP($F241,Declarations!B$6:C$293,2,FALSE)),"",IF(VLOOKUP($F241,Declarations!B$6:C$293,2,FALSE)="","NOT DECLARED",IF(ISNA(_xlfn.TEXTBEFORE(VLOOKUP($F241,Declarations!B$6:C$293,2,FALSE)," ")),VLOOKUP($F241,Declarations!B$6:C$293,2,FALSE),_xlfn.TEXTBEFORE(VLOOKUP($F241,Declarations!B$6:C$293,2,FALSE)," "))))</f>
        <v/>
      </c>
      <c r="C241" s="122" t="str">
        <f>IF(ISNA(VLOOKUP($F241,Declarations!B$6:C$293,2,FALSE)),"",IF(VLOOKUP($F241,Declarations!B$6:C$293,2,FALSE)="","NOT DECLARED",IF(ISNA(_xlfn.TEXTAFTER(VLOOKUP($F241,Declarations!B$6:C$293,2,FALSE)," ")),VLOOKUP($F241,Declarations!B$6:C$293,2,FALSE),_xlfn.TEXTAFTER(VLOOKUP($F241,Declarations!B$6:C$293,2,FALSE)," "))))</f>
        <v/>
      </c>
      <c r="D241" s="122" t="str">
        <f>IF(ISNA(VLOOKUP($F241,Declarations!$B$6:$F$293,5,FALSE)),"",IF(VLOOKUP($F241,Declarations!$B$6:$F$293,5,FALSE)="","NOT DECLARED",VLOOKUP($F241,Declarations!$B$6:$F$293,5,FALSE)))</f>
        <v/>
      </c>
      <c r="E241" s="120" t="str">
        <f>IF(ISNA(VLOOKUP($F241,Declarations!$B$6:$D$293,3,FALSE)),"",IF(VLOOKUP($F241,Declarations!$B$6:$D$293,3,FALSE)="","NOT DECLARED",VLOOKUP($F241,Declarations!$B$6:$D$293,3,FALSE)&amp;LEFT(VLOOKUP($F241,Declarations!$B$6:$E$293,4,FALSE))))</f>
        <v/>
      </c>
      <c r="F241" s="59"/>
      <c r="G241" s="129"/>
      <c r="H241" s="129"/>
      <c r="I241" s="122" t="str">
        <f>IF(ISNA(VLOOKUP(F241,Declarations!B$6:C$293,2,FALSE)),"",IF(VLOOKUP(F241,Declarations!B$6:C$293,2,FALSE)="","NOT DECLARED",VLOOKUP(F241,Declarations!B$6:C$293,2,FALSE)))</f>
        <v/>
      </c>
      <c r="J241" s="120">
        <f>IF(LOWER(LEFT(G241,1))="n",1,VLOOKUP(G241,ScoringTable!D$2:I$95,6))</f>
        <v>0</v>
      </c>
      <c r="K241" s="120" t="str" cm="1">
        <f t="array" ref="K241">IF(OR(E241="",G241=""),"",_xlfn.IFS(E241="U10B",_xlfn.XLOOKUP(G241,Data!$D$5:$L$5,Data!$D$1:$L$1,"",-1,1),E241="U12B",_xlfn.XLOOKUP(G241,Data!$D$12:$L$12,Data!$D$1:$L$1,"",-1,1),E241="U10G",_xlfn.XLOOKUP(G241,Data!$D$18:$L$18,Data!$D$1:$L$1,"",-1,1),E241="U12G",_xlfn.XLOOKUP(G241,Data!$D$25:$L$25,Data!$D$1:$L$1,"",-1,1)))</f>
        <v/>
      </c>
      <c r="L241" s="184" t="str" cm="1">
        <f t="array" ref="L241">IFERROR(_xlfn.IFNA(
                      _xlfn.IFS(
                      G241="", "",
                      AND(E241="U10B",G241&gt;=Data!$M$5), "U10 Boys record",
                      AND(E241="U12B",G241&gt;=Data!$M$12), "U12 Boys record",
                      AND(E241="U10G",G241&gt;=Data!$M$18), "U10 Girls record",
                      AND(E241="U12G",G241&gt;=Data!$M$25), "U12 Girls record"
                       ),""), "")</f>
        <v/>
      </c>
      <c r="M241" s="19" cm="1">
        <f t="array" ref="M241">_xlfn.IFS($G241="",0, AND(NOT(ISNUMBER($G241)),LOWER(LEFT($G241,1))&lt;&gt;"n"),"Not a valid distance",OR(LOWER(LEFT($G241,1))="n",$G241&lt;ScoringTable!$O$161),1,RIGHT($E241,1)="B",_xlfn.XLOOKUP($G241,ScoringTable!$O$2:$O$161,ScoringTable!$L$2:$L$161,,-1),TRUE,_xlfn.XLOOKUP($G241,ScoringTable!$U$2:$U$161,ScoringTable!$R$2:$R$161,,-1))</f>
        <v>0</v>
      </c>
    </row>
    <row r="242" spans="1:13" s="7" customFormat="1" ht="16" customHeight="1">
      <c r="A242" s="121" t="s">
        <v>81</v>
      </c>
      <c r="B242" s="122" t="str">
        <f>IF(ISNA(VLOOKUP($F242,Declarations!B$6:C$293,2,FALSE)),"",IF(VLOOKUP($F242,Declarations!B$6:C$293,2,FALSE)="","NOT DECLARED",IF(ISNA(_xlfn.TEXTBEFORE(VLOOKUP($F242,Declarations!B$6:C$293,2,FALSE)," ")),VLOOKUP($F242,Declarations!B$6:C$293,2,FALSE),_xlfn.TEXTBEFORE(VLOOKUP($F242,Declarations!B$6:C$293,2,FALSE)," "))))</f>
        <v/>
      </c>
      <c r="C242" s="122" t="str">
        <f>IF(ISNA(VLOOKUP($F242,Declarations!B$6:C$293,2,FALSE)),"",IF(VLOOKUP($F242,Declarations!B$6:C$293,2,FALSE)="","NOT DECLARED",IF(ISNA(_xlfn.TEXTAFTER(VLOOKUP($F242,Declarations!B$6:C$293,2,FALSE)," ")),VLOOKUP($F242,Declarations!B$6:C$293,2,FALSE),_xlfn.TEXTAFTER(VLOOKUP($F242,Declarations!B$6:C$293,2,FALSE)," "))))</f>
        <v/>
      </c>
      <c r="D242" s="122" t="str">
        <f>IF(ISNA(VLOOKUP($F242,Declarations!$B$6:$F$293,5,FALSE)),"",IF(VLOOKUP($F242,Declarations!$B$6:$F$293,5,FALSE)="","NOT DECLARED",VLOOKUP($F242,Declarations!$B$6:$F$293,5,FALSE)))</f>
        <v/>
      </c>
      <c r="E242" s="120" t="str">
        <f>IF(ISNA(VLOOKUP($F242,Declarations!$B$6:$D$293,3,FALSE)),"",IF(VLOOKUP($F242,Declarations!$B$6:$D$293,3,FALSE)="","NOT DECLARED",VLOOKUP($F242,Declarations!$B$6:$D$293,3,FALSE)&amp;LEFT(VLOOKUP($F242,Declarations!$B$6:$E$293,4,FALSE))))</f>
        <v/>
      </c>
      <c r="F242" s="59"/>
      <c r="G242" s="129"/>
      <c r="H242" s="129"/>
      <c r="I242" s="122" t="str">
        <f>IF(ISNA(VLOOKUP(F242,Declarations!B$6:C$293,2,FALSE)),"",IF(VLOOKUP(F242,Declarations!B$6:C$293,2,FALSE)="","NOT DECLARED",VLOOKUP(F242,Declarations!B$6:C$293,2,FALSE)))</f>
        <v/>
      </c>
      <c r="J242" s="120">
        <f>IF(LOWER(LEFT(G242,1))="n",1,VLOOKUP(G242,ScoringTable!D$2:I$95,6))</f>
        <v>0</v>
      </c>
      <c r="K242" s="120" t="str" cm="1">
        <f t="array" ref="K242">IF(OR(E242="",G242=""),"",_xlfn.IFS(E242="U10B",_xlfn.XLOOKUP(G242,Data!$D$5:$L$5,Data!$D$1:$L$1,"",-1,1),E242="U12B",_xlfn.XLOOKUP(G242,Data!$D$12:$L$12,Data!$D$1:$L$1,"",-1,1),E242="U10G",_xlfn.XLOOKUP(G242,Data!$D$18:$L$18,Data!$D$1:$L$1,"",-1,1),E242="U12G",_xlfn.XLOOKUP(G242,Data!$D$25:$L$25,Data!$D$1:$L$1,"",-1,1)))</f>
        <v/>
      </c>
      <c r="L242" s="184" t="str" cm="1">
        <f t="array" ref="L242">IFERROR(_xlfn.IFNA(
                      _xlfn.IFS(
                      G242="", "",
                      AND(E242="U10B",G242&gt;=Data!$M$5), "U10 Boys record",
                      AND(E242="U12B",G242&gt;=Data!$M$12), "U12 Boys record",
                      AND(E242="U10G",G242&gt;=Data!$M$18), "U10 Girls record",
                      AND(E242="U12G",G242&gt;=Data!$M$25), "U12 Girls record"
                       ),""), "")</f>
        <v/>
      </c>
      <c r="M242" s="19" cm="1">
        <f t="array" ref="M242">_xlfn.IFS($G242="",0, AND(NOT(ISNUMBER($G242)),LOWER(LEFT($G242,1))&lt;&gt;"n"),"Not a valid distance",OR(LOWER(LEFT($G242,1))="n",$G242&lt;ScoringTable!$O$161),1,RIGHT($E242,1)="B",_xlfn.XLOOKUP($G242,ScoringTable!$O$2:$O$161,ScoringTable!$L$2:$L$161,,-1),TRUE,_xlfn.XLOOKUP($G242,ScoringTable!$U$2:$U$161,ScoringTable!$R$2:$R$161,,-1))</f>
        <v>0</v>
      </c>
    </row>
    <row r="243" spans="1:13" s="7" customFormat="1" ht="16" customHeight="1">
      <c r="A243" s="121" t="s">
        <v>81</v>
      </c>
      <c r="B243" s="122" t="str">
        <f>IF(ISNA(VLOOKUP($F243,Declarations!B$6:C$293,2,FALSE)),"",IF(VLOOKUP($F243,Declarations!B$6:C$293,2,FALSE)="","NOT DECLARED",IF(ISNA(_xlfn.TEXTBEFORE(VLOOKUP($F243,Declarations!B$6:C$293,2,FALSE)," ")),VLOOKUP($F243,Declarations!B$6:C$293,2,FALSE),_xlfn.TEXTBEFORE(VLOOKUP($F243,Declarations!B$6:C$293,2,FALSE)," "))))</f>
        <v/>
      </c>
      <c r="C243" s="122" t="str">
        <f>IF(ISNA(VLOOKUP($F243,Declarations!B$6:C$293,2,FALSE)),"",IF(VLOOKUP($F243,Declarations!B$6:C$293,2,FALSE)="","NOT DECLARED",IF(ISNA(_xlfn.TEXTAFTER(VLOOKUP($F243,Declarations!B$6:C$293,2,FALSE)," ")),VLOOKUP($F243,Declarations!B$6:C$293,2,FALSE),_xlfn.TEXTAFTER(VLOOKUP($F243,Declarations!B$6:C$293,2,FALSE)," "))))</f>
        <v/>
      </c>
      <c r="D243" s="122" t="str">
        <f>IF(ISNA(VLOOKUP($F243,Declarations!$B$6:$F$293,5,FALSE)),"",IF(VLOOKUP($F243,Declarations!$B$6:$F$293,5,FALSE)="","NOT DECLARED",VLOOKUP($F243,Declarations!$B$6:$F$293,5,FALSE)))</f>
        <v/>
      </c>
      <c r="E243" s="120" t="str">
        <f>IF(ISNA(VLOOKUP($F243,Declarations!$B$6:$D$293,3,FALSE)),"",IF(VLOOKUP($F243,Declarations!$B$6:$D$293,3,FALSE)="","NOT DECLARED",VLOOKUP($F243,Declarations!$B$6:$D$293,3,FALSE)&amp;LEFT(VLOOKUP($F243,Declarations!$B$6:$E$293,4,FALSE))))</f>
        <v/>
      </c>
      <c r="F243" s="59"/>
      <c r="G243" s="129"/>
      <c r="H243" s="129"/>
      <c r="I243" s="122" t="str">
        <f>IF(ISNA(VLOOKUP(F243,Declarations!B$6:C$293,2,FALSE)),"",IF(VLOOKUP(F243,Declarations!B$6:C$293,2,FALSE)="","NOT DECLARED",VLOOKUP(F243,Declarations!B$6:C$293,2,FALSE)))</f>
        <v/>
      </c>
      <c r="J243" s="120">
        <f>IF(LOWER(LEFT(G243,1))="n",1,VLOOKUP(G243,ScoringTable!D$2:I$95,6))</f>
        <v>0</v>
      </c>
      <c r="K243" s="120" t="str" cm="1">
        <f t="array" ref="K243">IF(OR(E243="",G243=""),"",_xlfn.IFS(E243="U10B",_xlfn.XLOOKUP(G243,Data!$D$5:$L$5,Data!$D$1:$L$1,"",-1,1),E243="U12B",_xlfn.XLOOKUP(G243,Data!$D$12:$L$12,Data!$D$1:$L$1,"",-1,1),E243="U10G",_xlfn.XLOOKUP(G243,Data!$D$18:$L$18,Data!$D$1:$L$1,"",-1,1),E243="U12G",_xlfn.XLOOKUP(G243,Data!$D$25:$L$25,Data!$D$1:$L$1,"",-1,1)))</f>
        <v/>
      </c>
      <c r="L243" s="184" t="str" cm="1">
        <f t="array" ref="L243">IFERROR(_xlfn.IFNA(
                      _xlfn.IFS(
                      G243="", "",
                      AND(E243="U10B",G243&gt;=Data!$M$5), "U10 Boys record",
                      AND(E243="U12B",G243&gt;=Data!$M$12), "U12 Boys record",
                      AND(E243="U10G",G243&gt;=Data!$M$18), "U10 Girls record",
                      AND(E243="U12G",G243&gt;=Data!$M$25), "U12 Girls record"
                       ),""), "")</f>
        <v/>
      </c>
      <c r="M243" s="19" cm="1">
        <f t="array" ref="M243">_xlfn.IFS($G243="",0, AND(NOT(ISNUMBER($G243)),LOWER(LEFT($G243,1))&lt;&gt;"n"),"Not a valid distance",OR(LOWER(LEFT($G243,1))="n",$G243&lt;ScoringTable!$O$161),1,RIGHT($E243,1)="B",_xlfn.XLOOKUP($G243,ScoringTable!$O$2:$O$161,ScoringTable!$L$2:$L$161,,-1),TRUE,_xlfn.XLOOKUP($G243,ScoringTable!$U$2:$U$161,ScoringTable!$R$2:$R$161,,-1))</f>
        <v>0</v>
      </c>
    </row>
    <row r="244" spans="1:13" s="7" customFormat="1" ht="16" customHeight="1">
      <c r="A244" s="121" t="s">
        <v>81</v>
      </c>
      <c r="B244" s="122" t="str">
        <f>IF(ISNA(VLOOKUP($F244,Declarations!B$6:C$293,2,FALSE)),"",IF(VLOOKUP($F244,Declarations!B$6:C$293,2,FALSE)="","NOT DECLARED",IF(ISNA(_xlfn.TEXTBEFORE(VLOOKUP($F244,Declarations!B$6:C$293,2,FALSE)," ")),VLOOKUP($F244,Declarations!B$6:C$293,2,FALSE),_xlfn.TEXTBEFORE(VLOOKUP($F244,Declarations!B$6:C$293,2,FALSE)," "))))</f>
        <v/>
      </c>
      <c r="C244" s="122" t="str">
        <f>IF(ISNA(VLOOKUP($F244,Declarations!B$6:C$293,2,FALSE)),"",IF(VLOOKUP($F244,Declarations!B$6:C$293,2,FALSE)="","NOT DECLARED",IF(ISNA(_xlfn.TEXTAFTER(VLOOKUP($F244,Declarations!B$6:C$293,2,FALSE)," ")),VLOOKUP($F244,Declarations!B$6:C$293,2,FALSE),_xlfn.TEXTAFTER(VLOOKUP($F244,Declarations!B$6:C$293,2,FALSE)," "))))</f>
        <v/>
      </c>
      <c r="D244" s="122" t="str">
        <f>IF(ISNA(VLOOKUP($F244,Declarations!$B$6:$F$293,5,FALSE)),"",IF(VLOOKUP($F244,Declarations!$B$6:$F$293,5,FALSE)="","NOT DECLARED",VLOOKUP($F244,Declarations!$B$6:$F$293,5,FALSE)))</f>
        <v/>
      </c>
      <c r="E244" s="120" t="str">
        <f>IF(ISNA(VLOOKUP($F244,Declarations!$B$6:$D$293,3,FALSE)),"",IF(VLOOKUP($F244,Declarations!$B$6:$D$293,3,FALSE)="","NOT DECLARED",VLOOKUP($F244,Declarations!$B$6:$D$293,3,FALSE)&amp;LEFT(VLOOKUP($F244,Declarations!$B$6:$E$293,4,FALSE))))</f>
        <v/>
      </c>
      <c r="F244" s="59"/>
      <c r="G244" s="129"/>
      <c r="H244" s="129"/>
      <c r="I244" s="122" t="str">
        <f>IF(ISNA(VLOOKUP(F244,Declarations!B$6:C$293,2,FALSE)),"",IF(VLOOKUP(F244,Declarations!B$6:C$293,2,FALSE)="","NOT DECLARED",VLOOKUP(F244,Declarations!B$6:C$293,2,FALSE)))</f>
        <v/>
      </c>
      <c r="J244" s="120">
        <f>IF(LOWER(LEFT(G244,1))="n",1,VLOOKUP(G244,ScoringTable!D$2:I$95,6))</f>
        <v>0</v>
      </c>
      <c r="K244" s="120" t="str" cm="1">
        <f t="array" ref="K244">IF(OR(E244="",G244=""),"",_xlfn.IFS(E244="U10B",_xlfn.XLOOKUP(G244,Data!$D$5:$L$5,Data!$D$1:$L$1,"",-1,1),E244="U12B",_xlfn.XLOOKUP(G244,Data!$D$12:$L$12,Data!$D$1:$L$1,"",-1,1),E244="U10G",_xlfn.XLOOKUP(G244,Data!$D$18:$L$18,Data!$D$1:$L$1,"",-1,1),E244="U12G",_xlfn.XLOOKUP(G244,Data!$D$25:$L$25,Data!$D$1:$L$1,"",-1,1)))</f>
        <v/>
      </c>
      <c r="L244" s="184" t="str" cm="1">
        <f t="array" ref="L244">IFERROR(_xlfn.IFNA(
                      _xlfn.IFS(
                      G244="", "",
                      AND(E244="U10B",G244&gt;=Data!$M$5), "U10 Boys record",
                      AND(E244="U12B",G244&gt;=Data!$M$12), "U12 Boys record",
                      AND(E244="U10G",G244&gt;=Data!$M$18), "U10 Girls record",
                      AND(E244="U12G",G244&gt;=Data!$M$25), "U12 Girls record"
                       ),""), "")</f>
        <v/>
      </c>
      <c r="M244" s="19" cm="1">
        <f t="array" ref="M244">_xlfn.IFS($G244="",0, AND(NOT(ISNUMBER($G244)),LOWER(LEFT($G244,1))&lt;&gt;"n"),"Not a valid distance",OR(LOWER(LEFT($G244,1))="n",$G244&lt;ScoringTable!$O$161),1,RIGHT($E244,1)="B",_xlfn.XLOOKUP($G244,ScoringTable!$O$2:$O$161,ScoringTable!$L$2:$L$161,,-1),TRUE,_xlfn.XLOOKUP($G244,ScoringTable!$U$2:$U$161,ScoringTable!$R$2:$R$161,,-1))</f>
        <v>0</v>
      </c>
    </row>
    <row r="245" spans="1:13" s="7" customFormat="1" ht="16" customHeight="1">
      <c r="A245" s="121" t="s">
        <v>81</v>
      </c>
      <c r="B245" s="122" t="str">
        <f>IF(ISNA(VLOOKUP($F245,Declarations!B$6:C$293,2,FALSE)),"",IF(VLOOKUP($F245,Declarations!B$6:C$293,2,FALSE)="","NOT DECLARED",IF(ISNA(_xlfn.TEXTBEFORE(VLOOKUP($F245,Declarations!B$6:C$293,2,FALSE)," ")),VLOOKUP($F245,Declarations!B$6:C$293,2,FALSE),_xlfn.TEXTBEFORE(VLOOKUP($F245,Declarations!B$6:C$293,2,FALSE)," "))))</f>
        <v/>
      </c>
      <c r="C245" s="122" t="str">
        <f>IF(ISNA(VLOOKUP($F245,Declarations!B$6:C$293,2,FALSE)),"",IF(VLOOKUP($F245,Declarations!B$6:C$293,2,FALSE)="","NOT DECLARED",IF(ISNA(_xlfn.TEXTAFTER(VLOOKUP($F245,Declarations!B$6:C$293,2,FALSE)," ")),VLOOKUP($F245,Declarations!B$6:C$293,2,FALSE),_xlfn.TEXTAFTER(VLOOKUP($F245,Declarations!B$6:C$293,2,FALSE)," "))))</f>
        <v/>
      </c>
      <c r="D245" s="122" t="str">
        <f>IF(ISNA(VLOOKUP($F245,Declarations!$B$6:$F$293,5,FALSE)),"",IF(VLOOKUP($F245,Declarations!$B$6:$F$293,5,FALSE)="","NOT DECLARED",VLOOKUP($F245,Declarations!$B$6:$F$293,5,FALSE)))</f>
        <v/>
      </c>
      <c r="E245" s="120" t="str">
        <f>IF(ISNA(VLOOKUP($F245,Declarations!$B$6:$D$293,3,FALSE)),"",IF(VLOOKUP($F245,Declarations!$B$6:$D$293,3,FALSE)="","NOT DECLARED",VLOOKUP($F245,Declarations!$B$6:$D$293,3,FALSE)&amp;LEFT(VLOOKUP($F245,Declarations!$B$6:$E$293,4,FALSE))))</f>
        <v/>
      </c>
      <c r="F245" s="59"/>
      <c r="G245" s="129"/>
      <c r="H245" s="129"/>
      <c r="I245" s="122" t="str">
        <f>IF(ISNA(VLOOKUP(F245,Declarations!B$6:C$293,2,FALSE)),"",IF(VLOOKUP(F245,Declarations!B$6:C$293,2,FALSE)="","NOT DECLARED",VLOOKUP(F245,Declarations!B$6:C$293,2,FALSE)))</f>
        <v/>
      </c>
      <c r="J245" s="120">
        <f>IF(LOWER(LEFT(G245,1))="n",1,VLOOKUP(G245,ScoringTable!D$2:I$95,6))</f>
        <v>0</v>
      </c>
      <c r="K245" s="120" t="str" cm="1">
        <f t="array" ref="K245">IF(OR(E245="",G245=""),"",_xlfn.IFS(E245="U10B",_xlfn.XLOOKUP(G245,Data!$D$5:$L$5,Data!$D$1:$L$1,"",-1,1),E245="U12B",_xlfn.XLOOKUP(G245,Data!$D$12:$L$12,Data!$D$1:$L$1,"",-1,1),E245="U10G",_xlfn.XLOOKUP(G245,Data!$D$18:$L$18,Data!$D$1:$L$1,"",-1,1),E245="U12G",_xlfn.XLOOKUP(G245,Data!$D$25:$L$25,Data!$D$1:$L$1,"",-1,1)))</f>
        <v/>
      </c>
      <c r="L245" s="184" t="str" cm="1">
        <f t="array" ref="L245">IFERROR(_xlfn.IFNA(
                      _xlfn.IFS(
                      G245="", "",
                      AND(E245="U10B",G245&gt;=Data!$M$5), "U10 Boys record",
                      AND(E245="U12B",G245&gt;=Data!$M$12), "U12 Boys record",
                      AND(E245="U10G",G245&gt;=Data!$M$18), "U10 Girls record",
                      AND(E245="U12G",G245&gt;=Data!$M$25), "U12 Girls record"
                       ),""), "")</f>
        <v/>
      </c>
      <c r="M245" s="19" cm="1">
        <f t="array" ref="M245">_xlfn.IFS($G245="",0, AND(NOT(ISNUMBER($G245)),LOWER(LEFT($G245,1))&lt;&gt;"n"),"Not a valid distance",OR(LOWER(LEFT($G245,1))="n",$G245&lt;ScoringTable!$O$161),1,RIGHT($E245,1)="B",_xlfn.XLOOKUP($G245,ScoringTable!$O$2:$O$161,ScoringTable!$L$2:$L$161,,-1),TRUE,_xlfn.XLOOKUP($G245,ScoringTable!$U$2:$U$161,ScoringTable!$R$2:$R$161,,-1))</f>
        <v>0</v>
      </c>
    </row>
    <row r="246" spans="1:13" s="7" customFormat="1" ht="16" customHeight="1">
      <c r="A246" s="121" t="s">
        <v>81</v>
      </c>
      <c r="B246" s="122" t="str">
        <f>IF(ISNA(VLOOKUP($F246,Declarations!B$6:C$293,2,FALSE)),"",IF(VLOOKUP($F246,Declarations!B$6:C$293,2,FALSE)="","NOT DECLARED",IF(ISNA(_xlfn.TEXTBEFORE(VLOOKUP($F246,Declarations!B$6:C$293,2,FALSE)," ")),VLOOKUP($F246,Declarations!B$6:C$293,2,FALSE),_xlfn.TEXTBEFORE(VLOOKUP($F246,Declarations!B$6:C$293,2,FALSE)," "))))</f>
        <v/>
      </c>
      <c r="C246" s="122" t="str">
        <f>IF(ISNA(VLOOKUP($F246,Declarations!B$6:C$293,2,FALSE)),"",IF(VLOOKUP($F246,Declarations!B$6:C$293,2,FALSE)="","NOT DECLARED",IF(ISNA(_xlfn.TEXTAFTER(VLOOKUP($F246,Declarations!B$6:C$293,2,FALSE)," ")),VLOOKUP($F246,Declarations!B$6:C$293,2,FALSE),_xlfn.TEXTAFTER(VLOOKUP($F246,Declarations!B$6:C$293,2,FALSE)," "))))</f>
        <v/>
      </c>
      <c r="D246" s="122" t="str">
        <f>IF(ISNA(VLOOKUP($F246,Declarations!$B$6:$F$293,5,FALSE)),"",IF(VLOOKUP($F246,Declarations!$B$6:$F$293,5,FALSE)="","NOT DECLARED",VLOOKUP($F246,Declarations!$B$6:$F$293,5,FALSE)))</f>
        <v/>
      </c>
      <c r="E246" s="120" t="str">
        <f>IF(ISNA(VLOOKUP($F246,Declarations!$B$6:$D$293,3,FALSE)),"",IF(VLOOKUP($F246,Declarations!$B$6:$D$293,3,FALSE)="","NOT DECLARED",VLOOKUP($F246,Declarations!$B$6:$D$293,3,FALSE)&amp;LEFT(VLOOKUP($F246,Declarations!$B$6:$E$293,4,FALSE))))</f>
        <v/>
      </c>
      <c r="F246" s="59"/>
      <c r="G246" s="129"/>
      <c r="H246" s="129"/>
      <c r="I246" s="122" t="str">
        <f>IF(ISNA(VLOOKUP(F246,Declarations!B$6:C$293,2,FALSE)),"",IF(VLOOKUP(F246,Declarations!B$6:C$293,2,FALSE)="","NOT DECLARED",VLOOKUP(F246,Declarations!B$6:C$293,2,FALSE)))</f>
        <v/>
      </c>
      <c r="J246" s="120">
        <f>IF(LOWER(LEFT(G246,1))="n",1,VLOOKUP(G246,ScoringTable!D$2:I$95,6))</f>
        <v>0</v>
      </c>
      <c r="K246" s="120" t="str" cm="1">
        <f t="array" ref="K246">IF(OR(E246="",G246=""),"",_xlfn.IFS(E246="U10B",_xlfn.XLOOKUP(G246,Data!$D$5:$L$5,Data!$D$1:$L$1,"",-1,1),E246="U12B",_xlfn.XLOOKUP(G246,Data!$D$12:$L$12,Data!$D$1:$L$1,"",-1,1),E246="U10G",_xlfn.XLOOKUP(G246,Data!$D$18:$L$18,Data!$D$1:$L$1,"",-1,1),E246="U12G",_xlfn.XLOOKUP(G246,Data!$D$25:$L$25,Data!$D$1:$L$1,"",-1,1)))</f>
        <v/>
      </c>
      <c r="L246" s="184" t="str" cm="1">
        <f t="array" ref="L246">IFERROR(_xlfn.IFNA(
                      _xlfn.IFS(
                      G246="", "",
                      AND(E246="U10B",G246&gt;=Data!$M$5), "U10 Boys record",
                      AND(E246="U12B",G246&gt;=Data!$M$12), "U12 Boys record",
                      AND(E246="U10G",G246&gt;=Data!$M$18), "U10 Girls record",
                      AND(E246="U12G",G246&gt;=Data!$M$25), "U12 Girls record"
                       ),""), "")</f>
        <v/>
      </c>
      <c r="M246" s="19" cm="1">
        <f t="array" ref="M246">_xlfn.IFS($G246="",0, AND(NOT(ISNUMBER($G246)),LOWER(LEFT($G246,1))&lt;&gt;"n"),"Not a valid distance",OR(LOWER(LEFT($G246,1))="n",$G246&lt;ScoringTable!$O$161),1,RIGHT($E246,1)="B",_xlfn.XLOOKUP($G246,ScoringTable!$O$2:$O$161,ScoringTable!$L$2:$L$161,,-1),TRUE,_xlfn.XLOOKUP($G246,ScoringTable!$U$2:$U$161,ScoringTable!$R$2:$R$161,,-1))</f>
        <v>0</v>
      </c>
    </row>
    <row r="247" spans="1:13" s="7" customFormat="1" ht="16" customHeight="1">
      <c r="A247" s="121" t="s">
        <v>81</v>
      </c>
      <c r="B247" s="122" t="str">
        <f>IF(ISNA(VLOOKUP($F247,Declarations!B$6:C$293,2,FALSE)),"",IF(VLOOKUP($F247,Declarations!B$6:C$293,2,FALSE)="","NOT DECLARED",IF(ISNA(_xlfn.TEXTBEFORE(VLOOKUP($F247,Declarations!B$6:C$293,2,FALSE)," ")),VLOOKUP($F247,Declarations!B$6:C$293,2,FALSE),_xlfn.TEXTBEFORE(VLOOKUP($F247,Declarations!B$6:C$293,2,FALSE)," "))))</f>
        <v/>
      </c>
      <c r="C247" s="122" t="str">
        <f>IF(ISNA(VLOOKUP($F247,Declarations!B$6:C$293,2,FALSE)),"",IF(VLOOKUP($F247,Declarations!B$6:C$293,2,FALSE)="","NOT DECLARED",IF(ISNA(_xlfn.TEXTAFTER(VLOOKUP($F247,Declarations!B$6:C$293,2,FALSE)," ")),VLOOKUP($F247,Declarations!B$6:C$293,2,FALSE),_xlfn.TEXTAFTER(VLOOKUP($F247,Declarations!B$6:C$293,2,FALSE)," "))))</f>
        <v/>
      </c>
      <c r="D247" s="122" t="str">
        <f>IF(ISNA(VLOOKUP($F247,Declarations!$B$6:$F$293,5,FALSE)),"",IF(VLOOKUP($F247,Declarations!$B$6:$F$293,5,FALSE)="","NOT DECLARED",VLOOKUP($F247,Declarations!$B$6:$F$293,5,FALSE)))</f>
        <v/>
      </c>
      <c r="E247" s="120" t="str">
        <f>IF(ISNA(VLOOKUP($F247,Declarations!$B$6:$D$293,3,FALSE)),"",IF(VLOOKUP($F247,Declarations!$B$6:$D$293,3,FALSE)="","NOT DECLARED",VLOOKUP($F247,Declarations!$B$6:$D$293,3,FALSE)&amp;LEFT(VLOOKUP($F247,Declarations!$B$6:$E$293,4,FALSE))))</f>
        <v/>
      </c>
      <c r="F247" s="59"/>
      <c r="G247" s="129"/>
      <c r="H247" s="129"/>
      <c r="I247" s="122" t="str">
        <f>IF(ISNA(VLOOKUP(F247,Declarations!B$6:C$293,2,FALSE)),"",IF(VLOOKUP(F247,Declarations!B$6:C$293,2,FALSE)="","NOT DECLARED",VLOOKUP(F247,Declarations!B$6:C$293,2,FALSE)))</f>
        <v/>
      </c>
      <c r="J247" s="120">
        <f>IF(LOWER(LEFT(G247,1))="n",1,VLOOKUP(G247,ScoringTable!D$2:I$95,6))</f>
        <v>0</v>
      </c>
      <c r="K247" s="120" t="str" cm="1">
        <f t="array" ref="K247">IF(OR(E247="",G247=""),"",_xlfn.IFS(E247="U10B",_xlfn.XLOOKUP(G247,Data!$D$5:$L$5,Data!$D$1:$L$1,"",-1,1),E247="U12B",_xlfn.XLOOKUP(G247,Data!$D$12:$L$12,Data!$D$1:$L$1,"",-1,1),E247="U10G",_xlfn.XLOOKUP(G247,Data!$D$18:$L$18,Data!$D$1:$L$1,"",-1,1),E247="U12G",_xlfn.XLOOKUP(G247,Data!$D$25:$L$25,Data!$D$1:$L$1,"",-1,1)))</f>
        <v/>
      </c>
      <c r="L247" s="184" t="str" cm="1">
        <f t="array" ref="L247">IFERROR(_xlfn.IFNA(
                      _xlfn.IFS(
                      G247="", "",
                      AND(E247="U10B",G247&gt;=Data!$M$5), "U10 Boys record",
                      AND(E247="U12B",G247&gt;=Data!$M$12), "U12 Boys record",
                      AND(E247="U10G",G247&gt;=Data!$M$18), "U10 Girls record",
                      AND(E247="U12G",G247&gt;=Data!$M$25), "U12 Girls record"
                       ),""), "")</f>
        <v/>
      </c>
      <c r="M247" s="19" cm="1">
        <f t="array" ref="M247">_xlfn.IFS($G247="",0, AND(NOT(ISNUMBER($G247)),LOWER(LEFT($G247,1))&lt;&gt;"n"),"Not a valid distance",OR(LOWER(LEFT($G247,1))="n",$G247&lt;ScoringTable!$O$161),1,RIGHT($E247,1)="B",_xlfn.XLOOKUP($G247,ScoringTable!$O$2:$O$161,ScoringTable!$L$2:$L$161,,-1),TRUE,_xlfn.XLOOKUP($G247,ScoringTable!$U$2:$U$161,ScoringTable!$R$2:$R$161,,-1))</f>
        <v>0</v>
      </c>
    </row>
    <row r="248" spans="1:13" s="7" customFormat="1" ht="16" customHeight="1">
      <c r="A248" s="121" t="s">
        <v>81</v>
      </c>
      <c r="B248" s="122" t="str">
        <f>IF(ISNA(VLOOKUP($F248,Declarations!B$6:C$293,2,FALSE)),"",IF(VLOOKUP($F248,Declarations!B$6:C$293,2,FALSE)="","NOT DECLARED",IF(ISNA(_xlfn.TEXTBEFORE(VLOOKUP($F248,Declarations!B$6:C$293,2,FALSE)," ")),VLOOKUP($F248,Declarations!B$6:C$293,2,FALSE),_xlfn.TEXTBEFORE(VLOOKUP($F248,Declarations!B$6:C$293,2,FALSE)," "))))</f>
        <v/>
      </c>
      <c r="C248" s="122" t="str">
        <f>IF(ISNA(VLOOKUP($F248,Declarations!B$6:C$293,2,FALSE)),"",IF(VLOOKUP($F248,Declarations!B$6:C$293,2,FALSE)="","NOT DECLARED",IF(ISNA(_xlfn.TEXTAFTER(VLOOKUP($F248,Declarations!B$6:C$293,2,FALSE)," ")),VLOOKUP($F248,Declarations!B$6:C$293,2,FALSE),_xlfn.TEXTAFTER(VLOOKUP($F248,Declarations!B$6:C$293,2,FALSE)," "))))</f>
        <v/>
      </c>
      <c r="D248" s="122" t="str">
        <f>IF(ISNA(VLOOKUP($F248,Declarations!$B$6:$F$293,5,FALSE)),"",IF(VLOOKUP($F248,Declarations!$B$6:$F$293,5,FALSE)="","NOT DECLARED",VLOOKUP($F248,Declarations!$B$6:$F$293,5,FALSE)))</f>
        <v/>
      </c>
      <c r="E248" s="120" t="str">
        <f>IF(ISNA(VLOOKUP($F248,Declarations!$B$6:$D$293,3,FALSE)),"",IF(VLOOKUP($F248,Declarations!$B$6:$D$293,3,FALSE)="","NOT DECLARED",VLOOKUP($F248,Declarations!$B$6:$D$293,3,FALSE)&amp;LEFT(VLOOKUP($F248,Declarations!$B$6:$E$293,4,FALSE))))</f>
        <v/>
      </c>
      <c r="F248" s="59"/>
      <c r="G248" s="129"/>
      <c r="H248" s="129"/>
      <c r="I248" s="122" t="str">
        <f>IF(ISNA(VLOOKUP(F248,Declarations!B$6:C$293,2,FALSE)),"",IF(VLOOKUP(F248,Declarations!B$6:C$293,2,FALSE)="","NOT DECLARED",VLOOKUP(F248,Declarations!B$6:C$293,2,FALSE)))</f>
        <v/>
      </c>
      <c r="J248" s="120">
        <f>IF(LOWER(LEFT(G248,1))="n",1,VLOOKUP(G248,ScoringTable!D$2:I$95,6))</f>
        <v>0</v>
      </c>
      <c r="K248" s="120" t="str" cm="1">
        <f t="array" ref="K248">IF(OR(E248="",G248=""),"",_xlfn.IFS(E248="U10B",_xlfn.XLOOKUP(G248,Data!$D$5:$L$5,Data!$D$1:$L$1,"",-1,1),E248="U12B",_xlfn.XLOOKUP(G248,Data!$D$12:$L$12,Data!$D$1:$L$1,"",-1,1),E248="U10G",_xlfn.XLOOKUP(G248,Data!$D$18:$L$18,Data!$D$1:$L$1,"",-1,1),E248="U12G",_xlfn.XLOOKUP(G248,Data!$D$25:$L$25,Data!$D$1:$L$1,"",-1,1)))</f>
        <v/>
      </c>
      <c r="L248" s="184" t="str" cm="1">
        <f t="array" ref="L248">IFERROR(_xlfn.IFNA(
                      _xlfn.IFS(
                      G248="", "",
                      AND(E248="U10B",G248&gt;=Data!$M$5), "U10 Boys record",
                      AND(E248="U12B",G248&gt;=Data!$M$12), "U12 Boys record",
                      AND(E248="U10G",G248&gt;=Data!$M$18), "U10 Girls record",
                      AND(E248="U12G",G248&gt;=Data!$M$25), "U12 Girls record"
                       ),""), "")</f>
        <v/>
      </c>
      <c r="M248" s="19" cm="1">
        <f t="array" ref="M248">_xlfn.IFS($G248="",0, AND(NOT(ISNUMBER($G248)),LOWER(LEFT($G248,1))&lt;&gt;"n"),"Not a valid distance",OR(LOWER(LEFT($G248,1))="n",$G248&lt;ScoringTable!$O$161),1,RIGHT($E248,1)="B",_xlfn.XLOOKUP($G248,ScoringTable!$O$2:$O$161,ScoringTable!$L$2:$L$161,,-1),TRUE,_xlfn.XLOOKUP($G248,ScoringTable!$U$2:$U$161,ScoringTable!$R$2:$R$161,,-1))</f>
        <v>0</v>
      </c>
    </row>
    <row r="249" spans="1:13" s="7" customFormat="1" ht="16" customHeight="1">
      <c r="A249" s="121" t="s">
        <v>81</v>
      </c>
      <c r="B249" s="122" t="str">
        <f>IF(ISNA(VLOOKUP($F249,Declarations!B$6:C$293,2,FALSE)),"",IF(VLOOKUP($F249,Declarations!B$6:C$293,2,FALSE)="","NOT DECLARED",IF(ISNA(_xlfn.TEXTBEFORE(VLOOKUP($F249,Declarations!B$6:C$293,2,FALSE)," ")),VLOOKUP($F249,Declarations!B$6:C$293,2,FALSE),_xlfn.TEXTBEFORE(VLOOKUP($F249,Declarations!B$6:C$293,2,FALSE)," "))))</f>
        <v/>
      </c>
      <c r="C249" s="122" t="str">
        <f>IF(ISNA(VLOOKUP($F249,Declarations!B$6:C$293,2,FALSE)),"",IF(VLOOKUP($F249,Declarations!B$6:C$293,2,FALSE)="","NOT DECLARED",IF(ISNA(_xlfn.TEXTAFTER(VLOOKUP($F249,Declarations!B$6:C$293,2,FALSE)," ")),VLOOKUP($F249,Declarations!B$6:C$293,2,FALSE),_xlfn.TEXTAFTER(VLOOKUP($F249,Declarations!B$6:C$293,2,FALSE)," "))))</f>
        <v/>
      </c>
      <c r="D249" s="122" t="str">
        <f>IF(ISNA(VLOOKUP($F249,Declarations!$B$6:$F$293,5,FALSE)),"",IF(VLOOKUP($F249,Declarations!$B$6:$F$293,5,FALSE)="","NOT DECLARED",VLOOKUP($F249,Declarations!$B$6:$F$293,5,FALSE)))</f>
        <v/>
      </c>
      <c r="E249" s="120" t="str">
        <f>IF(ISNA(VLOOKUP($F249,Declarations!$B$6:$D$293,3,FALSE)),"",IF(VLOOKUP($F249,Declarations!$B$6:$D$293,3,FALSE)="","NOT DECLARED",VLOOKUP($F249,Declarations!$B$6:$D$293,3,FALSE)&amp;LEFT(VLOOKUP($F249,Declarations!$B$6:$E$293,4,FALSE))))</f>
        <v/>
      </c>
      <c r="F249" s="59"/>
      <c r="G249" s="129"/>
      <c r="H249" s="129"/>
      <c r="I249" s="122" t="str">
        <f>IF(ISNA(VLOOKUP(F249,Declarations!B$6:C$293,2,FALSE)),"",IF(VLOOKUP(F249,Declarations!B$6:C$293,2,FALSE)="","NOT DECLARED",VLOOKUP(F249,Declarations!B$6:C$293,2,FALSE)))</f>
        <v/>
      </c>
      <c r="J249" s="120">
        <f>IF(LOWER(LEFT(G249,1))="n",1,VLOOKUP(G249,ScoringTable!D$2:I$95,6))</f>
        <v>0</v>
      </c>
      <c r="K249" s="120" t="str" cm="1">
        <f t="array" ref="K249">IF(OR(E249="",G249=""),"",_xlfn.IFS(E249="U10B",_xlfn.XLOOKUP(G249,Data!$D$5:$L$5,Data!$D$1:$L$1,"",-1,1),E249="U12B",_xlfn.XLOOKUP(G249,Data!$D$12:$L$12,Data!$D$1:$L$1,"",-1,1),E249="U10G",_xlfn.XLOOKUP(G249,Data!$D$18:$L$18,Data!$D$1:$L$1,"",-1,1),E249="U12G",_xlfn.XLOOKUP(G249,Data!$D$25:$L$25,Data!$D$1:$L$1,"",-1,1)))</f>
        <v/>
      </c>
      <c r="L249" s="184" t="str" cm="1">
        <f t="array" ref="L249">IFERROR(_xlfn.IFNA(
                      _xlfn.IFS(
                      G249="", "",
                      AND(E249="U10B",G249&gt;=Data!$M$5), "U10 Boys record",
                      AND(E249="U12B",G249&gt;=Data!$M$12), "U12 Boys record",
                      AND(E249="U10G",G249&gt;=Data!$M$18), "U10 Girls record",
                      AND(E249="U12G",G249&gt;=Data!$M$25), "U12 Girls record"
                       ),""), "")</f>
        <v/>
      </c>
      <c r="M249" s="19" cm="1">
        <f t="array" ref="M249">_xlfn.IFS($G249="",0, AND(NOT(ISNUMBER($G249)),LOWER(LEFT($G249,1))&lt;&gt;"n"),"Not a valid distance",OR(LOWER(LEFT($G249,1))="n",$G249&lt;ScoringTable!$O$161),1,RIGHT($E249,1)="B",_xlfn.XLOOKUP($G249,ScoringTable!$O$2:$O$161,ScoringTable!$L$2:$L$161,,-1),TRUE,_xlfn.XLOOKUP($G249,ScoringTable!$U$2:$U$161,ScoringTable!$R$2:$R$161,,-1))</f>
        <v>0</v>
      </c>
    </row>
    <row r="250" spans="1:13" s="7" customFormat="1" ht="16" customHeight="1">
      <c r="A250" s="121" t="s">
        <v>81</v>
      </c>
      <c r="B250" s="122" t="str">
        <f>IF(ISNA(VLOOKUP($F250,Declarations!B$6:C$293,2,FALSE)),"",IF(VLOOKUP($F250,Declarations!B$6:C$293,2,FALSE)="","NOT DECLARED",IF(ISNA(_xlfn.TEXTBEFORE(VLOOKUP($F250,Declarations!B$6:C$293,2,FALSE)," ")),VLOOKUP($F250,Declarations!B$6:C$293,2,FALSE),_xlfn.TEXTBEFORE(VLOOKUP($F250,Declarations!B$6:C$293,2,FALSE)," "))))</f>
        <v/>
      </c>
      <c r="C250" s="122" t="str">
        <f>IF(ISNA(VLOOKUP($F250,Declarations!B$6:C$293,2,FALSE)),"",IF(VLOOKUP($F250,Declarations!B$6:C$293,2,FALSE)="","NOT DECLARED",IF(ISNA(_xlfn.TEXTAFTER(VLOOKUP($F250,Declarations!B$6:C$293,2,FALSE)," ")),VLOOKUP($F250,Declarations!B$6:C$293,2,FALSE),_xlfn.TEXTAFTER(VLOOKUP($F250,Declarations!B$6:C$293,2,FALSE)," "))))</f>
        <v/>
      </c>
      <c r="D250" s="122" t="str">
        <f>IF(ISNA(VLOOKUP($F250,Declarations!$B$6:$F$293,5,FALSE)),"",IF(VLOOKUP($F250,Declarations!$B$6:$F$293,5,FALSE)="","NOT DECLARED",VLOOKUP($F250,Declarations!$B$6:$F$293,5,FALSE)))</f>
        <v/>
      </c>
      <c r="E250" s="120" t="str">
        <f>IF(ISNA(VLOOKUP($F250,Declarations!$B$6:$D$293,3,FALSE)),"",IF(VLOOKUP($F250,Declarations!$B$6:$D$293,3,FALSE)="","NOT DECLARED",VLOOKUP($F250,Declarations!$B$6:$D$293,3,FALSE)&amp;LEFT(VLOOKUP($F250,Declarations!$B$6:$E$293,4,FALSE))))</f>
        <v/>
      </c>
      <c r="F250" s="59"/>
      <c r="G250" s="129"/>
      <c r="H250" s="129"/>
      <c r="I250" s="122" t="str">
        <f>IF(ISNA(VLOOKUP(F250,Declarations!B$6:C$293,2,FALSE)),"",IF(VLOOKUP(F250,Declarations!B$6:C$293,2,FALSE)="","NOT DECLARED",VLOOKUP(F250,Declarations!B$6:C$293,2,FALSE)))</f>
        <v/>
      </c>
      <c r="J250" s="120">
        <f>IF(LOWER(LEFT(G250,1))="n",1,VLOOKUP(G250,ScoringTable!D$2:I$95,6))</f>
        <v>0</v>
      </c>
      <c r="K250" s="120" t="str" cm="1">
        <f t="array" ref="K250">IF(OR(E250="",G250=""),"",_xlfn.IFS(E250="U10B",_xlfn.XLOOKUP(G250,Data!$D$5:$L$5,Data!$D$1:$L$1,"",-1,1),E250="U12B",_xlfn.XLOOKUP(G250,Data!$D$12:$L$12,Data!$D$1:$L$1,"",-1,1),E250="U10G",_xlfn.XLOOKUP(G250,Data!$D$18:$L$18,Data!$D$1:$L$1,"",-1,1),E250="U12G",_xlfn.XLOOKUP(G250,Data!$D$25:$L$25,Data!$D$1:$L$1,"",-1,1)))</f>
        <v/>
      </c>
      <c r="L250" s="184" t="str" cm="1">
        <f t="array" ref="L250">IFERROR(_xlfn.IFNA(
                      _xlfn.IFS(
                      G250="", "",
                      AND(E250="U10B",G250&gt;=Data!$M$5), "U10 Boys record",
                      AND(E250="U12B",G250&gt;=Data!$M$12), "U12 Boys record",
                      AND(E250="U10G",G250&gt;=Data!$M$18), "U10 Girls record",
                      AND(E250="U12G",G250&gt;=Data!$M$25), "U12 Girls record"
                       ),""), "")</f>
        <v/>
      </c>
      <c r="M250" s="19" cm="1">
        <f t="array" ref="M250">_xlfn.IFS($G250="",0, AND(NOT(ISNUMBER($G250)),LOWER(LEFT($G250,1))&lt;&gt;"n"),"Not a valid distance",OR(LOWER(LEFT($G250,1))="n",$G250&lt;ScoringTable!$O$161),1,RIGHT($E250,1)="B",_xlfn.XLOOKUP($G250,ScoringTable!$O$2:$O$161,ScoringTable!$L$2:$L$161,,-1),TRUE,_xlfn.XLOOKUP($G250,ScoringTable!$U$2:$U$161,ScoringTable!$R$2:$R$161,,-1))</f>
        <v>0</v>
      </c>
    </row>
    <row r="251" spans="1:13" s="7" customFormat="1" ht="16" customHeight="1">
      <c r="A251" s="121" t="s">
        <v>81</v>
      </c>
      <c r="B251" s="122" t="str">
        <f>IF(ISNA(VLOOKUP($F251,Declarations!B$6:C$293,2,FALSE)),"",IF(VLOOKUP($F251,Declarations!B$6:C$293,2,FALSE)="","NOT DECLARED",IF(ISNA(_xlfn.TEXTBEFORE(VLOOKUP($F251,Declarations!B$6:C$293,2,FALSE)," ")),VLOOKUP($F251,Declarations!B$6:C$293,2,FALSE),_xlfn.TEXTBEFORE(VLOOKUP($F251,Declarations!B$6:C$293,2,FALSE)," "))))</f>
        <v/>
      </c>
      <c r="C251" s="122" t="str">
        <f>IF(ISNA(VLOOKUP($F251,Declarations!B$6:C$293,2,FALSE)),"",IF(VLOOKUP($F251,Declarations!B$6:C$293,2,FALSE)="","NOT DECLARED",IF(ISNA(_xlfn.TEXTAFTER(VLOOKUP($F251,Declarations!B$6:C$293,2,FALSE)," ")),VLOOKUP($F251,Declarations!B$6:C$293,2,FALSE),_xlfn.TEXTAFTER(VLOOKUP($F251,Declarations!B$6:C$293,2,FALSE)," "))))</f>
        <v/>
      </c>
      <c r="D251" s="122" t="str">
        <f>IF(ISNA(VLOOKUP($F251,Declarations!$B$6:$F$293,5,FALSE)),"",IF(VLOOKUP($F251,Declarations!$B$6:$F$293,5,FALSE)="","NOT DECLARED",VLOOKUP($F251,Declarations!$B$6:$F$293,5,FALSE)))</f>
        <v/>
      </c>
      <c r="E251" s="120" t="str">
        <f>IF(ISNA(VLOOKUP($F251,Declarations!$B$6:$D$293,3,FALSE)),"",IF(VLOOKUP($F251,Declarations!$B$6:$D$293,3,FALSE)="","NOT DECLARED",VLOOKUP($F251,Declarations!$B$6:$D$293,3,FALSE)&amp;LEFT(VLOOKUP($F251,Declarations!$B$6:$E$293,4,FALSE))))</f>
        <v/>
      </c>
      <c r="F251" s="59"/>
      <c r="G251" s="129"/>
      <c r="H251" s="129"/>
      <c r="I251" s="122" t="str">
        <f>IF(ISNA(VLOOKUP(F251,Declarations!B$6:C$293,2,FALSE)),"",IF(VLOOKUP(F251,Declarations!B$6:C$293,2,FALSE)="","NOT DECLARED",VLOOKUP(F251,Declarations!B$6:C$293,2,FALSE)))</f>
        <v/>
      </c>
      <c r="J251" s="120">
        <f>IF(LOWER(LEFT(G251,1))="n",1,VLOOKUP(G251,ScoringTable!D$2:I$95,6))</f>
        <v>0</v>
      </c>
      <c r="K251" s="120" t="str" cm="1">
        <f t="array" ref="K251">IF(OR(E251="",G251=""),"",_xlfn.IFS(E251="U10B",_xlfn.XLOOKUP(G251,Data!$D$5:$L$5,Data!$D$1:$L$1,"",-1,1),E251="U12B",_xlfn.XLOOKUP(G251,Data!$D$12:$L$12,Data!$D$1:$L$1,"",-1,1),E251="U10G",_xlfn.XLOOKUP(G251,Data!$D$18:$L$18,Data!$D$1:$L$1,"",-1,1),E251="U12G",_xlfn.XLOOKUP(G251,Data!$D$25:$L$25,Data!$D$1:$L$1,"",-1,1)))</f>
        <v/>
      </c>
      <c r="L251" s="184" t="str" cm="1">
        <f t="array" ref="L251">IFERROR(_xlfn.IFNA(
                      _xlfn.IFS(
                      G251="", "",
                      AND(E251="U10B",G251&gt;=Data!$M$5), "U10 Boys record",
                      AND(E251="U12B",G251&gt;=Data!$M$12), "U12 Boys record",
                      AND(E251="U10G",G251&gt;=Data!$M$18), "U10 Girls record",
                      AND(E251="U12G",G251&gt;=Data!$M$25), "U12 Girls record"
                       ),""), "")</f>
        <v/>
      </c>
      <c r="M251" s="19" cm="1">
        <f t="array" ref="M251">_xlfn.IFS($G251="",0, AND(NOT(ISNUMBER($G251)),LOWER(LEFT($G251,1))&lt;&gt;"n"),"Not a valid distance",OR(LOWER(LEFT($G251,1))="n",$G251&lt;ScoringTable!$O$161),1,RIGHT($E251,1)="B",_xlfn.XLOOKUP($G251,ScoringTable!$O$2:$O$161,ScoringTable!$L$2:$L$161,,-1),TRUE,_xlfn.XLOOKUP($G251,ScoringTable!$U$2:$U$161,ScoringTable!$R$2:$R$161,,-1))</f>
        <v>0</v>
      </c>
    </row>
    <row r="252" spans="1:13" s="7" customFormat="1" ht="16" customHeight="1">
      <c r="A252" s="121" t="s">
        <v>81</v>
      </c>
      <c r="B252" s="122" t="str">
        <f>IF(ISNA(VLOOKUP($F252,Declarations!B$6:C$293,2,FALSE)),"",IF(VLOOKUP($F252,Declarations!B$6:C$293,2,FALSE)="","NOT DECLARED",IF(ISNA(_xlfn.TEXTBEFORE(VLOOKUP($F252,Declarations!B$6:C$293,2,FALSE)," ")),VLOOKUP($F252,Declarations!B$6:C$293,2,FALSE),_xlfn.TEXTBEFORE(VLOOKUP($F252,Declarations!B$6:C$293,2,FALSE)," "))))</f>
        <v/>
      </c>
      <c r="C252" s="122" t="str">
        <f>IF(ISNA(VLOOKUP($F252,Declarations!B$6:C$293,2,FALSE)),"",IF(VLOOKUP($F252,Declarations!B$6:C$293,2,FALSE)="","NOT DECLARED",IF(ISNA(_xlfn.TEXTAFTER(VLOOKUP($F252,Declarations!B$6:C$293,2,FALSE)," ")),VLOOKUP($F252,Declarations!B$6:C$293,2,FALSE),_xlfn.TEXTAFTER(VLOOKUP($F252,Declarations!B$6:C$293,2,FALSE)," "))))</f>
        <v/>
      </c>
      <c r="D252" s="122" t="str">
        <f>IF(ISNA(VLOOKUP($F252,Declarations!$B$6:$F$293,5,FALSE)),"",IF(VLOOKUP($F252,Declarations!$B$6:$F$293,5,FALSE)="","NOT DECLARED",VLOOKUP($F252,Declarations!$B$6:$F$293,5,FALSE)))</f>
        <v/>
      </c>
      <c r="E252" s="120" t="str">
        <f>IF(ISNA(VLOOKUP($F252,Declarations!$B$6:$D$293,3,FALSE)),"",IF(VLOOKUP($F252,Declarations!$B$6:$D$293,3,FALSE)="","NOT DECLARED",VLOOKUP($F252,Declarations!$B$6:$D$293,3,FALSE)&amp;LEFT(VLOOKUP($F252,Declarations!$B$6:$E$293,4,FALSE))))</f>
        <v/>
      </c>
      <c r="F252" s="59"/>
      <c r="G252" s="129"/>
      <c r="H252" s="129"/>
      <c r="I252" s="122" t="str">
        <f>IF(ISNA(VLOOKUP(F252,Declarations!B$6:C$293,2,FALSE)),"",IF(VLOOKUP(F252,Declarations!B$6:C$293,2,FALSE)="","NOT DECLARED",VLOOKUP(F252,Declarations!B$6:C$293,2,FALSE)))</f>
        <v/>
      </c>
      <c r="J252" s="120">
        <f>IF(LOWER(LEFT(G252,1))="n",1,VLOOKUP(G252,ScoringTable!D$2:I$95,6))</f>
        <v>0</v>
      </c>
      <c r="K252" s="120" t="str" cm="1">
        <f t="array" ref="K252">IF(OR(E252="",G252=""),"",_xlfn.IFS(E252="U10B",_xlfn.XLOOKUP(G252,Data!$D$5:$L$5,Data!$D$1:$L$1,"",-1,1),E252="U12B",_xlfn.XLOOKUP(G252,Data!$D$12:$L$12,Data!$D$1:$L$1,"",-1,1),E252="U10G",_xlfn.XLOOKUP(G252,Data!$D$18:$L$18,Data!$D$1:$L$1,"",-1,1),E252="U12G",_xlfn.XLOOKUP(G252,Data!$D$25:$L$25,Data!$D$1:$L$1,"",-1,1)))</f>
        <v/>
      </c>
      <c r="L252" s="184" t="str" cm="1">
        <f t="array" ref="L252">IFERROR(_xlfn.IFNA(
                      _xlfn.IFS(
                      G252="", "",
                      AND(E252="U10B",G252&gt;=Data!$M$5), "U10 Boys record",
                      AND(E252="U12B",G252&gt;=Data!$M$12), "U12 Boys record",
                      AND(E252="U10G",G252&gt;=Data!$M$18), "U10 Girls record",
                      AND(E252="U12G",G252&gt;=Data!$M$25), "U12 Girls record"
                       ),""), "")</f>
        <v/>
      </c>
      <c r="M252" s="19" cm="1">
        <f t="array" ref="M252">_xlfn.IFS($G252="",0, AND(NOT(ISNUMBER($G252)),LOWER(LEFT($G252,1))&lt;&gt;"n"),"Not a valid distance",OR(LOWER(LEFT($G252,1))="n",$G252&lt;ScoringTable!$O$161),1,RIGHT($E252,1)="B",_xlfn.XLOOKUP($G252,ScoringTable!$O$2:$O$161,ScoringTable!$L$2:$L$161,,-1),TRUE,_xlfn.XLOOKUP($G252,ScoringTable!$U$2:$U$161,ScoringTable!$R$2:$R$161,,-1))</f>
        <v>0</v>
      </c>
    </row>
    <row r="253" spans="1:13" s="7" customFormat="1" ht="16" customHeight="1">
      <c r="A253" s="121" t="s">
        <v>81</v>
      </c>
      <c r="B253" s="122" t="str">
        <f>IF(ISNA(VLOOKUP($F253,Declarations!B$6:C$293,2,FALSE)),"",IF(VLOOKUP($F253,Declarations!B$6:C$293,2,FALSE)="","NOT DECLARED",IF(ISNA(_xlfn.TEXTBEFORE(VLOOKUP($F253,Declarations!B$6:C$293,2,FALSE)," ")),VLOOKUP($F253,Declarations!B$6:C$293,2,FALSE),_xlfn.TEXTBEFORE(VLOOKUP($F253,Declarations!B$6:C$293,2,FALSE)," "))))</f>
        <v/>
      </c>
      <c r="C253" s="122" t="str">
        <f>IF(ISNA(VLOOKUP($F253,Declarations!B$6:C$293,2,FALSE)),"",IF(VLOOKUP($F253,Declarations!B$6:C$293,2,FALSE)="","NOT DECLARED",IF(ISNA(_xlfn.TEXTAFTER(VLOOKUP($F253,Declarations!B$6:C$293,2,FALSE)," ")),VLOOKUP($F253,Declarations!B$6:C$293,2,FALSE),_xlfn.TEXTAFTER(VLOOKUP($F253,Declarations!B$6:C$293,2,FALSE)," "))))</f>
        <v/>
      </c>
      <c r="D253" s="122" t="str">
        <f>IF(ISNA(VLOOKUP($F253,Declarations!$B$6:$F$293,5,FALSE)),"",IF(VLOOKUP($F253,Declarations!$B$6:$F$293,5,FALSE)="","NOT DECLARED",VLOOKUP($F253,Declarations!$B$6:$F$293,5,FALSE)))</f>
        <v/>
      </c>
      <c r="E253" s="120" t="str">
        <f>IF(ISNA(VLOOKUP($F253,Declarations!$B$6:$D$293,3,FALSE)),"",IF(VLOOKUP($F253,Declarations!$B$6:$D$293,3,FALSE)="","NOT DECLARED",VLOOKUP($F253,Declarations!$B$6:$D$293,3,FALSE)&amp;LEFT(VLOOKUP($F253,Declarations!$B$6:$E$293,4,FALSE))))</f>
        <v/>
      </c>
      <c r="F253" s="59"/>
      <c r="G253" s="129"/>
      <c r="H253" s="129"/>
      <c r="I253" s="122" t="str">
        <f>IF(ISNA(VLOOKUP(F253,Declarations!B$6:C$293,2,FALSE)),"",IF(VLOOKUP(F253,Declarations!B$6:C$293,2,FALSE)="","NOT DECLARED",VLOOKUP(F253,Declarations!B$6:C$293,2,FALSE)))</f>
        <v/>
      </c>
      <c r="J253" s="120">
        <f>IF(LOWER(LEFT(G253,1))="n",1,VLOOKUP(G253,ScoringTable!D$2:I$95,6))</f>
        <v>0</v>
      </c>
      <c r="K253" s="120" t="str" cm="1">
        <f t="array" ref="K253">IF(OR(E253="",G253=""),"",_xlfn.IFS(E253="U10B",_xlfn.XLOOKUP(G253,Data!$D$5:$L$5,Data!$D$1:$L$1,"",-1,1),E253="U12B",_xlfn.XLOOKUP(G253,Data!$D$12:$L$12,Data!$D$1:$L$1,"",-1,1),E253="U10G",_xlfn.XLOOKUP(G253,Data!$D$18:$L$18,Data!$D$1:$L$1,"",-1,1),E253="U12G",_xlfn.XLOOKUP(G253,Data!$D$25:$L$25,Data!$D$1:$L$1,"",-1,1)))</f>
        <v/>
      </c>
      <c r="L253" s="184" t="str" cm="1">
        <f t="array" ref="L253">IFERROR(_xlfn.IFNA(
                      _xlfn.IFS(
                      G253="", "",
                      AND(E253="U10B",G253&gt;=Data!$M$5), "U10 Boys record",
                      AND(E253="U12B",G253&gt;=Data!$M$12), "U12 Boys record",
                      AND(E253="U10G",G253&gt;=Data!$M$18), "U10 Girls record",
                      AND(E253="U12G",G253&gt;=Data!$M$25), "U12 Girls record"
                       ),""), "")</f>
        <v/>
      </c>
      <c r="M253" s="19" cm="1">
        <f t="array" ref="M253">_xlfn.IFS($G253="",0, AND(NOT(ISNUMBER($G253)),LOWER(LEFT($G253,1))&lt;&gt;"n"),"Not a valid distance",OR(LOWER(LEFT($G253,1))="n",$G253&lt;ScoringTable!$O$161),1,RIGHT($E253,1)="B",_xlfn.XLOOKUP($G253,ScoringTable!$O$2:$O$161,ScoringTable!$L$2:$L$161,,-1),TRUE,_xlfn.XLOOKUP($G253,ScoringTable!$U$2:$U$161,ScoringTable!$R$2:$R$161,,-1))</f>
        <v>0</v>
      </c>
    </row>
    <row r="254" spans="1:13" s="7" customFormat="1" ht="16" customHeight="1">
      <c r="A254" s="121" t="s">
        <v>81</v>
      </c>
      <c r="B254" s="122" t="str">
        <f>IF(ISNA(VLOOKUP($F254,Declarations!B$6:C$293,2,FALSE)),"",IF(VLOOKUP($F254,Declarations!B$6:C$293,2,FALSE)="","NOT DECLARED",IF(ISNA(_xlfn.TEXTBEFORE(VLOOKUP($F254,Declarations!B$6:C$293,2,FALSE)," ")),VLOOKUP($F254,Declarations!B$6:C$293,2,FALSE),_xlfn.TEXTBEFORE(VLOOKUP($F254,Declarations!B$6:C$293,2,FALSE)," "))))</f>
        <v/>
      </c>
      <c r="C254" s="122" t="str">
        <f>IF(ISNA(VLOOKUP($F254,Declarations!B$6:C$293,2,FALSE)),"",IF(VLOOKUP($F254,Declarations!B$6:C$293,2,FALSE)="","NOT DECLARED",IF(ISNA(_xlfn.TEXTAFTER(VLOOKUP($F254,Declarations!B$6:C$293,2,FALSE)," ")),VLOOKUP($F254,Declarations!B$6:C$293,2,FALSE),_xlfn.TEXTAFTER(VLOOKUP($F254,Declarations!B$6:C$293,2,FALSE)," "))))</f>
        <v/>
      </c>
      <c r="D254" s="122" t="str">
        <f>IF(ISNA(VLOOKUP($F254,Declarations!$B$6:$F$293,5,FALSE)),"",IF(VLOOKUP($F254,Declarations!$B$6:$F$293,5,FALSE)="","NOT DECLARED",VLOOKUP($F254,Declarations!$B$6:$F$293,5,FALSE)))</f>
        <v/>
      </c>
      <c r="E254" s="120" t="str">
        <f>IF(ISNA(VLOOKUP($F254,Declarations!$B$6:$D$293,3,FALSE)),"",IF(VLOOKUP($F254,Declarations!$B$6:$D$293,3,FALSE)="","NOT DECLARED",VLOOKUP($F254,Declarations!$B$6:$D$293,3,FALSE)&amp;LEFT(VLOOKUP($F254,Declarations!$B$6:$E$293,4,FALSE))))</f>
        <v/>
      </c>
      <c r="F254" s="59"/>
      <c r="G254" s="129"/>
      <c r="H254" s="129"/>
      <c r="I254" s="122" t="str">
        <f>IF(ISNA(VLOOKUP(F254,Declarations!B$6:C$293,2,FALSE)),"",IF(VLOOKUP(F254,Declarations!B$6:C$293,2,FALSE)="","NOT DECLARED",VLOOKUP(F254,Declarations!B$6:C$293,2,FALSE)))</f>
        <v/>
      </c>
      <c r="J254" s="120">
        <f>IF(LOWER(LEFT(G254,1))="n",1,VLOOKUP(G254,ScoringTable!D$2:I$95,6))</f>
        <v>0</v>
      </c>
      <c r="K254" s="120" t="str" cm="1">
        <f t="array" ref="K254">IF(OR(E254="",G254=""),"",_xlfn.IFS(E254="U10B",_xlfn.XLOOKUP(G254,Data!$D$5:$L$5,Data!$D$1:$L$1,"",-1,1),E254="U12B",_xlfn.XLOOKUP(G254,Data!$D$12:$L$12,Data!$D$1:$L$1,"",-1,1),E254="U10G",_xlfn.XLOOKUP(G254,Data!$D$18:$L$18,Data!$D$1:$L$1,"",-1,1),E254="U12G",_xlfn.XLOOKUP(G254,Data!$D$25:$L$25,Data!$D$1:$L$1,"",-1,1)))</f>
        <v/>
      </c>
      <c r="L254" s="184" t="str" cm="1">
        <f t="array" ref="L254">IFERROR(_xlfn.IFNA(
                      _xlfn.IFS(
                      G254="", "",
                      AND(E254="U10B",G254&gt;=Data!$M$5), "U10 Boys record",
                      AND(E254="U12B",G254&gt;=Data!$M$12), "U12 Boys record",
                      AND(E254="U10G",G254&gt;=Data!$M$18), "U10 Girls record",
                      AND(E254="U12G",G254&gt;=Data!$M$25), "U12 Girls record"
                       ),""), "")</f>
        <v/>
      </c>
      <c r="M254" s="19" cm="1">
        <f t="array" ref="M254">_xlfn.IFS($G254="",0, AND(NOT(ISNUMBER($G254)),LOWER(LEFT($G254,1))&lt;&gt;"n"),"Not a valid distance",OR(LOWER(LEFT($G254,1))="n",$G254&lt;ScoringTable!$O$161),1,RIGHT($E254,1)="B",_xlfn.XLOOKUP($G254,ScoringTable!$O$2:$O$161,ScoringTable!$L$2:$L$161,,-1),TRUE,_xlfn.XLOOKUP($G254,ScoringTable!$U$2:$U$161,ScoringTable!$R$2:$R$161,,-1))</f>
        <v>0</v>
      </c>
    </row>
    <row r="255" spans="1:13" s="7" customFormat="1" ht="16" customHeight="1">
      <c r="A255" s="121" t="s">
        <v>81</v>
      </c>
      <c r="B255" s="122" t="str">
        <f>IF(ISNA(VLOOKUP($F255,Declarations!B$6:C$293,2,FALSE)),"",IF(VLOOKUP($F255,Declarations!B$6:C$293,2,FALSE)="","NOT DECLARED",IF(ISNA(_xlfn.TEXTBEFORE(VLOOKUP($F255,Declarations!B$6:C$293,2,FALSE)," ")),VLOOKUP($F255,Declarations!B$6:C$293,2,FALSE),_xlfn.TEXTBEFORE(VLOOKUP($F255,Declarations!B$6:C$293,2,FALSE)," "))))</f>
        <v/>
      </c>
      <c r="C255" s="122" t="str">
        <f>IF(ISNA(VLOOKUP($F255,Declarations!B$6:C$293,2,FALSE)),"",IF(VLOOKUP($F255,Declarations!B$6:C$293,2,FALSE)="","NOT DECLARED",IF(ISNA(_xlfn.TEXTAFTER(VLOOKUP($F255,Declarations!B$6:C$293,2,FALSE)," ")),VLOOKUP($F255,Declarations!B$6:C$293,2,FALSE),_xlfn.TEXTAFTER(VLOOKUP($F255,Declarations!B$6:C$293,2,FALSE)," "))))</f>
        <v/>
      </c>
      <c r="D255" s="122" t="str">
        <f>IF(ISNA(VLOOKUP($F255,Declarations!$B$6:$F$293,5,FALSE)),"",IF(VLOOKUP($F255,Declarations!$B$6:$F$293,5,FALSE)="","NOT DECLARED",VLOOKUP($F255,Declarations!$B$6:$F$293,5,FALSE)))</f>
        <v/>
      </c>
      <c r="E255" s="120" t="str">
        <f>IF(ISNA(VLOOKUP($F255,Declarations!$B$6:$D$293,3,FALSE)),"",IF(VLOOKUP($F255,Declarations!$B$6:$D$293,3,FALSE)="","NOT DECLARED",VLOOKUP($F255,Declarations!$B$6:$D$293,3,FALSE)&amp;LEFT(VLOOKUP($F255,Declarations!$B$6:$E$293,4,FALSE))))</f>
        <v/>
      </c>
      <c r="F255" s="59"/>
      <c r="G255" s="129"/>
      <c r="H255" s="129"/>
      <c r="I255" s="122" t="str">
        <f>IF(ISNA(VLOOKUP(F255,Declarations!B$6:C$293,2,FALSE)),"",IF(VLOOKUP(F255,Declarations!B$6:C$293,2,FALSE)="","NOT DECLARED",VLOOKUP(F255,Declarations!B$6:C$293,2,FALSE)))</f>
        <v/>
      </c>
      <c r="J255" s="120">
        <f>IF(LOWER(LEFT(G255,1))="n",1,VLOOKUP(G255,ScoringTable!D$2:I$95,6))</f>
        <v>0</v>
      </c>
      <c r="K255" s="120" t="str" cm="1">
        <f t="array" ref="K255">IF(OR(E255="",G255=""),"",_xlfn.IFS(E255="U10B",_xlfn.XLOOKUP(G255,Data!$D$5:$L$5,Data!$D$1:$L$1,"",-1,1),E255="U12B",_xlfn.XLOOKUP(G255,Data!$D$12:$L$12,Data!$D$1:$L$1,"",-1,1),E255="U10G",_xlfn.XLOOKUP(G255,Data!$D$18:$L$18,Data!$D$1:$L$1,"",-1,1),E255="U12G",_xlfn.XLOOKUP(G255,Data!$D$25:$L$25,Data!$D$1:$L$1,"",-1,1)))</f>
        <v/>
      </c>
      <c r="L255" s="184" t="str" cm="1">
        <f t="array" ref="L255">IFERROR(_xlfn.IFNA(
                      _xlfn.IFS(
                      G255="", "",
                      AND(E255="U10B",G255&gt;=Data!$M$5), "U10 Boys record",
                      AND(E255="U12B",G255&gt;=Data!$M$12), "U12 Boys record",
                      AND(E255="U10G",G255&gt;=Data!$M$18), "U10 Girls record",
                      AND(E255="U12G",G255&gt;=Data!$M$25), "U12 Girls record"
                       ),""), "")</f>
        <v/>
      </c>
      <c r="M255" s="19" cm="1">
        <f t="array" ref="M255">_xlfn.IFS($G255="",0, AND(NOT(ISNUMBER($G255)),LOWER(LEFT($G255,1))&lt;&gt;"n"),"Not a valid distance",OR(LOWER(LEFT($G255,1))="n",$G255&lt;ScoringTable!$O$161),1,RIGHT($E255,1)="B",_xlfn.XLOOKUP($G255,ScoringTable!$O$2:$O$161,ScoringTable!$L$2:$L$161,,-1),TRUE,_xlfn.XLOOKUP($G255,ScoringTable!$U$2:$U$161,ScoringTable!$R$2:$R$161,,-1))</f>
        <v>0</v>
      </c>
    </row>
    <row r="256" spans="1:13" s="7" customFormat="1" ht="16" customHeight="1">
      <c r="A256" s="121" t="s">
        <v>81</v>
      </c>
      <c r="B256" s="122" t="str">
        <f>IF(ISNA(VLOOKUP($F256,Declarations!B$6:C$293,2,FALSE)),"",IF(VLOOKUP($F256,Declarations!B$6:C$293,2,FALSE)="","NOT DECLARED",IF(ISNA(_xlfn.TEXTBEFORE(VLOOKUP($F256,Declarations!B$6:C$293,2,FALSE)," ")),VLOOKUP($F256,Declarations!B$6:C$293,2,FALSE),_xlfn.TEXTBEFORE(VLOOKUP($F256,Declarations!B$6:C$293,2,FALSE)," "))))</f>
        <v/>
      </c>
      <c r="C256" s="122" t="str">
        <f>IF(ISNA(VLOOKUP($F256,Declarations!B$6:C$293,2,FALSE)),"",IF(VLOOKUP($F256,Declarations!B$6:C$293,2,FALSE)="","NOT DECLARED",IF(ISNA(_xlfn.TEXTAFTER(VLOOKUP($F256,Declarations!B$6:C$293,2,FALSE)," ")),VLOOKUP($F256,Declarations!B$6:C$293,2,FALSE),_xlfn.TEXTAFTER(VLOOKUP($F256,Declarations!B$6:C$293,2,FALSE)," "))))</f>
        <v/>
      </c>
      <c r="D256" s="122" t="str">
        <f>IF(ISNA(VLOOKUP($F256,Declarations!$B$6:$F$293,5,FALSE)),"",IF(VLOOKUP($F256,Declarations!$B$6:$F$293,5,FALSE)="","NOT DECLARED",VLOOKUP($F256,Declarations!$B$6:$F$293,5,FALSE)))</f>
        <v/>
      </c>
      <c r="E256" s="120" t="str">
        <f>IF(ISNA(VLOOKUP($F256,Declarations!$B$6:$D$293,3,FALSE)),"",IF(VLOOKUP($F256,Declarations!$B$6:$D$293,3,FALSE)="","NOT DECLARED",VLOOKUP($F256,Declarations!$B$6:$D$293,3,FALSE)&amp;LEFT(VLOOKUP($F256,Declarations!$B$6:$E$293,4,FALSE))))</f>
        <v/>
      </c>
      <c r="F256" s="59"/>
      <c r="G256" s="129"/>
      <c r="H256" s="129"/>
      <c r="I256" s="122" t="str">
        <f>IF(ISNA(VLOOKUP(F256,Declarations!B$6:C$293,2,FALSE)),"",IF(VLOOKUP(F256,Declarations!B$6:C$293,2,FALSE)="","NOT DECLARED",VLOOKUP(F256,Declarations!B$6:C$293,2,FALSE)))</f>
        <v/>
      </c>
      <c r="J256" s="120">
        <f>IF(LOWER(LEFT(G256,1))="n",1,VLOOKUP(G256,ScoringTable!D$2:I$95,6))</f>
        <v>0</v>
      </c>
      <c r="K256" s="120" t="str" cm="1">
        <f t="array" ref="K256">IF(OR(E256="",G256=""),"",_xlfn.IFS(E256="U10B",_xlfn.XLOOKUP(G256,Data!$D$5:$L$5,Data!$D$1:$L$1,"",-1,1),E256="U12B",_xlfn.XLOOKUP(G256,Data!$D$12:$L$12,Data!$D$1:$L$1,"",-1,1),E256="U10G",_xlfn.XLOOKUP(G256,Data!$D$18:$L$18,Data!$D$1:$L$1,"",-1,1),E256="U12G",_xlfn.XLOOKUP(G256,Data!$D$25:$L$25,Data!$D$1:$L$1,"",-1,1)))</f>
        <v/>
      </c>
      <c r="L256" s="184" t="str" cm="1">
        <f t="array" ref="L256">IFERROR(_xlfn.IFNA(
                      _xlfn.IFS(
                      G256="", "",
                      AND(E256="U10B",G256&gt;=Data!$M$5), "U10 Boys record",
                      AND(E256="U12B",G256&gt;=Data!$M$12), "U12 Boys record",
                      AND(E256="U10G",G256&gt;=Data!$M$18), "U10 Girls record",
                      AND(E256="U12G",G256&gt;=Data!$M$25), "U12 Girls record"
                       ),""), "")</f>
        <v/>
      </c>
      <c r="M256" s="19" cm="1">
        <f t="array" ref="M256">_xlfn.IFS($G256="",0, AND(NOT(ISNUMBER($G256)),LOWER(LEFT($G256,1))&lt;&gt;"n"),"Not a valid distance",OR(LOWER(LEFT($G256,1))="n",$G256&lt;ScoringTable!$O$161),1,RIGHT($E256,1)="B",_xlfn.XLOOKUP($G256,ScoringTable!$O$2:$O$161,ScoringTable!$L$2:$L$161,,-1),TRUE,_xlfn.XLOOKUP($G256,ScoringTable!$U$2:$U$161,ScoringTable!$R$2:$R$161,,-1))</f>
        <v>0</v>
      </c>
    </row>
    <row r="257" spans="1:13" s="7" customFormat="1" ht="16" customHeight="1">
      <c r="A257" s="121" t="s">
        <v>81</v>
      </c>
      <c r="B257" s="122" t="str">
        <f>IF(ISNA(VLOOKUP($F257,Declarations!B$6:C$293,2,FALSE)),"",IF(VLOOKUP($F257,Declarations!B$6:C$293,2,FALSE)="","NOT DECLARED",IF(ISNA(_xlfn.TEXTBEFORE(VLOOKUP($F257,Declarations!B$6:C$293,2,FALSE)," ")),VLOOKUP($F257,Declarations!B$6:C$293,2,FALSE),_xlfn.TEXTBEFORE(VLOOKUP($F257,Declarations!B$6:C$293,2,FALSE)," "))))</f>
        <v/>
      </c>
      <c r="C257" s="122" t="str">
        <f>IF(ISNA(VLOOKUP($F257,Declarations!B$6:C$293,2,FALSE)),"",IF(VLOOKUP($F257,Declarations!B$6:C$293,2,FALSE)="","NOT DECLARED",IF(ISNA(_xlfn.TEXTAFTER(VLOOKUP($F257,Declarations!B$6:C$293,2,FALSE)," ")),VLOOKUP($F257,Declarations!B$6:C$293,2,FALSE),_xlfn.TEXTAFTER(VLOOKUP($F257,Declarations!B$6:C$293,2,FALSE)," "))))</f>
        <v/>
      </c>
      <c r="D257" s="122" t="str">
        <f>IF(ISNA(VLOOKUP($F257,Declarations!$B$6:$F$293,5,FALSE)),"",IF(VLOOKUP($F257,Declarations!$B$6:$F$293,5,FALSE)="","NOT DECLARED",VLOOKUP($F257,Declarations!$B$6:$F$293,5,FALSE)))</f>
        <v/>
      </c>
      <c r="E257" s="120" t="str">
        <f>IF(ISNA(VLOOKUP($F257,Declarations!$B$6:$D$293,3,FALSE)),"",IF(VLOOKUP($F257,Declarations!$B$6:$D$293,3,FALSE)="","NOT DECLARED",VLOOKUP($F257,Declarations!$B$6:$D$293,3,FALSE)&amp;LEFT(VLOOKUP($F257,Declarations!$B$6:$E$293,4,FALSE))))</f>
        <v/>
      </c>
      <c r="F257" s="59"/>
      <c r="G257" s="129"/>
      <c r="H257" s="129"/>
      <c r="I257" s="122" t="str">
        <f>IF(ISNA(VLOOKUP(F257,Declarations!B$6:C$293,2,FALSE)),"",IF(VLOOKUP(F257,Declarations!B$6:C$293,2,FALSE)="","NOT DECLARED",VLOOKUP(F257,Declarations!B$6:C$293,2,FALSE)))</f>
        <v/>
      </c>
      <c r="J257" s="120">
        <f>IF(LOWER(LEFT(G257,1))="n",1,VLOOKUP(G257,ScoringTable!D$2:I$95,6))</f>
        <v>0</v>
      </c>
      <c r="K257" s="120" t="str" cm="1">
        <f t="array" ref="K257">IF(OR(E257="",G257=""),"",_xlfn.IFS(E257="U10B",_xlfn.XLOOKUP(G257,Data!$D$5:$L$5,Data!$D$1:$L$1,"",-1,1),E257="U12B",_xlfn.XLOOKUP(G257,Data!$D$12:$L$12,Data!$D$1:$L$1,"",-1,1),E257="U10G",_xlfn.XLOOKUP(G257,Data!$D$18:$L$18,Data!$D$1:$L$1,"",-1,1),E257="U12G",_xlfn.XLOOKUP(G257,Data!$D$25:$L$25,Data!$D$1:$L$1,"",-1,1)))</f>
        <v/>
      </c>
      <c r="L257" s="184" t="str" cm="1">
        <f t="array" ref="L257">IFERROR(_xlfn.IFNA(
                      _xlfn.IFS(
                      G257="", "",
                      AND(E257="U10B",G257&gt;=Data!$M$5), "U10 Boys record",
                      AND(E257="U12B",G257&gt;=Data!$M$12), "U12 Boys record",
                      AND(E257="U10G",G257&gt;=Data!$M$18), "U10 Girls record",
                      AND(E257="U12G",G257&gt;=Data!$M$25), "U12 Girls record"
                       ),""), "")</f>
        <v/>
      </c>
      <c r="M257" s="19" cm="1">
        <f t="array" ref="M257">_xlfn.IFS($G257="",0, AND(NOT(ISNUMBER($G257)),LOWER(LEFT($G257,1))&lt;&gt;"n"),"Not a valid distance",OR(LOWER(LEFT($G257,1))="n",$G257&lt;ScoringTable!$O$161),1,RIGHT($E257,1)="B",_xlfn.XLOOKUP($G257,ScoringTable!$O$2:$O$161,ScoringTable!$L$2:$L$161,,-1),TRUE,_xlfn.XLOOKUP($G257,ScoringTable!$U$2:$U$161,ScoringTable!$R$2:$R$161,,-1))</f>
        <v>0</v>
      </c>
    </row>
    <row r="258" spans="1:13" s="7" customFormat="1" ht="16" customHeight="1">
      <c r="A258" s="121" t="s">
        <v>81</v>
      </c>
      <c r="B258" s="122" t="str">
        <f>IF(ISNA(VLOOKUP($F258,Declarations!B$6:C$293,2,FALSE)),"",IF(VLOOKUP($F258,Declarations!B$6:C$293,2,FALSE)="","NOT DECLARED",IF(ISNA(_xlfn.TEXTBEFORE(VLOOKUP($F258,Declarations!B$6:C$293,2,FALSE)," ")),VLOOKUP($F258,Declarations!B$6:C$293,2,FALSE),_xlfn.TEXTBEFORE(VLOOKUP($F258,Declarations!B$6:C$293,2,FALSE)," "))))</f>
        <v/>
      </c>
      <c r="C258" s="122" t="str">
        <f>IF(ISNA(VLOOKUP($F258,Declarations!B$6:C$293,2,FALSE)),"",IF(VLOOKUP($F258,Declarations!B$6:C$293,2,FALSE)="","NOT DECLARED",IF(ISNA(_xlfn.TEXTAFTER(VLOOKUP($F258,Declarations!B$6:C$293,2,FALSE)," ")),VLOOKUP($F258,Declarations!B$6:C$293,2,FALSE),_xlfn.TEXTAFTER(VLOOKUP($F258,Declarations!B$6:C$293,2,FALSE)," "))))</f>
        <v/>
      </c>
      <c r="D258" s="122" t="str">
        <f>IF(ISNA(VLOOKUP($F258,Declarations!$B$6:$F$293,5,FALSE)),"",IF(VLOOKUP($F258,Declarations!$B$6:$F$293,5,FALSE)="","NOT DECLARED",VLOOKUP($F258,Declarations!$B$6:$F$293,5,FALSE)))</f>
        <v/>
      </c>
      <c r="E258" s="120" t="str">
        <f>IF(ISNA(VLOOKUP($F258,Declarations!$B$6:$D$293,3,FALSE)),"",IF(VLOOKUP($F258,Declarations!$B$6:$D$293,3,FALSE)="","NOT DECLARED",VLOOKUP($F258,Declarations!$B$6:$D$293,3,FALSE)&amp;LEFT(VLOOKUP($F258,Declarations!$B$6:$E$293,4,FALSE))))</f>
        <v/>
      </c>
      <c r="F258" s="59"/>
      <c r="G258" s="129"/>
      <c r="H258" s="129"/>
      <c r="I258" s="122" t="str">
        <f>IF(ISNA(VLOOKUP(F258,Declarations!B$6:C$293,2,FALSE)),"",IF(VLOOKUP(F258,Declarations!B$6:C$293,2,FALSE)="","NOT DECLARED",VLOOKUP(F258,Declarations!B$6:C$293,2,FALSE)))</f>
        <v/>
      </c>
      <c r="J258" s="120">
        <f>IF(LOWER(LEFT(G258,1))="n",1,VLOOKUP(G258,ScoringTable!D$2:I$95,6))</f>
        <v>0</v>
      </c>
      <c r="K258" s="120" t="str" cm="1">
        <f t="array" ref="K258">IF(OR(E258="",G258=""),"",_xlfn.IFS(E258="U10B",_xlfn.XLOOKUP(G258,Data!$D$5:$L$5,Data!$D$1:$L$1,"",-1,1),E258="U12B",_xlfn.XLOOKUP(G258,Data!$D$12:$L$12,Data!$D$1:$L$1,"",-1,1),E258="U10G",_xlfn.XLOOKUP(G258,Data!$D$18:$L$18,Data!$D$1:$L$1,"",-1,1),E258="U12G",_xlfn.XLOOKUP(G258,Data!$D$25:$L$25,Data!$D$1:$L$1,"",-1,1)))</f>
        <v/>
      </c>
      <c r="L258" s="184" t="str" cm="1">
        <f t="array" ref="L258">IFERROR(_xlfn.IFNA(
                      _xlfn.IFS(
                      G258="", "",
                      AND(E258="U10B",G258&gt;=Data!$M$5), "U10 Boys record",
                      AND(E258="U12B",G258&gt;=Data!$M$12), "U12 Boys record",
                      AND(E258="U10G",G258&gt;=Data!$M$18), "U10 Girls record",
                      AND(E258="U12G",G258&gt;=Data!$M$25), "U12 Girls record"
                       ),""), "")</f>
        <v/>
      </c>
      <c r="M258" s="19" cm="1">
        <f t="array" ref="M258">_xlfn.IFS($G258="",0, AND(NOT(ISNUMBER($G258)),LOWER(LEFT($G258,1))&lt;&gt;"n"),"Not a valid distance",OR(LOWER(LEFT($G258,1))="n",$G258&lt;ScoringTable!$O$161),1,RIGHT($E258,1)="B",_xlfn.XLOOKUP($G258,ScoringTable!$O$2:$O$161,ScoringTable!$L$2:$L$161,,-1),TRUE,_xlfn.XLOOKUP($G258,ScoringTable!$U$2:$U$161,ScoringTable!$R$2:$R$161,,-1))</f>
        <v>0</v>
      </c>
    </row>
    <row r="259" spans="1:13" s="7" customFormat="1" ht="16" customHeight="1">
      <c r="A259" s="121" t="s">
        <v>81</v>
      </c>
      <c r="B259" s="122" t="str">
        <f>IF(ISNA(VLOOKUP($F259,Declarations!B$6:C$293,2,FALSE)),"",IF(VLOOKUP($F259,Declarations!B$6:C$293,2,FALSE)="","NOT DECLARED",IF(ISNA(_xlfn.TEXTBEFORE(VLOOKUP($F259,Declarations!B$6:C$293,2,FALSE)," ")),VLOOKUP($F259,Declarations!B$6:C$293,2,FALSE),_xlfn.TEXTBEFORE(VLOOKUP($F259,Declarations!B$6:C$293,2,FALSE)," "))))</f>
        <v/>
      </c>
      <c r="C259" s="122" t="str">
        <f>IF(ISNA(VLOOKUP($F259,Declarations!B$6:C$293,2,FALSE)),"",IF(VLOOKUP($F259,Declarations!B$6:C$293,2,FALSE)="","NOT DECLARED",IF(ISNA(_xlfn.TEXTAFTER(VLOOKUP($F259,Declarations!B$6:C$293,2,FALSE)," ")),VLOOKUP($F259,Declarations!B$6:C$293,2,FALSE),_xlfn.TEXTAFTER(VLOOKUP($F259,Declarations!B$6:C$293,2,FALSE)," "))))</f>
        <v/>
      </c>
      <c r="D259" s="122" t="str">
        <f>IF(ISNA(VLOOKUP($F259,Declarations!$B$6:$F$293,5,FALSE)),"",IF(VLOOKUP($F259,Declarations!$B$6:$F$293,5,FALSE)="","NOT DECLARED",VLOOKUP($F259,Declarations!$B$6:$F$293,5,FALSE)))</f>
        <v/>
      </c>
      <c r="E259" s="120" t="str">
        <f>IF(ISNA(VLOOKUP($F259,Declarations!$B$6:$D$293,3,FALSE)),"",IF(VLOOKUP($F259,Declarations!$B$6:$D$293,3,FALSE)="","NOT DECLARED",VLOOKUP($F259,Declarations!$B$6:$D$293,3,FALSE)&amp;LEFT(VLOOKUP($F259,Declarations!$B$6:$E$293,4,FALSE))))</f>
        <v/>
      </c>
      <c r="F259" s="59"/>
      <c r="G259" s="129"/>
      <c r="H259" s="129"/>
      <c r="I259" s="122" t="str">
        <f>IF(ISNA(VLOOKUP(F259,Declarations!B$6:C$293,2,FALSE)),"",IF(VLOOKUP(F259,Declarations!B$6:C$293,2,FALSE)="","NOT DECLARED",VLOOKUP(F259,Declarations!B$6:C$293,2,FALSE)))</f>
        <v/>
      </c>
      <c r="J259" s="120">
        <f>IF(LOWER(LEFT(G259,1))="n",1,VLOOKUP(G259,ScoringTable!D$2:I$95,6))</f>
        <v>0</v>
      </c>
      <c r="K259" s="120" t="str" cm="1">
        <f t="array" ref="K259">IF(OR(E259="",G259=""),"",_xlfn.IFS(E259="U10B",_xlfn.XLOOKUP(G259,Data!$D$5:$L$5,Data!$D$1:$L$1,"",-1,1),E259="U12B",_xlfn.XLOOKUP(G259,Data!$D$12:$L$12,Data!$D$1:$L$1,"",-1,1),E259="U10G",_xlfn.XLOOKUP(G259,Data!$D$18:$L$18,Data!$D$1:$L$1,"",-1,1),E259="U12G",_xlfn.XLOOKUP(G259,Data!$D$25:$L$25,Data!$D$1:$L$1,"",-1,1)))</f>
        <v/>
      </c>
      <c r="L259" s="184" t="str" cm="1">
        <f t="array" ref="L259">IFERROR(_xlfn.IFNA(
                      _xlfn.IFS(
                      G259="", "",
                      AND(E259="U10B",G259&gt;=Data!$M$5), "U10 Boys record",
                      AND(E259="U12B",G259&gt;=Data!$M$12), "U12 Boys record",
                      AND(E259="U10G",G259&gt;=Data!$M$18), "U10 Girls record",
                      AND(E259="U12G",G259&gt;=Data!$M$25), "U12 Girls record"
                       ),""), "")</f>
        <v/>
      </c>
      <c r="M259" s="19" cm="1">
        <f t="array" ref="M259">_xlfn.IFS($G259="",0, AND(NOT(ISNUMBER($G259)),LOWER(LEFT($G259,1))&lt;&gt;"n"),"Not a valid distance",OR(LOWER(LEFT($G259,1))="n",$G259&lt;ScoringTable!$O$161),1,RIGHT($E259,1)="B",_xlfn.XLOOKUP($G259,ScoringTable!$O$2:$O$161,ScoringTable!$L$2:$L$161,,-1),TRUE,_xlfn.XLOOKUP($G259,ScoringTable!$U$2:$U$161,ScoringTable!$R$2:$R$161,,-1))</f>
        <v>0</v>
      </c>
    </row>
    <row r="260" spans="1:13" s="7" customFormat="1" ht="16" customHeight="1">
      <c r="A260" s="121" t="s">
        <v>81</v>
      </c>
      <c r="B260" s="122" t="str">
        <f>IF(ISNA(VLOOKUP($F260,Declarations!B$6:C$293,2,FALSE)),"",IF(VLOOKUP($F260,Declarations!B$6:C$293,2,FALSE)="","NOT DECLARED",IF(ISNA(_xlfn.TEXTBEFORE(VLOOKUP($F260,Declarations!B$6:C$293,2,FALSE)," ")),VLOOKUP($F260,Declarations!B$6:C$293,2,FALSE),_xlfn.TEXTBEFORE(VLOOKUP($F260,Declarations!B$6:C$293,2,FALSE)," "))))</f>
        <v/>
      </c>
      <c r="C260" s="122" t="str">
        <f>IF(ISNA(VLOOKUP($F260,Declarations!B$6:C$293,2,FALSE)),"",IF(VLOOKUP($F260,Declarations!B$6:C$293,2,FALSE)="","NOT DECLARED",IF(ISNA(_xlfn.TEXTAFTER(VLOOKUP($F260,Declarations!B$6:C$293,2,FALSE)," ")),VLOOKUP($F260,Declarations!B$6:C$293,2,FALSE),_xlfn.TEXTAFTER(VLOOKUP($F260,Declarations!B$6:C$293,2,FALSE)," "))))</f>
        <v/>
      </c>
      <c r="D260" s="122" t="str">
        <f>IF(ISNA(VLOOKUP($F260,Declarations!$B$6:$F$293,5,FALSE)),"",IF(VLOOKUP($F260,Declarations!$B$6:$F$293,5,FALSE)="","NOT DECLARED",VLOOKUP($F260,Declarations!$B$6:$F$293,5,FALSE)))</f>
        <v/>
      </c>
      <c r="E260" s="120" t="str">
        <f>IF(ISNA(VLOOKUP($F260,Declarations!$B$6:$D$293,3,FALSE)),"",IF(VLOOKUP($F260,Declarations!$B$6:$D$293,3,FALSE)="","NOT DECLARED",VLOOKUP($F260,Declarations!$B$6:$D$293,3,FALSE)&amp;LEFT(VLOOKUP($F260,Declarations!$B$6:$E$293,4,FALSE))))</f>
        <v/>
      </c>
      <c r="F260" s="59"/>
      <c r="G260" s="129"/>
      <c r="H260" s="129"/>
      <c r="I260" s="122" t="str">
        <f>IF(ISNA(VLOOKUP(F260,Declarations!B$6:C$293,2,FALSE)),"",IF(VLOOKUP(F260,Declarations!B$6:C$293,2,FALSE)="","NOT DECLARED",VLOOKUP(F260,Declarations!B$6:C$293,2,FALSE)))</f>
        <v/>
      </c>
      <c r="J260" s="120">
        <f>IF(LOWER(LEFT(G260,1))="n",1,VLOOKUP(G260,ScoringTable!D$2:I$95,6))</f>
        <v>0</v>
      </c>
      <c r="K260" s="120" t="str" cm="1">
        <f t="array" ref="K260">IF(OR(E260="",G260=""),"",_xlfn.IFS(E260="U10B",_xlfn.XLOOKUP(G260,Data!$D$5:$L$5,Data!$D$1:$L$1,"",-1,1),E260="U12B",_xlfn.XLOOKUP(G260,Data!$D$12:$L$12,Data!$D$1:$L$1,"",-1,1),E260="U10G",_xlfn.XLOOKUP(G260,Data!$D$18:$L$18,Data!$D$1:$L$1,"",-1,1),E260="U12G",_xlfn.XLOOKUP(G260,Data!$D$25:$L$25,Data!$D$1:$L$1,"",-1,1)))</f>
        <v/>
      </c>
      <c r="L260" s="184" t="str" cm="1">
        <f t="array" ref="L260">IFERROR(_xlfn.IFNA(
                      _xlfn.IFS(
                      G260="", "",
                      AND(E260="U10B",G260&gt;=Data!$M$5), "U10 Boys record",
                      AND(E260="U12B",G260&gt;=Data!$M$12), "U12 Boys record",
                      AND(E260="U10G",G260&gt;=Data!$M$18), "U10 Girls record",
                      AND(E260="U12G",G260&gt;=Data!$M$25), "U12 Girls record"
                       ),""), "")</f>
        <v/>
      </c>
      <c r="M260" s="19" cm="1">
        <f t="array" ref="M260">_xlfn.IFS($G260="",0, AND(NOT(ISNUMBER($G260)),LOWER(LEFT($G260,1))&lt;&gt;"n"),"Not a valid distance",OR(LOWER(LEFT($G260,1))="n",$G260&lt;ScoringTable!$O$161),1,RIGHT($E260,1)="B",_xlfn.XLOOKUP($G260,ScoringTable!$O$2:$O$161,ScoringTable!$L$2:$L$161,,-1),TRUE,_xlfn.XLOOKUP($G260,ScoringTable!$U$2:$U$161,ScoringTable!$R$2:$R$161,,-1))</f>
        <v>0</v>
      </c>
    </row>
    <row r="261" spans="1:13" s="7" customFormat="1" ht="16" customHeight="1">
      <c r="A261" s="121" t="s">
        <v>81</v>
      </c>
      <c r="B261" s="122" t="str">
        <f>IF(ISNA(VLOOKUP($F261,Declarations!B$6:C$293,2,FALSE)),"",IF(VLOOKUP($F261,Declarations!B$6:C$293,2,FALSE)="","NOT DECLARED",IF(ISNA(_xlfn.TEXTBEFORE(VLOOKUP($F261,Declarations!B$6:C$293,2,FALSE)," ")),VLOOKUP($F261,Declarations!B$6:C$293,2,FALSE),_xlfn.TEXTBEFORE(VLOOKUP($F261,Declarations!B$6:C$293,2,FALSE)," "))))</f>
        <v/>
      </c>
      <c r="C261" s="122" t="str">
        <f>IF(ISNA(VLOOKUP($F261,Declarations!B$6:C$293,2,FALSE)),"",IF(VLOOKUP($F261,Declarations!B$6:C$293,2,FALSE)="","NOT DECLARED",IF(ISNA(_xlfn.TEXTAFTER(VLOOKUP($F261,Declarations!B$6:C$293,2,FALSE)," ")),VLOOKUP($F261,Declarations!B$6:C$293,2,FALSE),_xlfn.TEXTAFTER(VLOOKUP($F261,Declarations!B$6:C$293,2,FALSE)," "))))</f>
        <v/>
      </c>
      <c r="D261" s="122" t="str">
        <f>IF(ISNA(VLOOKUP($F261,Declarations!$B$6:$F$293,5,FALSE)),"",IF(VLOOKUP($F261,Declarations!$B$6:$F$293,5,FALSE)="","NOT DECLARED",VLOOKUP($F261,Declarations!$B$6:$F$293,5,FALSE)))</f>
        <v/>
      </c>
      <c r="E261" s="120" t="str">
        <f>IF(ISNA(VLOOKUP($F261,Declarations!$B$6:$D$293,3,FALSE)),"",IF(VLOOKUP($F261,Declarations!$B$6:$D$293,3,FALSE)="","NOT DECLARED",VLOOKUP($F261,Declarations!$B$6:$D$293,3,FALSE)&amp;LEFT(VLOOKUP($F261,Declarations!$B$6:$E$293,4,FALSE))))</f>
        <v/>
      </c>
      <c r="F261" s="59"/>
      <c r="G261" s="129"/>
      <c r="H261" s="129"/>
      <c r="I261" s="122" t="str">
        <f>IF(ISNA(VLOOKUP(F261,Declarations!B$6:C$293,2,FALSE)),"",IF(VLOOKUP(F261,Declarations!B$6:C$293,2,FALSE)="","NOT DECLARED",VLOOKUP(F261,Declarations!B$6:C$293,2,FALSE)))</f>
        <v/>
      </c>
      <c r="J261" s="120">
        <f>IF(LOWER(LEFT(G261,1))="n",1,VLOOKUP(G261,ScoringTable!D$2:I$95,6))</f>
        <v>0</v>
      </c>
      <c r="K261" s="120" t="str" cm="1">
        <f t="array" ref="K261">IF(OR(E261="",G261=""),"",_xlfn.IFS(E261="U10B",_xlfn.XLOOKUP(G261,Data!$D$5:$L$5,Data!$D$1:$L$1,"",-1,1),E261="U12B",_xlfn.XLOOKUP(G261,Data!$D$12:$L$12,Data!$D$1:$L$1,"",-1,1),E261="U10G",_xlfn.XLOOKUP(G261,Data!$D$18:$L$18,Data!$D$1:$L$1,"",-1,1),E261="U12G",_xlfn.XLOOKUP(G261,Data!$D$25:$L$25,Data!$D$1:$L$1,"",-1,1)))</f>
        <v/>
      </c>
      <c r="L261" s="184" t="str" cm="1">
        <f t="array" ref="L261">IFERROR(_xlfn.IFNA(
                      _xlfn.IFS(
                      G261="", "",
                      AND(E261="U10B",G261&gt;=Data!$M$5), "U10 Boys record",
                      AND(E261="U12B",G261&gt;=Data!$M$12), "U12 Boys record",
                      AND(E261="U10G",G261&gt;=Data!$M$18), "U10 Girls record",
                      AND(E261="U12G",G261&gt;=Data!$M$25), "U12 Girls record"
                       ),""), "")</f>
        <v/>
      </c>
      <c r="M261" s="19" cm="1">
        <f t="array" ref="M261">_xlfn.IFS($G261="",0, AND(NOT(ISNUMBER($G261)),LOWER(LEFT($G261,1))&lt;&gt;"n"),"Not a valid distance",OR(LOWER(LEFT($G261,1))="n",$G261&lt;ScoringTable!$O$161),1,RIGHT($E261,1)="B",_xlfn.XLOOKUP($G261,ScoringTable!$O$2:$O$161,ScoringTable!$L$2:$L$161,,-1),TRUE,_xlfn.XLOOKUP($G261,ScoringTable!$U$2:$U$161,ScoringTable!$R$2:$R$161,,-1))</f>
        <v>0</v>
      </c>
    </row>
    <row r="262" spans="1:13" s="7" customFormat="1" ht="16" customHeight="1">
      <c r="A262" s="121" t="s">
        <v>81</v>
      </c>
      <c r="B262" s="122" t="str">
        <f>IF(ISNA(VLOOKUP($F262,Declarations!B$6:C$293,2,FALSE)),"",IF(VLOOKUP($F262,Declarations!B$6:C$293,2,FALSE)="","NOT DECLARED",IF(ISNA(_xlfn.TEXTBEFORE(VLOOKUP($F262,Declarations!B$6:C$293,2,FALSE)," ")),VLOOKUP($F262,Declarations!B$6:C$293,2,FALSE),_xlfn.TEXTBEFORE(VLOOKUP($F262,Declarations!B$6:C$293,2,FALSE)," "))))</f>
        <v/>
      </c>
      <c r="C262" s="122" t="str">
        <f>IF(ISNA(VLOOKUP($F262,Declarations!B$6:C$293,2,FALSE)),"",IF(VLOOKUP($F262,Declarations!B$6:C$293,2,FALSE)="","NOT DECLARED",IF(ISNA(_xlfn.TEXTAFTER(VLOOKUP($F262,Declarations!B$6:C$293,2,FALSE)," ")),VLOOKUP($F262,Declarations!B$6:C$293,2,FALSE),_xlfn.TEXTAFTER(VLOOKUP($F262,Declarations!B$6:C$293,2,FALSE)," "))))</f>
        <v/>
      </c>
      <c r="D262" s="122" t="str">
        <f>IF(ISNA(VLOOKUP($F262,Declarations!$B$6:$F$293,5,FALSE)),"",IF(VLOOKUP($F262,Declarations!$B$6:$F$293,5,FALSE)="","NOT DECLARED",VLOOKUP($F262,Declarations!$B$6:$F$293,5,FALSE)))</f>
        <v/>
      </c>
      <c r="E262" s="120" t="str">
        <f>IF(ISNA(VLOOKUP($F262,Declarations!$B$6:$D$293,3,FALSE)),"",IF(VLOOKUP($F262,Declarations!$B$6:$D$293,3,FALSE)="","NOT DECLARED",VLOOKUP($F262,Declarations!$B$6:$D$293,3,FALSE)&amp;LEFT(VLOOKUP($F262,Declarations!$B$6:$E$293,4,FALSE))))</f>
        <v/>
      </c>
      <c r="F262" s="59"/>
      <c r="G262" s="129"/>
      <c r="H262" s="129"/>
      <c r="I262" s="122" t="str">
        <f>IF(ISNA(VLOOKUP(F262,Declarations!B$6:C$293,2,FALSE)),"",IF(VLOOKUP(F262,Declarations!B$6:C$293,2,FALSE)="","NOT DECLARED",VLOOKUP(F262,Declarations!B$6:C$293,2,FALSE)))</f>
        <v/>
      </c>
      <c r="J262" s="120">
        <f>IF(LOWER(LEFT(G262,1))="n",1,VLOOKUP(G262,ScoringTable!D$2:I$95,6))</f>
        <v>0</v>
      </c>
      <c r="K262" s="120" t="str" cm="1">
        <f t="array" ref="K262">IF(OR(E262="",G262=""),"",_xlfn.IFS(E262="U10B",_xlfn.XLOOKUP(G262,Data!$D$5:$L$5,Data!$D$1:$L$1,"",-1,1),E262="U12B",_xlfn.XLOOKUP(G262,Data!$D$12:$L$12,Data!$D$1:$L$1,"",-1,1),E262="U10G",_xlfn.XLOOKUP(G262,Data!$D$18:$L$18,Data!$D$1:$L$1,"",-1,1),E262="U12G",_xlfn.XLOOKUP(G262,Data!$D$25:$L$25,Data!$D$1:$L$1,"",-1,1)))</f>
        <v/>
      </c>
      <c r="L262" s="184" t="str" cm="1">
        <f t="array" ref="L262">IFERROR(_xlfn.IFNA(
                      _xlfn.IFS(
                      G262="", "",
                      AND(E262="U10B",G262&gt;=Data!$M$5), "U10 Boys record",
                      AND(E262="U12B",G262&gt;=Data!$M$12), "U12 Boys record",
                      AND(E262="U10G",G262&gt;=Data!$M$18), "U10 Girls record",
                      AND(E262="U12G",G262&gt;=Data!$M$25), "U12 Girls record"
                       ),""), "")</f>
        <v/>
      </c>
      <c r="M262" s="19" cm="1">
        <f t="array" ref="M262">_xlfn.IFS($G262="",0, AND(NOT(ISNUMBER($G262)),LOWER(LEFT($G262,1))&lt;&gt;"n"),"Not a valid distance",OR(LOWER(LEFT($G262,1))="n",$G262&lt;ScoringTable!$O$161),1,RIGHT($E262,1)="B",_xlfn.XLOOKUP($G262,ScoringTable!$O$2:$O$161,ScoringTable!$L$2:$L$161,,-1),TRUE,_xlfn.XLOOKUP($G262,ScoringTable!$U$2:$U$161,ScoringTable!$R$2:$R$161,,-1))</f>
        <v>0</v>
      </c>
    </row>
    <row r="263" spans="1:13" s="7" customFormat="1" ht="16" customHeight="1">
      <c r="A263" s="121" t="s">
        <v>81</v>
      </c>
      <c r="B263" s="122" t="str">
        <f>IF(ISNA(VLOOKUP($F263,Declarations!B$6:C$293,2,FALSE)),"",IF(VLOOKUP($F263,Declarations!B$6:C$293,2,FALSE)="","NOT DECLARED",IF(ISNA(_xlfn.TEXTBEFORE(VLOOKUP($F263,Declarations!B$6:C$293,2,FALSE)," ")),VLOOKUP($F263,Declarations!B$6:C$293,2,FALSE),_xlfn.TEXTBEFORE(VLOOKUP($F263,Declarations!B$6:C$293,2,FALSE)," "))))</f>
        <v/>
      </c>
      <c r="C263" s="122" t="str">
        <f>IF(ISNA(VLOOKUP($F263,Declarations!B$6:C$293,2,FALSE)),"",IF(VLOOKUP($F263,Declarations!B$6:C$293,2,FALSE)="","NOT DECLARED",IF(ISNA(_xlfn.TEXTAFTER(VLOOKUP($F263,Declarations!B$6:C$293,2,FALSE)," ")),VLOOKUP($F263,Declarations!B$6:C$293,2,FALSE),_xlfn.TEXTAFTER(VLOOKUP($F263,Declarations!B$6:C$293,2,FALSE)," "))))</f>
        <v/>
      </c>
      <c r="D263" s="122" t="str">
        <f>IF(ISNA(VLOOKUP($F263,Declarations!$B$6:$F$293,5,FALSE)),"",IF(VLOOKUP($F263,Declarations!$B$6:$F$293,5,FALSE)="","NOT DECLARED",VLOOKUP($F263,Declarations!$B$6:$F$293,5,FALSE)))</f>
        <v/>
      </c>
      <c r="E263" s="120" t="str">
        <f>IF(ISNA(VLOOKUP($F263,Declarations!$B$6:$D$293,3,FALSE)),"",IF(VLOOKUP($F263,Declarations!$B$6:$D$293,3,FALSE)="","NOT DECLARED",VLOOKUP($F263,Declarations!$B$6:$D$293,3,FALSE)&amp;LEFT(VLOOKUP($F263,Declarations!$B$6:$E$293,4,FALSE))))</f>
        <v/>
      </c>
      <c r="F263" s="59"/>
      <c r="G263" s="129"/>
      <c r="H263" s="129"/>
      <c r="I263" s="122" t="str">
        <f>IF(ISNA(VLOOKUP(F263,Declarations!B$6:C$293,2,FALSE)),"",IF(VLOOKUP(F263,Declarations!B$6:C$293,2,FALSE)="","NOT DECLARED",VLOOKUP(F263,Declarations!B$6:C$293,2,FALSE)))</f>
        <v/>
      </c>
      <c r="J263" s="120">
        <f>IF(LOWER(LEFT(G263,1))="n",1,VLOOKUP(G263,ScoringTable!D$2:I$95,6))</f>
        <v>0</v>
      </c>
      <c r="K263" s="120" t="str" cm="1">
        <f t="array" ref="K263">IF(OR(E263="",G263=""),"",_xlfn.IFS(E263="U10B",_xlfn.XLOOKUP(G263,Data!$D$5:$L$5,Data!$D$1:$L$1,"",-1,1),E263="U12B",_xlfn.XLOOKUP(G263,Data!$D$12:$L$12,Data!$D$1:$L$1,"",-1,1),E263="U10G",_xlfn.XLOOKUP(G263,Data!$D$18:$L$18,Data!$D$1:$L$1,"",-1,1),E263="U12G",_xlfn.XLOOKUP(G263,Data!$D$25:$L$25,Data!$D$1:$L$1,"",-1,1)))</f>
        <v/>
      </c>
      <c r="L263" s="184" t="str" cm="1">
        <f t="array" ref="L263">IFERROR(_xlfn.IFNA(
                      _xlfn.IFS(
                      G263="", "",
                      AND(E263="U10B",G263&gt;=Data!$M$5), "U10 Boys record",
                      AND(E263="U12B",G263&gt;=Data!$M$12), "U12 Boys record",
                      AND(E263="U10G",G263&gt;=Data!$M$18), "U10 Girls record",
                      AND(E263="U12G",G263&gt;=Data!$M$25), "U12 Girls record"
                       ),""), "")</f>
        <v/>
      </c>
      <c r="M263" s="19" cm="1">
        <f t="array" ref="M263">_xlfn.IFS($G263="",0, AND(NOT(ISNUMBER($G263)),LOWER(LEFT($G263,1))&lt;&gt;"n"),"Not a valid distance",OR(LOWER(LEFT($G263,1))="n",$G263&lt;ScoringTable!$O$161),1,RIGHT($E263,1)="B",_xlfn.XLOOKUP($G263,ScoringTable!$O$2:$O$161,ScoringTable!$L$2:$L$161,,-1),TRUE,_xlfn.XLOOKUP($G263,ScoringTable!$U$2:$U$161,ScoringTable!$R$2:$R$161,,-1))</f>
        <v>0</v>
      </c>
    </row>
    <row r="264" spans="1:13" s="7" customFormat="1" ht="16" customHeight="1">
      <c r="A264" s="121" t="s">
        <v>81</v>
      </c>
      <c r="B264" s="122" t="str">
        <f>IF(ISNA(VLOOKUP($F264,Declarations!B$6:C$293,2,FALSE)),"",IF(VLOOKUP($F264,Declarations!B$6:C$293,2,FALSE)="","NOT DECLARED",IF(ISNA(_xlfn.TEXTBEFORE(VLOOKUP($F264,Declarations!B$6:C$293,2,FALSE)," ")),VLOOKUP($F264,Declarations!B$6:C$293,2,FALSE),_xlfn.TEXTBEFORE(VLOOKUP($F264,Declarations!B$6:C$293,2,FALSE)," "))))</f>
        <v/>
      </c>
      <c r="C264" s="122" t="str">
        <f>IF(ISNA(VLOOKUP($F264,Declarations!B$6:C$293,2,FALSE)),"",IF(VLOOKUP($F264,Declarations!B$6:C$293,2,FALSE)="","NOT DECLARED",IF(ISNA(_xlfn.TEXTAFTER(VLOOKUP($F264,Declarations!B$6:C$293,2,FALSE)," ")),VLOOKUP($F264,Declarations!B$6:C$293,2,FALSE),_xlfn.TEXTAFTER(VLOOKUP($F264,Declarations!B$6:C$293,2,FALSE)," "))))</f>
        <v/>
      </c>
      <c r="D264" s="122" t="str">
        <f>IF(ISNA(VLOOKUP($F264,Declarations!$B$6:$F$293,5,FALSE)),"",IF(VLOOKUP($F264,Declarations!$B$6:$F$293,5,FALSE)="","NOT DECLARED",VLOOKUP($F264,Declarations!$B$6:$F$293,5,FALSE)))</f>
        <v/>
      </c>
      <c r="E264" s="120" t="str">
        <f>IF(ISNA(VLOOKUP($F264,Declarations!$B$6:$D$293,3,FALSE)),"",IF(VLOOKUP($F264,Declarations!$B$6:$D$293,3,FALSE)="","NOT DECLARED",VLOOKUP($F264,Declarations!$B$6:$D$293,3,FALSE)&amp;LEFT(VLOOKUP($F264,Declarations!$B$6:$E$293,4,FALSE))))</f>
        <v/>
      </c>
      <c r="F264" s="59"/>
      <c r="G264" s="129"/>
      <c r="H264" s="129"/>
      <c r="I264" s="122" t="str">
        <f>IF(ISNA(VLOOKUP(F264,Declarations!B$6:C$293,2,FALSE)),"",IF(VLOOKUP(F264,Declarations!B$6:C$293,2,FALSE)="","NOT DECLARED",VLOOKUP(F264,Declarations!B$6:C$293,2,FALSE)))</f>
        <v/>
      </c>
      <c r="J264" s="120">
        <f>IF(LOWER(LEFT(G264,1))="n",1,VLOOKUP(G264,ScoringTable!D$2:I$95,6))</f>
        <v>0</v>
      </c>
      <c r="K264" s="120" t="str" cm="1">
        <f t="array" ref="K264">IF(OR(E264="",G264=""),"",_xlfn.IFS(E264="U10B",_xlfn.XLOOKUP(G264,Data!$D$5:$L$5,Data!$D$1:$L$1,"",-1,1),E264="U12B",_xlfn.XLOOKUP(G264,Data!$D$12:$L$12,Data!$D$1:$L$1,"",-1,1),E264="U10G",_xlfn.XLOOKUP(G264,Data!$D$18:$L$18,Data!$D$1:$L$1,"",-1,1),E264="U12G",_xlfn.XLOOKUP(G264,Data!$D$25:$L$25,Data!$D$1:$L$1,"",-1,1)))</f>
        <v/>
      </c>
      <c r="L264" s="184" t="str" cm="1">
        <f t="array" ref="L264">IFERROR(_xlfn.IFNA(
                      _xlfn.IFS(
                      G264="", "",
                      AND(E264="U10B",G264&gt;=Data!$M$5), "U10 Boys record",
                      AND(E264="U12B",G264&gt;=Data!$M$12), "U12 Boys record",
                      AND(E264="U10G",G264&gt;=Data!$M$18), "U10 Girls record",
                      AND(E264="U12G",G264&gt;=Data!$M$25), "U12 Girls record"
                       ),""), "")</f>
        <v/>
      </c>
      <c r="M264" s="19" cm="1">
        <f t="array" ref="M264">_xlfn.IFS($G264="",0, AND(NOT(ISNUMBER($G264)),LOWER(LEFT($G264,1))&lt;&gt;"n"),"Not a valid distance",OR(LOWER(LEFT($G264,1))="n",$G264&lt;ScoringTable!$O$161),1,RIGHT($E264,1)="B",_xlfn.XLOOKUP($G264,ScoringTable!$O$2:$O$161,ScoringTable!$L$2:$L$161,,-1),TRUE,_xlfn.XLOOKUP($G264,ScoringTable!$U$2:$U$161,ScoringTable!$R$2:$R$161,,-1))</f>
        <v>0</v>
      </c>
    </row>
    <row r="265" spans="1:13" s="7" customFormat="1" ht="16" customHeight="1">
      <c r="A265" s="121" t="s">
        <v>81</v>
      </c>
      <c r="B265" s="122" t="str">
        <f>IF(ISNA(VLOOKUP($F265,Declarations!B$6:C$293,2,FALSE)),"",IF(VLOOKUP($F265,Declarations!B$6:C$293,2,FALSE)="","NOT DECLARED",IF(ISNA(_xlfn.TEXTBEFORE(VLOOKUP($F265,Declarations!B$6:C$293,2,FALSE)," ")),VLOOKUP($F265,Declarations!B$6:C$293,2,FALSE),_xlfn.TEXTBEFORE(VLOOKUP($F265,Declarations!B$6:C$293,2,FALSE)," "))))</f>
        <v/>
      </c>
      <c r="C265" s="122" t="str">
        <f>IF(ISNA(VLOOKUP($F265,Declarations!B$6:C$293,2,FALSE)),"",IF(VLOOKUP($F265,Declarations!B$6:C$293,2,FALSE)="","NOT DECLARED",IF(ISNA(_xlfn.TEXTAFTER(VLOOKUP($F265,Declarations!B$6:C$293,2,FALSE)," ")),VLOOKUP($F265,Declarations!B$6:C$293,2,FALSE),_xlfn.TEXTAFTER(VLOOKUP($F265,Declarations!B$6:C$293,2,FALSE)," "))))</f>
        <v/>
      </c>
      <c r="D265" s="122" t="str">
        <f>IF(ISNA(VLOOKUP($F265,Declarations!$B$6:$F$293,5,FALSE)),"",IF(VLOOKUP($F265,Declarations!$B$6:$F$293,5,FALSE)="","NOT DECLARED",VLOOKUP($F265,Declarations!$B$6:$F$293,5,FALSE)))</f>
        <v/>
      </c>
      <c r="E265" s="120" t="str">
        <f>IF(ISNA(VLOOKUP($F265,Declarations!$B$6:$D$293,3,FALSE)),"",IF(VLOOKUP($F265,Declarations!$B$6:$D$293,3,FALSE)="","NOT DECLARED",VLOOKUP($F265,Declarations!$B$6:$D$293,3,FALSE)&amp;LEFT(VLOOKUP($F265,Declarations!$B$6:$E$293,4,FALSE))))</f>
        <v/>
      </c>
      <c r="F265" s="59"/>
      <c r="G265" s="129"/>
      <c r="H265" s="129"/>
      <c r="I265" s="122" t="str">
        <f>IF(ISNA(VLOOKUP(F265,Declarations!B$6:C$293,2,FALSE)),"",IF(VLOOKUP(F265,Declarations!B$6:C$293,2,FALSE)="","NOT DECLARED",VLOOKUP(F265,Declarations!B$6:C$293,2,FALSE)))</f>
        <v/>
      </c>
      <c r="J265" s="120">
        <f>IF(LOWER(LEFT(G265,1))="n",1,VLOOKUP(G265,ScoringTable!D$2:I$95,6))</f>
        <v>0</v>
      </c>
      <c r="K265" s="120" t="str" cm="1">
        <f t="array" ref="K265">IF(OR(E265="",G265=""),"",_xlfn.IFS(E265="U10B",_xlfn.XLOOKUP(G265,Data!$D$5:$L$5,Data!$D$1:$L$1,"",-1,1),E265="U12B",_xlfn.XLOOKUP(G265,Data!$D$12:$L$12,Data!$D$1:$L$1,"",-1,1),E265="U10G",_xlfn.XLOOKUP(G265,Data!$D$18:$L$18,Data!$D$1:$L$1,"",-1,1),E265="U12G",_xlfn.XLOOKUP(G265,Data!$D$25:$L$25,Data!$D$1:$L$1,"",-1,1)))</f>
        <v/>
      </c>
      <c r="L265" s="184" t="str" cm="1">
        <f t="array" ref="L265">IFERROR(_xlfn.IFNA(
                      _xlfn.IFS(
                      G265="", "",
                      AND(E265="U10B",G265&gt;=Data!$M$5), "U10 Boys record",
                      AND(E265="U12B",G265&gt;=Data!$M$12), "U12 Boys record",
                      AND(E265="U10G",G265&gt;=Data!$M$18), "U10 Girls record",
                      AND(E265="U12G",G265&gt;=Data!$M$25), "U12 Girls record"
                       ),""), "")</f>
        <v/>
      </c>
      <c r="M265" s="19" cm="1">
        <f t="array" ref="M265">_xlfn.IFS($G265="",0, AND(NOT(ISNUMBER($G265)),LOWER(LEFT($G265,1))&lt;&gt;"n"),"Not a valid distance",OR(LOWER(LEFT($G265,1))="n",$G265&lt;ScoringTable!$O$161),1,RIGHT($E265,1)="B",_xlfn.XLOOKUP($G265,ScoringTable!$O$2:$O$161,ScoringTable!$L$2:$L$161,,-1),TRUE,_xlfn.XLOOKUP($G265,ScoringTable!$U$2:$U$161,ScoringTable!$R$2:$R$161,,-1))</f>
        <v>0</v>
      </c>
    </row>
    <row r="266" spans="1:13" s="7" customFormat="1" ht="16" customHeight="1">
      <c r="A266" s="121" t="s">
        <v>81</v>
      </c>
      <c r="B266" s="122" t="str">
        <f>IF(ISNA(VLOOKUP($F266,Declarations!B$6:C$293,2,FALSE)),"",IF(VLOOKUP($F266,Declarations!B$6:C$293,2,FALSE)="","NOT DECLARED",IF(ISNA(_xlfn.TEXTBEFORE(VLOOKUP($F266,Declarations!B$6:C$293,2,FALSE)," ")),VLOOKUP($F266,Declarations!B$6:C$293,2,FALSE),_xlfn.TEXTBEFORE(VLOOKUP($F266,Declarations!B$6:C$293,2,FALSE)," "))))</f>
        <v/>
      </c>
      <c r="C266" s="122" t="str">
        <f>IF(ISNA(VLOOKUP($F266,Declarations!B$6:C$293,2,FALSE)),"",IF(VLOOKUP($F266,Declarations!B$6:C$293,2,FALSE)="","NOT DECLARED",IF(ISNA(_xlfn.TEXTAFTER(VLOOKUP($F266,Declarations!B$6:C$293,2,FALSE)," ")),VLOOKUP($F266,Declarations!B$6:C$293,2,FALSE),_xlfn.TEXTAFTER(VLOOKUP($F266,Declarations!B$6:C$293,2,FALSE)," "))))</f>
        <v/>
      </c>
      <c r="D266" s="122" t="str">
        <f>IF(ISNA(VLOOKUP($F266,Declarations!$B$6:$F$293,5,FALSE)),"",IF(VLOOKUP($F266,Declarations!$B$6:$F$293,5,FALSE)="","NOT DECLARED",VLOOKUP($F266,Declarations!$B$6:$F$293,5,FALSE)))</f>
        <v/>
      </c>
      <c r="E266" s="120" t="str">
        <f>IF(ISNA(VLOOKUP($F266,Declarations!$B$6:$D$293,3,FALSE)),"",IF(VLOOKUP($F266,Declarations!$B$6:$D$293,3,FALSE)="","NOT DECLARED",VLOOKUP($F266,Declarations!$B$6:$D$293,3,FALSE)&amp;LEFT(VLOOKUP($F266,Declarations!$B$6:$E$293,4,FALSE))))</f>
        <v/>
      </c>
      <c r="F266" s="59"/>
      <c r="G266" s="129"/>
      <c r="H266" s="129"/>
      <c r="I266" s="122" t="str">
        <f>IF(ISNA(VLOOKUP(F266,Declarations!B$6:C$293,2,FALSE)),"",IF(VLOOKUP(F266,Declarations!B$6:C$293,2,FALSE)="","NOT DECLARED",VLOOKUP(F266,Declarations!B$6:C$293,2,FALSE)))</f>
        <v/>
      </c>
      <c r="J266" s="120">
        <f>IF(LOWER(LEFT(G266,1))="n",1,VLOOKUP(G266,ScoringTable!D$2:I$95,6))</f>
        <v>0</v>
      </c>
      <c r="K266" s="120" t="str" cm="1">
        <f t="array" ref="K266">IF(OR(E266="",G266=""),"",_xlfn.IFS(E266="U10B",_xlfn.XLOOKUP(G266,Data!$D$5:$L$5,Data!$D$1:$L$1,"",-1,1),E266="U12B",_xlfn.XLOOKUP(G266,Data!$D$12:$L$12,Data!$D$1:$L$1,"",-1,1),E266="U10G",_xlfn.XLOOKUP(G266,Data!$D$18:$L$18,Data!$D$1:$L$1,"",-1,1),E266="U12G",_xlfn.XLOOKUP(G266,Data!$D$25:$L$25,Data!$D$1:$L$1,"",-1,1)))</f>
        <v/>
      </c>
      <c r="L266" s="184" t="str" cm="1">
        <f t="array" ref="L266">IFERROR(_xlfn.IFNA(
                      _xlfn.IFS(
                      G266="", "",
                      AND(E266="U10B",G266&gt;=Data!$M$5), "U10 Boys record",
                      AND(E266="U12B",G266&gt;=Data!$M$12), "U12 Boys record",
                      AND(E266="U10G",G266&gt;=Data!$M$18), "U10 Girls record",
                      AND(E266="U12G",G266&gt;=Data!$M$25), "U12 Girls record"
                       ),""), "")</f>
        <v/>
      </c>
      <c r="M266" s="19" cm="1">
        <f t="array" ref="M266">_xlfn.IFS($G266="",0, AND(NOT(ISNUMBER($G266)),LOWER(LEFT($G266,1))&lt;&gt;"n"),"Not a valid distance",OR(LOWER(LEFT($G266,1))="n",$G266&lt;ScoringTable!$O$161),1,RIGHT($E266,1)="B",_xlfn.XLOOKUP($G266,ScoringTable!$O$2:$O$161,ScoringTable!$L$2:$L$161,,-1),TRUE,_xlfn.XLOOKUP($G266,ScoringTable!$U$2:$U$161,ScoringTable!$R$2:$R$161,,-1))</f>
        <v>0</v>
      </c>
    </row>
    <row r="267" spans="1:13" s="7" customFormat="1" ht="16" customHeight="1">
      <c r="A267" s="121" t="s">
        <v>81</v>
      </c>
      <c r="B267" s="122" t="str">
        <f>IF(ISNA(VLOOKUP($F267,Declarations!B$6:C$293,2,FALSE)),"",IF(VLOOKUP($F267,Declarations!B$6:C$293,2,FALSE)="","NOT DECLARED",IF(ISNA(_xlfn.TEXTBEFORE(VLOOKUP($F267,Declarations!B$6:C$293,2,FALSE)," ")),VLOOKUP($F267,Declarations!B$6:C$293,2,FALSE),_xlfn.TEXTBEFORE(VLOOKUP($F267,Declarations!B$6:C$293,2,FALSE)," "))))</f>
        <v/>
      </c>
      <c r="C267" s="122" t="str">
        <f>IF(ISNA(VLOOKUP($F267,Declarations!B$6:C$293,2,FALSE)),"",IF(VLOOKUP($F267,Declarations!B$6:C$293,2,FALSE)="","NOT DECLARED",IF(ISNA(_xlfn.TEXTAFTER(VLOOKUP($F267,Declarations!B$6:C$293,2,FALSE)," ")),VLOOKUP($F267,Declarations!B$6:C$293,2,FALSE),_xlfn.TEXTAFTER(VLOOKUP($F267,Declarations!B$6:C$293,2,FALSE)," "))))</f>
        <v/>
      </c>
      <c r="D267" s="122" t="str">
        <f>IF(ISNA(VLOOKUP($F267,Declarations!$B$6:$F$293,5,FALSE)),"",IF(VLOOKUP($F267,Declarations!$B$6:$F$293,5,FALSE)="","NOT DECLARED",VLOOKUP($F267,Declarations!$B$6:$F$293,5,FALSE)))</f>
        <v/>
      </c>
      <c r="E267" s="120" t="str">
        <f>IF(ISNA(VLOOKUP($F267,Declarations!$B$6:$D$293,3,FALSE)),"",IF(VLOOKUP($F267,Declarations!$B$6:$D$293,3,FALSE)="","NOT DECLARED",VLOOKUP($F267,Declarations!$B$6:$D$293,3,FALSE)&amp;LEFT(VLOOKUP($F267,Declarations!$B$6:$E$293,4,FALSE))))</f>
        <v/>
      </c>
      <c r="F267" s="59"/>
      <c r="G267" s="129"/>
      <c r="H267" s="129"/>
      <c r="I267" s="122" t="str">
        <f>IF(ISNA(VLOOKUP(F267,Declarations!B$6:C$293,2,FALSE)),"",IF(VLOOKUP(F267,Declarations!B$6:C$293,2,FALSE)="","NOT DECLARED",VLOOKUP(F267,Declarations!B$6:C$293,2,FALSE)))</f>
        <v/>
      </c>
      <c r="J267" s="120">
        <f>IF(LOWER(LEFT(G267,1))="n",1,VLOOKUP(G267,ScoringTable!D$2:I$95,6))</f>
        <v>0</v>
      </c>
      <c r="K267" s="120" t="str" cm="1">
        <f t="array" ref="K267">IF(OR(E267="",G267=""),"",_xlfn.IFS(E267="U10B",_xlfn.XLOOKUP(G267,Data!$D$5:$L$5,Data!$D$1:$L$1,"",-1,1),E267="U12B",_xlfn.XLOOKUP(G267,Data!$D$12:$L$12,Data!$D$1:$L$1,"",-1,1),E267="U10G",_xlfn.XLOOKUP(G267,Data!$D$18:$L$18,Data!$D$1:$L$1,"",-1,1),E267="U12G",_xlfn.XLOOKUP(G267,Data!$D$25:$L$25,Data!$D$1:$L$1,"",-1,1)))</f>
        <v/>
      </c>
      <c r="L267" s="184" t="str" cm="1">
        <f t="array" ref="L267">IFERROR(_xlfn.IFNA(
                      _xlfn.IFS(
                      G267="", "",
                      AND(E267="U10B",G267&gt;=Data!$M$5), "U10 Boys record",
                      AND(E267="U12B",G267&gt;=Data!$M$12), "U12 Boys record",
                      AND(E267="U10G",G267&gt;=Data!$M$18), "U10 Girls record",
                      AND(E267="U12G",G267&gt;=Data!$M$25), "U12 Girls record"
                       ),""), "")</f>
        <v/>
      </c>
      <c r="M267" s="19" cm="1">
        <f t="array" ref="M267">_xlfn.IFS($G267="",0, AND(NOT(ISNUMBER($G267)),LOWER(LEFT($G267,1))&lt;&gt;"n"),"Not a valid distance",OR(LOWER(LEFT($G267,1))="n",$G267&lt;ScoringTable!$O$161),1,RIGHT($E267,1)="B",_xlfn.XLOOKUP($G267,ScoringTable!$O$2:$O$161,ScoringTable!$L$2:$L$161,,-1),TRUE,_xlfn.XLOOKUP($G267,ScoringTable!$U$2:$U$161,ScoringTable!$R$2:$R$161,,-1))</f>
        <v>0</v>
      </c>
    </row>
    <row r="268" spans="1:13" s="7" customFormat="1" ht="16" customHeight="1">
      <c r="A268" s="121" t="s">
        <v>81</v>
      </c>
      <c r="B268" s="122" t="str">
        <f>IF(ISNA(VLOOKUP($F268,Declarations!B$6:C$293,2,FALSE)),"",IF(VLOOKUP($F268,Declarations!B$6:C$293,2,FALSE)="","NOT DECLARED",IF(ISNA(_xlfn.TEXTBEFORE(VLOOKUP($F268,Declarations!B$6:C$293,2,FALSE)," ")),VLOOKUP($F268,Declarations!B$6:C$293,2,FALSE),_xlfn.TEXTBEFORE(VLOOKUP($F268,Declarations!B$6:C$293,2,FALSE)," "))))</f>
        <v/>
      </c>
      <c r="C268" s="122" t="str">
        <f>IF(ISNA(VLOOKUP($F268,Declarations!B$6:C$293,2,FALSE)),"",IF(VLOOKUP($F268,Declarations!B$6:C$293,2,FALSE)="","NOT DECLARED",IF(ISNA(_xlfn.TEXTAFTER(VLOOKUP($F268,Declarations!B$6:C$293,2,FALSE)," ")),VLOOKUP($F268,Declarations!B$6:C$293,2,FALSE),_xlfn.TEXTAFTER(VLOOKUP($F268,Declarations!B$6:C$293,2,FALSE)," "))))</f>
        <v/>
      </c>
      <c r="D268" s="122" t="str">
        <f>IF(ISNA(VLOOKUP($F268,Declarations!$B$6:$F$293,5,FALSE)),"",IF(VLOOKUP($F268,Declarations!$B$6:$F$293,5,FALSE)="","NOT DECLARED",VLOOKUP($F268,Declarations!$B$6:$F$293,5,FALSE)))</f>
        <v/>
      </c>
      <c r="E268" s="120" t="str">
        <f>IF(ISNA(VLOOKUP($F268,Declarations!$B$6:$D$293,3,FALSE)),"",IF(VLOOKUP($F268,Declarations!$B$6:$D$293,3,FALSE)="","NOT DECLARED",VLOOKUP($F268,Declarations!$B$6:$D$293,3,FALSE)&amp;LEFT(VLOOKUP($F268,Declarations!$B$6:$E$293,4,FALSE))))</f>
        <v/>
      </c>
      <c r="F268" s="59"/>
      <c r="G268" s="129"/>
      <c r="H268" s="129"/>
      <c r="I268" s="122" t="str">
        <f>IF(ISNA(VLOOKUP(F268,Declarations!B$6:C$293,2,FALSE)),"",IF(VLOOKUP(F268,Declarations!B$6:C$293,2,FALSE)="","NOT DECLARED",VLOOKUP(F268,Declarations!B$6:C$293,2,FALSE)))</f>
        <v/>
      </c>
      <c r="J268" s="120">
        <f>IF(LOWER(LEFT(G268,1))="n",1,VLOOKUP(G268,ScoringTable!D$2:I$95,6))</f>
        <v>0</v>
      </c>
      <c r="K268" s="120" t="str" cm="1">
        <f t="array" ref="K268">IF(OR(E268="",G268=""),"",_xlfn.IFS(E268="U10B",_xlfn.XLOOKUP(G268,Data!$D$5:$L$5,Data!$D$1:$L$1,"",-1,1),E268="U12B",_xlfn.XLOOKUP(G268,Data!$D$12:$L$12,Data!$D$1:$L$1,"",-1,1),E268="U10G",_xlfn.XLOOKUP(G268,Data!$D$18:$L$18,Data!$D$1:$L$1,"",-1,1),E268="U12G",_xlfn.XLOOKUP(G268,Data!$D$25:$L$25,Data!$D$1:$L$1,"",-1,1)))</f>
        <v/>
      </c>
      <c r="L268" s="184" t="str" cm="1">
        <f t="array" ref="L268">IFERROR(_xlfn.IFNA(
                      _xlfn.IFS(
                      G268="", "",
                      AND(E268="U10B",G268&gt;=Data!$M$5), "U10 Boys record",
                      AND(E268="U12B",G268&gt;=Data!$M$12), "U12 Boys record",
                      AND(E268="U10G",G268&gt;=Data!$M$18), "U10 Girls record",
                      AND(E268="U12G",G268&gt;=Data!$M$25), "U12 Girls record"
                       ),""), "")</f>
        <v/>
      </c>
      <c r="M268" s="19" cm="1">
        <f t="array" ref="M268">_xlfn.IFS($G268="",0, AND(NOT(ISNUMBER($G268)),LOWER(LEFT($G268,1))&lt;&gt;"n"),"Not a valid distance",OR(LOWER(LEFT($G268,1))="n",$G268&lt;ScoringTable!$O$161),1,RIGHT($E268,1)="B",_xlfn.XLOOKUP($G268,ScoringTable!$O$2:$O$161,ScoringTable!$L$2:$L$161,,-1),TRUE,_xlfn.XLOOKUP($G268,ScoringTable!$U$2:$U$161,ScoringTable!$R$2:$R$161,,-1))</f>
        <v>0</v>
      </c>
    </row>
    <row r="269" spans="1:13" s="7" customFormat="1" ht="16" customHeight="1">
      <c r="A269" s="121" t="s">
        <v>81</v>
      </c>
      <c r="B269" s="122" t="str">
        <f>IF(ISNA(VLOOKUP($F269,Declarations!B$6:C$293,2,FALSE)),"",IF(VLOOKUP($F269,Declarations!B$6:C$293,2,FALSE)="","NOT DECLARED",IF(ISNA(_xlfn.TEXTBEFORE(VLOOKUP($F269,Declarations!B$6:C$293,2,FALSE)," ")),VLOOKUP($F269,Declarations!B$6:C$293,2,FALSE),_xlfn.TEXTBEFORE(VLOOKUP($F269,Declarations!B$6:C$293,2,FALSE)," "))))</f>
        <v/>
      </c>
      <c r="C269" s="122" t="str">
        <f>IF(ISNA(VLOOKUP($F269,Declarations!B$6:C$293,2,FALSE)),"",IF(VLOOKUP($F269,Declarations!B$6:C$293,2,FALSE)="","NOT DECLARED",IF(ISNA(_xlfn.TEXTAFTER(VLOOKUP($F269,Declarations!B$6:C$293,2,FALSE)," ")),VLOOKUP($F269,Declarations!B$6:C$293,2,FALSE),_xlfn.TEXTAFTER(VLOOKUP($F269,Declarations!B$6:C$293,2,FALSE)," "))))</f>
        <v/>
      </c>
      <c r="D269" s="122" t="str">
        <f>IF(ISNA(VLOOKUP($F269,Declarations!$B$6:$F$293,5,FALSE)),"",IF(VLOOKUP($F269,Declarations!$B$6:$F$293,5,FALSE)="","NOT DECLARED",VLOOKUP($F269,Declarations!$B$6:$F$293,5,FALSE)))</f>
        <v/>
      </c>
      <c r="E269" s="120" t="str">
        <f>IF(ISNA(VLOOKUP($F269,Declarations!$B$6:$D$293,3,FALSE)),"",IF(VLOOKUP($F269,Declarations!$B$6:$D$293,3,FALSE)="","NOT DECLARED",VLOOKUP($F269,Declarations!$B$6:$D$293,3,FALSE)&amp;LEFT(VLOOKUP($F269,Declarations!$B$6:$E$293,4,FALSE))))</f>
        <v/>
      </c>
      <c r="F269" s="59"/>
      <c r="G269" s="129"/>
      <c r="H269" s="129"/>
      <c r="I269" s="122" t="str">
        <f>IF(ISNA(VLOOKUP(F269,Declarations!B$6:C$293,2,FALSE)),"",IF(VLOOKUP(F269,Declarations!B$6:C$293,2,FALSE)="","NOT DECLARED",VLOOKUP(F269,Declarations!B$6:C$293,2,FALSE)))</f>
        <v/>
      </c>
      <c r="J269" s="120">
        <f>IF(LOWER(LEFT(G269,1))="n",1,VLOOKUP(G269,ScoringTable!D$2:I$95,6))</f>
        <v>0</v>
      </c>
      <c r="K269" s="120" t="str" cm="1">
        <f t="array" ref="K269">IF(OR(E269="",G269=""),"",_xlfn.IFS(E269="U10B",_xlfn.XLOOKUP(G269,Data!$D$5:$L$5,Data!$D$1:$L$1,"",-1,1),E269="U12B",_xlfn.XLOOKUP(G269,Data!$D$12:$L$12,Data!$D$1:$L$1,"",-1,1),E269="U10G",_xlfn.XLOOKUP(G269,Data!$D$18:$L$18,Data!$D$1:$L$1,"",-1,1),E269="U12G",_xlfn.XLOOKUP(G269,Data!$D$25:$L$25,Data!$D$1:$L$1,"",-1,1)))</f>
        <v/>
      </c>
      <c r="L269" s="184" t="str" cm="1">
        <f t="array" ref="L269">IFERROR(_xlfn.IFNA(
                      _xlfn.IFS(
                      G269="", "",
                      AND(E269="U10B",G269&gt;=Data!$M$5), "U10 Boys record",
                      AND(E269="U12B",G269&gt;=Data!$M$12), "U12 Boys record",
                      AND(E269="U10G",G269&gt;=Data!$M$18), "U10 Girls record",
                      AND(E269="U12G",G269&gt;=Data!$M$25), "U12 Girls record"
                       ),""), "")</f>
        <v/>
      </c>
      <c r="M269" s="19" cm="1">
        <f t="array" ref="M269">_xlfn.IFS($G269="",0, AND(NOT(ISNUMBER($G269)),LOWER(LEFT($G269,1))&lt;&gt;"n"),"Not a valid distance",OR(LOWER(LEFT($G269,1))="n",$G269&lt;ScoringTable!$O$161),1,RIGHT($E269,1)="B",_xlfn.XLOOKUP($G269,ScoringTable!$O$2:$O$161,ScoringTable!$L$2:$L$161,,-1),TRUE,_xlfn.XLOOKUP($G269,ScoringTable!$U$2:$U$161,ScoringTable!$R$2:$R$161,,-1))</f>
        <v>0</v>
      </c>
    </row>
    <row r="270" spans="1:13" s="7" customFormat="1" ht="16" customHeight="1">
      <c r="A270" s="121" t="s">
        <v>81</v>
      </c>
      <c r="B270" s="122" t="str">
        <f>IF(ISNA(VLOOKUP($F270,Declarations!B$6:C$293,2,FALSE)),"",IF(VLOOKUP($F270,Declarations!B$6:C$293,2,FALSE)="","NOT DECLARED",IF(ISNA(_xlfn.TEXTBEFORE(VLOOKUP($F270,Declarations!B$6:C$293,2,FALSE)," ")),VLOOKUP($F270,Declarations!B$6:C$293,2,FALSE),_xlfn.TEXTBEFORE(VLOOKUP($F270,Declarations!B$6:C$293,2,FALSE)," "))))</f>
        <v/>
      </c>
      <c r="C270" s="122" t="str">
        <f>IF(ISNA(VLOOKUP($F270,Declarations!B$6:C$293,2,FALSE)),"",IF(VLOOKUP($F270,Declarations!B$6:C$293,2,FALSE)="","NOT DECLARED",IF(ISNA(_xlfn.TEXTAFTER(VLOOKUP($F270,Declarations!B$6:C$293,2,FALSE)," ")),VLOOKUP($F270,Declarations!B$6:C$293,2,FALSE),_xlfn.TEXTAFTER(VLOOKUP($F270,Declarations!B$6:C$293,2,FALSE)," "))))</f>
        <v/>
      </c>
      <c r="D270" s="122" t="str">
        <f>IF(ISNA(VLOOKUP($F270,Declarations!$B$6:$F$293,5,FALSE)),"",IF(VLOOKUP($F270,Declarations!$B$6:$F$293,5,FALSE)="","NOT DECLARED",VLOOKUP($F270,Declarations!$B$6:$F$293,5,FALSE)))</f>
        <v/>
      </c>
      <c r="E270" s="120" t="str">
        <f>IF(ISNA(VLOOKUP($F270,Declarations!$B$6:$D$293,3,FALSE)),"",IF(VLOOKUP($F270,Declarations!$B$6:$D$293,3,FALSE)="","NOT DECLARED",VLOOKUP($F270,Declarations!$B$6:$D$293,3,FALSE)&amp;LEFT(VLOOKUP($F270,Declarations!$B$6:$E$293,4,FALSE))))</f>
        <v/>
      </c>
      <c r="F270" s="59"/>
      <c r="G270" s="129"/>
      <c r="H270" s="129"/>
      <c r="I270" s="122" t="str">
        <f>IF(ISNA(VLOOKUP(F270,Declarations!B$6:C$293,2,FALSE)),"",IF(VLOOKUP(F270,Declarations!B$6:C$293,2,FALSE)="","NOT DECLARED",VLOOKUP(F270,Declarations!B$6:C$293,2,FALSE)))</f>
        <v/>
      </c>
      <c r="J270" s="120">
        <f>IF(LOWER(LEFT(G270,1))="n",1,VLOOKUP(G270,ScoringTable!D$2:I$95,6))</f>
        <v>0</v>
      </c>
      <c r="K270" s="120" t="str" cm="1">
        <f t="array" ref="K270">IF(OR(E270="",G270=""),"",_xlfn.IFS(E270="U10B",_xlfn.XLOOKUP(G270,Data!$D$5:$L$5,Data!$D$1:$L$1,"",-1,1),E270="U12B",_xlfn.XLOOKUP(G270,Data!$D$12:$L$12,Data!$D$1:$L$1,"",-1,1),E270="U10G",_xlfn.XLOOKUP(G270,Data!$D$18:$L$18,Data!$D$1:$L$1,"",-1,1),E270="U12G",_xlfn.XLOOKUP(G270,Data!$D$25:$L$25,Data!$D$1:$L$1,"",-1,1)))</f>
        <v/>
      </c>
      <c r="L270" s="184" t="str" cm="1">
        <f t="array" ref="L270">IFERROR(_xlfn.IFNA(
                      _xlfn.IFS(
                      G270="", "",
                      AND(E270="U10B",G270&gt;=Data!$M$5), "U10 Boys record",
                      AND(E270="U12B",G270&gt;=Data!$M$12), "U12 Boys record",
                      AND(E270="U10G",G270&gt;=Data!$M$18), "U10 Girls record",
                      AND(E270="U12G",G270&gt;=Data!$M$25), "U12 Girls record"
                       ),""), "")</f>
        <v/>
      </c>
      <c r="M270" s="19" cm="1">
        <f t="array" ref="M270">_xlfn.IFS($G270="",0, AND(NOT(ISNUMBER($G270)),LOWER(LEFT($G270,1))&lt;&gt;"n"),"Not a valid distance",OR(LOWER(LEFT($G270,1))="n",$G270&lt;ScoringTable!$O$161),1,RIGHT($E270,1)="B",_xlfn.XLOOKUP($G270,ScoringTable!$O$2:$O$161,ScoringTable!$L$2:$L$161,,-1),TRUE,_xlfn.XLOOKUP($G270,ScoringTable!$U$2:$U$161,ScoringTable!$R$2:$R$161,,-1))</f>
        <v>0</v>
      </c>
    </row>
    <row r="271" spans="1:13" s="7" customFormat="1" ht="16" customHeight="1">
      <c r="A271" s="121" t="s">
        <v>81</v>
      </c>
      <c r="B271" s="122" t="str">
        <f>IF(ISNA(VLOOKUP($F271,Declarations!B$6:C$293,2,FALSE)),"",IF(VLOOKUP($F271,Declarations!B$6:C$293,2,FALSE)="","NOT DECLARED",IF(ISNA(_xlfn.TEXTBEFORE(VLOOKUP($F271,Declarations!B$6:C$293,2,FALSE)," ")),VLOOKUP($F271,Declarations!B$6:C$293,2,FALSE),_xlfn.TEXTBEFORE(VLOOKUP($F271,Declarations!B$6:C$293,2,FALSE)," "))))</f>
        <v/>
      </c>
      <c r="C271" s="122" t="str">
        <f>IF(ISNA(VLOOKUP($F271,Declarations!B$6:C$293,2,FALSE)),"",IF(VLOOKUP($F271,Declarations!B$6:C$293,2,FALSE)="","NOT DECLARED",IF(ISNA(_xlfn.TEXTAFTER(VLOOKUP($F271,Declarations!B$6:C$293,2,FALSE)," ")),VLOOKUP($F271,Declarations!B$6:C$293,2,FALSE),_xlfn.TEXTAFTER(VLOOKUP($F271,Declarations!B$6:C$293,2,FALSE)," "))))</f>
        <v/>
      </c>
      <c r="D271" s="122" t="str">
        <f>IF(ISNA(VLOOKUP($F271,Declarations!$B$6:$F$293,5,FALSE)),"",IF(VLOOKUP($F271,Declarations!$B$6:$F$293,5,FALSE)="","NOT DECLARED",VLOOKUP($F271,Declarations!$B$6:$F$293,5,FALSE)))</f>
        <v/>
      </c>
      <c r="E271" s="120" t="str">
        <f>IF(ISNA(VLOOKUP($F271,Declarations!$B$6:$D$293,3,FALSE)),"",IF(VLOOKUP($F271,Declarations!$B$6:$D$293,3,FALSE)="","NOT DECLARED",VLOOKUP($F271,Declarations!$B$6:$D$293,3,FALSE)&amp;LEFT(VLOOKUP($F271,Declarations!$B$6:$E$293,4,FALSE))))</f>
        <v/>
      </c>
      <c r="F271" s="59"/>
      <c r="G271" s="129"/>
      <c r="H271" s="129"/>
      <c r="I271" s="122" t="str">
        <f>IF(ISNA(VLOOKUP(F271,Declarations!B$6:C$293,2,FALSE)),"",IF(VLOOKUP(F271,Declarations!B$6:C$293,2,FALSE)="","NOT DECLARED",VLOOKUP(F271,Declarations!B$6:C$293,2,FALSE)))</f>
        <v/>
      </c>
      <c r="J271" s="120">
        <f>IF(LOWER(LEFT(G271,1))="n",1,VLOOKUP(G271,ScoringTable!D$2:I$95,6))</f>
        <v>0</v>
      </c>
      <c r="K271" s="120" t="str" cm="1">
        <f t="array" ref="K271">IF(OR(E271="",G271=""),"",_xlfn.IFS(E271="U10B",_xlfn.XLOOKUP(G271,Data!$D$5:$L$5,Data!$D$1:$L$1,"",-1,1),E271="U12B",_xlfn.XLOOKUP(G271,Data!$D$12:$L$12,Data!$D$1:$L$1,"",-1,1),E271="U10G",_xlfn.XLOOKUP(G271,Data!$D$18:$L$18,Data!$D$1:$L$1,"",-1,1),E271="U12G",_xlfn.XLOOKUP(G271,Data!$D$25:$L$25,Data!$D$1:$L$1,"",-1,1)))</f>
        <v/>
      </c>
      <c r="L271" s="184" t="str" cm="1">
        <f t="array" ref="L271">IFERROR(_xlfn.IFNA(
                      _xlfn.IFS(
                      G271="", "",
                      AND(E271="U10B",G271&gt;=Data!$M$5), "U10 Boys record",
                      AND(E271="U12B",G271&gt;=Data!$M$12), "U12 Boys record",
                      AND(E271="U10G",G271&gt;=Data!$M$18), "U10 Girls record",
                      AND(E271="U12G",G271&gt;=Data!$M$25), "U12 Girls record"
                       ),""), "")</f>
        <v/>
      </c>
      <c r="M271" s="19" cm="1">
        <f t="array" ref="M271">_xlfn.IFS($G271="",0, AND(NOT(ISNUMBER($G271)),LOWER(LEFT($G271,1))&lt;&gt;"n"),"Not a valid distance",OR(LOWER(LEFT($G271,1))="n",$G271&lt;ScoringTable!$O$161),1,RIGHT($E271,1)="B",_xlfn.XLOOKUP($G271,ScoringTable!$O$2:$O$161,ScoringTable!$L$2:$L$161,,-1),TRUE,_xlfn.XLOOKUP($G271,ScoringTable!$U$2:$U$161,ScoringTable!$R$2:$R$161,,-1))</f>
        <v>0</v>
      </c>
    </row>
    <row r="272" spans="1:13" s="7" customFormat="1" ht="16" customHeight="1">
      <c r="A272" s="121" t="s">
        <v>81</v>
      </c>
      <c r="B272" s="122" t="str">
        <f>IF(ISNA(VLOOKUP($F272,Declarations!B$6:C$293,2,FALSE)),"",IF(VLOOKUP($F272,Declarations!B$6:C$293,2,FALSE)="","NOT DECLARED",IF(ISNA(_xlfn.TEXTBEFORE(VLOOKUP($F272,Declarations!B$6:C$293,2,FALSE)," ")),VLOOKUP($F272,Declarations!B$6:C$293,2,FALSE),_xlfn.TEXTBEFORE(VLOOKUP($F272,Declarations!B$6:C$293,2,FALSE)," "))))</f>
        <v/>
      </c>
      <c r="C272" s="122" t="str">
        <f>IF(ISNA(VLOOKUP($F272,Declarations!B$6:C$293,2,FALSE)),"",IF(VLOOKUP($F272,Declarations!B$6:C$293,2,FALSE)="","NOT DECLARED",IF(ISNA(_xlfn.TEXTAFTER(VLOOKUP($F272,Declarations!B$6:C$293,2,FALSE)," ")),VLOOKUP($F272,Declarations!B$6:C$293,2,FALSE),_xlfn.TEXTAFTER(VLOOKUP($F272,Declarations!B$6:C$293,2,FALSE)," "))))</f>
        <v/>
      </c>
      <c r="D272" s="122" t="str">
        <f>IF(ISNA(VLOOKUP($F272,Declarations!$B$6:$F$293,5,FALSE)),"",IF(VLOOKUP($F272,Declarations!$B$6:$F$293,5,FALSE)="","NOT DECLARED",VLOOKUP($F272,Declarations!$B$6:$F$293,5,FALSE)))</f>
        <v/>
      </c>
      <c r="E272" s="120" t="str">
        <f>IF(ISNA(VLOOKUP($F272,Declarations!$B$6:$D$293,3,FALSE)),"",IF(VLOOKUP($F272,Declarations!$B$6:$D$293,3,FALSE)="","NOT DECLARED",VLOOKUP($F272,Declarations!$B$6:$D$293,3,FALSE)&amp;LEFT(VLOOKUP($F272,Declarations!$B$6:$E$293,4,FALSE))))</f>
        <v/>
      </c>
      <c r="F272" s="59"/>
      <c r="G272" s="129"/>
      <c r="H272" s="129"/>
      <c r="I272" s="122" t="str">
        <f>IF(ISNA(VLOOKUP(F272,Declarations!B$6:C$293,2,FALSE)),"",IF(VLOOKUP(F272,Declarations!B$6:C$293,2,FALSE)="","NOT DECLARED",VLOOKUP(F272,Declarations!B$6:C$293,2,FALSE)))</f>
        <v/>
      </c>
      <c r="J272" s="120">
        <f>IF(LOWER(LEFT(G272,1))="n",1,VLOOKUP(G272,ScoringTable!D$2:I$95,6))</f>
        <v>0</v>
      </c>
      <c r="K272" s="120" t="str" cm="1">
        <f t="array" ref="K272">IF(OR(E272="",G272=""),"",_xlfn.IFS(E272="U10B",_xlfn.XLOOKUP(G272,Data!$D$5:$L$5,Data!$D$1:$L$1,"",-1,1),E272="U12B",_xlfn.XLOOKUP(G272,Data!$D$12:$L$12,Data!$D$1:$L$1,"",-1,1),E272="U10G",_xlfn.XLOOKUP(G272,Data!$D$18:$L$18,Data!$D$1:$L$1,"",-1,1),E272="U12G",_xlfn.XLOOKUP(G272,Data!$D$25:$L$25,Data!$D$1:$L$1,"",-1,1)))</f>
        <v/>
      </c>
      <c r="L272" s="184" t="str" cm="1">
        <f t="array" ref="L272">IFERROR(_xlfn.IFNA(
                      _xlfn.IFS(
                      G272="", "",
                      AND(E272="U10B",G272&gt;=Data!$M$5), "U10 Boys record",
                      AND(E272="U12B",G272&gt;=Data!$M$12), "U12 Boys record",
                      AND(E272="U10G",G272&gt;=Data!$M$18), "U10 Girls record",
                      AND(E272="U12G",G272&gt;=Data!$M$25), "U12 Girls record"
                       ),""), "")</f>
        <v/>
      </c>
      <c r="M272" s="19" cm="1">
        <f t="array" ref="M272">_xlfn.IFS($G272="",0, AND(NOT(ISNUMBER($G272)),LOWER(LEFT($G272,1))&lt;&gt;"n"),"Not a valid distance",OR(LOWER(LEFT($G272,1))="n",$G272&lt;ScoringTable!$O$161),1,RIGHT($E272,1)="B",_xlfn.XLOOKUP($G272,ScoringTable!$O$2:$O$161,ScoringTable!$L$2:$L$161,,-1),TRUE,_xlfn.XLOOKUP($G272,ScoringTable!$U$2:$U$161,ScoringTable!$R$2:$R$161,,-1))</f>
        <v>0</v>
      </c>
    </row>
    <row r="273" spans="1:13" s="7" customFormat="1" ht="16" customHeight="1">
      <c r="A273" s="121" t="s">
        <v>81</v>
      </c>
      <c r="B273" s="122" t="str">
        <f>IF(ISNA(VLOOKUP($F273,Declarations!B$6:C$293,2,FALSE)),"",IF(VLOOKUP($F273,Declarations!B$6:C$293,2,FALSE)="","NOT DECLARED",IF(ISNA(_xlfn.TEXTBEFORE(VLOOKUP($F273,Declarations!B$6:C$293,2,FALSE)," ")),VLOOKUP($F273,Declarations!B$6:C$293,2,FALSE),_xlfn.TEXTBEFORE(VLOOKUP($F273,Declarations!B$6:C$293,2,FALSE)," "))))</f>
        <v/>
      </c>
      <c r="C273" s="122" t="str">
        <f>IF(ISNA(VLOOKUP($F273,Declarations!B$6:C$293,2,FALSE)),"",IF(VLOOKUP($F273,Declarations!B$6:C$293,2,FALSE)="","NOT DECLARED",IF(ISNA(_xlfn.TEXTAFTER(VLOOKUP($F273,Declarations!B$6:C$293,2,FALSE)," ")),VLOOKUP($F273,Declarations!B$6:C$293,2,FALSE),_xlfn.TEXTAFTER(VLOOKUP($F273,Declarations!B$6:C$293,2,FALSE)," "))))</f>
        <v/>
      </c>
      <c r="D273" s="122" t="str">
        <f>IF(ISNA(VLOOKUP($F273,Declarations!$B$6:$F$293,5,FALSE)),"",IF(VLOOKUP($F273,Declarations!$B$6:$F$293,5,FALSE)="","NOT DECLARED",VLOOKUP($F273,Declarations!$B$6:$F$293,5,FALSE)))</f>
        <v/>
      </c>
      <c r="E273" s="120" t="str">
        <f>IF(ISNA(VLOOKUP($F273,Declarations!$B$6:$D$293,3,FALSE)),"",IF(VLOOKUP($F273,Declarations!$B$6:$D$293,3,FALSE)="","NOT DECLARED",VLOOKUP($F273,Declarations!$B$6:$D$293,3,FALSE)&amp;LEFT(VLOOKUP($F273,Declarations!$B$6:$E$293,4,FALSE))))</f>
        <v/>
      </c>
      <c r="F273" s="59"/>
      <c r="G273" s="129"/>
      <c r="H273" s="129"/>
      <c r="I273" s="122" t="str">
        <f>IF(ISNA(VLOOKUP(F273,Declarations!B$6:C$293,2,FALSE)),"",IF(VLOOKUP(F273,Declarations!B$6:C$293,2,FALSE)="","NOT DECLARED",VLOOKUP(F273,Declarations!B$6:C$293,2,FALSE)))</f>
        <v/>
      </c>
      <c r="J273" s="120">
        <f>IF(LOWER(LEFT(G273,1))="n",1,VLOOKUP(G273,ScoringTable!D$2:I$95,6))</f>
        <v>0</v>
      </c>
      <c r="K273" s="120" t="str" cm="1">
        <f t="array" ref="K273">IF(OR(E273="",G273=""),"",_xlfn.IFS(E273="U10B",_xlfn.XLOOKUP(G273,Data!$D$5:$L$5,Data!$D$1:$L$1,"",-1,1),E273="U12B",_xlfn.XLOOKUP(G273,Data!$D$12:$L$12,Data!$D$1:$L$1,"",-1,1),E273="U10G",_xlfn.XLOOKUP(G273,Data!$D$18:$L$18,Data!$D$1:$L$1,"",-1,1),E273="U12G",_xlfn.XLOOKUP(G273,Data!$D$25:$L$25,Data!$D$1:$L$1,"",-1,1)))</f>
        <v/>
      </c>
      <c r="L273" s="184" t="str" cm="1">
        <f t="array" ref="L273">IFERROR(_xlfn.IFNA(
                      _xlfn.IFS(
                      G273="", "",
                      AND(E273="U10B",G273&gt;=Data!$M$5), "U10 Boys record",
                      AND(E273="U12B",G273&gt;=Data!$M$12), "U12 Boys record",
                      AND(E273="U10G",G273&gt;=Data!$M$18), "U10 Girls record",
                      AND(E273="U12G",G273&gt;=Data!$M$25), "U12 Girls record"
                       ),""), "")</f>
        <v/>
      </c>
      <c r="M273" s="19" cm="1">
        <f t="array" ref="M273">_xlfn.IFS($G273="",0, AND(NOT(ISNUMBER($G273)),LOWER(LEFT($G273,1))&lt;&gt;"n"),"Not a valid distance",OR(LOWER(LEFT($G273,1))="n",$G273&lt;ScoringTable!$O$161),1,RIGHT($E273,1)="B",_xlfn.XLOOKUP($G273,ScoringTable!$O$2:$O$161,ScoringTable!$L$2:$L$161,,-1),TRUE,_xlfn.XLOOKUP($G273,ScoringTable!$U$2:$U$161,ScoringTable!$R$2:$R$161,,-1))</f>
        <v>0</v>
      </c>
    </row>
    <row r="274" spans="1:13" s="7" customFormat="1" ht="16" customHeight="1">
      <c r="A274" s="121" t="s">
        <v>81</v>
      </c>
      <c r="B274" s="122" t="str">
        <f>IF(ISNA(VLOOKUP($F274,Declarations!B$6:C$293,2,FALSE)),"",IF(VLOOKUP($F274,Declarations!B$6:C$293,2,FALSE)="","NOT DECLARED",IF(ISNA(_xlfn.TEXTBEFORE(VLOOKUP($F274,Declarations!B$6:C$293,2,FALSE)," ")),VLOOKUP($F274,Declarations!B$6:C$293,2,FALSE),_xlfn.TEXTBEFORE(VLOOKUP($F274,Declarations!B$6:C$293,2,FALSE)," "))))</f>
        <v/>
      </c>
      <c r="C274" s="122" t="str">
        <f>IF(ISNA(VLOOKUP($F274,Declarations!B$6:C$293,2,FALSE)),"",IF(VLOOKUP($F274,Declarations!B$6:C$293,2,FALSE)="","NOT DECLARED",IF(ISNA(_xlfn.TEXTAFTER(VLOOKUP($F274,Declarations!B$6:C$293,2,FALSE)," ")),VLOOKUP($F274,Declarations!B$6:C$293,2,FALSE),_xlfn.TEXTAFTER(VLOOKUP($F274,Declarations!B$6:C$293,2,FALSE)," "))))</f>
        <v/>
      </c>
      <c r="D274" s="122" t="str">
        <f>IF(ISNA(VLOOKUP($F274,Declarations!$B$6:$F$293,5,FALSE)),"",IF(VLOOKUP($F274,Declarations!$B$6:$F$293,5,FALSE)="","NOT DECLARED",VLOOKUP($F274,Declarations!$B$6:$F$293,5,FALSE)))</f>
        <v/>
      </c>
      <c r="E274" s="120" t="str">
        <f>IF(ISNA(VLOOKUP($F274,Declarations!$B$6:$D$293,3,FALSE)),"",IF(VLOOKUP($F274,Declarations!$B$6:$D$293,3,FALSE)="","NOT DECLARED",VLOOKUP($F274,Declarations!$B$6:$D$293,3,FALSE)&amp;LEFT(VLOOKUP($F274,Declarations!$B$6:$E$293,4,FALSE))))</f>
        <v/>
      </c>
      <c r="F274" s="59"/>
      <c r="G274" s="129"/>
      <c r="H274" s="129"/>
      <c r="I274" s="122" t="str">
        <f>IF(ISNA(VLOOKUP(F274,Declarations!B$6:C$293,2,FALSE)),"",IF(VLOOKUP(F274,Declarations!B$6:C$293,2,FALSE)="","NOT DECLARED",VLOOKUP(F274,Declarations!B$6:C$293,2,FALSE)))</f>
        <v/>
      </c>
      <c r="J274" s="120">
        <f>IF(LOWER(LEFT(G274,1))="n",1,VLOOKUP(G274,ScoringTable!D$2:I$95,6))</f>
        <v>0</v>
      </c>
      <c r="K274" s="120" t="str" cm="1">
        <f t="array" ref="K274">IF(OR(E274="",G274=""),"",_xlfn.IFS(E274="U10B",_xlfn.XLOOKUP(G274,Data!$D$5:$L$5,Data!$D$1:$L$1,"",-1,1),E274="U12B",_xlfn.XLOOKUP(G274,Data!$D$12:$L$12,Data!$D$1:$L$1,"",-1,1),E274="U10G",_xlfn.XLOOKUP(G274,Data!$D$18:$L$18,Data!$D$1:$L$1,"",-1,1),E274="U12G",_xlfn.XLOOKUP(G274,Data!$D$25:$L$25,Data!$D$1:$L$1,"",-1,1)))</f>
        <v/>
      </c>
      <c r="L274" s="184" t="str" cm="1">
        <f t="array" ref="L274">IFERROR(_xlfn.IFNA(
                      _xlfn.IFS(
                      G274="", "",
                      AND(E274="U10B",G274&gt;=Data!$M$5), "U10 Boys record",
                      AND(E274="U12B",G274&gt;=Data!$M$12), "U12 Boys record",
                      AND(E274="U10G",G274&gt;=Data!$M$18), "U10 Girls record",
                      AND(E274="U12G",G274&gt;=Data!$M$25), "U12 Girls record"
                       ),""), "")</f>
        <v/>
      </c>
      <c r="M274" s="19" cm="1">
        <f t="array" ref="M274">_xlfn.IFS($G274="",0, AND(NOT(ISNUMBER($G274)),LOWER(LEFT($G274,1))&lt;&gt;"n"),"Not a valid distance",OR(LOWER(LEFT($G274,1))="n",$G274&lt;ScoringTable!$O$161),1,RIGHT($E274,1)="B",_xlfn.XLOOKUP($G274,ScoringTable!$O$2:$O$161,ScoringTable!$L$2:$L$161,,-1),TRUE,_xlfn.XLOOKUP($G274,ScoringTable!$U$2:$U$161,ScoringTable!$R$2:$R$161,,-1))</f>
        <v>0</v>
      </c>
    </row>
    <row r="275" spans="1:13" s="7" customFormat="1" ht="16" customHeight="1">
      <c r="A275" s="121" t="s">
        <v>81</v>
      </c>
      <c r="B275" s="122" t="str">
        <f>IF(ISNA(VLOOKUP($F275,Declarations!B$6:C$293,2,FALSE)),"",IF(VLOOKUP($F275,Declarations!B$6:C$293,2,FALSE)="","NOT DECLARED",IF(ISNA(_xlfn.TEXTBEFORE(VLOOKUP($F275,Declarations!B$6:C$293,2,FALSE)," ")),VLOOKUP($F275,Declarations!B$6:C$293,2,FALSE),_xlfn.TEXTBEFORE(VLOOKUP($F275,Declarations!B$6:C$293,2,FALSE)," "))))</f>
        <v/>
      </c>
      <c r="C275" s="122" t="str">
        <f>IF(ISNA(VLOOKUP($F275,Declarations!B$6:C$293,2,FALSE)),"",IF(VLOOKUP($F275,Declarations!B$6:C$293,2,FALSE)="","NOT DECLARED",IF(ISNA(_xlfn.TEXTAFTER(VLOOKUP($F275,Declarations!B$6:C$293,2,FALSE)," ")),VLOOKUP($F275,Declarations!B$6:C$293,2,FALSE),_xlfn.TEXTAFTER(VLOOKUP($F275,Declarations!B$6:C$293,2,FALSE)," "))))</f>
        <v/>
      </c>
      <c r="D275" s="122" t="str">
        <f>IF(ISNA(VLOOKUP($F275,Declarations!$B$6:$F$293,5,FALSE)),"",IF(VLOOKUP($F275,Declarations!$B$6:$F$293,5,FALSE)="","NOT DECLARED",VLOOKUP($F275,Declarations!$B$6:$F$293,5,FALSE)))</f>
        <v/>
      </c>
      <c r="E275" s="120" t="str">
        <f>IF(ISNA(VLOOKUP($F275,Declarations!$B$6:$D$293,3,FALSE)),"",IF(VLOOKUP($F275,Declarations!$B$6:$D$293,3,FALSE)="","NOT DECLARED",VLOOKUP($F275,Declarations!$B$6:$D$293,3,FALSE)&amp;LEFT(VLOOKUP($F275,Declarations!$B$6:$E$293,4,FALSE))))</f>
        <v/>
      </c>
      <c r="F275" s="59"/>
      <c r="G275" s="129"/>
      <c r="H275" s="129"/>
      <c r="I275" s="122" t="str">
        <f>IF(ISNA(VLOOKUP(F275,Declarations!B$6:C$293,2,FALSE)),"",IF(VLOOKUP(F275,Declarations!B$6:C$293,2,FALSE)="","NOT DECLARED",VLOOKUP(F275,Declarations!B$6:C$293,2,FALSE)))</f>
        <v/>
      </c>
      <c r="J275" s="120">
        <f>IF(LOWER(LEFT(G275,1))="n",1,VLOOKUP(G275,ScoringTable!D$2:I$95,6))</f>
        <v>0</v>
      </c>
      <c r="K275" s="120" t="str" cm="1">
        <f t="array" ref="K275">IF(OR(E275="",G275=""),"",_xlfn.IFS(E275="U10B",_xlfn.XLOOKUP(G275,Data!$D$5:$L$5,Data!$D$1:$L$1,"",-1,1),E275="U12B",_xlfn.XLOOKUP(G275,Data!$D$12:$L$12,Data!$D$1:$L$1,"",-1,1),E275="U10G",_xlfn.XLOOKUP(G275,Data!$D$18:$L$18,Data!$D$1:$L$1,"",-1,1),E275="U12G",_xlfn.XLOOKUP(G275,Data!$D$25:$L$25,Data!$D$1:$L$1,"",-1,1)))</f>
        <v/>
      </c>
      <c r="L275" s="184" t="str" cm="1">
        <f t="array" ref="L275">IFERROR(_xlfn.IFNA(
                      _xlfn.IFS(
                      G275="", "",
                      AND(E275="U10B",G275&gt;=Data!$M$5), "U10 Boys record",
                      AND(E275="U12B",G275&gt;=Data!$M$12), "U12 Boys record",
                      AND(E275="U10G",G275&gt;=Data!$M$18), "U10 Girls record",
                      AND(E275="U12G",G275&gt;=Data!$M$25), "U12 Girls record"
                       ),""), "")</f>
        <v/>
      </c>
      <c r="M275" s="19" cm="1">
        <f t="array" ref="M275">_xlfn.IFS($G275="",0, AND(NOT(ISNUMBER($G275)),LOWER(LEFT($G275,1))&lt;&gt;"n"),"Not a valid distance",OR(LOWER(LEFT($G275,1))="n",$G275&lt;ScoringTable!$O$161),1,RIGHT($E275,1)="B",_xlfn.XLOOKUP($G275,ScoringTable!$O$2:$O$161,ScoringTable!$L$2:$L$161,,-1),TRUE,_xlfn.XLOOKUP($G275,ScoringTable!$U$2:$U$161,ScoringTable!$R$2:$R$161,,-1))</f>
        <v>0</v>
      </c>
    </row>
    <row r="276" spans="1:13" s="7" customFormat="1" ht="16" customHeight="1">
      <c r="A276" s="121" t="s">
        <v>81</v>
      </c>
      <c r="B276" s="122" t="str">
        <f>IF(ISNA(VLOOKUP($F276,Declarations!B$6:C$293,2,FALSE)),"",IF(VLOOKUP($F276,Declarations!B$6:C$293,2,FALSE)="","NOT DECLARED",IF(ISNA(_xlfn.TEXTBEFORE(VLOOKUP($F276,Declarations!B$6:C$293,2,FALSE)," ")),VLOOKUP($F276,Declarations!B$6:C$293,2,FALSE),_xlfn.TEXTBEFORE(VLOOKUP($F276,Declarations!B$6:C$293,2,FALSE)," "))))</f>
        <v/>
      </c>
      <c r="C276" s="122" t="str">
        <f>IF(ISNA(VLOOKUP($F276,Declarations!B$6:C$293,2,FALSE)),"",IF(VLOOKUP($F276,Declarations!B$6:C$293,2,FALSE)="","NOT DECLARED",IF(ISNA(_xlfn.TEXTAFTER(VLOOKUP($F276,Declarations!B$6:C$293,2,FALSE)," ")),VLOOKUP($F276,Declarations!B$6:C$293,2,FALSE),_xlfn.TEXTAFTER(VLOOKUP($F276,Declarations!B$6:C$293,2,FALSE)," "))))</f>
        <v/>
      </c>
      <c r="D276" s="122" t="str">
        <f>IF(ISNA(VLOOKUP($F276,Declarations!$B$6:$F$293,5,FALSE)),"",IF(VLOOKUP($F276,Declarations!$B$6:$F$293,5,FALSE)="","NOT DECLARED",VLOOKUP($F276,Declarations!$B$6:$F$293,5,FALSE)))</f>
        <v/>
      </c>
      <c r="E276" s="120" t="str">
        <f>IF(ISNA(VLOOKUP($F276,Declarations!$B$6:$D$293,3,FALSE)),"",IF(VLOOKUP($F276,Declarations!$B$6:$D$293,3,FALSE)="","NOT DECLARED",VLOOKUP($F276,Declarations!$B$6:$D$293,3,FALSE)&amp;LEFT(VLOOKUP($F276,Declarations!$B$6:$E$293,4,FALSE))))</f>
        <v/>
      </c>
      <c r="F276" s="59"/>
      <c r="G276" s="129"/>
      <c r="H276" s="129"/>
      <c r="I276" s="122" t="str">
        <f>IF(ISNA(VLOOKUP(F276,Declarations!B$6:C$293,2,FALSE)),"",IF(VLOOKUP(F276,Declarations!B$6:C$293,2,FALSE)="","NOT DECLARED",VLOOKUP(F276,Declarations!B$6:C$293,2,FALSE)))</f>
        <v/>
      </c>
      <c r="J276" s="120">
        <f>IF(LOWER(LEFT(G276,1))="n",1,VLOOKUP(G276,ScoringTable!D$2:I$95,6))</f>
        <v>0</v>
      </c>
      <c r="K276" s="120" t="str" cm="1">
        <f t="array" ref="K276">IF(OR(E276="",G276=""),"",_xlfn.IFS(E276="U10B",_xlfn.XLOOKUP(G276,Data!$D$5:$L$5,Data!$D$1:$L$1,"",-1,1),E276="U12B",_xlfn.XLOOKUP(G276,Data!$D$12:$L$12,Data!$D$1:$L$1,"",-1,1),E276="U10G",_xlfn.XLOOKUP(G276,Data!$D$18:$L$18,Data!$D$1:$L$1,"",-1,1),E276="U12G",_xlfn.XLOOKUP(G276,Data!$D$25:$L$25,Data!$D$1:$L$1,"",-1,1)))</f>
        <v/>
      </c>
      <c r="L276" s="184" t="str" cm="1">
        <f t="array" ref="L276">IFERROR(_xlfn.IFNA(
                      _xlfn.IFS(
                      G276="", "",
                      AND(E276="U10B",G276&gt;=Data!$M$5), "U10 Boys record",
                      AND(E276="U12B",G276&gt;=Data!$M$12), "U12 Boys record",
                      AND(E276="U10G",G276&gt;=Data!$M$18), "U10 Girls record",
                      AND(E276="U12G",G276&gt;=Data!$M$25), "U12 Girls record"
                       ),""), "")</f>
        <v/>
      </c>
      <c r="M276" s="19" cm="1">
        <f t="array" ref="M276">_xlfn.IFS($G276="",0, AND(NOT(ISNUMBER($G276)),LOWER(LEFT($G276,1))&lt;&gt;"n"),"Not a valid distance",OR(LOWER(LEFT($G276,1))="n",$G276&lt;ScoringTable!$O$161),1,RIGHT($E276,1)="B",_xlfn.XLOOKUP($G276,ScoringTable!$O$2:$O$161,ScoringTable!$L$2:$L$161,,-1),TRUE,_xlfn.XLOOKUP($G276,ScoringTable!$U$2:$U$161,ScoringTable!$R$2:$R$161,,-1))</f>
        <v>0</v>
      </c>
    </row>
    <row r="277" spans="1:13" s="7" customFormat="1" ht="16" customHeight="1">
      <c r="A277" s="121" t="s">
        <v>81</v>
      </c>
      <c r="B277" s="122" t="str">
        <f>IF(ISNA(VLOOKUP($F277,Declarations!B$6:C$293,2,FALSE)),"",IF(VLOOKUP($F277,Declarations!B$6:C$293,2,FALSE)="","NOT DECLARED",IF(ISNA(_xlfn.TEXTBEFORE(VLOOKUP($F277,Declarations!B$6:C$293,2,FALSE)," ")),VLOOKUP($F277,Declarations!B$6:C$293,2,FALSE),_xlfn.TEXTBEFORE(VLOOKUP($F277,Declarations!B$6:C$293,2,FALSE)," "))))</f>
        <v/>
      </c>
      <c r="C277" s="122" t="str">
        <f>IF(ISNA(VLOOKUP($F277,Declarations!B$6:C$293,2,FALSE)),"",IF(VLOOKUP($F277,Declarations!B$6:C$293,2,FALSE)="","NOT DECLARED",IF(ISNA(_xlfn.TEXTAFTER(VLOOKUP($F277,Declarations!B$6:C$293,2,FALSE)," ")),VLOOKUP($F277,Declarations!B$6:C$293,2,FALSE),_xlfn.TEXTAFTER(VLOOKUP($F277,Declarations!B$6:C$293,2,FALSE)," "))))</f>
        <v/>
      </c>
      <c r="D277" s="122" t="str">
        <f>IF(ISNA(VLOOKUP($F277,Declarations!$B$6:$F$293,5,FALSE)),"",IF(VLOOKUP($F277,Declarations!$B$6:$F$293,5,FALSE)="","NOT DECLARED",VLOOKUP($F277,Declarations!$B$6:$F$293,5,FALSE)))</f>
        <v/>
      </c>
      <c r="E277" s="120" t="str">
        <f>IF(ISNA(VLOOKUP($F277,Declarations!$B$6:$D$293,3,FALSE)),"",IF(VLOOKUP($F277,Declarations!$B$6:$D$293,3,FALSE)="","NOT DECLARED",VLOOKUP($F277,Declarations!$B$6:$D$293,3,FALSE)&amp;LEFT(VLOOKUP($F277,Declarations!$B$6:$E$293,4,FALSE))))</f>
        <v/>
      </c>
      <c r="F277" s="59"/>
      <c r="G277" s="129"/>
      <c r="H277" s="129"/>
      <c r="I277" s="122" t="str">
        <f>IF(ISNA(VLOOKUP(F277,Declarations!B$6:C$293,2,FALSE)),"",IF(VLOOKUP(F277,Declarations!B$6:C$293,2,FALSE)="","NOT DECLARED",VLOOKUP(F277,Declarations!B$6:C$293,2,FALSE)))</f>
        <v/>
      </c>
      <c r="J277" s="120">
        <f>IF(LOWER(LEFT(G277,1))="n",1,VLOOKUP(G277,ScoringTable!D$2:I$95,6))</f>
        <v>0</v>
      </c>
      <c r="K277" s="120" t="str" cm="1">
        <f t="array" ref="K277">IF(OR(E277="",G277=""),"",_xlfn.IFS(E277="U10B",_xlfn.XLOOKUP(G277,Data!$D$5:$L$5,Data!$D$1:$L$1,"",-1,1),E277="U12B",_xlfn.XLOOKUP(G277,Data!$D$12:$L$12,Data!$D$1:$L$1,"",-1,1),E277="U10G",_xlfn.XLOOKUP(G277,Data!$D$18:$L$18,Data!$D$1:$L$1,"",-1,1),E277="U12G",_xlfn.XLOOKUP(G277,Data!$D$25:$L$25,Data!$D$1:$L$1,"",-1,1)))</f>
        <v/>
      </c>
      <c r="L277" s="184" t="str" cm="1">
        <f t="array" ref="L277">IFERROR(_xlfn.IFNA(
                      _xlfn.IFS(
                      G277="", "",
                      AND(E277="U10B",G277&gt;=Data!$M$5), "U10 Boys record",
                      AND(E277="U12B",G277&gt;=Data!$M$12), "U12 Boys record",
                      AND(E277="U10G",G277&gt;=Data!$M$18), "U10 Girls record",
                      AND(E277="U12G",G277&gt;=Data!$M$25), "U12 Girls record"
                       ),""), "")</f>
        <v/>
      </c>
      <c r="M277" s="19" cm="1">
        <f t="array" ref="M277">_xlfn.IFS($G277="",0, AND(NOT(ISNUMBER($G277)),LOWER(LEFT($G277,1))&lt;&gt;"n"),"Not a valid distance",OR(LOWER(LEFT($G277,1))="n",$G277&lt;ScoringTable!$O$161),1,RIGHT($E277,1)="B",_xlfn.XLOOKUP($G277,ScoringTable!$O$2:$O$161,ScoringTable!$L$2:$L$161,,-1),TRUE,_xlfn.XLOOKUP($G277,ScoringTable!$U$2:$U$161,ScoringTable!$R$2:$R$161,,-1))</f>
        <v>0</v>
      </c>
    </row>
    <row r="278" spans="1:13" s="7" customFormat="1" ht="16" customHeight="1">
      <c r="A278" s="121" t="s">
        <v>81</v>
      </c>
      <c r="B278" s="122" t="str">
        <f>IF(ISNA(VLOOKUP($F278,Declarations!B$6:C$293,2,FALSE)),"",IF(VLOOKUP($F278,Declarations!B$6:C$293,2,FALSE)="","NOT DECLARED",IF(ISNA(_xlfn.TEXTBEFORE(VLOOKUP($F278,Declarations!B$6:C$293,2,FALSE)," ")),VLOOKUP($F278,Declarations!B$6:C$293,2,FALSE),_xlfn.TEXTBEFORE(VLOOKUP($F278,Declarations!B$6:C$293,2,FALSE)," "))))</f>
        <v/>
      </c>
      <c r="C278" s="122" t="str">
        <f>IF(ISNA(VLOOKUP($F278,Declarations!B$6:C$293,2,FALSE)),"",IF(VLOOKUP($F278,Declarations!B$6:C$293,2,FALSE)="","NOT DECLARED",IF(ISNA(_xlfn.TEXTAFTER(VLOOKUP($F278,Declarations!B$6:C$293,2,FALSE)," ")),VLOOKUP($F278,Declarations!B$6:C$293,2,FALSE),_xlfn.TEXTAFTER(VLOOKUP($F278,Declarations!B$6:C$293,2,FALSE)," "))))</f>
        <v/>
      </c>
      <c r="D278" s="122" t="str">
        <f>IF(ISNA(VLOOKUP($F278,Declarations!$B$6:$F$293,5,FALSE)),"",IF(VLOOKUP($F278,Declarations!$B$6:$F$293,5,FALSE)="","NOT DECLARED",VLOOKUP($F278,Declarations!$B$6:$F$293,5,FALSE)))</f>
        <v/>
      </c>
      <c r="E278" s="120" t="str">
        <f>IF(ISNA(VLOOKUP($F278,Declarations!$B$6:$D$293,3,FALSE)),"",IF(VLOOKUP($F278,Declarations!$B$6:$D$293,3,FALSE)="","NOT DECLARED",VLOOKUP($F278,Declarations!$B$6:$D$293,3,FALSE)&amp;LEFT(VLOOKUP($F278,Declarations!$B$6:$E$293,4,FALSE))))</f>
        <v/>
      </c>
      <c r="F278" s="59"/>
      <c r="G278" s="129"/>
      <c r="H278" s="129"/>
      <c r="I278" s="122" t="str">
        <f>IF(ISNA(VLOOKUP(F278,Declarations!B$6:C$293,2,FALSE)),"",IF(VLOOKUP(F278,Declarations!B$6:C$293,2,FALSE)="","NOT DECLARED",VLOOKUP(F278,Declarations!B$6:C$293,2,FALSE)))</f>
        <v/>
      </c>
      <c r="J278" s="120">
        <f>IF(LOWER(LEFT(G278,1))="n",1,VLOOKUP(G278,ScoringTable!D$2:I$95,6))</f>
        <v>0</v>
      </c>
      <c r="K278" s="120" t="str" cm="1">
        <f t="array" ref="K278">IF(OR(E278="",G278=""),"",_xlfn.IFS(E278="U10B",_xlfn.XLOOKUP(G278,Data!$D$5:$L$5,Data!$D$1:$L$1,"",-1,1),E278="U12B",_xlfn.XLOOKUP(G278,Data!$D$12:$L$12,Data!$D$1:$L$1,"",-1,1),E278="U10G",_xlfn.XLOOKUP(G278,Data!$D$18:$L$18,Data!$D$1:$L$1,"",-1,1),E278="U12G",_xlfn.XLOOKUP(G278,Data!$D$25:$L$25,Data!$D$1:$L$1,"",-1,1)))</f>
        <v/>
      </c>
      <c r="L278" s="184" t="str" cm="1">
        <f t="array" ref="L278">IFERROR(_xlfn.IFNA(
                      _xlfn.IFS(
                      G278="", "",
                      AND(E278="U10B",G278&gt;=Data!$M$5), "U10 Boys record",
                      AND(E278="U12B",G278&gt;=Data!$M$12), "U12 Boys record",
                      AND(E278="U10G",G278&gt;=Data!$M$18), "U10 Girls record",
                      AND(E278="U12G",G278&gt;=Data!$M$25), "U12 Girls record"
                       ),""), "")</f>
        <v/>
      </c>
      <c r="M278" s="19" cm="1">
        <f t="array" ref="M278">_xlfn.IFS($G278="",0, AND(NOT(ISNUMBER($G278)),LOWER(LEFT($G278,1))&lt;&gt;"n"),"Not a valid distance",OR(LOWER(LEFT($G278,1))="n",$G278&lt;ScoringTable!$O$161),1,RIGHT($E278,1)="B",_xlfn.XLOOKUP($G278,ScoringTable!$O$2:$O$161,ScoringTable!$L$2:$L$161,,-1),TRUE,_xlfn.XLOOKUP($G278,ScoringTable!$U$2:$U$161,ScoringTable!$R$2:$R$161,,-1))</f>
        <v>0</v>
      </c>
    </row>
    <row r="279" spans="1:13" s="7" customFormat="1" ht="16" customHeight="1">
      <c r="A279" s="121" t="s">
        <v>81</v>
      </c>
      <c r="B279" s="122" t="str">
        <f>IF(ISNA(VLOOKUP($F279,Declarations!B$6:C$293,2,FALSE)),"",IF(VLOOKUP($F279,Declarations!B$6:C$293,2,FALSE)="","NOT DECLARED",IF(ISNA(_xlfn.TEXTBEFORE(VLOOKUP($F279,Declarations!B$6:C$293,2,FALSE)," ")),VLOOKUP($F279,Declarations!B$6:C$293,2,FALSE),_xlfn.TEXTBEFORE(VLOOKUP($F279,Declarations!B$6:C$293,2,FALSE)," "))))</f>
        <v/>
      </c>
      <c r="C279" s="122" t="str">
        <f>IF(ISNA(VLOOKUP($F279,Declarations!B$6:C$293,2,FALSE)),"",IF(VLOOKUP($F279,Declarations!B$6:C$293,2,FALSE)="","NOT DECLARED",IF(ISNA(_xlfn.TEXTAFTER(VLOOKUP($F279,Declarations!B$6:C$293,2,FALSE)," ")),VLOOKUP($F279,Declarations!B$6:C$293,2,FALSE),_xlfn.TEXTAFTER(VLOOKUP($F279,Declarations!B$6:C$293,2,FALSE)," "))))</f>
        <v/>
      </c>
      <c r="D279" s="122" t="str">
        <f>IF(ISNA(VLOOKUP($F279,Declarations!$B$6:$F$293,5,FALSE)),"",IF(VLOOKUP($F279,Declarations!$B$6:$F$293,5,FALSE)="","NOT DECLARED",VLOOKUP($F279,Declarations!$B$6:$F$293,5,FALSE)))</f>
        <v/>
      </c>
      <c r="E279" s="120" t="str">
        <f>IF(ISNA(VLOOKUP($F279,Declarations!$B$6:$D$293,3,FALSE)),"",IF(VLOOKUP($F279,Declarations!$B$6:$D$293,3,FALSE)="","NOT DECLARED",VLOOKUP($F279,Declarations!$B$6:$D$293,3,FALSE)&amp;LEFT(VLOOKUP($F279,Declarations!$B$6:$E$293,4,FALSE))))</f>
        <v/>
      </c>
      <c r="F279" s="59"/>
      <c r="G279" s="129"/>
      <c r="H279" s="129"/>
      <c r="I279" s="122" t="str">
        <f>IF(ISNA(VLOOKUP(F279,Declarations!B$6:C$293,2,FALSE)),"",IF(VLOOKUP(F279,Declarations!B$6:C$293,2,FALSE)="","NOT DECLARED",VLOOKUP(F279,Declarations!B$6:C$293,2,FALSE)))</f>
        <v/>
      </c>
      <c r="J279" s="120">
        <f>IF(LOWER(LEFT(G279,1))="n",1,VLOOKUP(G279,ScoringTable!D$2:I$95,6))</f>
        <v>0</v>
      </c>
      <c r="K279" s="120" t="str" cm="1">
        <f t="array" ref="K279">IF(OR(E279="",G279=""),"",_xlfn.IFS(E279="U10B",_xlfn.XLOOKUP(G279,Data!$D$5:$L$5,Data!$D$1:$L$1,"",-1,1),E279="U12B",_xlfn.XLOOKUP(G279,Data!$D$12:$L$12,Data!$D$1:$L$1,"",-1,1),E279="U10G",_xlfn.XLOOKUP(G279,Data!$D$18:$L$18,Data!$D$1:$L$1,"",-1,1),E279="U12G",_xlfn.XLOOKUP(G279,Data!$D$25:$L$25,Data!$D$1:$L$1,"",-1,1)))</f>
        <v/>
      </c>
      <c r="L279" s="184" t="str" cm="1">
        <f t="array" ref="L279">IFERROR(_xlfn.IFNA(
                      _xlfn.IFS(
                      G279="", "",
                      AND(E279="U10B",G279&gt;=Data!$M$5), "U10 Boys record",
                      AND(E279="U12B",G279&gt;=Data!$M$12), "U12 Boys record",
                      AND(E279="U10G",G279&gt;=Data!$M$18), "U10 Girls record",
                      AND(E279="U12G",G279&gt;=Data!$M$25), "U12 Girls record"
                       ),""), "")</f>
        <v/>
      </c>
      <c r="M279" s="19" cm="1">
        <f t="array" ref="M279">_xlfn.IFS($G279="",0, AND(NOT(ISNUMBER($G279)),LOWER(LEFT($G279,1))&lt;&gt;"n"),"Not a valid distance",OR(LOWER(LEFT($G279,1))="n",$G279&lt;ScoringTable!$O$161),1,RIGHT($E279,1)="B",_xlfn.XLOOKUP($G279,ScoringTable!$O$2:$O$161,ScoringTable!$L$2:$L$161,,-1),TRUE,_xlfn.XLOOKUP($G279,ScoringTable!$U$2:$U$161,ScoringTable!$R$2:$R$161,,-1))</f>
        <v>0</v>
      </c>
    </row>
    <row r="280" spans="1:13" s="7" customFormat="1" ht="16" customHeight="1">
      <c r="A280" s="121" t="s">
        <v>81</v>
      </c>
      <c r="B280" s="122" t="str">
        <f>IF(ISNA(VLOOKUP($F280,Declarations!B$6:C$293,2,FALSE)),"",IF(VLOOKUP($F280,Declarations!B$6:C$293,2,FALSE)="","NOT DECLARED",IF(ISNA(_xlfn.TEXTBEFORE(VLOOKUP($F280,Declarations!B$6:C$293,2,FALSE)," ")),VLOOKUP($F280,Declarations!B$6:C$293,2,FALSE),_xlfn.TEXTBEFORE(VLOOKUP($F280,Declarations!B$6:C$293,2,FALSE)," "))))</f>
        <v/>
      </c>
      <c r="C280" s="122" t="str">
        <f>IF(ISNA(VLOOKUP($F280,Declarations!B$6:C$293,2,FALSE)),"",IF(VLOOKUP($F280,Declarations!B$6:C$293,2,FALSE)="","NOT DECLARED",IF(ISNA(_xlfn.TEXTAFTER(VLOOKUP($F280,Declarations!B$6:C$293,2,FALSE)," ")),VLOOKUP($F280,Declarations!B$6:C$293,2,FALSE),_xlfn.TEXTAFTER(VLOOKUP($F280,Declarations!B$6:C$293,2,FALSE)," "))))</f>
        <v/>
      </c>
      <c r="D280" s="122" t="str">
        <f>IF(ISNA(VLOOKUP($F280,Declarations!$B$6:$F$293,5,FALSE)),"",IF(VLOOKUP($F280,Declarations!$B$6:$F$293,5,FALSE)="","NOT DECLARED",VLOOKUP($F280,Declarations!$B$6:$F$293,5,FALSE)))</f>
        <v/>
      </c>
      <c r="E280" s="120" t="str">
        <f>IF(ISNA(VLOOKUP($F280,Declarations!$B$6:$D$293,3,FALSE)),"",IF(VLOOKUP($F280,Declarations!$B$6:$D$293,3,FALSE)="","NOT DECLARED",VLOOKUP($F280,Declarations!$B$6:$D$293,3,FALSE)&amp;LEFT(VLOOKUP($F280,Declarations!$B$6:$E$293,4,FALSE))))</f>
        <v/>
      </c>
      <c r="F280" s="59"/>
      <c r="G280" s="129"/>
      <c r="H280" s="129"/>
      <c r="I280" s="122" t="str">
        <f>IF(ISNA(VLOOKUP(F280,Declarations!B$6:C$293,2,FALSE)),"",IF(VLOOKUP(F280,Declarations!B$6:C$293,2,FALSE)="","NOT DECLARED",VLOOKUP(F280,Declarations!B$6:C$293,2,FALSE)))</f>
        <v/>
      </c>
      <c r="J280" s="120">
        <f>IF(LOWER(LEFT(G280,1))="n",1,VLOOKUP(G280,ScoringTable!D$2:I$95,6))</f>
        <v>0</v>
      </c>
      <c r="K280" s="120" t="str" cm="1">
        <f t="array" ref="K280">IF(OR(E280="",G280=""),"",_xlfn.IFS(E280="U10B",_xlfn.XLOOKUP(G280,Data!$D$5:$L$5,Data!$D$1:$L$1,"",-1,1),E280="U12B",_xlfn.XLOOKUP(G280,Data!$D$12:$L$12,Data!$D$1:$L$1,"",-1,1),E280="U10G",_xlfn.XLOOKUP(G280,Data!$D$18:$L$18,Data!$D$1:$L$1,"",-1,1),E280="U12G",_xlfn.XLOOKUP(G280,Data!$D$25:$L$25,Data!$D$1:$L$1,"",-1,1)))</f>
        <v/>
      </c>
      <c r="L280" s="184" t="str" cm="1">
        <f t="array" ref="L280">IFERROR(_xlfn.IFNA(
                      _xlfn.IFS(
                      G280="", "",
                      AND(E280="U10B",G280&gt;=Data!$M$5), "U10 Boys record",
                      AND(E280="U12B",G280&gt;=Data!$M$12), "U12 Boys record",
                      AND(E280="U10G",G280&gt;=Data!$M$18), "U10 Girls record",
                      AND(E280="U12G",G280&gt;=Data!$M$25), "U12 Girls record"
                       ),""), "")</f>
        <v/>
      </c>
      <c r="M280" s="19" cm="1">
        <f t="array" ref="M280">_xlfn.IFS($G280="",0, AND(NOT(ISNUMBER($G280)),LOWER(LEFT($G280,1))&lt;&gt;"n"),"Not a valid distance",OR(LOWER(LEFT($G280,1))="n",$G280&lt;ScoringTable!$O$161),1,RIGHT($E280,1)="B",_xlfn.XLOOKUP($G280,ScoringTable!$O$2:$O$161,ScoringTable!$L$2:$L$161,,-1),TRUE,_xlfn.XLOOKUP($G280,ScoringTable!$U$2:$U$161,ScoringTable!$R$2:$R$161,,-1))</f>
        <v>0</v>
      </c>
    </row>
    <row r="281" spans="1:13" s="7" customFormat="1" ht="16" customHeight="1">
      <c r="A281" s="121" t="s">
        <v>81</v>
      </c>
      <c r="B281" s="122" t="str">
        <f>IF(ISNA(VLOOKUP($F281,Declarations!B$6:C$293,2,FALSE)),"",IF(VLOOKUP($F281,Declarations!B$6:C$293,2,FALSE)="","NOT DECLARED",IF(ISNA(_xlfn.TEXTBEFORE(VLOOKUP($F281,Declarations!B$6:C$293,2,FALSE)," ")),VLOOKUP($F281,Declarations!B$6:C$293,2,FALSE),_xlfn.TEXTBEFORE(VLOOKUP($F281,Declarations!B$6:C$293,2,FALSE)," "))))</f>
        <v/>
      </c>
      <c r="C281" s="122" t="str">
        <f>IF(ISNA(VLOOKUP($F281,Declarations!B$6:C$293,2,FALSE)),"",IF(VLOOKUP($F281,Declarations!B$6:C$293,2,FALSE)="","NOT DECLARED",IF(ISNA(_xlfn.TEXTAFTER(VLOOKUP($F281,Declarations!B$6:C$293,2,FALSE)," ")),VLOOKUP($F281,Declarations!B$6:C$293,2,FALSE),_xlfn.TEXTAFTER(VLOOKUP($F281,Declarations!B$6:C$293,2,FALSE)," "))))</f>
        <v/>
      </c>
      <c r="D281" s="122" t="str">
        <f>IF(ISNA(VLOOKUP($F281,Declarations!$B$6:$F$293,5,FALSE)),"",IF(VLOOKUP($F281,Declarations!$B$6:$F$293,5,FALSE)="","NOT DECLARED",VLOOKUP($F281,Declarations!$B$6:$F$293,5,FALSE)))</f>
        <v/>
      </c>
      <c r="E281" s="120" t="str">
        <f>IF(ISNA(VLOOKUP($F281,Declarations!$B$6:$D$293,3,FALSE)),"",IF(VLOOKUP($F281,Declarations!$B$6:$D$293,3,FALSE)="","NOT DECLARED",VLOOKUP($F281,Declarations!$B$6:$D$293,3,FALSE)&amp;LEFT(VLOOKUP($F281,Declarations!$B$6:$E$293,4,FALSE))))</f>
        <v/>
      </c>
      <c r="F281" s="59"/>
      <c r="G281" s="129"/>
      <c r="H281" s="129"/>
      <c r="I281" s="122" t="str">
        <f>IF(ISNA(VLOOKUP(F281,Declarations!B$6:C$293,2,FALSE)),"",IF(VLOOKUP(F281,Declarations!B$6:C$293,2,FALSE)="","NOT DECLARED",VLOOKUP(F281,Declarations!B$6:C$293,2,FALSE)))</f>
        <v/>
      </c>
      <c r="J281" s="120">
        <f>IF(LOWER(LEFT(G281,1))="n",1,VLOOKUP(G281,ScoringTable!D$2:I$95,6))</f>
        <v>0</v>
      </c>
      <c r="K281" s="120" t="str" cm="1">
        <f t="array" ref="K281">IF(OR(E281="",G281=""),"",_xlfn.IFS(E281="U10B",_xlfn.XLOOKUP(G281,Data!$D$5:$L$5,Data!$D$1:$L$1,"",-1,1),E281="U12B",_xlfn.XLOOKUP(G281,Data!$D$12:$L$12,Data!$D$1:$L$1,"",-1,1),E281="U10G",_xlfn.XLOOKUP(G281,Data!$D$18:$L$18,Data!$D$1:$L$1,"",-1,1),E281="U12G",_xlfn.XLOOKUP(G281,Data!$D$25:$L$25,Data!$D$1:$L$1,"",-1,1)))</f>
        <v/>
      </c>
      <c r="L281" s="184" t="str" cm="1">
        <f t="array" ref="L281">IFERROR(_xlfn.IFNA(
                      _xlfn.IFS(
                      G281="", "",
                      AND(E281="U10B",G281&gt;=Data!$M$5), "U10 Boys record",
                      AND(E281="U12B",G281&gt;=Data!$M$12), "U12 Boys record",
                      AND(E281="U10G",G281&gt;=Data!$M$18), "U10 Girls record",
                      AND(E281="U12G",G281&gt;=Data!$M$25), "U12 Girls record"
                       ),""), "")</f>
        <v/>
      </c>
      <c r="M281" s="19" cm="1">
        <f t="array" ref="M281">_xlfn.IFS($G281="",0, AND(NOT(ISNUMBER($G281)),LOWER(LEFT($G281,1))&lt;&gt;"n"),"Not a valid distance",OR(LOWER(LEFT($G281,1))="n",$G281&lt;ScoringTable!$O$161),1,RIGHT($E281,1)="B",_xlfn.XLOOKUP($G281,ScoringTable!$O$2:$O$161,ScoringTable!$L$2:$L$161,,-1),TRUE,_xlfn.XLOOKUP($G281,ScoringTable!$U$2:$U$161,ScoringTable!$R$2:$R$161,,-1))</f>
        <v>0</v>
      </c>
    </row>
    <row r="282" spans="1:13" s="7" customFormat="1" ht="16" customHeight="1">
      <c r="A282" s="121" t="s">
        <v>81</v>
      </c>
      <c r="B282" s="122" t="str">
        <f>IF(ISNA(VLOOKUP($F282,Declarations!B$6:C$293,2,FALSE)),"",IF(VLOOKUP($F282,Declarations!B$6:C$293,2,FALSE)="","NOT DECLARED",IF(ISNA(_xlfn.TEXTBEFORE(VLOOKUP($F282,Declarations!B$6:C$293,2,FALSE)," ")),VLOOKUP($F282,Declarations!B$6:C$293,2,FALSE),_xlfn.TEXTBEFORE(VLOOKUP($F282,Declarations!B$6:C$293,2,FALSE)," "))))</f>
        <v/>
      </c>
      <c r="C282" s="122" t="str">
        <f>IF(ISNA(VLOOKUP($F282,Declarations!B$6:C$293,2,FALSE)),"",IF(VLOOKUP($F282,Declarations!B$6:C$293,2,FALSE)="","NOT DECLARED",IF(ISNA(_xlfn.TEXTAFTER(VLOOKUP($F282,Declarations!B$6:C$293,2,FALSE)," ")),VLOOKUP($F282,Declarations!B$6:C$293,2,FALSE),_xlfn.TEXTAFTER(VLOOKUP($F282,Declarations!B$6:C$293,2,FALSE)," "))))</f>
        <v/>
      </c>
      <c r="D282" s="122" t="str">
        <f>IF(ISNA(VLOOKUP($F282,Declarations!$B$6:$F$293,5,FALSE)),"",IF(VLOOKUP($F282,Declarations!$B$6:$F$293,5,FALSE)="","NOT DECLARED",VLOOKUP($F282,Declarations!$B$6:$F$293,5,FALSE)))</f>
        <v/>
      </c>
      <c r="E282" s="120" t="str">
        <f>IF(ISNA(VLOOKUP($F282,Declarations!$B$6:$D$293,3,FALSE)),"",IF(VLOOKUP($F282,Declarations!$B$6:$D$293,3,FALSE)="","NOT DECLARED",VLOOKUP($F282,Declarations!$B$6:$D$293,3,FALSE)&amp;LEFT(VLOOKUP($F282,Declarations!$B$6:$E$293,4,FALSE))))</f>
        <v/>
      </c>
      <c r="F282" s="59"/>
      <c r="G282" s="129"/>
      <c r="H282" s="129"/>
      <c r="I282" s="122" t="str">
        <f>IF(ISNA(VLOOKUP(F282,Declarations!B$6:C$293,2,FALSE)),"",IF(VLOOKUP(F282,Declarations!B$6:C$293,2,FALSE)="","NOT DECLARED",VLOOKUP(F282,Declarations!B$6:C$293,2,FALSE)))</f>
        <v/>
      </c>
      <c r="J282" s="120">
        <f>IF(LOWER(LEFT(G282,1))="n",1,VLOOKUP(G282,ScoringTable!D$2:I$95,6))</f>
        <v>0</v>
      </c>
      <c r="K282" s="120" t="str" cm="1">
        <f t="array" ref="K282">IF(OR(E282="",G282=""),"",_xlfn.IFS(E282="U10B",_xlfn.XLOOKUP(G282,Data!$D$5:$L$5,Data!$D$1:$L$1,"",-1,1),E282="U12B",_xlfn.XLOOKUP(G282,Data!$D$12:$L$12,Data!$D$1:$L$1,"",-1,1),E282="U10G",_xlfn.XLOOKUP(G282,Data!$D$18:$L$18,Data!$D$1:$L$1,"",-1,1),E282="U12G",_xlfn.XLOOKUP(G282,Data!$D$25:$L$25,Data!$D$1:$L$1,"",-1,1)))</f>
        <v/>
      </c>
      <c r="L282" s="184" t="str" cm="1">
        <f t="array" ref="L282">IFERROR(_xlfn.IFNA(
                      _xlfn.IFS(
                      G282="", "",
                      AND(E282="U10B",G282&gt;=Data!$M$5), "U10 Boys record",
                      AND(E282="U12B",G282&gt;=Data!$M$12), "U12 Boys record",
                      AND(E282="U10G",G282&gt;=Data!$M$18), "U10 Girls record",
                      AND(E282="U12G",G282&gt;=Data!$M$25), "U12 Girls record"
                       ),""), "")</f>
        <v/>
      </c>
      <c r="M282" s="19" cm="1">
        <f t="array" ref="M282">_xlfn.IFS($G282="",0, AND(NOT(ISNUMBER($G282)),LOWER(LEFT($G282,1))&lt;&gt;"n"),"Not a valid distance",OR(LOWER(LEFT($G282,1))="n",$G282&lt;ScoringTable!$O$161),1,RIGHT($E282,1)="B",_xlfn.XLOOKUP($G282,ScoringTable!$O$2:$O$161,ScoringTable!$L$2:$L$161,,-1),TRUE,_xlfn.XLOOKUP($G282,ScoringTable!$U$2:$U$161,ScoringTable!$R$2:$R$161,,-1))</f>
        <v>0</v>
      </c>
    </row>
    <row r="283" spans="1:13" s="7" customFormat="1" ht="16" customHeight="1">
      <c r="A283" s="121" t="s">
        <v>81</v>
      </c>
      <c r="B283" s="122" t="str">
        <f>IF(ISNA(VLOOKUP($F283,Declarations!B$6:C$293,2,FALSE)),"",IF(VLOOKUP($F283,Declarations!B$6:C$293,2,FALSE)="","NOT DECLARED",IF(ISNA(_xlfn.TEXTBEFORE(VLOOKUP($F283,Declarations!B$6:C$293,2,FALSE)," ")),VLOOKUP($F283,Declarations!B$6:C$293,2,FALSE),_xlfn.TEXTBEFORE(VLOOKUP($F283,Declarations!B$6:C$293,2,FALSE)," "))))</f>
        <v/>
      </c>
      <c r="C283" s="122" t="str">
        <f>IF(ISNA(VLOOKUP($F283,Declarations!B$6:C$293,2,FALSE)),"",IF(VLOOKUP($F283,Declarations!B$6:C$293,2,FALSE)="","NOT DECLARED",IF(ISNA(_xlfn.TEXTAFTER(VLOOKUP($F283,Declarations!B$6:C$293,2,FALSE)," ")),VLOOKUP($F283,Declarations!B$6:C$293,2,FALSE),_xlfn.TEXTAFTER(VLOOKUP($F283,Declarations!B$6:C$293,2,FALSE)," "))))</f>
        <v/>
      </c>
      <c r="D283" s="122" t="str">
        <f>IF(ISNA(VLOOKUP($F283,Declarations!$B$6:$F$293,5,FALSE)),"",IF(VLOOKUP($F283,Declarations!$B$6:$F$293,5,FALSE)="","NOT DECLARED",VLOOKUP($F283,Declarations!$B$6:$F$293,5,FALSE)))</f>
        <v/>
      </c>
      <c r="E283" s="120" t="str">
        <f>IF(ISNA(VLOOKUP($F283,Declarations!$B$6:$D$293,3,FALSE)),"",IF(VLOOKUP($F283,Declarations!$B$6:$D$293,3,FALSE)="","NOT DECLARED",VLOOKUP($F283,Declarations!$B$6:$D$293,3,FALSE)&amp;LEFT(VLOOKUP($F283,Declarations!$B$6:$E$293,4,FALSE))))</f>
        <v/>
      </c>
      <c r="F283" s="59"/>
      <c r="G283" s="129"/>
      <c r="H283" s="129"/>
      <c r="I283" s="122" t="str">
        <f>IF(ISNA(VLOOKUP(F283,Declarations!B$6:C$293,2,FALSE)),"",IF(VLOOKUP(F283,Declarations!B$6:C$293,2,FALSE)="","NOT DECLARED",VLOOKUP(F283,Declarations!B$6:C$293,2,FALSE)))</f>
        <v/>
      </c>
      <c r="J283" s="120">
        <f>IF(LOWER(LEFT(G283,1))="n",1,VLOOKUP(G283,ScoringTable!D$2:I$95,6))</f>
        <v>0</v>
      </c>
      <c r="K283" s="120" t="str" cm="1">
        <f t="array" ref="K283">IF(OR(E283="",G283=""),"",_xlfn.IFS(E283="U10B",_xlfn.XLOOKUP(G283,Data!$D$5:$L$5,Data!$D$1:$L$1,"",-1,1),E283="U12B",_xlfn.XLOOKUP(G283,Data!$D$12:$L$12,Data!$D$1:$L$1,"",-1,1),E283="U10G",_xlfn.XLOOKUP(G283,Data!$D$18:$L$18,Data!$D$1:$L$1,"",-1,1),E283="U12G",_xlfn.XLOOKUP(G283,Data!$D$25:$L$25,Data!$D$1:$L$1,"",-1,1)))</f>
        <v/>
      </c>
      <c r="L283" s="184" t="str" cm="1">
        <f t="array" ref="L283">IFERROR(_xlfn.IFNA(
                      _xlfn.IFS(
                      G283="", "",
                      AND(E283="U10B",G283&gt;=Data!$M$5), "U10 Boys record",
                      AND(E283="U12B",G283&gt;=Data!$M$12), "U12 Boys record",
                      AND(E283="U10G",G283&gt;=Data!$M$18), "U10 Girls record",
                      AND(E283="U12G",G283&gt;=Data!$M$25), "U12 Girls record"
                       ),""), "")</f>
        <v/>
      </c>
      <c r="M283" s="19" cm="1">
        <f t="array" ref="M283">_xlfn.IFS($G283="",0, AND(NOT(ISNUMBER($G283)),LOWER(LEFT($G283,1))&lt;&gt;"n"),"Not a valid distance",OR(LOWER(LEFT($G283,1))="n",$G283&lt;ScoringTable!$O$161),1,RIGHT($E283,1)="B",_xlfn.XLOOKUP($G283,ScoringTable!$O$2:$O$161,ScoringTable!$L$2:$L$161,,-1),TRUE,_xlfn.XLOOKUP($G283,ScoringTable!$U$2:$U$161,ScoringTable!$R$2:$R$161,,-1))</f>
        <v>0</v>
      </c>
    </row>
    <row r="284" spans="1:13" s="7" customFormat="1" ht="16" customHeight="1">
      <c r="A284" s="121" t="s">
        <v>81</v>
      </c>
      <c r="B284" s="122" t="str">
        <f>IF(ISNA(VLOOKUP($F284,Declarations!B$6:C$293,2,FALSE)),"",IF(VLOOKUP($F284,Declarations!B$6:C$293,2,FALSE)="","NOT DECLARED",IF(ISNA(_xlfn.TEXTBEFORE(VLOOKUP($F284,Declarations!B$6:C$293,2,FALSE)," ")),VLOOKUP($F284,Declarations!B$6:C$293,2,FALSE),_xlfn.TEXTBEFORE(VLOOKUP($F284,Declarations!B$6:C$293,2,FALSE)," "))))</f>
        <v/>
      </c>
      <c r="C284" s="122" t="str">
        <f>IF(ISNA(VLOOKUP($F284,Declarations!B$6:C$293,2,FALSE)),"",IF(VLOOKUP($F284,Declarations!B$6:C$293,2,FALSE)="","NOT DECLARED",IF(ISNA(_xlfn.TEXTAFTER(VLOOKUP($F284,Declarations!B$6:C$293,2,FALSE)," ")),VLOOKUP($F284,Declarations!B$6:C$293,2,FALSE),_xlfn.TEXTAFTER(VLOOKUP($F284,Declarations!B$6:C$293,2,FALSE)," "))))</f>
        <v/>
      </c>
      <c r="D284" s="122" t="str">
        <f>IF(ISNA(VLOOKUP($F284,Declarations!$B$6:$F$293,5,FALSE)),"",IF(VLOOKUP($F284,Declarations!$B$6:$F$293,5,FALSE)="","NOT DECLARED",VLOOKUP($F284,Declarations!$B$6:$F$293,5,FALSE)))</f>
        <v/>
      </c>
      <c r="E284" s="120" t="str">
        <f>IF(ISNA(VLOOKUP($F284,Declarations!$B$6:$D$293,3,FALSE)),"",IF(VLOOKUP($F284,Declarations!$B$6:$D$293,3,FALSE)="","NOT DECLARED",VLOOKUP($F284,Declarations!$B$6:$D$293,3,FALSE)&amp;LEFT(VLOOKUP($F284,Declarations!$B$6:$E$293,4,FALSE))))</f>
        <v/>
      </c>
      <c r="F284" s="59"/>
      <c r="G284" s="129"/>
      <c r="H284" s="129"/>
      <c r="I284" s="122" t="str">
        <f>IF(ISNA(VLOOKUP(F284,Declarations!B$6:C$293,2,FALSE)),"",IF(VLOOKUP(F284,Declarations!B$6:C$293,2,FALSE)="","NOT DECLARED",VLOOKUP(F284,Declarations!B$6:C$293,2,FALSE)))</f>
        <v/>
      </c>
      <c r="J284" s="120">
        <f>IF(LOWER(LEFT(G284,1))="n",1,VLOOKUP(G284,ScoringTable!D$2:I$95,6))</f>
        <v>0</v>
      </c>
      <c r="K284" s="120" t="str" cm="1">
        <f t="array" ref="K284">IF(OR(E284="",G284=""),"",_xlfn.IFS(E284="U10B",_xlfn.XLOOKUP(G284,Data!$D$5:$L$5,Data!$D$1:$L$1,"",-1,1),E284="U12B",_xlfn.XLOOKUP(G284,Data!$D$12:$L$12,Data!$D$1:$L$1,"",-1,1),E284="U10G",_xlfn.XLOOKUP(G284,Data!$D$18:$L$18,Data!$D$1:$L$1,"",-1,1),E284="U12G",_xlfn.XLOOKUP(G284,Data!$D$25:$L$25,Data!$D$1:$L$1,"",-1,1)))</f>
        <v/>
      </c>
      <c r="L284" s="184" t="str" cm="1">
        <f t="array" ref="L284">IFERROR(_xlfn.IFNA(
                      _xlfn.IFS(
                      G284="", "",
                      AND(E284="U10B",G284&gt;=Data!$M$5), "U10 Boys record",
                      AND(E284="U12B",G284&gt;=Data!$M$12), "U12 Boys record",
                      AND(E284="U10G",G284&gt;=Data!$M$18), "U10 Girls record",
                      AND(E284="U12G",G284&gt;=Data!$M$25), "U12 Girls record"
                       ),""), "")</f>
        <v/>
      </c>
      <c r="M284" s="19" cm="1">
        <f t="array" ref="M284">_xlfn.IFS($G284="",0, AND(NOT(ISNUMBER($G284)),LOWER(LEFT($G284,1))&lt;&gt;"n"),"Not a valid distance",OR(LOWER(LEFT($G284,1))="n",$G284&lt;ScoringTable!$O$161),1,RIGHT($E284,1)="B",_xlfn.XLOOKUP($G284,ScoringTable!$O$2:$O$161,ScoringTable!$L$2:$L$161,,-1),TRUE,_xlfn.XLOOKUP($G284,ScoringTable!$U$2:$U$161,ScoringTable!$R$2:$R$161,,-1))</f>
        <v>0</v>
      </c>
    </row>
    <row r="285" spans="1:13" s="7" customFormat="1" ht="16" customHeight="1">
      <c r="A285" s="121" t="s">
        <v>81</v>
      </c>
      <c r="B285" s="122" t="str">
        <f>IF(ISNA(VLOOKUP($F285,Declarations!B$6:C$293,2,FALSE)),"",IF(VLOOKUP($F285,Declarations!B$6:C$293,2,FALSE)="","NOT DECLARED",IF(ISNA(_xlfn.TEXTBEFORE(VLOOKUP($F285,Declarations!B$6:C$293,2,FALSE)," ")),VLOOKUP($F285,Declarations!B$6:C$293,2,FALSE),_xlfn.TEXTBEFORE(VLOOKUP($F285,Declarations!B$6:C$293,2,FALSE)," "))))</f>
        <v/>
      </c>
      <c r="C285" s="122" t="str">
        <f>IF(ISNA(VLOOKUP($F285,Declarations!B$6:C$293,2,FALSE)),"",IF(VLOOKUP($F285,Declarations!B$6:C$293,2,FALSE)="","NOT DECLARED",IF(ISNA(_xlfn.TEXTAFTER(VLOOKUP($F285,Declarations!B$6:C$293,2,FALSE)," ")),VLOOKUP($F285,Declarations!B$6:C$293,2,FALSE),_xlfn.TEXTAFTER(VLOOKUP($F285,Declarations!B$6:C$293,2,FALSE)," "))))</f>
        <v/>
      </c>
      <c r="D285" s="122" t="str">
        <f>IF(ISNA(VLOOKUP($F285,Declarations!$B$6:$F$293,5,FALSE)),"",IF(VLOOKUP($F285,Declarations!$B$6:$F$293,5,FALSE)="","NOT DECLARED",VLOOKUP($F285,Declarations!$B$6:$F$293,5,FALSE)))</f>
        <v/>
      </c>
      <c r="E285" s="120" t="str">
        <f>IF(ISNA(VLOOKUP($F285,Declarations!$B$6:$D$293,3,FALSE)),"",IF(VLOOKUP($F285,Declarations!$B$6:$D$293,3,FALSE)="","NOT DECLARED",VLOOKUP($F285,Declarations!$B$6:$D$293,3,FALSE)&amp;LEFT(VLOOKUP($F285,Declarations!$B$6:$E$293,4,FALSE))))</f>
        <v/>
      </c>
      <c r="F285" s="59"/>
      <c r="G285" s="129"/>
      <c r="H285" s="129"/>
      <c r="I285" s="122" t="str">
        <f>IF(ISNA(VLOOKUP(F285,Declarations!B$6:C$293,2,FALSE)),"",IF(VLOOKUP(F285,Declarations!B$6:C$293,2,FALSE)="","NOT DECLARED",VLOOKUP(F285,Declarations!B$6:C$293,2,FALSE)))</f>
        <v/>
      </c>
      <c r="J285" s="120">
        <f>IF(LOWER(LEFT(G285,1))="n",1,VLOOKUP(G285,ScoringTable!D$2:I$95,6))</f>
        <v>0</v>
      </c>
      <c r="K285" s="120" t="str" cm="1">
        <f t="array" ref="K285">IF(OR(E285="",G285=""),"",_xlfn.IFS(E285="U10B",_xlfn.XLOOKUP(G285,Data!$D$5:$L$5,Data!$D$1:$L$1,"",-1,1),E285="U12B",_xlfn.XLOOKUP(G285,Data!$D$12:$L$12,Data!$D$1:$L$1,"",-1,1),E285="U10G",_xlfn.XLOOKUP(G285,Data!$D$18:$L$18,Data!$D$1:$L$1,"",-1,1),E285="U12G",_xlfn.XLOOKUP(G285,Data!$D$25:$L$25,Data!$D$1:$L$1,"",-1,1)))</f>
        <v/>
      </c>
      <c r="L285" s="184" t="str" cm="1">
        <f t="array" ref="L285">IFERROR(_xlfn.IFNA(
                      _xlfn.IFS(
                      G285="", "",
                      AND(E285="U10B",G285&gt;=Data!$M$5), "U10 Boys record",
                      AND(E285="U12B",G285&gt;=Data!$M$12), "U12 Boys record",
                      AND(E285="U10G",G285&gt;=Data!$M$18), "U10 Girls record",
                      AND(E285="U12G",G285&gt;=Data!$M$25), "U12 Girls record"
                       ),""), "")</f>
        <v/>
      </c>
      <c r="M285" s="19" cm="1">
        <f t="array" ref="M285">_xlfn.IFS($G285="",0, AND(NOT(ISNUMBER($G285)),LOWER(LEFT($G285,1))&lt;&gt;"n"),"Not a valid distance",OR(LOWER(LEFT($G285,1))="n",$G285&lt;ScoringTable!$O$161),1,RIGHT($E285,1)="B",_xlfn.XLOOKUP($G285,ScoringTable!$O$2:$O$161,ScoringTable!$L$2:$L$161,,-1),TRUE,_xlfn.XLOOKUP($G285,ScoringTable!$U$2:$U$161,ScoringTable!$R$2:$R$161,,-1))</f>
        <v>0</v>
      </c>
    </row>
    <row r="286" spans="1:13" s="7" customFormat="1" ht="16" customHeight="1">
      <c r="A286" s="121" t="s">
        <v>81</v>
      </c>
      <c r="B286" s="122" t="str">
        <f>IF(ISNA(VLOOKUP($F286,Declarations!B$6:C$293,2,FALSE)),"",IF(VLOOKUP($F286,Declarations!B$6:C$293,2,FALSE)="","NOT DECLARED",IF(ISNA(_xlfn.TEXTBEFORE(VLOOKUP($F286,Declarations!B$6:C$293,2,FALSE)," ")),VLOOKUP($F286,Declarations!B$6:C$293,2,FALSE),_xlfn.TEXTBEFORE(VLOOKUP($F286,Declarations!B$6:C$293,2,FALSE)," "))))</f>
        <v/>
      </c>
      <c r="C286" s="122" t="str">
        <f>IF(ISNA(VLOOKUP($F286,Declarations!B$6:C$293,2,FALSE)),"",IF(VLOOKUP($F286,Declarations!B$6:C$293,2,FALSE)="","NOT DECLARED",IF(ISNA(_xlfn.TEXTAFTER(VLOOKUP($F286,Declarations!B$6:C$293,2,FALSE)," ")),VLOOKUP($F286,Declarations!B$6:C$293,2,FALSE),_xlfn.TEXTAFTER(VLOOKUP($F286,Declarations!B$6:C$293,2,FALSE)," "))))</f>
        <v/>
      </c>
      <c r="D286" s="122" t="str">
        <f>IF(ISNA(VLOOKUP($F286,Declarations!$B$6:$F$293,5,FALSE)),"",IF(VLOOKUP($F286,Declarations!$B$6:$F$293,5,FALSE)="","NOT DECLARED",VLOOKUP($F286,Declarations!$B$6:$F$293,5,FALSE)))</f>
        <v/>
      </c>
      <c r="E286" s="120" t="str">
        <f>IF(ISNA(VLOOKUP($F286,Declarations!$B$6:$D$293,3,FALSE)),"",IF(VLOOKUP($F286,Declarations!$B$6:$D$293,3,FALSE)="","NOT DECLARED",VLOOKUP($F286,Declarations!$B$6:$D$293,3,FALSE)&amp;LEFT(VLOOKUP($F286,Declarations!$B$6:$E$293,4,FALSE))))</f>
        <v/>
      </c>
      <c r="F286" s="59"/>
      <c r="G286" s="129"/>
      <c r="H286" s="129"/>
      <c r="I286" s="122" t="str">
        <f>IF(ISNA(VLOOKUP(F286,Declarations!B$6:C$293,2,FALSE)),"",IF(VLOOKUP(F286,Declarations!B$6:C$293,2,FALSE)="","NOT DECLARED",VLOOKUP(F286,Declarations!B$6:C$293,2,FALSE)))</f>
        <v/>
      </c>
      <c r="J286" s="120">
        <f>IF(LOWER(LEFT(G286,1))="n",1,VLOOKUP(G286,ScoringTable!D$2:I$95,6))</f>
        <v>0</v>
      </c>
      <c r="K286" s="120" t="str" cm="1">
        <f t="array" ref="K286">IF(OR(E286="",G286=""),"",_xlfn.IFS(E286="U10B",_xlfn.XLOOKUP(G286,Data!$D$5:$L$5,Data!$D$1:$L$1,"",-1,1),E286="U12B",_xlfn.XLOOKUP(G286,Data!$D$12:$L$12,Data!$D$1:$L$1,"",-1,1),E286="U10G",_xlfn.XLOOKUP(G286,Data!$D$18:$L$18,Data!$D$1:$L$1,"",-1,1),E286="U12G",_xlfn.XLOOKUP(G286,Data!$D$25:$L$25,Data!$D$1:$L$1,"",-1,1)))</f>
        <v/>
      </c>
      <c r="L286" s="184" t="str" cm="1">
        <f t="array" ref="L286">IFERROR(_xlfn.IFNA(
                      _xlfn.IFS(
                      G286="", "",
                      AND(E286="U10B",G286&gt;=Data!$M$5), "U10 Boys record",
                      AND(E286="U12B",G286&gt;=Data!$M$12), "U12 Boys record",
                      AND(E286="U10G",G286&gt;=Data!$M$18), "U10 Girls record",
                      AND(E286="U12G",G286&gt;=Data!$M$25), "U12 Girls record"
                       ),""), "")</f>
        <v/>
      </c>
      <c r="M286" s="19" cm="1">
        <f t="array" ref="M286">_xlfn.IFS($G286="",0, AND(NOT(ISNUMBER($G286)),LOWER(LEFT($G286,1))&lt;&gt;"n"),"Not a valid distance",OR(LOWER(LEFT($G286,1))="n",$G286&lt;ScoringTable!$O$161),1,RIGHT($E286,1)="B",_xlfn.XLOOKUP($G286,ScoringTable!$O$2:$O$161,ScoringTable!$L$2:$L$161,,-1),TRUE,_xlfn.XLOOKUP($G286,ScoringTable!$U$2:$U$161,ScoringTable!$R$2:$R$161,,-1))</f>
        <v>0</v>
      </c>
    </row>
    <row r="287" spans="1:13" s="7" customFormat="1" ht="16" customHeight="1">
      <c r="A287" s="121" t="s">
        <v>81</v>
      </c>
      <c r="B287" s="122" t="str">
        <f>IF(ISNA(VLOOKUP($F287,Declarations!B$6:C$293,2,FALSE)),"",IF(VLOOKUP($F287,Declarations!B$6:C$293,2,FALSE)="","NOT DECLARED",IF(ISNA(_xlfn.TEXTBEFORE(VLOOKUP($F287,Declarations!B$6:C$293,2,FALSE)," ")),VLOOKUP($F287,Declarations!B$6:C$293,2,FALSE),_xlfn.TEXTBEFORE(VLOOKUP($F287,Declarations!B$6:C$293,2,FALSE)," "))))</f>
        <v/>
      </c>
      <c r="C287" s="122" t="str">
        <f>IF(ISNA(VLOOKUP($F287,Declarations!B$6:C$293,2,FALSE)),"",IF(VLOOKUP($F287,Declarations!B$6:C$293,2,FALSE)="","NOT DECLARED",IF(ISNA(_xlfn.TEXTAFTER(VLOOKUP($F287,Declarations!B$6:C$293,2,FALSE)," ")),VLOOKUP($F287,Declarations!B$6:C$293,2,FALSE),_xlfn.TEXTAFTER(VLOOKUP($F287,Declarations!B$6:C$293,2,FALSE)," "))))</f>
        <v/>
      </c>
      <c r="D287" s="122" t="str">
        <f>IF(ISNA(VLOOKUP($F287,Declarations!$B$6:$F$293,5,FALSE)),"",IF(VLOOKUP($F287,Declarations!$B$6:$F$293,5,FALSE)="","NOT DECLARED",VLOOKUP($F287,Declarations!$B$6:$F$293,5,FALSE)))</f>
        <v/>
      </c>
      <c r="E287" s="120" t="str">
        <f>IF(ISNA(VLOOKUP($F287,Declarations!$B$6:$D$293,3,FALSE)),"",IF(VLOOKUP($F287,Declarations!$B$6:$D$293,3,FALSE)="","NOT DECLARED",VLOOKUP($F287,Declarations!$B$6:$D$293,3,FALSE)&amp;LEFT(VLOOKUP($F287,Declarations!$B$6:$E$293,4,FALSE))))</f>
        <v/>
      </c>
      <c r="F287" s="59"/>
      <c r="G287" s="129"/>
      <c r="H287" s="129"/>
      <c r="I287" s="122" t="str">
        <f>IF(ISNA(VLOOKUP(F287,Declarations!B$6:C$293,2,FALSE)),"",IF(VLOOKUP(F287,Declarations!B$6:C$293,2,FALSE)="","NOT DECLARED",VLOOKUP(F287,Declarations!B$6:C$293,2,FALSE)))</f>
        <v/>
      </c>
      <c r="J287" s="120">
        <f>IF(LOWER(LEFT(G287,1))="n",1,VLOOKUP(G287,ScoringTable!D$2:I$95,6))</f>
        <v>0</v>
      </c>
      <c r="K287" s="120" t="str" cm="1">
        <f t="array" ref="K287">IF(OR(E287="",G287=""),"",_xlfn.IFS(E287="U10B",_xlfn.XLOOKUP(G287,Data!$D$5:$L$5,Data!$D$1:$L$1,"",-1,1),E287="U12B",_xlfn.XLOOKUP(G287,Data!$D$12:$L$12,Data!$D$1:$L$1,"",-1,1),E287="U10G",_xlfn.XLOOKUP(G287,Data!$D$18:$L$18,Data!$D$1:$L$1,"",-1,1),E287="U12G",_xlfn.XLOOKUP(G287,Data!$D$25:$L$25,Data!$D$1:$L$1,"",-1,1)))</f>
        <v/>
      </c>
      <c r="L287" s="184" t="str" cm="1">
        <f t="array" ref="L287">IFERROR(_xlfn.IFNA(
                      _xlfn.IFS(
                      G287="", "",
                      AND(E287="U10B",G287&gt;=Data!$M$5), "U10 Boys record",
                      AND(E287="U12B",G287&gt;=Data!$M$12), "U12 Boys record",
                      AND(E287="U10G",G287&gt;=Data!$M$18), "U10 Girls record",
                      AND(E287="U12G",G287&gt;=Data!$M$25), "U12 Girls record"
                       ),""), "")</f>
        <v/>
      </c>
      <c r="M287" s="19" cm="1">
        <f t="array" ref="M287">_xlfn.IFS($G287="",0, AND(NOT(ISNUMBER($G287)),LOWER(LEFT($G287,1))&lt;&gt;"n"),"Not a valid distance",OR(LOWER(LEFT($G287,1))="n",$G287&lt;ScoringTable!$O$161),1,RIGHT($E287,1)="B",_xlfn.XLOOKUP($G287,ScoringTable!$O$2:$O$161,ScoringTable!$L$2:$L$161,,-1),TRUE,_xlfn.XLOOKUP($G287,ScoringTable!$U$2:$U$161,ScoringTable!$R$2:$R$161,,-1))</f>
        <v>0</v>
      </c>
    </row>
    <row r="288" spans="1:13" s="7" customFormat="1" ht="16" customHeight="1">
      <c r="A288" s="121" t="s">
        <v>81</v>
      </c>
      <c r="B288" s="122" t="str">
        <f>IF(ISNA(VLOOKUP($F288,Declarations!B$6:C$293,2,FALSE)),"",IF(VLOOKUP($F288,Declarations!B$6:C$293,2,FALSE)="","NOT DECLARED",IF(ISNA(_xlfn.TEXTBEFORE(VLOOKUP($F288,Declarations!B$6:C$293,2,FALSE)," ")),VLOOKUP($F288,Declarations!B$6:C$293,2,FALSE),_xlfn.TEXTBEFORE(VLOOKUP($F288,Declarations!B$6:C$293,2,FALSE)," "))))</f>
        <v/>
      </c>
      <c r="C288" s="122" t="str">
        <f>IF(ISNA(VLOOKUP($F288,Declarations!B$6:C$293,2,FALSE)),"",IF(VLOOKUP($F288,Declarations!B$6:C$293,2,FALSE)="","NOT DECLARED",IF(ISNA(_xlfn.TEXTAFTER(VLOOKUP($F288,Declarations!B$6:C$293,2,FALSE)," ")),VLOOKUP($F288,Declarations!B$6:C$293,2,FALSE),_xlfn.TEXTAFTER(VLOOKUP($F288,Declarations!B$6:C$293,2,FALSE)," "))))</f>
        <v/>
      </c>
      <c r="D288" s="122" t="str">
        <f>IF(ISNA(VLOOKUP($F288,Declarations!$B$6:$F$293,5,FALSE)),"",IF(VLOOKUP($F288,Declarations!$B$6:$F$293,5,FALSE)="","NOT DECLARED",VLOOKUP($F288,Declarations!$B$6:$F$293,5,FALSE)))</f>
        <v/>
      </c>
      <c r="E288" s="120" t="str">
        <f>IF(ISNA(VLOOKUP($F288,Declarations!$B$6:$D$293,3,FALSE)),"",IF(VLOOKUP($F288,Declarations!$B$6:$D$293,3,FALSE)="","NOT DECLARED",VLOOKUP($F288,Declarations!$B$6:$D$293,3,FALSE)&amp;LEFT(VLOOKUP($F288,Declarations!$B$6:$E$293,4,FALSE))))</f>
        <v/>
      </c>
      <c r="F288" s="59"/>
      <c r="G288" s="129"/>
      <c r="H288" s="129"/>
      <c r="I288" s="122" t="str">
        <f>IF(ISNA(VLOOKUP(F288,Declarations!B$6:C$293,2,FALSE)),"",IF(VLOOKUP(F288,Declarations!B$6:C$293,2,FALSE)="","NOT DECLARED",VLOOKUP(F288,Declarations!B$6:C$293,2,FALSE)))</f>
        <v/>
      </c>
      <c r="J288" s="120">
        <f>IF(LOWER(LEFT(G288,1))="n",1,VLOOKUP(G288,ScoringTable!D$2:I$95,6))</f>
        <v>0</v>
      </c>
      <c r="K288" s="120" t="str" cm="1">
        <f t="array" ref="K288">IF(OR(E288="",G288=""),"",_xlfn.IFS(E288="U10B",_xlfn.XLOOKUP(G288,Data!$D$5:$L$5,Data!$D$1:$L$1,"",-1,1),E288="U12B",_xlfn.XLOOKUP(G288,Data!$D$12:$L$12,Data!$D$1:$L$1,"",-1,1),E288="U10G",_xlfn.XLOOKUP(G288,Data!$D$18:$L$18,Data!$D$1:$L$1,"",-1,1),E288="U12G",_xlfn.XLOOKUP(G288,Data!$D$25:$L$25,Data!$D$1:$L$1,"",-1,1)))</f>
        <v/>
      </c>
      <c r="L288" s="184" t="str" cm="1">
        <f t="array" ref="L288">IFERROR(_xlfn.IFNA(
                      _xlfn.IFS(
                      G288="", "",
                      AND(E288="U10B",G288&gt;=Data!$M$5), "U10 Boys record",
                      AND(E288="U12B",G288&gt;=Data!$M$12), "U12 Boys record",
                      AND(E288="U10G",G288&gt;=Data!$M$18), "U10 Girls record",
                      AND(E288="U12G",G288&gt;=Data!$M$25), "U12 Girls record"
                       ),""), "")</f>
        <v/>
      </c>
      <c r="M288" s="19" cm="1">
        <f t="array" ref="M288">_xlfn.IFS($G288="",0, AND(NOT(ISNUMBER($G288)),LOWER(LEFT($G288,1))&lt;&gt;"n"),"Not a valid distance",OR(LOWER(LEFT($G288,1))="n",$G288&lt;ScoringTable!$O$161),1,RIGHT($E288,1)="B",_xlfn.XLOOKUP($G288,ScoringTable!$O$2:$O$161,ScoringTable!$L$2:$L$161,,-1),TRUE,_xlfn.XLOOKUP($G288,ScoringTable!$U$2:$U$161,ScoringTable!$R$2:$R$161,,-1))</f>
        <v>0</v>
      </c>
    </row>
    <row r="289" spans="1:13" s="7" customFormat="1" ht="16" customHeight="1">
      <c r="A289" s="121" t="s">
        <v>81</v>
      </c>
      <c r="B289" s="122" t="str">
        <f>IF(ISNA(VLOOKUP($F289,Declarations!B$6:C$293,2,FALSE)),"",IF(VLOOKUP($F289,Declarations!B$6:C$293,2,FALSE)="","NOT DECLARED",IF(ISNA(_xlfn.TEXTBEFORE(VLOOKUP($F289,Declarations!B$6:C$293,2,FALSE)," ")),VLOOKUP($F289,Declarations!B$6:C$293,2,FALSE),_xlfn.TEXTBEFORE(VLOOKUP($F289,Declarations!B$6:C$293,2,FALSE)," "))))</f>
        <v/>
      </c>
      <c r="C289" s="122" t="str">
        <f>IF(ISNA(VLOOKUP($F289,Declarations!B$6:C$293,2,FALSE)),"",IF(VLOOKUP($F289,Declarations!B$6:C$293,2,FALSE)="","NOT DECLARED",IF(ISNA(_xlfn.TEXTAFTER(VLOOKUP($F289,Declarations!B$6:C$293,2,FALSE)," ")),VLOOKUP($F289,Declarations!B$6:C$293,2,FALSE),_xlfn.TEXTAFTER(VLOOKUP($F289,Declarations!B$6:C$293,2,FALSE)," "))))</f>
        <v/>
      </c>
      <c r="D289" s="122" t="str">
        <f>IF(ISNA(VLOOKUP($F289,Declarations!$B$6:$F$293,5,FALSE)),"",IF(VLOOKUP($F289,Declarations!$B$6:$F$293,5,FALSE)="","NOT DECLARED",VLOOKUP($F289,Declarations!$B$6:$F$293,5,FALSE)))</f>
        <v/>
      </c>
      <c r="E289" s="120" t="str">
        <f>IF(ISNA(VLOOKUP($F289,Declarations!$B$6:$D$293,3,FALSE)),"",IF(VLOOKUP($F289,Declarations!$B$6:$D$293,3,FALSE)="","NOT DECLARED",VLOOKUP($F289,Declarations!$B$6:$D$293,3,FALSE)&amp;LEFT(VLOOKUP($F289,Declarations!$B$6:$E$293,4,FALSE))))</f>
        <v/>
      </c>
      <c r="F289" s="59"/>
      <c r="G289" s="129"/>
      <c r="H289" s="129"/>
      <c r="I289" s="122" t="str">
        <f>IF(ISNA(VLOOKUP(F289,Declarations!B$6:C$293,2,FALSE)),"",IF(VLOOKUP(F289,Declarations!B$6:C$293,2,FALSE)="","NOT DECLARED",VLOOKUP(F289,Declarations!B$6:C$293,2,FALSE)))</f>
        <v/>
      </c>
      <c r="J289" s="120">
        <f>IF(LOWER(LEFT(G289,1))="n",1,VLOOKUP(G289,ScoringTable!D$2:I$95,6))</f>
        <v>0</v>
      </c>
      <c r="K289" s="120" t="str" cm="1">
        <f t="array" ref="K289">IF(OR(E289="",G289=""),"",_xlfn.IFS(E289="U10B",_xlfn.XLOOKUP(G289,Data!$D$5:$L$5,Data!$D$1:$L$1,"",-1,1),E289="U12B",_xlfn.XLOOKUP(G289,Data!$D$12:$L$12,Data!$D$1:$L$1,"",-1,1),E289="U10G",_xlfn.XLOOKUP(G289,Data!$D$18:$L$18,Data!$D$1:$L$1,"",-1,1),E289="U12G",_xlfn.XLOOKUP(G289,Data!$D$25:$L$25,Data!$D$1:$L$1,"",-1,1)))</f>
        <v/>
      </c>
      <c r="L289" s="184" t="str" cm="1">
        <f t="array" ref="L289">IFERROR(_xlfn.IFNA(
                      _xlfn.IFS(
                      G289="", "",
                      AND(E289="U10B",G289&gt;=Data!$M$5), "U10 Boys record",
                      AND(E289="U12B",G289&gt;=Data!$M$12), "U12 Boys record",
                      AND(E289="U10G",G289&gt;=Data!$M$18), "U10 Girls record",
                      AND(E289="U12G",G289&gt;=Data!$M$25), "U12 Girls record"
                       ),""), "")</f>
        <v/>
      </c>
      <c r="M289" s="19" cm="1">
        <f t="array" ref="M289">_xlfn.IFS($G289="",0, AND(NOT(ISNUMBER($G289)),LOWER(LEFT($G289,1))&lt;&gt;"n"),"Not a valid distance",OR(LOWER(LEFT($G289,1))="n",$G289&lt;ScoringTable!$O$161),1,RIGHT($E289,1)="B",_xlfn.XLOOKUP($G289,ScoringTable!$O$2:$O$161,ScoringTable!$L$2:$L$161,,-1),TRUE,_xlfn.XLOOKUP($G289,ScoringTable!$U$2:$U$161,ScoringTable!$R$2:$R$161,,-1))</f>
        <v>0</v>
      </c>
    </row>
    <row r="290" spans="1:13" s="7" customFormat="1" ht="16" customHeight="1">
      <c r="A290" s="121" t="s">
        <v>81</v>
      </c>
      <c r="B290" s="122" t="str">
        <f>IF(ISNA(VLOOKUP($F290,Declarations!B$6:C$293,2,FALSE)),"",IF(VLOOKUP($F290,Declarations!B$6:C$293,2,FALSE)="","NOT DECLARED",IF(ISNA(_xlfn.TEXTBEFORE(VLOOKUP($F290,Declarations!B$6:C$293,2,FALSE)," ")),VLOOKUP($F290,Declarations!B$6:C$293,2,FALSE),_xlfn.TEXTBEFORE(VLOOKUP($F290,Declarations!B$6:C$293,2,FALSE)," "))))</f>
        <v/>
      </c>
      <c r="C290" s="122" t="str">
        <f>IF(ISNA(VLOOKUP($F290,Declarations!B$6:C$293,2,FALSE)),"",IF(VLOOKUP($F290,Declarations!B$6:C$293,2,FALSE)="","NOT DECLARED",IF(ISNA(_xlfn.TEXTAFTER(VLOOKUP($F290,Declarations!B$6:C$293,2,FALSE)," ")),VLOOKUP($F290,Declarations!B$6:C$293,2,FALSE),_xlfn.TEXTAFTER(VLOOKUP($F290,Declarations!B$6:C$293,2,FALSE)," "))))</f>
        <v/>
      </c>
      <c r="D290" s="122" t="str">
        <f>IF(ISNA(VLOOKUP($F290,Declarations!$B$6:$F$293,5,FALSE)),"",IF(VLOOKUP($F290,Declarations!$B$6:$F$293,5,FALSE)="","NOT DECLARED",VLOOKUP($F290,Declarations!$B$6:$F$293,5,FALSE)))</f>
        <v/>
      </c>
      <c r="E290" s="120" t="str">
        <f>IF(ISNA(VLOOKUP($F290,Declarations!$B$6:$D$293,3,FALSE)),"",IF(VLOOKUP($F290,Declarations!$B$6:$D$293,3,FALSE)="","NOT DECLARED",VLOOKUP($F290,Declarations!$B$6:$D$293,3,FALSE)&amp;LEFT(VLOOKUP($F290,Declarations!$B$6:$E$293,4,FALSE))))</f>
        <v/>
      </c>
      <c r="F290" s="59"/>
      <c r="G290" s="129"/>
      <c r="H290" s="129"/>
      <c r="I290" s="122" t="str">
        <f>IF(ISNA(VLOOKUP(F290,Declarations!B$6:C$293,2,FALSE)),"",IF(VLOOKUP(F290,Declarations!B$6:C$293,2,FALSE)="","NOT DECLARED",VLOOKUP(F290,Declarations!B$6:C$293,2,FALSE)))</f>
        <v/>
      </c>
      <c r="J290" s="120">
        <f>IF(LOWER(LEFT(G290,1))="n",1,VLOOKUP(G290,ScoringTable!D$2:I$95,6))</f>
        <v>0</v>
      </c>
      <c r="K290" s="120" t="str" cm="1">
        <f t="array" ref="K290">IF(OR(E290="",G290=""),"",_xlfn.IFS(E290="U10B",_xlfn.XLOOKUP(G290,Data!$D$5:$L$5,Data!$D$1:$L$1,"",-1,1),E290="U12B",_xlfn.XLOOKUP(G290,Data!$D$12:$L$12,Data!$D$1:$L$1,"",-1,1),E290="U10G",_xlfn.XLOOKUP(G290,Data!$D$18:$L$18,Data!$D$1:$L$1,"",-1,1),E290="U12G",_xlfn.XLOOKUP(G290,Data!$D$25:$L$25,Data!$D$1:$L$1,"",-1,1)))</f>
        <v/>
      </c>
      <c r="L290" s="184" t="str" cm="1">
        <f t="array" ref="L290">IFERROR(_xlfn.IFNA(
                      _xlfn.IFS(
                      G290="", "",
                      AND(E290="U10B",G290&gt;=Data!$M$5), "U10 Boys record",
                      AND(E290="U12B",G290&gt;=Data!$M$12), "U12 Boys record",
                      AND(E290="U10G",G290&gt;=Data!$M$18), "U10 Girls record",
                      AND(E290="U12G",G290&gt;=Data!$M$25), "U12 Girls record"
                       ),""), "")</f>
        <v/>
      </c>
      <c r="M290" s="19" cm="1">
        <f t="array" ref="M290">_xlfn.IFS($G290="",0, AND(NOT(ISNUMBER($G290)),LOWER(LEFT($G290,1))&lt;&gt;"n"),"Not a valid distance",OR(LOWER(LEFT($G290,1))="n",$G290&lt;ScoringTable!$O$161),1,RIGHT($E290,1)="B",_xlfn.XLOOKUP($G290,ScoringTable!$O$2:$O$161,ScoringTable!$L$2:$L$161,,-1),TRUE,_xlfn.XLOOKUP($G290,ScoringTable!$U$2:$U$161,ScoringTable!$R$2:$R$161,,-1))</f>
        <v>0</v>
      </c>
    </row>
    <row r="291" spans="1:13" s="7" customFormat="1" ht="16" customHeight="1">
      <c r="A291" s="121" t="s">
        <v>81</v>
      </c>
      <c r="B291" s="122" t="str">
        <f>IF(ISNA(VLOOKUP($F291,Declarations!B$6:C$293,2,FALSE)),"",IF(VLOOKUP($F291,Declarations!B$6:C$293,2,FALSE)="","NOT DECLARED",IF(ISNA(_xlfn.TEXTBEFORE(VLOOKUP($F291,Declarations!B$6:C$293,2,FALSE)," ")),VLOOKUP($F291,Declarations!B$6:C$293,2,FALSE),_xlfn.TEXTBEFORE(VLOOKUP($F291,Declarations!B$6:C$293,2,FALSE)," "))))</f>
        <v/>
      </c>
      <c r="C291" s="122" t="str">
        <f>IF(ISNA(VLOOKUP($F291,Declarations!B$6:C$293,2,FALSE)),"",IF(VLOOKUP($F291,Declarations!B$6:C$293,2,FALSE)="","NOT DECLARED",IF(ISNA(_xlfn.TEXTAFTER(VLOOKUP($F291,Declarations!B$6:C$293,2,FALSE)," ")),VLOOKUP($F291,Declarations!B$6:C$293,2,FALSE),_xlfn.TEXTAFTER(VLOOKUP($F291,Declarations!B$6:C$293,2,FALSE)," "))))</f>
        <v/>
      </c>
      <c r="D291" s="122" t="str">
        <f>IF(ISNA(VLOOKUP($F291,Declarations!$B$6:$F$293,5,FALSE)),"",IF(VLOOKUP($F291,Declarations!$B$6:$F$293,5,FALSE)="","NOT DECLARED",VLOOKUP($F291,Declarations!$B$6:$F$293,5,FALSE)))</f>
        <v/>
      </c>
      <c r="E291" s="120" t="str">
        <f>IF(ISNA(VLOOKUP($F291,Declarations!$B$6:$D$293,3,FALSE)),"",IF(VLOOKUP($F291,Declarations!$B$6:$D$293,3,FALSE)="","NOT DECLARED",VLOOKUP($F291,Declarations!$B$6:$D$293,3,FALSE)&amp;LEFT(VLOOKUP($F291,Declarations!$B$6:$E$293,4,FALSE))))</f>
        <v/>
      </c>
      <c r="F291" s="59"/>
      <c r="G291" s="129"/>
      <c r="H291" s="129"/>
      <c r="I291" s="122" t="str">
        <f>IF(ISNA(VLOOKUP(F291,Declarations!B$6:C$293,2,FALSE)),"",IF(VLOOKUP(F291,Declarations!B$6:C$293,2,FALSE)="","NOT DECLARED",VLOOKUP(F291,Declarations!B$6:C$293,2,FALSE)))</f>
        <v/>
      </c>
      <c r="J291" s="120">
        <f>IF(LOWER(LEFT(G291,1))="n",1,VLOOKUP(G291,ScoringTable!D$2:I$95,6))</f>
        <v>0</v>
      </c>
      <c r="K291" s="120" t="str" cm="1">
        <f t="array" ref="K291">IF(OR(E291="",G291=""),"",_xlfn.IFS(E291="U10B",_xlfn.XLOOKUP(G291,Data!$D$5:$L$5,Data!$D$1:$L$1,"",-1,1),E291="U12B",_xlfn.XLOOKUP(G291,Data!$D$12:$L$12,Data!$D$1:$L$1,"",-1,1),E291="U10G",_xlfn.XLOOKUP(G291,Data!$D$18:$L$18,Data!$D$1:$L$1,"",-1,1),E291="U12G",_xlfn.XLOOKUP(G291,Data!$D$25:$L$25,Data!$D$1:$L$1,"",-1,1)))</f>
        <v/>
      </c>
      <c r="L291" s="184" t="str" cm="1">
        <f t="array" ref="L291">IFERROR(_xlfn.IFNA(
                      _xlfn.IFS(
                      G291="", "",
                      AND(E291="U10B",G291&gt;=Data!$M$5), "U10 Boys record",
                      AND(E291="U12B",G291&gt;=Data!$M$12), "U12 Boys record",
                      AND(E291="U10G",G291&gt;=Data!$M$18), "U10 Girls record",
                      AND(E291="U12G",G291&gt;=Data!$M$25), "U12 Girls record"
                       ),""), "")</f>
        <v/>
      </c>
      <c r="M291" s="19" cm="1">
        <f t="array" ref="M291">_xlfn.IFS($G291="",0, AND(NOT(ISNUMBER($G291)),LOWER(LEFT($G291,1))&lt;&gt;"n"),"Not a valid distance",OR(LOWER(LEFT($G291,1))="n",$G291&lt;ScoringTable!$O$161),1,RIGHT($E291,1)="B",_xlfn.XLOOKUP($G291,ScoringTable!$O$2:$O$161,ScoringTable!$L$2:$L$161,,-1),TRUE,_xlfn.XLOOKUP($G291,ScoringTable!$U$2:$U$161,ScoringTable!$R$2:$R$161,,-1))</f>
        <v>0</v>
      </c>
    </row>
    <row r="292" spans="1:13" s="7" customFormat="1" ht="16" customHeight="1">
      <c r="A292" s="121" t="s">
        <v>81</v>
      </c>
      <c r="B292" s="122" t="str">
        <f>IF(ISNA(VLOOKUP($F292,Declarations!B$6:C$293,2,FALSE)),"",IF(VLOOKUP($F292,Declarations!B$6:C$293,2,FALSE)="","NOT DECLARED",IF(ISNA(_xlfn.TEXTBEFORE(VLOOKUP($F292,Declarations!B$6:C$293,2,FALSE)," ")),VLOOKUP($F292,Declarations!B$6:C$293,2,FALSE),_xlfn.TEXTBEFORE(VLOOKUP($F292,Declarations!B$6:C$293,2,FALSE)," "))))</f>
        <v/>
      </c>
      <c r="C292" s="122" t="str">
        <f>IF(ISNA(VLOOKUP($F292,Declarations!B$6:C$293,2,FALSE)),"",IF(VLOOKUP($F292,Declarations!B$6:C$293,2,FALSE)="","NOT DECLARED",IF(ISNA(_xlfn.TEXTAFTER(VLOOKUP($F292,Declarations!B$6:C$293,2,FALSE)," ")),VLOOKUP($F292,Declarations!B$6:C$293,2,FALSE),_xlfn.TEXTAFTER(VLOOKUP($F292,Declarations!B$6:C$293,2,FALSE)," "))))</f>
        <v/>
      </c>
      <c r="D292" s="122" t="str">
        <f>IF(ISNA(VLOOKUP($F292,Declarations!$B$6:$F$293,5,FALSE)),"",IF(VLOOKUP($F292,Declarations!$B$6:$F$293,5,FALSE)="","NOT DECLARED",VLOOKUP($F292,Declarations!$B$6:$F$293,5,FALSE)))</f>
        <v/>
      </c>
      <c r="E292" s="120" t="str">
        <f>IF(ISNA(VLOOKUP($F292,Declarations!$B$6:$D$293,3,FALSE)),"",IF(VLOOKUP($F292,Declarations!$B$6:$D$293,3,FALSE)="","NOT DECLARED",VLOOKUP($F292,Declarations!$B$6:$D$293,3,FALSE)&amp;LEFT(VLOOKUP($F292,Declarations!$B$6:$E$293,4,FALSE))))</f>
        <v/>
      </c>
      <c r="F292" s="59"/>
      <c r="G292" s="129"/>
      <c r="H292" s="129"/>
      <c r="I292" s="122" t="str">
        <f>IF(ISNA(VLOOKUP(F292,Declarations!B$6:C$293,2,FALSE)),"",IF(VLOOKUP(F292,Declarations!B$6:C$293,2,FALSE)="","NOT DECLARED",VLOOKUP(F292,Declarations!B$6:C$293,2,FALSE)))</f>
        <v/>
      </c>
      <c r="J292" s="120">
        <f>IF(LOWER(LEFT(G292,1))="n",1,VLOOKUP(G292,ScoringTable!D$2:I$95,6))</f>
        <v>0</v>
      </c>
      <c r="K292" s="120" t="str" cm="1">
        <f t="array" ref="K292">IF(OR(E292="",G292=""),"",_xlfn.IFS(E292="U10B",_xlfn.XLOOKUP(G292,Data!$D$5:$L$5,Data!$D$1:$L$1,"",-1,1),E292="U12B",_xlfn.XLOOKUP(G292,Data!$D$12:$L$12,Data!$D$1:$L$1,"",-1,1),E292="U10G",_xlfn.XLOOKUP(G292,Data!$D$18:$L$18,Data!$D$1:$L$1,"",-1,1),E292="U12G",_xlfn.XLOOKUP(G292,Data!$D$25:$L$25,Data!$D$1:$L$1,"",-1,1)))</f>
        <v/>
      </c>
      <c r="L292" s="184" t="str" cm="1">
        <f t="array" ref="L292">IFERROR(_xlfn.IFNA(
                      _xlfn.IFS(
                      G292="", "",
                      AND(E292="U10B",G292&gt;=Data!$M$5), "U10 Boys record",
                      AND(E292="U12B",G292&gt;=Data!$M$12), "U12 Boys record",
                      AND(E292="U10G",G292&gt;=Data!$M$18), "U10 Girls record",
                      AND(E292="U12G",G292&gt;=Data!$M$25), "U12 Girls record"
                       ),""), "")</f>
        <v/>
      </c>
      <c r="M292" s="19" cm="1">
        <f t="array" ref="M292">_xlfn.IFS($G292="",0, AND(NOT(ISNUMBER($G292)),LOWER(LEFT($G292,1))&lt;&gt;"n"),"Not a valid distance",OR(LOWER(LEFT($G292,1))="n",$G292&lt;ScoringTable!$O$161),1,RIGHT($E292,1)="B",_xlfn.XLOOKUP($G292,ScoringTable!$O$2:$O$161,ScoringTable!$L$2:$L$161,,-1),TRUE,_xlfn.XLOOKUP($G292,ScoringTable!$U$2:$U$161,ScoringTable!$R$2:$R$161,,-1))</f>
        <v>0</v>
      </c>
    </row>
    <row r="293" spans="1:13" s="7" customFormat="1" ht="16" customHeight="1">
      <c r="A293" s="121" t="s">
        <v>81</v>
      </c>
      <c r="B293" s="122" t="str">
        <f>IF(ISNA(VLOOKUP($F293,Declarations!B$6:C$293,2,FALSE)),"",IF(VLOOKUP($F293,Declarations!B$6:C$293,2,FALSE)="","NOT DECLARED",IF(ISNA(_xlfn.TEXTBEFORE(VLOOKUP($F293,Declarations!B$6:C$293,2,FALSE)," ")),VLOOKUP($F293,Declarations!B$6:C$293,2,FALSE),_xlfn.TEXTBEFORE(VLOOKUP($F293,Declarations!B$6:C$293,2,FALSE)," "))))</f>
        <v/>
      </c>
      <c r="C293" s="122" t="str">
        <f>IF(ISNA(VLOOKUP($F293,Declarations!B$6:C$293,2,FALSE)),"",IF(VLOOKUP($F293,Declarations!B$6:C$293,2,FALSE)="","NOT DECLARED",IF(ISNA(_xlfn.TEXTAFTER(VLOOKUP($F293,Declarations!B$6:C$293,2,FALSE)," ")),VLOOKUP($F293,Declarations!B$6:C$293,2,FALSE),_xlfn.TEXTAFTER(VLOOKUP($F293,Declarations!B$6:C$293,2,FALSE)," "))))</f>
        <v/>
      </c>
      <c r="D293" s="122" t="str">
        <f>IF(ISNA(VLOOKUP($F293,Declarations!$B$6:$F$293,5,FALSE)),"",IF(VLOOKUP($F293,Declarations!$B$6:$F$293,5,FALSE)="","NOT DECLARED",VLOOKUP($F293,Declarations!$B$6:$F$293,5,FALSE)))</f>
        <v/>
      </c>
      <c r="E293" s="120" t="str">
        <f>IF(ISNA(VLOOKUP($F293,Declarations!$B$6:$D$293,3,FALSE)),"",IF(VLOOKUP($F293,Declarations!$B$6:$D$293,3,FALSE)="","NOT DECLARED",VLOOKUP($F293,Declarations!$B$6:$D$293,3,FALSE)&amp;LEFT(VLOOKUP($F293,Declarations!$B$6:$E$293,4,FALSE))))</f>
        <v/>
      </c>
      <c r="F293" s="59"/>
      <c r="G293" s="129"/>
      <c r="H293" s="129"/>
      <c r="I293" s="122" t="str">
        <f>IF(ISNA(VLOOKUP(F293,Declarations!B$6:C$293,2,FALSE)),"",IF(VLOOKUP(F293,Declarations!B$6:C$293,2,FALSE)="","NOT DECLARED",VLOOKUP(F293,Declarations!B$6:C$293,2,FALSE)))</f>
        <v/>
      </c>
      <c r="J293" s="120">
        <f>IF(LOWER(LEFT(G293,1))="n",1,VLOOKUP(G293,ScoringTable!D$2:I$95,6))</f>
        <v>0</v>
      </c>
      <c r="K293" s="120" t="str" cm="1">
        <f t="array" ref="K293">IF(OR(E293="",G293=""),"",_xlfn.IFS(E293="U10B",_xlfn.XLOOKUP(G293,Data!$D$5:$L$5,Data!$D$1:$L$1,"",-1,1),E293="U12B",_xlfn.XLOOKUP(G293,Data!$D$12:$L$12,Data!$D$1:$L$1,"",-1,1),E293="U10G",_xlfn.XLOOKUP(G293,Data!$D$18:$L$18,Data!$D$1:$L$1,"",-1,1),E293="U12G",_xlfn.XLOOKUP(G293,Data!$D$25:$L$25,Data!$D$1:$L$1,"",-1,1)))</f>
        <v/>
      </c>
      <c r="L293" s="184" t="str" cm="1">
        <f t="array" ref="L293">IFERROR(_xlfn.IFNA(
                      _xlfn.IFS(
                      G293="", "",
                      AND(E293="U10B",G293&gt;=Data!$M$5), "U10 Boys record",
                      AND(E293="U12B",G293&gt;=Data!$M$12), "U12 Boys record",
                      AND(E293="U10G",G293&gt;=Data!$M$18), "U10 Girls record",
                      AND(E293="U12G",G293&gt;=Data!$M$25), "U12 Girls record"
                       ),""), "")</f>
        <v/>
      </c>
      <c r="M293" s="19" cm="1">
        <f t="array" ref="M293">_xlfn.IFS($G293="",0, AND(NOT(ISNUMBER($G293)),LOWER(LEFT($G293,1))&lt;&gt;"n"),"Not a valid distance",OR(LOWER(LEFT($G293,1))="n",$G293&lt;ScoringTable!$O$161),1,RIGHT($E293,1)="B",_xlfn.XLOOKUP($G293,ScoringTable!$O$2:$O$161,ScoringTable!$L$2:$L$161,,-1),TRUE,_xlfn.XLOOKUP($G293,ScoringTable!$U$2:$U$161,ScoringTable!$R$2:$R$161,,-1))</f>
        <v>0</v>
      </c>
    </row>
  </sheetData>
  <sheetProtection sheet="1" objects="1" scenarios="1"/>
  <mergeCells count="6">
    <mergeCell ref="A1:D1"/>
    <mergeCell ref="F1:G1"/>
    <mergeCell ref="A2:D2"/>
    <mergeCell ref="F2:G2"/>
    <mergeCell ref="I1:K1"/>
    <mergeCell ref="I2:K2"/>
  </mergeCells>
  <phoneticPr fontId="5" type="noConversion"/>
  <conditionalFormatting sqref="F1:F1048576">
    <cfRule type="duplicateValues" dxfId="11" priority="2"/>
  </conditionalFormatting>
  <pageMargins left="0.75" right="0.75" top="1" bottom="1" header="0.5" footer="0.5"/>
  <pageSetup paperSize="9" scale="46" fitToHeight="5" orientation="portrait" horizontalDpi="0" verticalDpi="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FF6600"/>
  </sheetPr>
  <dimension ref="A1:M293"/>
  <sheetViews>
    <sheetView zoomScaleNormal="100" workbookViewId="0">
      <pane ySplit="5" topLeftCell="A6" activePane="bottomLeft" state="frozen"/>
      <selection activeCell="F147" sqref="F147"/>
      <selection pane="bottomLeft" activeCell="G14" sqref="G14"/>
    </sheetView>
  </sheetViews>
  <sheetFormatPr baseColWidth="10" defaultColWidth="10.6640625" defaultRowHeight="13"/>
  <cols>
    <col min="1" max="1" width="6.6640625" customWidth="1"/>
    <col min="2" max="2" width="11.6640625" bestFit="1" customWidth="1"/>
    <col min="3" max="3" width="12.83203125" bestFit="1" customWidth="1"/>
    <col min="4" max="4" width="18.1640625" bestFit="1" customWidth="1"/>
    <col min="5" max="5" width="10.83203125" bestFit="1" customWidth="1"/>
    <col min="6" max="6" width="20" style="4" customWidth="1"/>
    <col min="7" max="7" width="20" style="5" customWidth="1"/>
    <col min="8" max="8" width="8.1640625" style="4" customWidth="1"/>
    <col min="9" max="9" width="33.33203125" style="4" customWidth="1"/>
    <col min="10" max="11" width="16.6640625" style="4" customWidth="1"/>
    <col min="12" max="12" width="15.83203125" customWidth="1"/>
  </cols>
  <sheetData>
    <row r="1" spans="1:13" ht="40" customHeight="1">
      <c r="A1" s="519" t="str">
        <f>'Read Me First'!A1:F1</f>
        <v>Oxfordshire Track and Field League 2026</v>
      </c>
      <c r="B1" s="519"/>
      <c r="C1" s="519"/>
      <c r="D1" s="519"/>
      <c r="E1" s="76" t="s">
        <v>11</v>
      </c>
      <c r="F1" s="516" t="s">
        <v>13</v>
      </c>
      <c r="G1" s="516"/>
      <c r="H1" s="18"/>
      <c r="I1" s="516" t="s">
        <v>12</v>
      </c>
      <c r="J1" s="516"/>
      <c r="K1" s="516"/>
      <c r="L1" s="88"/>
      <c r="M1" s="88"/>
    </row>
    <row r="2" spans="1:13" ht="40" customHeight="1">
      <c r="A2" s="519" t="s">
        <v>89</v>
      </c>
      <c r="B2" s="519"/>
      <c r="C2" s="519"/>
      <c r="D2" s="519"/>
      <c r="E2" s="90">
        <f>'Read Me First'!C9</f>
        <v>2</v>
      </c>
      <c r="F2" s="517" t="str">
        <f>(VLOOKUP('Read Me First'!F4,'Read Me First'!A22:D24,4,FALSE))</f>
        <v>Banbury</v>
      </c>
      <c r="G2" s="518"/>
      <c r="H2" s="321"/>
      <c r="I2" s="520">
        <f>'Read Me First'!C10</f>
        <v>46250</v>
      </c>
      <c r="J2" s="520"/>
      <c r="K2" s="520"/>
      <c r="L2" s="89"/>
      <c r="M2" s="89"/>
    </row>
    <row r="3" spans="1:13" ht="16" customHeight="1">
      <c r="A3" s="56"/>
      <c r="B3" s="56"/>
      <c r="C3" s="56"/>
      <c r="D3" s="56"/>
      <c r="E3" s="92"/>
      <c r="F3" s="20"/>
      <c r="G3" s="20"/>
      <c r="H3" s="20"/>
      <c r="I3" s="93"/>
      <c r="J3" s="93"/>
      <c r="K3" s="93"/>
      <c r="L3" s="89"/>
      <c r="M3" s="89"/>
    </row>
    <row r="4" spans="1:13" s="3" customFormat="1" ht="26" customHeight="1">
      <c r="A4" s="36" t="s">
        <v>79</v>
      </c>
      <c r="B4" s="36" t="s">
        <v>77</v>
      </c>
      <c r="C4" s="36" t="s">
        <v>78</v>
      </c>
      <c r="D4" s="36" t="s">
        <v>19</v>
      </c>
      <c r="E4" s="36" t="s">
        <v>80</v>
      </c>
      <c r="F4" s="30" t="s">
        <v>8</v>
      </c>
      <c r="G4" s="31" t="s">
        <v>28</v>
      </c>
      <c r="H4" s="35"/>
      <c r="I4" s="32" t="s">
        <v>7</v>
      </c>
      <c r="J4" s="32" t="s">
        <v>1</v>
      </c>
      <c r="K4" s="36" t="s">
        <v>187</v>
      </c>
      <c r="M4" s="32" t="s">
        <v>164</v>
      </c>
    </row>
    <row r="5" spans="1:13" s="3" customFormat="1" ht="26" customHeight="1">
      <c r="A5" s="83" t="s">
        <v>82</v>
      </c>
      <c r="B5" s="84"/>
      <c r="C5" s="84"/>
      <c r="D5" s="84"/>
      <c r="E5" s="84"/>
      <c r="F5" s="33">
        <v>0</v>
      </c>
      <c r="G5" s="37" t="s">
        <v>40</v>
      </c>
      <c r="H5" s="38"/>
      <c r="I5" s="28">
        <v>0</v>
      </c>
      <c r="J5" s="29">
        <v>0</v>
      </c>
      <c r="K5" s="119"/>
    </row>
    <row r="6" spans="1:13" s="1" customFormat="1" ht="16" customHeight="1">
      <c r="A6" s="82" t="s">
        <v>27</v>
      </c>
      <c r="B6" s="81" t="str">
        <f>IF(ISNA(VLOOKUP($F6,Declarations!B$6:C$293,2,FALSE)),"",IF(VLOOKUP($F6,Declarations!B$6:C$293,2,FALSE)="","NOT DECLARED",IF(ISNA(_xlfn.TEXTBEFORE(VLOOKUP($F6,Declarations!B$6:C$293,2,FALSE)," ")),VLOOKUP($F6,Declarations!B$6:C$293,2,FALSE),_xlfn.TEXTBEFORE(VLOOKUP($F6,Declarations!B$6:C$293,2,FALSE)," "))))</f>
        <v/>
      </c>
      <c r="C6" s="81" t="str">
        <f>IF(ISNA(VLOOKUP($F6,Declarations!B$6:C$293,2,FALSE)),"",IF(VLOOKUP($F6,Declarations!B$6:C$293,2,FALSE)="","NOT DECLARED",IF(ISNA(_xlfn.TEXTAFTER(VLOOKUP($F6,Declarations!B$6:C$293,2,FALSE)," ")),VLOOKUP($F6,Declarations!B$6:C$293,2,FALSE),_xlfn.TEXTAFTER(VLOOKUP($F6,Declarations!B$6:C$293,2,FALSE)," "))))</f>
        <v/>
      </c>
      <c r="D6" s="81" t="str">
        <f>IF(ISNA(VLOOKUP($F6,Declarations!$B$6:$F$293,5,FALSE)),"",IF(VLOOKUP($F6,Declarations!$B$6:$F$293,5,FALSE)="","NOT DECLARED",VLOOKUP($F6,Declarations!$B$6:$F$293,5,FALSE)))</f>
        <v/>
      </c>
      <c r="E6" s="120" t="str">
        <f>IF(ISNA(VLOOKUP($F6,Declarations!$B$6:$D$293,3,FALSE)),"",IF(VLOOKUP($F6,Declarations!$B$6:$D$293,3,FALSE)="","NOT DECLARED",VLOOKUP($F6,Declarations!$B$6:$D$293,3,FALSE)&amp;LEFT(VLOOKUP($F6,Declarations!$B$6:$E$293,4,FALSE))))</f>
        <v/>
      </c>
      <c r="F6" s="21"/>
      <c r="G6" s="22"/>
      <c r="H6" s="322"/>
      <c r="I6" s="8" t="str">
        <f>IF(ISNA(VLOOKUP(F6,Declarations!B$6:C$293,2,FALSE)),"",IF(VLOOKUP(F6,Declarations!B$6:C$293,2,FALSE)="","NOT DECLARED",VLOOKUP(F6,Declarations!B$6:C$293,2,FALSE)))</f>
        <v/>
      </c>
      <c r="J6" s="2">
        <f>IF(LOWER(LEFT(G6,1))="n",1,VLOOKUP(G6,ScoringTable!E$2:I$95,5))</f>
        <v>0</v>
      </c>
      <c r="K6" s="120" t="str" cm="1">
        <f t="array" ref="K6">IF(OR(E6="",G6=""),"",_xlfn.IFS(E6="U10B",_xlfn.XLOOKUP(G6,Data!$D$4:$L$4,Data!$D$1:$L$1,"",-1,1),E6="U12B",_xlfn.XLOOKUP(G6,Data!$D$11:$L$11,Data!$D$1:$L$1,"",-1,1),E6="U10G",_xlfn.XLOOKUP(G6,Data!$D$17:$L$17,Data!$D$1:$L$1,"",-1,1),E6="U12G",_xlfn.XLOOKUP(G6,Data!$D$24:$L$24,Data!$D$1:$L$1,"",-1,1)))</f>
        <v/>
      </c>
      <c r="L6" s="184" t="str" cm="1">
        <f t="array" ref="L6">IFERROR(_xlfn.IFNA(
                      _xlfn.IFS(
                      F6="", "",
                      AND(E6="U10B",G6&gt;=Data!$M$4), "U10 Boys record",
                      AND(E6="U12B",G6&gt;=Data!$M$11), "U12 Boys record",
                      AND(E6="U10G",G6&gt;=Data!$M$17), "U10 Girls record",
                      AND(E6="U12G",G6&gt;=Data!$M$24), "U12 Girls record"
                       ),""), "")</f>
        <v/>
      </c>
      <c r="M6" s="19" cm="1">
        <f t="array" ref="M6">_xlfn.IFS($G6="",0,AND(NOT(ISNUMBER($G6)),LOWER(LEFT($G6,1))&lt;&gt;"n"),"Not a valid distance",OR(LOWER(LEFT($G6,1))="n",$G6&lt;ScoringTable!$P$161),1,RIGHT($E6,1)="B",_xlfn.XLOOKUP($G6,ScoringTable!$P$2:$P$161,ScoringTable!$L$2:$L$161,,-1),TRUE,_xlfn.XLOOKUP($G6,ScoringTable!$V$2:$V$161,ScoringTable!$R$2:$R$161,,-1))</f>
        <v>0</v>
      </c>
    </row>
    <row r="7" spans="1:13" s="1" customFormat="1" ht="16" customHeight="1">
      <c r="A7" s="82" t="s">
        <v>27</v>
      </c>
      <c r="B7" s="81" t="str">
        <f>IF(ISNA(VLOOKUP($F7,Declarations!B$6:C$293,2,FALSE)),"",IF(VLOOKUP($F7,Declarations!B$6:C$293,2,FALSE)="","NOT DECLARED",IF(ISNA(_xlfn.TEXTBEFORE(VLOOKUP($F7,Declarations!B$6:C$293,2,FALSE)," ")),VLOOKUP($F7,Declarations!B$6:C$293,2,FALSE),_xlfn.TEXTBEFORE(VLOOKUP($F7,Declarations!B$6:C$293,2,FALSE)," "))))</f>
        <v/>
      </c>
      <c r="C7" s="81" t="str">
        <f>IF(ISNA(VLOOKUP($F7,Declarations!B$6:C$293,2,FALSE)),"",IF(VLOOKUP($F7,Declarations!B$6:C$293,2,FALSE)="","NOT DECLARED",IF(ISNA(_xlfn.TEXTAFTER(VLOOKUP($F7,Declarations!B$6:C$293,2,FALSE)," ")),VLOOKUP($F7,Declarations!B$6:C$293,2,FALSE),_xlfn.TEXTAFTER(VLOOKUP($F7,Declarations!B$6:C$293,2,FALSE)," "))))</f>
        <v/>
      </c>
      <c r="D7" s="81" t="str">
        <f>IF(ISNA(VLOOKUP($F7,Declarations!$B$6:$F$293,5,FALSE)),"",IF(VLOOKUP($F7,Declarations!$B$6:$F$293,5,FALSE)="","NOT DECLARED",VLOOKUP($F7,Declarations!$B$6:$F$293,5,FALSE)))</f>
        <v/>
      </c>
      <c r="E7" s="120" t="str">
        <f>IF(ISNA(VLOOKUP($F7,Declarations!$B$6:$D$293,3,FALSE)),"",IF(VLOOKUP($F7,Declarations!$B$6:$D$293,3,FALSE)="","NOT DECLARED",VLOOKUP($F7,Declarations!$B$6:$D$293,3,FALSE)&amp;LEFT(VLOOKUP($F7,Declarations!$B$6:$E$293,4,FALSE))))</f>
        <v/>
      </c>
      <c r="F7" s="21"/>
      <c r="G7" s="22"/>
      <c r="H7" s="322"/>
      <c r="I7" s="8" t="str">
        <f>IF(ISNA(VLOOKUP(F7,Declarations!B$6:C$293,2,FALSE)),"",IF(VLOOKUP(F7,Declarations!B$6:C$293,2,FALSE)="","NOT DECLARED",VLOOKUP(F7,Declarations!B$6:C$293,2,FALSE)))</f>
        <v/>
      </c>
      <c r="J7" s="2">
        <f>IF(LOWER(LEFT(G7,1))="n",1,VLOOKUP(G7,ScoringTable!E$2:I$95,5))</f>
        <v>0</v>
      </c>
      <c r="K7" s="120" t="str" cm="1">
        <f t="array" ref="K7">IF(OR(E7="",G7=""),"",_xlfn.IFS(E7="U10B",_xlfn.XLOOKUP(G7,Data!$D$4:$L$4,Data!$D$1:$L$1,"",-1,1),E7="U12B",_xlfn.XLOOKUP(G7,Data!$D$11:$L$11,Data!$D$1:$L$1,"",-1,1),E7="U10G",_xlfn.XLOOKUP(G7,Data!$D$17:$L$17,Data!$D$1:$L$1,"",-1,1),E7="U12G",_xlfn.XLOOKUP(G7,Data!$D$24:$L$24,Data!$D$1:$L$1,"",-1,1)))</f>
        <v/>
      </c>
      <c r="L7" s="184" t="str" cm="1">
        <f t="array" ref="L7">IFERROR(_xlfn.IFNA(
                      _xlfn.IFS(
                      F7="", "",
                      AND(E7="U10B",G7&gt;=Data!$M$4), "U10 Boys record",
                      AND(E7="U12B",G7&gt;=Data!$M$11), "U12 Boys record",
                      AND(E7="U10G",G7&gt;=Data!$M$17), "U10 Girls record",
                      AND(E7="U12G",G7&gt;=Data!$M$24), "U12 Girls record"
                       ),""), "")</f>
        <v/>
      </c>
      <c r="M7" s="19" cm="1">
        <f t="array" ref="M7">_xlfn.IFS($G7="",0,AND(NOT(ISNUMBER($G7)),LOWER(LEFT($G7,1))&lt;&gt;"n"),"Not a valid distance",OR(LOWER(LEFT($G7,1))="n",$G7&lt;ScoringTable!$P$161),1,RIGHT($E7,1)="B",_xlfn.XLOOKUP($G7,ScoringTable!$P$2:$P$161,ScoringTable!$L$2:$L$161,,-1),TRUE,_xlfn.XLOOKUP($G7,ScoringTable!$V$2:$V$161,ScoringTable!$R$2:$R$161,,-1))</f>
        <v>0</v>
      </c>
    </row>
    <row r="8" spans="1:13" s="1" customFormat="1" ht="16" customHeight="1">
      <c r="A8" s="82" t="s">
        <v>27</v>
      </c>
      <c r="B8" s="81" t="str">
        <f>IF(ISNA(VLOOKUP($F8,Declarations!B$6:C$293,2,FALSE)),"",IF(VLOOKUP($F8,Declarations!B$6:C$293,2,FALSE)="","NOT DECLARED",IF(ISNA(_xlfn.TEXTBEFORE(VLOOKUP($F8,Declarations!B$6:C$293,2,FALSE)," ")),VLOOKUP($F8,Declarations!B$6:C$293,2,FALSE),_xlfn.TEXTBEFORE(VLOOKUP($F8,Declarations!B$6:C$293,2,FALSE)," "))))</f>
        <v/>
      </c>
      <c r="C8" s="81" t="str">
        <f>IF(ISNA(VLOOKUP($F8,Declarations!B$6:C$293,2,FALSE)),"",IF(VLOOKUP($F8,Declarations!B$6:C$293,2,FALSE)="","NOT DECLARED",IF(ISNA(_xlfn.TEXTAFTER(VLOOKUP($F8,Declarations!B$6:C$293,2,FALSE)," ")),VLOOKUP($F8,Declarations!B$6:C$293,2,FALSE),_xlfn.TEXTAFTER(VLOOKUP($F8,Declarations!B$6:C$293,2,FALSE)," "))))</f>
        <v/>
      </c>
      <c r="D8" s="81" t="str">
        <f>IF(ISNA(VLOOKUP($F8,Declarations!$B$6:$F$293,5,FALSE)),"",IF(VLOOKUP($F8,Declarations!$B$6:$F$293,5,FALSE)="","NOT DECLARED",VLOOKUP($F8,Declarations!$B$6:$F$293,5,FALSE)))</f>
        <v/>
      </c>
      <c r="E8" s="120" t="str">
        <f>IF(ISNA(VLOOKUP($F8,Declarations!$B$6:$D$293,3,FALSE)),"",IF(VLOOKUP($F8,Declarations!$B$6:$D$293,3,FALSE)="","NOT DECLARED",VLOOKUP($F8,Declarations!$B$6:$D$293,3,FALSE)&amp;LEFT(VLOOKUP($F8,Declarations!$B$6:$E$293,4,FALSE))))</f>
        <v/>
      </c>
      <c r="F8" s="21"/>
      <c r="G8" s="22"/>
      <c r="H8" s="322"/>
      <c r="I8" s="8" t="str">
        <f>IF(ISNA(VLOOKUP(F8,Declarations!B$6:C$293,2,FALSE)),"",IF(VLOOKUP(F8,Declarations!B$6:C$293,2,FALSE)="","NOT DECLARED",VLOOKUP(F8,Declarations!B$6:C$293,2,FALSE)))</f>
        <v/>
      </c>
      <c r="J8" s="2">
        <f>IF(LOWER(LEFT(G8,1))="n",1,VLOOKUP(G8,ScoringTable!E$2:I$95,5))</f>
        <v>0</v>
      </c>
      <c r="K8" s="120" t="str" cm="1">
        <f t="array" ref="K8">IF(OR(E8="",G8=""),"",_xlfn.IFS(E8="U10B",_xlfn.XLOOKUP(G8,Data!$D$4:$L$4,Data!$D$1:$L$1,"",-1,1),E8="U12B",_xlfn.XLOOKUP(G8,Data!$D$11:$L$11,Data!$D$1:$L$1,"",-1,1),E8="U10G",_xlfn.XLOOKUP(G8,Data!$D$17:$L$17,Data!$D$1:$L$1,"",-1,1),E8="U12G",_xlfn.XLOOKUP(G8,Data!$D$24:$L$24,Data!$D$1:$L$1,"",-1,1)))</f>
        <v/>
      </c>
      <c r="L8" s="184" t="str" cm="1">
        <f t="array" ref="L8">IFERROR(_xlfn.IFNA(
                      _xlfn.IFS(
                      F8="", "",
                      AND(E8="U10B",G8&gt;=Data!$M$4), "U10 Boys record",
                      AND(E8="U12B",G8&gt;=Data!$M$11), "U12 Boys record",
                      AND(E8="U10G",G8&gt;=Data!$M$17), "U10 Girls record",
                      AND(E8="U12G",G8&gt;=Data!$M$24), "U12 Girls record"
                       ),""), "")</f>
        <v/>
      </c>
      <c r="M8" s="19" cm="1">
        <f t="array" ref="M8">_xlfn.IFS($G8="",0,AND(NOT(ISNUMBER($G8)),LOWER(LEFT($G8,1))&lt;&gt;"n"),"Not a valid distance",OR(LOWER(LEFT($G8,1))="n",$G8&lt;ScoringTable!$P$161),1,RIGHT($E8,1)="B",_xlfn.XLOOKUP($G8,ScoringTable!$P$2:$P$161,ScoringTable!$L$2:$L$161,,-1),TRUE,_xlfn.XLOOKUP($G8,ScoringTable!$V$2:$V$161,ScoringTable!$R$2:$R$161,,-1))</f>
        <v>0</v>
      </c>
    </row>
    <row r="9" spans="1:13" ht="16" customHeight="1">
      <c r="A9" s="82" t="s">
        <v>27</v>
      </c>
      <c r="B9" s="81" t="str">
        <f>IF(ISNA(VLOOKUP($F9,Declarations!B$6:C$293,2,FALSE)),"",IF(VLOOKUP($F9,Declarations!B$6:C$293,2,FALSE)="","NOT DECLARED",IF(ISNA(_xlfn.TEXTBEFORE(VLOOKUP($F9,Declarations!B$6:C$293,2,FALSE)," ")),VLOOKUP($F9,Declarations!B$6:C$293,2,FALSE),_xlfn.TEXTBEFORE(VLOOKUP($F9,Declarations!B$6:C$293,2,FALSE)," "))))</f>
        <v/>
      </c>
      <c r="C9" s="81" t="str">
        <f>IF(ISNA(VLOOKUP($F9,Declarations!B$6:C$293,2,FALSE)),"",IF(VLOOKUP($F9,Declarations!B$6:C$293,2,FALSE)="","NOT DECLARED",IF(ISNA(_xlfn.TEXTAFTER(VLOOKUP($F9,Declarations!B$6:C$293,2,FALSE)," ")),VLOOKUP($F9,Declarations!B$6:C$293,2,FALSE),_xlfn.TEXTAFTER(VLOOKUP($F9,Declarations!B$6:C$293,2,FALSE)," "))))</f>
        <v/>
      </c>
      <c r="D9" s="81" t="str">
        <f>IF(ISNA(VLOOKUP($F9,Declarations!$B$6:$F$293,5,FALSE)),"",IF(VLOOKUP($F9,Declarations!$B$6:$F$293,5,FALSE)="","NOT DECLARED",VLOOKUP($F9,Declarations!$B$6:$F$293,5,FALSE)))</f>
        <v/>
      </c>
      <c r="E9" s="120" t="str">
        <f>IF(ISNA(VLOOKUP($F9,Declarations!$B$6:$D$293,3,FALSE)),"",IF(VLOOKUP($F9,Declarations!$B$6:$D$293,3,FALSE)="","NOT DECLARED",VLOOKUP($F9,Declarations!$B$6:$D$293,3,FALSE)&amp;LEFT(VLOOKUP($F9,Declarations!$B$6:$E$293,4,FALSE))))</f>
        <v/>
      </c>
      <c r="F9" s="21"/>
      <c r="G9" s="22"/>
      <c r="H9" s="322"/>
      <c r="I9" s="8" t="str">
        <f>IF(ISNA(VLOOKUP(F9,Declarations!B$6:C$293,2,FALSE)),"",IF(VLOOKUP(F9,Declarations!B$6:C$293,2,FALSE)="","NOT DECLARED",VLOOKUP(F9,Declarations!B$6:C$293,2,FALSE)))</f>
        <v/>
      </c>
      <c r="J9" s="2">
        <f>IF(LOWER(LEFT(G9,1))="n",1,VLOOKUP(G9,ScoringTable!E$2:I$95,5))</f>
        <v>0</v>
      </c>
      <c r="K9" s="120" t="str" cm="1">
        <f t="array" ref="K9">IF(OR(E9="",G9=""),"",_xlfn.IFS(E9="U10B",_xlfn.XLOOKUP(G9,Data!$D$4:$L$4,Data!$D$1:$L$1,"",-1,1),E9="U12B",_xlfn.XLOOKUP(G9,Data!$D$11:$L$11,Data!$D$1:$L$1,"",-1,1),E9="U10G",_xlfn.XLOOKUP(G9,Data!$D$17:$L$17,Data!$D$1:$L$1,"",-1,1),E9="U12G",_xlfn.XLOOKUP(G9,Data!$D$24:$L$24,Data!$D$1:$L$1,"",-1,1)))</f>
        <v/>
      </c>
      <c r="L9" s="184" t="str" cm="1">
        <f t="array" ref="L9">IFERROR(_xlfn.IFNA(
                      _xlfn.IFS(
                      F9="", "",
                      AND(E9="U10B",G9&gt;=Data!$M$4), "U10 Boys record",
                      AND(E9="U12B",G9&gt;=Data!$M$11), "U12 Boys record",
                      AND(E9="U10G",G9&gt;=Data!$M$17), "U10 Girls record",
                      AND(E9="U12G",G9&gt;=Data!$M$24), "U12 Girls record"
                       ),""), "")</f>
        <v/>
      </c>
      <c r="M9" s="19" cm="1">
        <f t="array" ref="M9">_xlfn.IFS($G9="",0,AND(NOT(ISNUMBER($G9)),LOWER(LEFT($G9,1))&lt;&gt;"n"),"Not a valid distance",OR(LOWER(LEFT($G9,1))="n",$G9&lt;ScoringTable!$P$161),1,RIGHT($E9,1)="B",_xlfn.XLOOKUP($G9,ScoringTable!$P$2:$P$161,ScoringTable!$L$2:$L$161,,-1),TRUE,_xlfn.XLOOKUP($G9,ScoringTable!$V$2:$V$161,ScoringTable!$R$2:$R$161,,-1))</f>
        <v>0</v>
      </c>
    </row>
    <row r="10" spans="1:13" ht="16" customHeight="1">
      <c r="A10" s="82" t="s">
        <v>27</v>
      </c>
      <c r="B10" s="81" t="str">
        <f>IF(ISNA(VLOOKUP($F10,Declarations!B$6:C$293,2,FALSE)),"",IF(VLOOKUP($F10,Declarations!B$6:C$293,2,FALSE)="","NOT DECLARED",IF(ISNA(_xlfn.TEXTBEFORE(VLOOKUP($F10,Declarations!B$6:C$293,2,FALSE)," ")),VLOOKUP($F10,Declarations!B$6:C$293,2,FALSE),_xlfn.TEXTBEFORE(VLOOKUP($F10,Declarations!B$6:C$293,2,FALSE)," "))))</f>
        <v/>
      </c>
      <c r="C10" s="81" t="str">
        <f>IF(ISNA(VLOOKUP($F10,Declarations!B$6:C$293,2,FALSE)),"",IF(VLOOKUP($F10,Declarations!B$6:C$293,2,FALSE)="","NOT DECLARED",IF(ISNA(_xlfn.TEXTAFTER(VLOOKUP($F10,Declarations!B$6:C$293,2,FALSE)," ")),VLOOKUP($F10,Declarations!B$6:C$293,2,FALSE),_xlfn.TEXTAFTER(VLOOKUP($F10,Declarations!B$6:C$293,2,FALSE)," "))))</f>
        <v/>
      </c>
      <c r="D10" s="81" t="str">
        <f>IF(ISNA(VLOOKUP($F10,Declarations!$B$6:$F$293,5,FALSE)),"",IF(VLOOKUP($F10,Declarations!$B$6:$F$293,5,FALSE)="","NOT DECLARED",VLOOKUP($F10,Declarations!$B$6:$F$293,5,FALSE)))</f>
        <v/>
      </c>
      <c r="E10" s="120" t="str">
        <f>IF(ISNA(VLOOKUP($F10,Declarations!$B$6:$D$293,3,FALSE)),"",IF(VLOOKUP($F10,Declarations!$B$6:$D$293,3,FALSE)="","NOT DECLARED",VLOOKUP($F10,Declarations!$B$6:$D$293,3,FALSE)&amp;LEFT(VLOOKUP($F10,Declarations!$B$6:$E$293,4,FALSE))))</f>
        <v/>
      </c>
      <c r="F10" s="21"/>
      <c r="G10" s="22"/>
      <c r="H10" s="322"/>
      <c r="I10" s="8" t="str">
        <f>IF(ISNA(VLOOKUP(F10,Declarations!B$6:C$293,2,FALSE)),"",IF(VLOOKUP(F10,Declarations!B$6:C$293,2,FALSE)="","NOT DECLARED",VLOOKUP(F10,Declarations!B$6:C$293,2,FALSE)))</f>
        <v/>
      </c>
      <c r="J10" s="2">
        <f>IF(LOWER(LEFT(G10,1))="n",1,VLOOKUP(G10,ScoringTable!E$2:I$95,5))</f>
        <v>0</v>
      </c>
      <c r="K10" s="120" t="str" cm="1">
        <f t="array" ref="K10">IF(OR(E10="",G10=""),"",_xlfn.IFS(E10="U10B",_xlfn.XLOOKUP(G10,Data!$D$4:$L$4,Data!$D$1:$L$1,"",-1,1),E10="U12B",_xlfn.XLOOKUP(G10,Data!$D$11:$L$11,Data!$D$1:$L$1,"",-1,1),E10="U10G",_xlfn.XLOOKUP(G10,Data!$D$17:$L$17,Data!$D$1:$L$1,"",-1,1),E10="U12G",_xlfn.XLOOKUP(G10,Data!$D$24:$L$24,Data!$D$1:$L$1,"",-1,1)))</f>
        <v/>
      </c>
      <c r="L10" s="184" t="str" cm="1">
        <f t="array" ref="L10">IFERROR(_xlfn.IFNA(
                      _xlfn.IFS(
                      F10="", "",
                      AND(E10="U10B",G10&gt;=Data!$M$4), "U10 Boys record",
                      AND(E10="U12B",G10&gt;=Data!$M$11), "U12 Boys record",
                      AND(E10="U10G",G10&gt;=Data!$M$17), "U10 Girls record",
                      AND(E10="U12G",G10&gt;=Data!$M$24), "U12 Girls record"
                       ),""), "")</f>
        <v/>
      </c>
      <c r="M10" s="19" cm="1">
        <f t="array" ref="M10">_xlfn.IFS($G10="",0,AND(NOT(ISNUMBER($G10)),LOWER(LEFT($G10,1))&lt;&gt;"n"),"Not a valid distance",OR(LOWER(LEFT($G10,1))="n",$G10&lt;ScoringTable!$P$161),1,RIGHT($E10,1)="B",_xlfn.XLOOKUP($G10,ScoringTable!$P$2:$P$161,ScoringTable!$L$2:$L$161,,-1),TRUE,_xlfn.XLOOKUP($G10,ScoringTable!$V$2:$V$161,ScoringTable!$R$2:$R$161,,-1))</f>
        <v>0</v>
      </c>
    </row>
    <row r="11" spans="1:13" ht="16" customHeight="1">
      <c r="A11" s="82" t="s">
        <v>27</v>
      </c>
      <c r="B11" s="81" t="str">
        <f>IF(ISNA(VLOOKUP($F11,Declarations!B$6:C$293,2,FALSE)),"",IF(VLOOKUP($F11,Declarations!B$6:C$293,2,FALSE)="","NOT DECLARED",IF(ISNA(_xlfn.TEXTBEFORE(VLOOKUP($F11,Declarations!B$6:C$293,2,FALSE)," ")),VLOOKUP($F11,Declarations!B$6:C$293,2,FALSE),_xlfn.TEXTBEFORE(VLOOKUP($F11,Declarations!B$6:C$293,2,FALSE)," "))))</f>
        <v/>
      </c>
      <c r="C11" s="81" t="str">
        <f>IF(ISNA(VLOOKUP($F11,Declarations!B$6:C$293,2,FALSE)),"",IF(VLOOKUP($F11,Declarations!B$6:C$293,2,FALSE)="","NOT DECLARED",IF(ISNA(_xlfn.TEXTAFTER(VLOOKUP($F11,Declarations!B$6:C$293,2,FALSE)," ")),VLOOKUP($F11,Declarations!B$6:C$293,2,FALSE),_xlfn.TEXTAFTER(VLOOKUP($F11,Declarations!B$6:C$293,2,FALSE)," "))))</f>
        <v/>
      </c>
      <c r="D11" s="81" t="str">
        <f>IF(ISNA(VLOOKUP($F11,Declarations!$B$6:$F$293,5,FALSE)),"",IF(VLOOKUP($F11,Declarations!$B$6:$F$293,5,FALSE)="","NOT DECLARED",VLOOKUP($F11,Declarations!$B$6:$F$293,5,FALSE)))</f>
        <v/>
      </c>
      <c r="E11" s="120" t="str">
        <f>IF(ISNA(VLOOKUP($F11,Declarations!$B$6:$D$293,3,FALSE)),"",IF(VLOOKUP($F11,Declarations!$B$6:$D$293,3,FALSE)="","NOT DECLARED",VLOOKUP($F11,Declarations!$B$6:$D$293,3,FALSE)&amp;LEFT(VLOOKUP($F11,Declarations!$B$6:$E$293,4,FALSE))))</f>
        <v/>
      </c>
      <c r="F11" s="21"/>
      <c r="G11" s="22"/>
      <c r="H11" s="322"/>
      <c r="I11" s="8" t="str">
        <f>IF(ISNA(VLOOKUP(F11,Declarations!B$6:C$293,2,FALSE)),"",IF(VLOOKUP(F11,Declarations!B$6:C$293,2,FALSE)="","NOT DECLARED",VLOOKUP(F11,Declarations!B$6:C$293,2,FALSE)))</f>
        <v/>
      </c>
      <c r="J11" s="2">
        <f>IF(LOWER(LEFT(G11,1))="n",1,VLOOKUP(G11,ScoringTable!E$2:I$95,5))</f>
        <v>0</v>
      </c>
      <c r="K11" s="120" t="str" cm="1">
        <f t="array" ref="K11">IF(OR(E11="",G11=""),"",_xlfn.IFS(E11="U10B",_xlfn.XLOOKUP(G11,Data!$D$4:$L$4,Data!$D$1:$L$1,"",-1,1),E11="U12B",_xlfn.XLOOKUP(G11,Data!$D$11:$L$11,Data!$D$1:$L$1,"",-1,1),E11="U10G",_xlfn.XLOOKUP(G11,Data!$D$17:$L$17,Data!$D$1:$L$1,"",-1,1),E11="U12G",_xlfn.XLOOKUP(G11,Data!$D$24:$L$24,Data!$D$1:$L$1,"",-1,1)))</f>
        <v/>
      </c>
      <c r="L11" s="184" t="str" cm="1">
        <f t="array" ref="L11">IFERROR(_xlfn.IFNA(
                      _xlfn.IFS(
                      F11="", "",
                      AND(E11="U10B",G11&gt;=Data!$M$4), "U10 Boys record",
                      AND(E11="U12B",G11&gt;=Data!$M$11), "U12 Boys record",
                      AND(E11="U10G",G11&gt;=Data!$M$17), "U10 Girls record",
                      AND(E11="U12G",G11&gt;=Data!$M$24), "U12 Girls record"
                       ),""), "")</f>
        <v/>
      </c>
      <c r="M11" s="19" cm="1">
        <f t="array" ref="M11">_xlfn.IFS($G11="",0,AND(NOT(ISNUMBER($G11)),LOWER(LEFT($G11,1))&lt;&gt;"n"),"Not a valid distance",OR(LOWER(LEFT($G11,1))="n",$G11&lt;ScoringTable!$P$161),1,RIGHT($E11,1)="B",_xlfn.XLOOKUP($G11,ScoringTable!$P$2:$P$161,ScoringTable!$L$2:$L$161,,-1),TRUE,_xlfn.XLOOKUP($G11,ScoringTable!$V$2:$V$161,ScoringTable!$R$2:$R$161,,-1))</f>
        <v>0</v>
      </c>
    </row>
    <row r="12" spans="1:13" ht="16" customHeight="1">
      <c r="A12" s="82" t="s">
        <v>27</v>
      </c>
      <c r="B12" s="81" t="str">
        <f>IF(ISNA(VLOOKUP($F12,Declarations!B$6:C$293,2,FALSE)),"",IF(VLOOKUP($F12,Declarations!B$6:C$293,2,FALSE)="","NOT DECLARED",IF(ISNA(_xlfn.TEXTBEFORE(VLOOKUP($F12,Declarations!B$6:C$293,2,FALSE)," ")),VLOOKUP($F12,Declarations!B$6:C$293,2,FALSE),_xlfn.TEXTBEFORE(VLOOKUP($F12,Declarations!B$6:C$293,2,FALSE)," "))))</f>
        <v/>
      </c>
      <c r="C12" s="81" t="str">
        <f>IF(ISNA(VLOOKUP($F12,Declarations!B$6:C$293,2,FALSE)),"",IF(VLOOKUP($F12,Declarations!B$6:C$293,2,FALSE)="","NOT DECLARED",IF(ISNA(_xlfn.TEXTAFTER(VLOOKUP($F12,Declarations!B$6:C$293,2,FALSE)," ")),VLOOKUP($F12,Declarations!B$6:C$293,2,FALSE),_xlfn.TEXTAFTER(VLOOKUP($F12,Declarations!B$6:C$293,2,FALSE)," "))))</f>
        <v/>
      </c>
      <c r="D12" s="81" t="str">
        <f>IF(ISNA(VLOOKUP($F12,Declarations!$B$6:$F$293,5,FALSE)),"",IF(VLOOKUP($F12,Declarations!$B$6:$F$293,5,FALSE)="","NOT DECLARED",VLOOKUP($F12,Declarations!$B$6:$F$293,5,FALSE)))</f>
        <v/>
      </c>
      <c r="E12" s="120" t="str">
        <f>IF(ISNA(VLOOKUP($F12,Declarations!$B$6:$D$293,3,FALSE)),"",IF(VLOOKUP($F12,Declarations!$B$6:$D$293,3,FALSE)="","NOT DECLARED",VLOOKUP($F12,Declarations!$B$6:$D$293,3,FALSE)&amp;LEFT(VLOOKUP($F12,Declarations!$B$6:$E$293,4,FALSE))))</f>
        <v/>
      </c>
      <c r="F12" s="21"/>
      <c r="G12" s="22"/>
      <c r="H12" s="322"/>
      <c r="I12" s="8" t="str">
        <f>IF(ISNA(VLOOKUP(F12,Declarations!B$6:C$293,2,FALSE)),"",IF(VLOOKUP(F12,Declarations!B$6:C$293,2,FALSE)="","NOT DECLARED",VLOOKUP(F12,Declarations!B$6:C$293,2,FALSE)))</f>
        <v/>
      </c>
      <c r="J12" s="2">
        <f>IF(LOWER(LEFT(G12,1))="n",1,VLOOKUP(G12,ScoringTable!E$2:I$95,5))</f>
        <v>0</v>
      </c>
      <c r="K12" s="120" t="str" cm="1">
        <f t="array" ref="K12">IF(OR(E12="",G12=""),"",_xlfn.IFS(E12="U10B",_xlfn.XLOOKUP(G12,Data!$D$4:$L$4,Data!$D$1:$L$1,"",-1,1),E12="U12B",_xlfn.XLOOKUP(G12,Data!$D$11:$L$11,Data!$D$1:$L$1,"",-1,1),E12="U10G",_xlfn.XLOOKUP(G12,Data!$D$17:$L$17,Data!$D$1:$L$1,"",-1,1),E12="U12G",_xlfn.XLOOKUP(G12,Data!$D$24:$L$24,Data!$D$1:$L$1,"",-1,1)))</f>
        <v/>
      </c>
      <c r="L12" s="184" t="str" cm="1">
        <f t="array" ref="L12">IFERROR(_xlfn.IFNA(
                      _xlfn.IFS(
                      F12="", "",
                      AND(E12="U10B",G12&gt;=Data!$M$4), "U10 Boys record",
                      AND(E12="U12B",G12&gt;=Data!$M$11), "U12 Boys record",
                      AND(E12="U10G",G12&gt;=Data!$M$17), "U10 Girls record",
                      AND(E12="U12G",G12&gt;=Data!$M$24), "U12 Girls record"
                       ),""), "")</f>
        <v/>
      </c>
      <c r="M12" s="19" cm="1">
        <f t="array" ref="M12">_xlfn.IFS($G12="",0,AND(NOT(ISNUMBER($G12)),LOWER(LEFT($G12,1))&lt;&gt;"n"),"Not a valid distance",OR(LOWER(LEFT($G12,1))="n",$G12&lt;ScoringTable!$P$161),1,RIGHT($E12,1)="B",_xlfn.XLOOKUP($G12,ScoringTable!$P$2:$P$161,ScoringTable!$L$2:$L$161,,-1),TRUE,_xlfn.XLOOKUP($G12,ScoringTable!$V$2:$V$161,ScoringTable!$R$2:$R$161,,-1))</f>
        <v>0</v>
      </c>
    </row>
    <row r="13" spans="1:13" ht="16" customHeight="1">
      <c r="A13" s="82" t="s">
        <v>27</v>
      </c>
      <c r="B13" s="81" t="str">
        <f>IF(ISNA(VLOOKUP($F13,Declarations!B$6:C$293,2,FALSE)),"",IF(VLOOKUP($F13,Declarations!B$6:C$293,2,FALSE)="","NOT DECLARED",IF(ISNA(_xlfn.TEXTBEFORE(VLOOKUP($F13,Declarations!B$6:C$293,2,FALSE)," ")),VLOOKUP($F13,Declarations!B$6:C$293,2,FALSE),_xlfn.TEXTBEFORE(VLOOKUP($F13,Declarations!B$6:C$293,2,FALSE)," "))))</f>
        <v/>
      </c>
      <c r="C13" s="81" t="str">
        <f>IF(ISNA(VLOOKUP($F13,Declarations!B$6:C$293,2,FALSE)),"",IF(VLOOKUP($F13,Declarations!B$6:C$293,2,FALSE)="","NOT DECLARED",IF(ISNA(_xlfn.TEXTAFTER(VLOOKUP($F13,Declarations!B$6:C$293,2,FALSE)," ")),VLOOKUP($F13,Declarations!B$6:C$293,2,FALSE),_xlfn.TEXTAFTER(VLOOKUP($F13,Declarations!B$6:C$293,2,FALSE)," "))))</f>
        <v/>
      </c>
      <c r="D13" s="81" t="str">
        <f>IF(ISNA(VLOOKUP($F13,Declarations!$B$6:$F$293,5,FALSE)),"",IF(VLOOKUP($F13,Declarations!$B$6:$F$293,5,FALSE)="","NOT DECLARED",VLOOKUP($F13,Declarations!$B$6:$F$293,5,FALSE)))</f>
        <v/>
      </c>
      <c r="E13" s="120" t="str">
        <f>IF(ISNA(VLOOKUP($F13,Declarations!$B$6:$D$293,3,FALSE)),"",IF(VLOOKUP($F13,Declarations!$B$6:$D$293,3,FALSE)="","NOT DECLARED",VLOOKUP($F13,Declarations!$B$6:$D$293,3,FALSE)&amp;LEFT(VLOOKUP($F13,Declarations!$B$6:$E$293,4,FALSE))))</f>
        <v/>
      </c>
      <c r="F13" s="21"/>
      <c r="G13" s="22"/>
      <c r="H13" s="322"/>
      <c r="I13" s="8" t="str">
        <f>IF(ISNA(VLOOKUP(F13,Declarations!B$6:C$293,2,FALSE)),"",IF(VLOOKUP(F13,Declarations!B$6:C$293,2,FALSE)="","NOT DECLARED",VLOOKUP(F13,Declarations!B$6:C$293,2,FALSE)))</f>
        <v/>
      </c>
      <c r="J13" s="2">
        <f>IF(LOWER(LEFT(G13,1))="n",1,VLOOKUP(G13,ScoringTable!E$2:I$95,5))</f>
        <v>0</v>
      </c>
      <c r="K13" s="120" t="str" cm="1">
        <f t="array" ref="K13">IF(OR(E13="",G13=""),"",_xlfn.IFS(E13="U10B",_xlfn.XLOOKUP(G13,Data!$D$4:$L$4,Data!$D$1:$L$1,"",-1,1),E13="U12B",_xlfn.XLOOKUP(G13,Data!$D$11:$L$11,Data!$D$1:$L$1,"",-1,1),E13="U10G",_xlfn.XLOOKUP(G13,Data!$D$17:$L$17,Data!$D$1:$L$1,"",-1,1),E13="U12G",_xlfn.XLOOKUP(G13,Data!$D$24:$L$24,Data!$D$1:$L$1,"",-1,1)))</f>
        <v/>
      </c>
      <c r="L13" s="184" t="str" cm="1">
        <f t="array" ref="L13">IFERROR(_xlfn.IFNA(
                      _xlfn.IFS(
                      F13="", "",
                      AND(E13="U10B",G13&gt;=Data!$M$4), "U10 Boys record",
                      AND(E13="U12B",G13&gt;=Data!$M$11), "U12 Boys record",
                      AND(E13="U10G",G13&gt;=Data!$M$17), "U10 Girls record",
                      AND(E13="U12G",G13&gt;=Data!$M$24), "U12 Girls record"
                       ),""), "")</f>
        <v/>
      </c>
      <c r="M13" s="19" cm="1">
        <f t="array" ref="M13">_xlfn.IFS($G13="",0,AND(NOT(ISNUMBER($G13)),LOWER(LEFT($G13,1))&lt;&gt;"n"),"Not a valid distance",OR(LOWER(LEFT($G13,1))="n",$G13&lt;ScoringTable!$P$161),1,RIGHT($E13,1)="B",_xlfn.XLOOKUP($G13,ScoringTable!$P$2:$P$161,ScoringTable!$L$2:$L$161,,-1),TRUE,_xlfn.XLOOKUP($G13,ScoringTable!$V$2:$V$161,ScoringTable!$R$2:$R$161,,-1))</f>
        <v>0</v>
      </c>
    </row>
    <row r="14" spans="1:13" ht="16" customHeight="1">
      <c r="A14" s="82" t="s">
        <v>27</v>
      </c>
      <c r="B14" s="81" t="str">
        <f>IF(ISNA(VLOOKUP($F14,Declarations!B$6:C$293,2,FALSE)),"",IF(VLOOKUP($F14,Declarations!B$6:C$293,2,FALSE)="","NOT DECLARED",IF(ISNA(_xlfn.TEXTBEFORE(VLOOKUP($F14,Declarations!B$6:C$293,2,FALSE)," ")),VLOOKUP($F14,Declarations!B$6:C$293,2,FALSE),_xlfn.TEXTBEFORE(VLOOKUP($F14,Declarations!B$6:C$293,2,FALSE)," "))))</f>
        <v/>
      </c>
      <c r="C14" s="81" t="str">
        <f>IF(ISNA(VLOOKUP($F14,Declarations!B$6:C$293,2,FALSE)),"",IF(VLOOKUP($F14,Declarations!B$6:C$293,2,FALSE)="","NOT DECLARED",IF(ISNA(_xlfn.TEXTAFTER(VLOOKUP($F14,Declarations!B$6:C$293,2,FALSE)," ")),VLOOKUP($F14,Declarations!B$6:C$293,2,FALSE),_xlfn.TEXTAFTER(VLOOKUP($F14,Declarations!B$6:C$293,2,FALSE)," "))))</f>
        <v/>
      </c>
      <c r="D14" s="81" t="str">
        <f>IF(ISNA(VLOOKUP($F14,Declarations!$B$6:$F$293,5,FALSE)),"",IF(VLOOKUP($F14,Declarations!$B$6:$F$293,5,FALSE)="","NOT DECLARED",VLOOKUP($F14,Declarations!$B$6:$F$293,5,FALSE)))</f>
        <v/>
      </c>
      <c r="E14" s="120" t="str">
        <f>IF(ISNA(VLOOKUP($F14,Declarations!$B$6:$D$293,3,FALSE)),"",IF(VLOOKUP($F14,Declarations!$B$6:$D$293,3,FALSE)="","NOT DECLARED",VLOOKUP($F14,Declarations!$B$6:$D$293,3,FALSE)&amp;LEFT(VLOOKUP($F14,Declarations!$B$6:$E$293,4,FALSE))))</f>
        <v/>
      </c>
      <c r="F14" s="21"/>
      <c r="G14" s="22"/>
      <c r="H14" s="322"/>
      <c r="I14" s="8" t="str">
        <f>IF(ISNA(VLOOKUP(F14,Declarations!B$6:C$293,2,FALSE)),"",IF(VLOOKUP(F14,Declarations!B$6:C$293,2,FALSE)="","NOT DECLARED",VLOOKUP(F14,Declarations!B$6:C$293,2,FALSE)))</f>
        <v/>
      </c>
      <c r="J14" s="2">
        <f>IF(LOWER(LEFT(G14,1))="n",1,VLOOKUP(G14,ScoringTable!E$2:I$95,5))</f>
        <v>0</v>
      </c>
      <c r="K14" s="120" t="str" cm="1">
        <f t="array" ref="K14">IF(OR(E14="",G14=""),"",_xlfn.IFS(E14="U10B",_xlfn.XLOOKUP(G14,Data!$D$4:$L$4,Data!$D$1:$L$1,"",-1,1),E14="U12B",_xlfn.XLOOKUP(G14,Data!$D$11:$L$11,Data!$D$1:$L$1,"",-1,1),E14="U10G",_xlfn.XLOOKUP(G14,Data!$D$17:$L$17,Data!$D$1:$L$1,"",-1,1),E14="U12G",_xlfn.XLOOKUP(G14,Data!$D$24:$L$24,Data!$D$1:$L$1,"",-1,1)))</f>
        <v/>
      </c>
      <c r="L14" s="184" t="str" cm="1">
        <f t="array" ref="L14">IFERROR(_xlfn.IFNA(
                      _xlfn.IFS(
                      F14="", "",
                      AND(E14="U10B",G14&gt;=Data!$M$4), "U10 Boys record",
                      AND(E14="U12B",G14&gt;=Data!$M$11), "U12 Boys record",
                      AND(E14="U10G",G14&gt;=Data!$M$17), "U10 Girls record",
                      AND(E14="U12G",G14&gt;=Data!$M$24), "U12 Girls record"
                       ),""), "")</f>
        <v/>
      </c>
      <c r="M14" s="19" cm="1">
        <f t="array" ref="M14">_xlfn.IFS($G14="",0,AND(NOT(ISNUMBER($G14)),LOWER(LEFT($G14,1))&lt;&gt;"n"),"Not a valid distance",OR(LOWER(LEFT($G14,1))="n",$G14&lt;ScoringTable!$P$161),1,RIGHT($E14,1)="B",_xlfn.XLOOKUP($G14,ScoringTable!$P$2:$P$161,ScoringTable!$L$2:$L$161,,-1),TRUE,_xlfn.XLOOKUP($G14,ScoringTable!$V$2:$V$161,ScoringTable!$R$2:$R$161,,-1))</f>
        <v>0</v>
      </c>
    </row>
    <row r="15" spans="1:13" ht="16" customHeight="1">
      <c r="A15" s="82" t="s">
        <v>27</v>
      </c>
      <c r="B15" s="81" t="str">
        <f>IF(ISNA(VLOOKUP($F15,Declarations!B$6:C$293,2,FALSE)),"",IF(VLOOKUP($F15,Declarations!B$6:C$293,2,FALSE)="","NOT DECLARED",IF(ISNA(_xlfn.TEXTBEFORE(VLOOKUP($F15,Declarations!B$6:C$293,2,FALSE)," ")),VLOOKUP($F15,Declarations!B$6:C$293,2,FALSE),_xlfn.TEXTBEFORE(VLOOKUP($F15,Declarations!B$6:C$293,2,FALSE)," "))))</f>
        <v/>
      </c>
      <c r="C15" s="81" t="str">
        <f>IF(ISNA(VLOOKUP($F15,Declarations!B$6:C$293,2,FALSE)),"",IF(VLOOKUP($F15,Declarations!B$6:C$293,2,FALSE)="","NOT DECLARED",IF(ISNA(_xlfn.TEXTAFTER(VLOOKUP($F15,Declarations!B$6:C$293,2,FALSE)," ")),VLOOKUP($F15,Declarations!B$6:C$293,2,FALSE),_xlfn.TEXTAFTER(VLOOKUP($F15,Declarations!B$6:C$293,2,FALSE)," "))))</f>
        <v/>
      </c>
      <c r="D15" s="81" t="str">
        <f>IF(ISNA(VLOOKUP($F15,Declarations!$B$6:$F$293,5,FALSE)),"",IF(VLOOKUP($F15,Declarations!$B$6:$F$293,5,FALSE)="","NOT DECLARED",VLOOKUP($F15,Declarations!$B$6:$F$293,5,FALSE)))</f>
        <v/>
      </c>
      <c r="E15" s="120" t="str">
        <f>IF(ISNA(VLOOKUP($F15,Declarations!$B$6:$D$293,3,FALSE)),"",IF(VLOOKUP($F15,Declarations!$B$6:$D$293,3,FALSE)="","NOT DECLARED",VLOOKUP($F15,Declarations!$B$6:$D$293,3,FALSE)&amp;LEFT(VLOOKUP($F15,Declarations!$B$6:$E$293,4,FALSE))))</f>
        <v/>
      </c>
      <c r="F15" s="21"/>
      <c r="G15" s="22"/>
      <c r="H15" s="322"/>
      <c r="I15" s="8" t="str">
        <f>IF(ISNA(VLOOKUP(F15,Declarations!B$6:C$293,2,FALSE)),"",IF(VLOOKUP(F15,Declarations!B$6:C$293,2,FALSE)="","NOT DECLARED",VLOOKUP(F15,Declarations!B$6:C$293,2,FALSE)))</f>
        <v/>
      </c>
      <c r="J15" s="2">
        <f>IF(LOWER(LEFT(G15,1))="n",1,VLOOKUP(G15,ScoringTable!E$2:I$95,5))</f>
        <v>0</v>
      </c>
      <c r="K15" s="120" t="str" cm="1">
        <f t="array" ref="K15">IF(OR(E15="",G15=""),"",_xlfn.IFS(E15="U10B",_xlfn.XLOOKUP(G15,Data!$D$4:$L$4,Data!$D$1:$L$1,"",-1,1),E15="U12B",_xlfn.XLOOKUP(G15,Data!$D$11:$L$11,Data!$D$1:$L$1,"",-1,1),E15="U10G",_xlfn.XLOOKUP(G15,Data!$D$17:$L$17,Data!$D$1:$L$1,"",-1,1),E15="U12G",_xlfn.XLOOKUP(G15,Data!$D$24:$L$24,Data!$D$1:$L$1,"",-1,1)))</f>
        <v/>
      </c>
      <c r="L15" s="184" t="str" cm="1">
        <f t="array" ref="L15">IFERROR(_xlfn.IFNA(
                      _xlfn.IFS(
                      F15="", "",
                      AND(E15="U10B",G15&gt;=Data!$M$4), "U10 Boys record",
                      AND(E15="U12B",G15&gt;=Data!$M$11), "U12 Boys record",
                      AND(E15="U10G",G15&gt;=Data!$M$17), "U10 Girls record",
                      AND(E15="U12G",G15&gt;=Data!$M$24), "U12 Girls record"
                       ),""), "")</f>
        <v/>
      </c>
      <c r="M15" s="19" cm="1">
        <f t="array" ref="M15">_xlfn.IFS($G15="",0,AND(NOT(ISNUMBER($G15)),LOWER(LEFT($G15,1))&lt;&gt;"n"),"Not a valid distance",OR(LOWER(LEFT($G15,1))="n",$G15&lt;ScoringTable!$P$161),1,RIGHT($E15,1)="B",_xlfn.XLOOKUP($G15,ScoringTable!$P$2:$P$161,ScoringTable!$L$2:$L$161,,-1),TRUE,_xlfn.XLOOKUP($G15,ScoringTable!$V$2:$V$161,ScoringTable!$R$2:$R$161,,-1))</f>
        <v>0</v>
      </c>
    </row>
    <row r="16" spans="1:13" ht="16" customHeight="1">
      <c r="A16" s="82" t="s">
        <v>27</v>
      </c>
      <c r="B16" s="81" t="str">
        <f>IF(ISNA(VLOOKUP($F16,Declarations!B$6:C$293,2,FALSE)),"",IF(VLOOKUP($F16,Declarations!B$6:C$293,2,FALSE)="","NOT DECLARED",IF(ISNA(_xlfn.TEXTBEFORE(VLOOKUP($F16,Declarations!B$6:C$293,2,FALSE)," ")),VLOOKUP($F16,Declarations!B$6:C$293,2,FALSE),_xlfn.TEXTBEFORE(VLOOKUP($F16,Declarations!B$6:C$293,2,FALSE)," "))))</f>
        <v/>
      </c>
      <c r="C16" s="81" t="str">
        <f>IF(ISNA(VLOOKUP($F16,Declarations!B$6:C$293,2,FALSE)),"",IF(VLOOKUP($F16,Declarations!B$6:C$293,2,FALSE)="","NOT DECLARED",IF(ISNA(_xlfn.TEXTAFTER(VLOOKUP($F16,Declarations!B$6:C$293,2,FALSE)," ")),VLOOKUP($F16,Declarations!B$6:C$293,2,FALSE),_xlfn.TEXTAFTER(VLOOKUP($F16,Declarations!B$6:C$293,2,FALSE)," "))))</f>
        <v/>
      </c>
      <c r="D16" s="81" t="str">
        <f>IF(ISNA(VLOOKUP($F16,Declarations!$B$6:$F$293,5,FALSE)),"",IF(VLOOKUP($F16,Declarations!$B$6:$F$293,5,FALSE)="","NOT DECLARED",VLOOKUP($F16,Declarations!$B$6:$F$293,5,FALSE)))</f>
        <v/>
      </c>
      <c r="E16" s="120" t="str">
        <f>IF(ISNA(VLOOKUP($F16,Declarations!$B$6:$D$293,3,FALSE)),"",IF(VLOOKUP($F16,Declarations!$B$6:$D$293,3,FALSE)="","NOT DECLARED",VLOOKUP($F16,Declarations!$B$6:$D$293,3,FALSE)&amp;LEFT(VLOOKUP($F16,Declarations!$B$6:$E$293,4,FALSE))))</f>
        <v/>
      </c>
      <c r="F16" s="21"/>
      <c r="G16" s="22"/>
      <c r="H16" s="322"/>
      <c r="I16" s="8" t="str">
        <f>IF(ISNA(VLOOKUP(F16,Declarations!B$6:C$293,2,FALSE)),"",IF(VLOOKUP(F16,Declarations!B$6:C$293,2,FALSE)="","NOT DECLARED",VLOOKUP(F16,Declarations!B$6:C$293,2,FALSE)))</f>
        <v/>
      </c>
      <c r="J16" s="2">
        <f>IF(LOWER(LEFT(G16,1))="n",1,VLOOKUP(G16,ScoringTable!E$2:I$95,5))</f>
        <v>0</v>
      </c>
      <c r="K16" s="120" t="str" cm="1">
        <f t="array" ref="K16">IF(OR(E16="",G16=""),"",_xlfn.IFS(E16="U10B",_xlfn.XLOOKUP(G16,Data!$D$4:$L$4,Data!$D$1:$L$1,"",-1,1),E16="U12B",_xlfn.XLOOKUP(G16,Data!$D$11:$L$11,Data!$D$1:$L$1,"",-1,1),E16="U10G",_xlfn.XLOOKUP(G16,Data!$D$17:$L$17,Data!$D$1:$L$1,"",-1,1),E16="U12G",_xlfn.XLOOKUP(G16,Data!$D$24:$L$24,Data!$D$1:$L$1,"",-1,1)))</f>
        <v/>
      </c>
      <c r="L16" s="184" t="str" cm="1">
        <f t="array" ref="L16">IFERROR(_xlfn.IFNA(
                      _xlfn.IFS(
                      F16="", "",
                      AND(E16="U10B",G16&gt;=Data!$M$4), "U10 Boys record",
                      AND(E16="U12B",G16&gt;=Data!$M$11), "U12 Boys record",
                      AND(E16="U10G",G16&gt;=Data!$M$17), "U10 Girls record",
                      AND(E16="U12G",G16&gt;=Data!$M$24), "U12 Girls record"
                       ),""), "")</f>
        <v/>
      </c>
      <c r="M16" s="19" cm="1">
        <f t="array" ref="M16">_xlfn.IFS($G16="",0,AND(NOT(ISNUMBER($G16)),LOWER(LEFT($G16,1))&lt;&gt;"n"),"Not a valid distance",OR(LOWER(LEFT($G16,1))="n",$G16&lt;ScoringTable!$P$161),1,RIGHT($E16,1)="B",_xlfn.XLOOKUP($G16,ScoringTable!$P$2:$P$161,ScoringTable!$L$2:$L$161,,-1),TRUE,_xlfn.XLOOKUP($G16,ScoringTable!$V$2:$V$161,ScoringTable!$R$2:$R$161,,-1))</f>
        <v>0</v>
      </c>
    </row>
    <row r="17" spans="1:13" ht="16" customHeight="1">
      <c r="A17" s="82" t="s">
        <v>27</v>
      </c>
      <c r="B17" s="81" t="str">
        <f>IF(ISNA(VLOOKUP($F17,Declarations!B$6:C$293,2,FALSE)),"",IF(VLOOKUP($F17,Declarations!B$6:C$293,2,FALSE)="","NOT DECLARED",IF(ISNA(_xlfn.TEXTBEFORE(VLOOKUP($F17,Declarations!B$6:C$293,2,FALSE)," ")),VLOOKUP($F17,Declarations!B$6:C$293,2,FALSE),_xlfn.TEXTBEFORE(VLOOKUP($F17,Declarations!B$6:C$293,2,FALSE)," "))))</f>
        <v/>
      </c>
      <c r="C17" s="81" t="str">
        <f>IF(ISNA(VLOOKUP($F17,Declarations!B$6:C$293,2,FALSE)),"",IF(VLOOKUP($F17,Declarations!B$6:C$293,2,FALSE)="","NOT DECLARED",IF(ISNA(_xlfn.TEXTAFTER(VLOOKUP($F17,Declarations!B$6:C$293,2,FALSE)," ")),VLOOKUP($F17,Declarations!B$6:C$293,2,FALSE),_xlfn.TEXTAFTER(VLOOKUP($F17,Declarations!B$6:C$293,2,FALSE)," "))))</f>
        <v/>
      </c>
      <c r="D17" s="81" t="str">
        <f>IF(ISNA(VLOOKUP($F17,Declarations!$B$6:$F$293,5,FALSE)),"",IF(VLOOKUP($F17,Declarations!$B$6:$F$293,5,FALSE)="","NOT DECLARED",VLOOKUP($F17,Declarations!$B$6:$F$293,5,FALSE)))</f>
        <v/>
      </c>
      <c r="E17" s="120" t="str">
        <f>IF(ISNA(VLOOKUP($F17,Declarations!$B$6:$D$293,3,FALSE)),"",IF(VLOOKUP($F17,Declarations!$B$6:$D$293,3,FALSE)="","NOT DECLARED",VLOOKUP($F17,Declarations!$B$6:$D$293,3,FALSE)&amp;LEFT(VLOOKUP($F17,Declarations!$B$6:$E$293,4,FALSE))))</f>
        <v/>
      </c>
      <c r="F17" s="21"/>
      <c r="G17" s="22"/>
      <c r="H17" s="322"/>
      <c r="I17" s="8" t="str">
        <f>IF(ISNA(VLOOKUP(F17,Declarations!B$6:C$293,2,FALSE)),"",IF(VLOOKUP(F17,Declarations!B$6:C$293,2,FALSE)="","NOT DECLARED",VLOOKUP(F17,Declarations!B$6:C$293,2,FALSE)))</f>
        <v/>
      </c>
      <c r="J17" s="2">
        <f>IF(LOWER(LEFT(G17,1))="n",1,VLOOKUP(G17,ScoringTable!E$2:I$95,5))</f>
        <v>0</v>
      </c>
      <c r="K17" s="120" t="str" cm="1">
        <f t="array" ref="K17">IF(OR(E17="",G17=""),"",_xlfn.IFS(E17="U10B",_xlfn.XLOOKUP(G17,Data!$D$4:$L$4,Data!$D$1:$L$1,"",-1,1),E17="U12B",_xlfn.XLOOKUP(G17,Data!$D$11:$L$11,Data!$D$1:$L$1,"",-1,1),E17="U10G",_xlfn.XLOOKUP(G17,Data!$D$17:$L$17,Data!$D$1:$L$1,"",-1,1),E17="U12G",_xlfn.XLOOKUP(G17,Data!$D$24:$L$24,Data!$D$1:$L$1,"",-1,1)))</f>
        <v/>
      </c>
      <c r="L17" s="184" t="str" cm="1">
        <f t="array" ref="L17">IFERROR(_xlfn.IFNA(
                      _xlfn.IFS(
                      F17="", "",
                      AND(E17="U10B",G17&gt;=Data!$M$4), "U10 Boys record",
                      AND(E17="U12B",G17&gt;=Data!$M$11), "U12 Boys record",
                      AND(E17="U10G",G17&gt;=Data!$M$17), "U10 Girls record",
                      AND(E17="U12G",G17&gt;=Data!$M$24), "U12 Girls record"
                       ),""), "")</f>
        <v/>
      </c>
      <c r="M17" s="19" cm="1">
        <f t="array" ref="M17">_xlfn.IFS($G17="",0,AND(NOT(ISNUMBER($G17)),LOWER(LEFT($G17,1))&lt;&gt;"n"),"Not a valid distance",OR(LOWER(LEFT($G17,1))="n",$G17&lt;ScoringTable!$P$161),1,RIGHT($E17,1)="B",_xlfn.XLOOKUP($G17,ScoringTable!$P$2:$P$161,ScoringTable!$L$2:$L$161,,-1),TRUE,_xlfn.XLOOKUP($G17,ScoringTable!$V$2:$V$161,ScoringTable!$R$2:$R$161,,-1))</f>
        <v>0</v>
      </c>
    </row>
    <row r="18" spans="1:13" ht="16" customHeight="1">
      <c r="A18" s="82" t="s">
        <v>27</v>
      </c>
      <c r="B18" s="81" t="str">
        <f>IF(ISNA(VLOOKUP($F18,Declarations!B$6:C$293,2,FALSE)),"",IF(VLOOKUP($F18,Declarations!B$6:C$293,2,FALSE)="","NOT DECLARED",IF(ISNA(_xlfn.TEXTBEFORE(VLOOKUP($F18,Declarations!B$6:C$293,2,FALSE)," ")),VLOOKUP($F18,Declarations!B$6:C$293,2,FALSE),_xlfn.TEXTBEFORE(VLOOKUP($F18,Declarations!B$6:C$293,2,FALSE)," "))))</f>
        <v/>
      </c>
      <c r="C18" s="81" t="str">
        <f>IF(ISNA(VLOOKUP($F18,Declarations!B$6:C$293,2,FALSE)),"",IF(VLOOKUP($F18,Declarations!B$6:C$293,2,FALSE)="","NOT DECLARED",IF(ISNA(_xlfn.TEXTAFTER(VLOOKUP($F18,Declarations!B$6:C$293,2,FALSE)," ")),VLOOKUP($F18,Declarations!B$6:C$293,2,FALSE),_xlfn.TEXTAFTER(VLOOKUP($F18,Declarations!B$6:C$293,2,FALSE)," "))))</f>
        <v/>
      </c>
      <c r="D18" s="81" t="str">
        <f>IF(ISNA(VLOOKUP($F18,Declarations!$B$6:$F$293,5,FALSE)),"",IF(VLOOKUP($F18,Declarations!$B$6:$F$293,5,FALSE)="","NOT DECLARED",VLOOKUP($F18,Declarations!$B$6:$F$293,5,FALSE)))</f>
        <v/>
      </c>
      <c r="E18" s="120" t="str">
        <f>IF(ISNA(VLOOKUP($F18,Declarations!$B$6:$D$293,3,FALSE)),"",IF(VLOOKUP($F18,Declarations!$B$6:$D$293,3,FALSE)="","NOT DECLARED",VLOOKUP($F18,Declarations!$B$6:$D$293,3,FALSE)&amp;LEFT(VLOOKUP($F18,Declarations!$B$6:$E$293,4,FALSE))))</f>
        <v/>
      </c>
      <c r="F18" s="21"/>
      <c r="G18" s="22"/>
      <c r="H18" s="322"/>
      <c r="I18" s="8" t="str">
        <f>IF(ISNA(VLOOKUP(F18,Declarations!B$6:C$293,2,FALSE)),"",IF(VLOOKUP(F18,Declarations!B$6:C$293,2,FALSE)="","NOT DECLARED",VLOOKUP(F18,Declarations!B$6:C$293,2,FALSE)))</f>
        <v/>
      </c>
      <c r="J18" s="2">
        <f>IF(LOWER(LEFT(G18,1))="n",1,VLOOKUP(G18,ScoringTable!E$2:I$95,5))</f>
        <v>0</v>
      </c>
      <c r="K18" s="120" t="str" cm="1">
        <f t="array" ref="K18">IF(OR(E18="",G18=""),"",_xlfn.IFS(E18="U10B",_xlfn.XLOOKUP(G18,Data!$D$4:$L$4,Data!$D$1:$L$1,"",-1,1),E18="U12B",_xlfn.XLOOKUP(G18,Data!$D$11:$L$11,Data!$D$1:$L$1,"",-1,1),E18="U10G",_xlfn.XLOOKUP(G18,Data!$D$17:$L$17,Data!$D$1:$L$1,"",-1,1),E18="U12G",_xlfn.XLOOKUP(G18,Data!$D$24:$L$24,Data!$D$1:$L$1,"",-1,1)))</f>
        <v/>
      </c>
      <c r="L18" s="184" t="str" cm="1">
        <f t="array" ref="L18">IFERROR(_xlfn.IFNA(
                      _xlfn.IFS(
                      F18="", "",
                      AND(E18="U10B",G18&gt;=Data!$M$4), "U10 Boys record",
                      AND(E18="U12B",G18&gt;=Data!$M$11), "U12 Boys record",
                      AND(E18="U10G",G18&gt;=Data!$M$17), "U10 Girls record",
                      AND(E18="U12G",G18&gt;=Data!$M$24), "U12 Girls record"
                       ),""), "")</f>
        <v/>
      </c>
      <c r="M18" s="19" cm="1">
        <f t="array" ref="M18">_xlfn.IFS($G18="",0,AND(NOT(ISNUMBER($G18)),LOWER(LEFT($G18,1))&lt;&gt;"n"),"Not a valid distance",OR(LOWER(LEFT($G18,1))="n",$G18&lt;ScoringTable!$P$161),1,RIGHT($E18,1)="B",_xlfn.XLOOKUP($G18,ScoringTable!$P$2:$P$161,ScoringTable!$L$2:$L$161,,-1),TRUE,_xlfn.XLOOKUP($G18,ScoringTable!$V$2:$V$161,ScoringTable!$R$2:$R$161,,-1))</f>
        <v>0</v>
      </c>
    </row>
    <row r="19" spans="1:13" ht="16" customHeight="1">
      <c r="A19" s="82" t="s">
        <v>27</v>
      </c>
      <c r="B19" s="81" t="str">
        <f>IF(ISNA(VLOOKUP($F19,Declarations!B$6:C$293,2,FALSE)),"",IF(VLOOKUP($F19,Declarations!B$6:C$293,2,FALSE)="","NOT DECLARED",IF(ISNA(_xlfn.TEXTBEFORE(VLOOKUP($F19,Declarations!B$6:C$293,2,FALSE)," ")),VLOOKUP($F19,Declarations!B$6:C$293,2,FALSE),_xlfn.TEXTBEFORE(VLOOKUP($F19,Declarations!B$6:C$293,2,FALSE)," "))))</f>
        <v/>
      </c>
      <c r="C19" s="81" t="str">
        <f>IF(ISNA(VLOOKUP($F19,Declarations!B$6:C$293,2,FALSE)),"",IF(VLOOKUP($F19,Declarations!B$6:C$293,2,FALSE)="","NOT DECLARED",IF(ISNA(_xlfn.TEXTAFTER(VLOOKUP($F19,Declarations!B$6:C$293,2,FALSE)," ")),VLOOKUP($F19,Declarations!B$6:C$293,2,FALSE),_xlfn.TEXTAFTER(VLOOKUP($F19,Declarations!B$6:C$293,2,FALSE)," "))))</f>
        <v/>
      </c>
      <c r="D19" s="81" t="str">
        <f>IF(ISNA(VLOOKUP($F19,Declarations!$B$6:$F$293,5,FALSE)),"",IF(VLOOKUP($F19,Declarations!$B$6:$F$293,5,FALSE)="","NOT DECLARED",VLOOKUP($F19,Declarations!$B$6:$F$293,5,FALSE)))</f>
        <v/>
      </c>
      <c r="E19" s="120" t="str">
        <f>IF(ISNA(VLOOKUP($F19,Declarations!$B$6:$D$293,3,FALSE)),"",IF(VLOOKUP($F19,Declarations!$B$6:$D$293,3,FALSE)="","NOT DECLARED",VLOOKUP($F19,Declarations!$B$6:$D$293,3,FALSE)&amp;LEFT(VLOOKUP($F19,Declarations!$B$6:$E$293,4,FALSE))))</f>
        <v/>
      </c>
      <c r="F19" s="21"/>
      <c r="G19" s="22"/>
      <c r="H19" s="322"/>
      <c r="I19" s="8" t="str">
        <f>IF(ISNA(VLOOKUP(F19,Declarations!B$6:C$293,2,FALSE)),"",IF(VLOOKUP(F19,Declarations!B$6:C$293,2,FALSE)="","NOT DECLARED",VLOOKUP(F19,Declarations!B$6:C$293,2,FALSE)))</f>
        <v/>
      </c>
      <c r="J19" s="2">
        <f>IF(LOWER(LEFT(G19,1))="n",1,VLOOKUP(G19,ScoringTable!E$2:I$95,5))</f>
        <v>0</v>
      </c>
      <c r="K19" s="120" t="str" cm="1">
        <f t="array" ref="K19">IF(OR(E19="",G19=""),"",_xlfn.IFS(E19="U10B",_xlfn.XLOOKUP(G19,Data!$D$4:$L$4,Data!$D$1:$L$1,"",-1,1),E19="U12B",_xlfn.XLOOKUP(G19,Data!$D$11:$L$11,Data!$D$1:$L$1,"",-1,1),E19="U10G",_xlfn.XLOOKUP(G19,Data!$D$17:$L$17,Data!$D$1:$L$1,"",-1,1),E19="U12G",_xlfn.XLOOKUP(G19,Data!$D$24:$L$24,Data!$D$1:$L$1,"",-1,1)))</f>
        <v/>
      </c>
      <c r="L19" s="184" t="str" cm="1">
        <f t="array" ref="L19">IFERROR(_xlfn.IFNA(
                      _xlfn.IFS(
                      F19="", "",
                      AND(E19="U10B",G19&gt;=Data!$M$4), "U10 Boys record",
                      AND(E19="U12B",G19&gt;=Data!$M$11), "U12 Boys record",
                      AND(E19="U10G",G19&gt;=Data!$M$17), "U10 Girls record",
                      AND(E19="U12G",G19&gt;=Data!$M$24), "U12 Girls record"
                       ),""), "")</f>
        <v/>
      </c>
      <c r="M19" s="19" cm="1">
        <f t="array" ref="M19">_xlfn.IFS($G19="",0,AND(NOT(ISNUMBER($G19)),LOWER(LEFT($G19,1))&lt;&gt;"n"),"Not a valid distance",OR(LOWER(LEFT($G19,1))="n",$G19&lt;ScoringTable!$P$161),1,RIGHT($E19,1)="B",_xlfn.XLOOKUP($G19,ScoringTable!$P$2:$P$161,ScoringTable!$L$2:$L$161,,-1),TRUE,_xlfn.XLOOKUP($G19,ScoringTable!$V$2:$V$161,ScoringTable!$R$2:$R$161,,-1))</f>
        <v>0</v>
      </c>
    </row>
    <row r="20" spans="1:13" ht="16" customHeight="1">
      <c r="A20" s="82" t="s">
        <v>27</v>
      </c>
      <c r="B20" s="81" t="str">
        <f>IF(ISNA(VLOOKUP($F20,Declarations!B$6:C$293,2,FALSE)),"",IF(VLOOKUP($F20,Declarations!B$6:C$293,2,FALSE)="","NOT DECLARED",IF(ISNA(_xlfn.TEXTBEFORE(VLOOKUP($F20,Declarations!B$6:C$293,2,FALSE)," ")),VLOOKUP($F20,Declarations!B$6:C$293,2,FALSE),_xlfn.TEXTBEFORE(VLOOKUP($F20,Declarations!B$6:C$293,2,FALSE)," "))))</f>
        <v/>
      </c>
      <c r="C20" s="81" t="str">
        <f>IF(ISNA(VLOOKUP($F20,Declarations!B$6:C$293,2,FALSE)),"",IF(VLOOKUP($F20,Declarations!B$6:C$293,2,FALSE)="","NOT DECLARED",IF(ISNA(_xlfn.TEXTAFTER(VLOOKUP($F20,Declarations!B$6:C$293,2,FALSE)," ")),VLOOKUP($F20,Declarations!B$6:C$293,2,FALSE),_xlfn.TEXTAFTER(VLOOKUP($F20,Declarations!B$6:C$293,2,FALSE)," "))))</f>
        <v/>
      </c>
      <c r="D20" s="81" t="str">
        <f>IF(ISNA(VLOOKUP($F20,Declarations!$B$6:$F$293,5,FALSE)),"",IF(VLOOKUP($F20,Declarations!$B$6:$F$293,5,FALSE)="","NOT DECLARED",VLOOKUP($F20,Declarations!$B$6:$F$293,5,FALSE)))</f>
        <v/>
      </c>
      <c r="E20" s="120" t="str">
        <f>IF(ISNA(VLOOKUP($F20,Declarations!$B$6:$D$293,3,FALSE)),"",IF(VLOOKUP($F20,Declarations!$B$6:$D$293,3,FALSE)="","NOT DECLARED",VLOOKUP($F20,Declarations!$B$6:$D$293,3,FALSE)&amp;LEFT(VLOOKUP($F20,Declarations!$B$6:$E$293,4,FALSE))))</f>
        <v/>
      </c>
      <c r="F20" s="21"/>
      <c r="G20" s="22"/>
      <c r="H20" s="322"/>
      <c r="I20" s="8" t="str">
        <f>IF(ISNA(VLOOKUP(F20,Declarations!B$6:C$293,2,FALSE)),"",IF(VLOOKUP(F20,Declarations!B$6:C$293,2,FALSE)="","NOT DECLARED",VLOOKUP(F20,Declarations!B$6:C$293,2,FALSE)))</f>
        <v/>
      </c>
      <c r="J20" s="2">
        <f>IF(LOWER(LEFT(G20,1))="n",1,VLOOKUP(G20,ScoringTable!E$2:I$95,5))</f>
        <v>0</v>
      </c>
      <c r="K20" s="120" t="str" cm="1">
        <f t="array" ref="K20">IF(OR(E20="",G20=""),"",_xlfn.IFS(E20="U10B",_xlfn.XLOOKUP(G20,Data!$D$4:$L$4,Data!$D$1:$L$1,"",-1,1),E20="U12B",_xlfn.XLOOKUP(G20,Data!$D$11:$L$11,Data!$D$1:$L$1,"",-1,1),E20="U10G",_xlfn.XLOOKUP(G20,Data!$D$17:$L$17,Data!$D$1:$L$1,"",-1,1),E20="U12G",_xlfn.XLOOKUP(G20,Data!$D$24:$L$24,Data!$D$1:$L$1,"",-1,1)))</f>
        <v/>
      </c>
      <c r="L20" s="184" t="str" cm="1">
        <f t="array" ref="L20">IFERROR(_xlfn.IFNA(
                      _xlfn.IFS(
                      F20="", "",
                      AND(E20="U10B",G20&gt;=Data!$M$4), "U10 Boys record",
                      AND(E20="U12B",G20&gt;=Data!$M$11), "U12 Boys record",
                      AND(E20="U10G",G20&gt;=Data!$M$17), "U10 Girls record",
                      AND(E20="U12G",G20&gt;=Data!$M$24), "U12 Girls record"
                       ),""), "")</f>
        <v/>
      </c>
      <c r="M20" s="19" cm="1">
        <f t="array" ref="M20">_xlfn.IFS($G20="",0,AND(NOT(ISNUMBER($G20)),LOWER(LEFT($G20,1))&lt;&gt;"n"),"Not a valid distance",OR(LOWER(LEFT($G20,1))="n",$G20&lt;ScoringTable!$P$161),1,RIGHT($E20,1)="B",_xlfn.XLOOKUP($G20,ScoringTable!$P$2:$P$161,ScoringTable!$L$2:$L$161,,-1),TRUE,_xlfn.XLOOKUP($G20,ScoringTable!$V$2:$V$161,ScoringTable!$R$2:$R$161,,-1))</f>
        <v>0</v>
      </c>
    </row>
    <row r="21" spans="1:13" s="1" customFormat="1" ht="16" customHeight="1">
      <c r="A21" s="82" t="s">
        <v>27</v>
      </c>
      <c r="B21" s="81" t="str">
        <f>IF(ISNA(VLOOKUP($F21,Declarations!B$6:C$293,2,FALSE)),"",IF(VLOOKUP($F21,Declarations!B$6:C$293,2,FALSE)="","NOT DECLARED",IF(ISNA(_xlfn.TEXTBEFORE(VLOOKUP($F21,Declarations!B$6:C$293,2,FALSE)," ")),VLOOKUP($F21,Declarations!B$6:C$293,2,FALSE),_xlfn.TEXTBEFORE(VLOOKUP($F21,Declarations!B$6:C$293,2,FALSE)," "))))</f>
        <v/>
      </c>
      <c r="C21" s="81" t="str">
        <f>IF(ISNA(VLOOKUP($F21,Declarations!B$6:C$293,2,FALSE)),"",IF(VLOOKUP($F21,Declarations!B$6:C$293,2,FALSE)="","NOT DECLARED",IF(ISNA(_xlfn.TEXTAFTER(VLOOKUP($F21,Declarations!B$6:C$293,2,FALSE)," ")),VLOOKUP($F21,Declarations!B$6:C$293,2,FALSE),_xlfn.TEXTAFTER(VLOOKUP($F21,Declarations!B$6:C$293,2,FALSE)," "))))</f>
        <v/>
      </c>
      <c r="D21" s="81" t="str">
        <f>IF(ISNA(VLOOKUP($F21,Declarations!$B$6:$F$293,5,FALSE)),"",IF(VLOOKUP($F21,Declarations!$B$6:$F$293,5,FALSE)="","NOT DECLARED",VLOOKUP($F21,Declarations!$B$6:$F$293,5,FALSE)))</f>
        <v/>
      </c>
      <c r="E21" s="120" t="str">
        <f>IF(ISNA(VLOOKUP($F21,Declarations!$B$6:$D$293,3,FALSE)),"",IF(VLOOKUP($F21,Declarations!$B$6:$D$293,3,FALSE)="","NOT DECLARED",VLOOKUP($F21,Declarations!$B$6:$D$293,3,FALSE)&amp;LEFT(VLOOKUP($F21,Declarations!$B$6:$E$293,4,FALSE))))</f>
        <v/>
      </c>
      <c r="F21" s="21"/>
      <c r="G21" s="22"/>
      <c r="H21" s="322"/>
      <c r="I21" s="8" t="str">
        <f>IF(ISNA(VLOOKUP(F21,Declarations!B$6:C$293,2,FALSE)),"",IF(VLOOKUP(F21,Declarations!B$6:C$293,2,FALSE)="","NOT DECLARED",VLOOKUP(F21,Declarations!B$6:C$293,2,FALSE)))</f>
        <v/>
      </c>
      <c r="J21" s="2">
        <f>IF(LOWER(LEFT(G21,1))="n",1,VLOOKUP(G21,ScoringTable!E$2:I$95,5))</f>
        <v>0</v>
      </c>
      <c r="K21" s="120" t="str" cm="1">
        <f t="array" ref="K21">IF(OR(E21="",G21=""),"",_xlfn.IFS(E21="U10B",_xlfn.XLOOKUP(G21,Data!$D$4:$L$4,Data!$D$1:$L$1,"",-1,1),E21="U12B",_xlfn.XLOOKUP(G21,Data!$D$11:$L$11,Data!$D$1:$L$1,"",-1,1),E21="U10G",_xlfn.XLOOKUP(G21,Data!$D$17:$L$17,Data!$D$1:$L$1,"",-1,1),E21="U12G",_xlfn.XLOOKUP(G21,Data!$D$24:$L$24,Data!$D$1:$L$1,"",-1,1)))</f>
        <v/>
      </c>
      <c r="L21" s="184" t="str" cm="1">
        <f t="array" ref="L21">IFERROR(_xlfn.IFNA(
                      _xlfn.IFS(
                      F21="", "",
                      AND(E21="U10B",G21&gt;=Data!$M$4), "U10 Boys record",
                      AND(E21="U12B",G21&gt;=Data!$M$11), "U12 Boys record",
                      AND(E21="U10G",G21&gt;=Data!$M$17), "U10 Girls record",
                      AND(E21="U12G",G21&gt;=Data!$M$24), "U12 Girls record"
                       ),""), "")</f>
        <v/>
      </c>
      <c r="M21" s="19" cm="1">
        <f t="array" ref="M21">_xlfn.IFS($G21="",0,AND(NOT(ISNUMBER($G21)),LOWER(LEFT($G21,1))&lt;&gt;"n"),"Not a valid distance",OR(LOWER(LEFT($G21,1))="n",$G21&lt;ScoringTable!$P$161),1,RIGHT($E21,1)="B",_xlfn.XLOOKUP($G21,ScoringTable!$P$2:$P$161,ScoringTable!$L$2:$L$161,,-1),TRUE,_xlfn.XLOOKUP($G21,ScoringTable!$V$2:$V$161,ScoringTable!$R$2:$R$161,,-1))</f>
        <v>0</v>
      </c>
    </row>
    <row r="22" spans="1:13" s="1" customFormat="1" ht="16" customHeight="1">
      <c r="A22" s="82" t="s">
        <v>27</v>
      </c>
      <c r="B22" s="81" t="str">
        <f>IF(ISNA(VLOOKUP($F22,Declarations!B$6:C$293,2,FALSE)),"",IF(VLOOKUP($F22,Declarations!B$6:C$293,2,FALSE)="","NOT DECLARED",IF(ISNA(_xlfn.TEXTBEFORE(VLOOKUP($F22,Declarations!B$6:C$293,2,FALSE)," ")),VLOOKUP($F22,Declarations!B$6:C$293,2,FALSE),_xlfn.TEXTBEFORE(VLOOKUP($F22,Declarations!B$6:C$293,2,FALSE)," "))))</f>
        <v/>
      </c>
      <c r="C22" s="81" t="str">
        <f>IF(ISNA(VLOOKUP($F22,Declarations!B$6:C$293,2,FALSE)),"",IF(VLOOKUP($F22,Declarations!B$6:C$293,2,FALSE)="","NOT DECLARED",IF(ISNA(_xlfn.TEXTAFTER(VLOOKUP($F22,Declarations!B$6:C$293,2,FALSE)," ")),VLOOKUP($F22,Declarations!B$6:C$293,2,FALSE),_xlfn.TEXTAFTER(VLOOKUP($F22,Declarations!B$6:C$293,2,FALSE)," "))))</f>
        <v/>
      </c>
      <c r="D22" s="81" t="str">
        <f>IF(ISNA(VLOOKUP($F22,Declarations!$B$6:$F$293,5,FALSE)),"",IF(VLOOKUP($F22,Declarations!$B$6:$F$293,5,FALSE)="","NOT DECLARED",VLOOKUP($F22,Declarations!$B$6:$F$293,5,FALSE)))</f>
        <v/>
      </c>
      <c r="E22" s="120" t="str">
        <f>IF(ISNA(VLOOKUP($F22,Declarations!$B$6:$D$293,3,FALSE)),"",IF(VLOOKUP($F22,Declarations!$B$6:$D$293,3,FALSE)="","NOT DECLARED",VLOOKUP($F22,Declarations!$B$6:$D$293,3,FALSE)&amp;LEFT(VLOOKUP($F22,Declarations!$B$6:$E$293,4,FALSE))))</f>
        <v/>
      </c>
      <c r="F22" s="21"/>
      <c r="G22" s="22"/>
      <c r="H22" s="322"/>
      <c r="I22" s="8" t="str">
        <f>IF(ISNA(VLOOKUP(F22,Declarations!B$6:C$293,2,FALSE)),"",IF(VLOOKUP(F22,Declarations!B$6:C$293,2,FALSE)="","NOT DECLARED",VLOOKUP(F22,Declarations!B$6:C$293,2,FALSE)))</f>
        <v/>
      </c>
      <c r="J22" s="2">
        <f>IF(LOWER(LEFT(G22,1))="n",1,VLOOKUP(G22,ScoringTable!E$2:I$95,5))</f>
        <v>0</v>
      </c>
      <c r="K22" s="120" t="str" cm="1">
        <f t="array" ref="K22">IF(OR(E22="",G22=""),"",_xlfn.IFS(E22="U10B",_xlfn.XLOOKUP(G22,Data!$D$4:$L$4,Data!$D$1:$L$1,"",-1,1),E22="U12B",_xlfn.XLOOKUP(G22,Data!$D$11:$L$11,Data!$D$1:$L$1,"",-1,1),E22="U10G",_xlfn.XLOOKUP(G22,Data!$D$17:$L$17,Data!$D$1:$L$1,"",-1,1),E22="U12G",_xlfn.XLOOKUP(G22,Data!$D$24:$L$24,Data!$D$1:$L$1,"",-1,1)))</f>
        <v/>
      </c>
      <c r="L22" s="184" t="str" cm="1">
        <f t="array" ref="L22">IFERROR(_xlfn.IFNA(
                      _xlfn.IFS(
                      F22="", "",
                      AND(E22="U10B",G22&gt;=Data!$M$4), "U10 Boys record",
                      AND(E22="U12B",G22&gt;=Data!$M$11), "U12 Boys record",
                      AND(E22="U10G",G22&gt;=Data!$M$17), "U10 Girls record",
                      AND(E22="U12G",G22&gt;=Data!$M$24), "U12 Girls record"
                       ),""), "")</f>
        <v/>
      </c>
      <c r="M22" s="19" cm="1">
        <f t="array" ref="M22">_xlfn.IFS($G22="",0,AND(NOT(ISNUMBER($G22)),LOWER(LEFT($G22,1))&lt;&gt;"n"),"Not a valid distance",OR(LOWER(LEFT($G22,1))="n",$G22&lt;ScoringTable!$P$161),1,RIGHT($E22,1)="B",_xlfn.XLOOKUP($G22,ScoringTable!$P$2:$P$161,ScoringTable!$L$2:$L$161,,-1),TRUE,_xlfn.XLOOKUP($G22,ScoringTable!$V$2:$V$161,ScoringTable!$R$2:$R$161,,-1))</f>
        <v>0</v>
      </c>
    </row>
    <row r="23" spans="1:13" s="1" customFormat="1" ht="16" customHeight="1">
      <c r="A23" s="82" t="s">
        <v>27</v>
      </c>
      <c r="B23" s="81" t="str">
        <f>IF(ISNA(VLOOKUP($F23,Declarations!B$6:C$293,2,FALSE)),"",IF(VLOOKUP($F23,Declarations!B$6:C$293,2,FALSE)="","NOT DECLARED",IF(ISNA(_xlfn.TEXTBEFORE(VLOOKUP($F23,Declarations!B$6:C$293,2,FALSE)," ")),VLOOKUP($F23,Declarations!B$6:C$293,2,FALSE),_xlfn.TEXTBEFORE(VLOOKUP($F23,Declarations!B$6:C$293,2,FALSE)," "))))</f>
        <v/>
      </c>
      <c r="C23" s="81" t="str">
        <f>IF(ISNA(VLOOKUP($F23,Declarations!B$6:C$293,2,FALSE)),"",IF(VLOOKUP($F23,Declarations!B$6:C$293,2,FALSE)="","NOT DECLARED",IF(ISNA(_xlfn.TEXTAFTER(VLOOKUP($F23,Declarations!B$6:C$293,2,FALSE)," ")),VLOOKUP($F23,Declarations!B$6:C$293,2,FALSE),_xlfn.TEXTAFTER(VLOOKUP($F23,Declarations!B$6:C$293,2,FALSE)," "))))</f>
        <v/>
      </c>
      <c r="D23" s="81" t="str">
        <f>IF(ISNA(VLOOKUP($F23,Declarations!$B$6:$F$293,5,FALSE)),"",IF(VLOOKUP($F23,Declarations!$B$6:$F$293,5,FALSE)="","NOT DECLARED",VLOOKUP($F23,Declarations!$B$6:$F$293,5,FALSE)))</f>
        <v/>
      </c>
      <c r="E23" s="120" t="str">
        <f>IF(ISNA(VLOOKUP($F23,Declarations!$B$6:$D$293,3,FALSE)),"",IF(VLOOKUP($F23,Declarations!$B$6:$D$293,3,FALSE)="","NOT DECLARED",VLOOKUP($F23,Declarations!$B$6:$D$293,3,FALSE)&amp;LEFT(VLOOKUP($F23,Declarations!$B$6:$E$293,4,FALSE))))</f>
        <v/>
      </c>
      <c r="F23" s="21"/>
      <c r="G23" s="22"/>
      <c r="H23" s="322"/>
      <c r="I23" s="8" t="str">
        <f>IF(ISNA(VLOOKUP(F23,Declarations!B$6:C$293,2,FALSE)),"",IF(VLOOKUP(F23,Declarations!B$6:C$293,2,FALSE)="","NOT DECLARED",VLOOKUP(F23,Declarations!B$6:C$293,2,FALSE)))</f>
        <v/>
      </c>
      <c r="J23" s="2">
        <f>IF(LOWER(LEFT(G23,1))="n",1,VLOOKUP(G23,ScoringTable!E$2:I$95,5))</f>
        <v>0</v>
      </c>
      <c r="K23" s="120" t="str" cm="1">
        <f t="array" ref="K23">IF(OR(E23="",G23=""),"",_xlfn.IFS(E23="U10B",_xlfn.XLOOKUP(G23,Data!$D$4:$L$4,Data!$D$1:$L$1,"",-1,1),E23="U12B",_xlfn.XLOOKUP(G23,Data!$D$11:$L$11,Data!$D$1:$L$1,"",-1,1),E23="U10G",_xlfn.XLOOKUP(G23,Data!$D$17:$L$17,Data!$D$1:$L$1,"",-1,1),E23="U12G",_xlfn.XLOOKUP(G23,Data!$D$24:$L$24,Data!$D$1:$L$1,"",-1,1)))</f>
        <v/>
      </c>
      <c r="L23" s="184" t="str" cm="1">
        <f t="array" ref="L23">IFERROR(_xlfn.IFNA(
                      _xlfn.IFS(
                      F23="", "",
                      AND(E23="U10B",G23&gt;=Data!$M$4), "U10 Boys record",
                      AND(E23="U12B",G23&gt;=Data!$M$11), "U12 Boys record",
                      AND(E23="U10G",G23&gt;=Data!$M$17), "U10 Girls record",
                      AND(E23="U12G",G23&gt;=Data!$M$24), "U12 Girls record"
                       ),""), "")</f>
        <v/>
      </c>
      <c r="M23" s="19" cm="1">
        <f t="array" ref="M23">_xlfn.IFS($G23="",0,AND(NOT(ISNUMBER($G23)),LOWER(LEFT($G23,1))&lt;&gt;"n"),"Not a valid distance",OR(LOWER(LEFT($G23,1))="n",$G23&lt;ScoringTable!$P$161),1,RIGHT($E23,1)="B",_xlfn.XLOOKUP($G23,ScoringTable!$P$2:$P$161,ScoringTable!$L$2:$L$161,,-1),TRUE,_xlfn.XLOOKUP($G23,ScoringTable!$V$2:$V$161,ScoringTable!$R$2:$R$161,,-1))</f>
        <v>0</v>
      </c>
    </row>
    <row r="24" spans="1:13" ht="16" customHeight="1">
      <c r="A24" s="82" t="s">
        <v>27</v>
      </c>
      <c r="B24" s="81" t="str">
        <f>IF(ISNA(VLOOKUP($F24,Declarations!B$6:C$293,2,FALSE)),"",IF(VLOOKUP($F24,Declarations!B$6:C$293,2,FALSE)="","NOT DECLARED",IF(ISNA(_xlfn.TEXTBEFORE(VLOOKUP($F24,Declarations!B$6:C$293,2,FALSE)," ")),VLOOKUP($F24,Declarations!B$6:C$293,2,FALSE),_xlfn.TEXTBEFORE(VLOOKUP($F24,Declarations!B$6:C$293,2,FALSE)," "))))</f>
        <v/>
      </c>
      <c r="C24" s="81" t="str">
        <f>IF(ISNA(VLOOKUP($F24,Declarations!B$6:C$293,2,FALSE)),"",IF(VLOOKUP($F24,Declarations!B$6:C$293,2,FALSE)="","NOT DECLARED",IF(ISNA(_xlfn.TEXTAFTER(VLOOKUP($F24,Declarations!B$6:C$293,2,FALSE)," ")),VLOOKUP($F24,Declarations!B$6:C$293,2,FALSE),_xlfn.TEXTAFTER(VLOOKUP($F24,Declarations!B$6:C$293,2,FALSE)," "))))</f>
        <v/>
      </c>
      <c r="D24" s="81" t="str">
        <f>IF(ISNA(VLOOKUP($F24,Declarations!$B$6:$F$293,5,FALSE)),"",IF(VLOOKUP($F24,Declarations!$B$6:$F$293,5,FALSE)="","NOT DECLARED",VLOOKUP($F24,Declarations!$B$6:$F$293,5,FALSE)))</f>
        <v/>
      </c>
      <c r="E24" s="120" t="str">
        <f>IF(ISNA(VLOOKUP($F24,Declarations!$B$6:$D$293,3,FALSE)),"",IF(VLOOKUP($F24,Declarations!$B$6:$D$293,3,FALSE)="","NOT DECLARED",VLOOKUP($F24,Declarations!$B$6:$D$293,3,FALSE)&amp;LEFT(VLOOKUP($F24,Declarations!$B$6:$E$293,4,FALSE))))</f>
        <v/>
      </c>
      <c r="F24" s="21"/>
      <c r="G24" s="22"/>
      <c r="H24" s="322"/>
      <c r="I24" s="8" t="str">
        <f>IF(ISNA(VLOOKUP(F24,Declarations!B$6:C$293,2,FALSE)),"",IF(VLOOKUP(F24,Declarations!B$6:C$293,2,FALSE)="","NOT DECLARED",VLOOKUP(F24,Declarations!B$6:C$293,2,FALSE)))</f>
        <v/>
      </c>
      <c r="J24" s="2">
        <f>IF(LOWER(LEFT(G24,1))="n",1,VLOOKUP(G24,ScoringTable!E$2:I$95,5))</f>
        <v>0</v>
      </c>
      <c r="K24" s="120" t="str" cm="1">
        <f t="array" ref="K24">IF(OR(E24="",G24=""),"",_xlfn.IFS(E24="U10B",_xlfn.XLOOKUP(G24,Data!$D$4:$L$4,Data!$D$1:$L$1,"",-1,1),E24="U12B",_xlfn.XLOOKUP(G24,Data!$D$11:$L$11,Data!$D$1:$L$1,"",-1,1),E24="U10G",_xlfn.XLOOKUP(G24,Data!$D$17:$L$17,Data!$D$1:$L$1,"",-1,1),E24="U12G",_xlfn.XLOOKUP(G24,Data!$D$24:$L$24,Data!$D$1:$L$1,"",-1,1)))</f>
        <v/>
      </c>
      <c r="L24" s="184" t="str" cm="1">
        <f t="array" ref="L24">IFERROR(_xlfn.IFNA(
                      _xlfn.IFS(
                      F24="", "",
                      AND(E24="U10B",G24&gt;=Data!$M$4), "U10 Boys record",
                      AND(E24="U12B",G24&gt;=Data!$M$11), "U12 Boys record",
                      AND(E24="U10G",G24&gt;=Data!$M$17), "U10 Girls record",
                      AND(E24="U12G",G24&gt;=Data!$M$24), "U12 Girls record"
                       ),""), "")</f>
        <v/>
      </c>
      <c r="M24" s="19" cm="1">
        <f t="array" ref="M24">_xlfn.IFS($G24="",0,AND(NOT(ISNUMBER($G24)),LOWER(LEFT($G24,1))&lt;&gt;"n"),"Not a valid distance",OR(LOWER(LEFT($G24,1))="n",$G24&lt;ScoringTable!$P$161),1,RIGHT($E24,1)="B",_xlfn.XLOOKUP($G24,ScoringTable!$P$2:$P$161,ScoringTable!$L$2:$L$161,,-1),TRUE,_xlfn.XLOOKUP($G24,ScoringTable!$V$2:$V$161,ScoringTable!$R$2:$R$161,,-1))</f>
        <v>0</v>
      </c>
    </row>
    <row r="25" spans="1:13" ht="16" customHeight="1">
      <c r="A25" s="82" t="s">
        <v>27</v>
      </c>
      <c r="B25" s="81" t="str">
        <f>IF(ISNA(VLOOKUP($F25,Declarations!B$6:C$293,2,FALSE)),"",IF(VLOOKUP($F25,Declarations!B$6:C$293,2,FALSE)="","NOT DECLARED",IF(ISNA(_xlfn.TEXTBEFORE(VLOOKUP($F25,Declarations!B$6:C$293,2,FALSE)," ")),VLOOKUP($F25,Declarations!B$6:C$293,2,FALSE),_xlfn.TEXTBEFORE(VLOOKUP($F25,Declarations!B$6:C$293,2,FALSE)," "))))</f>
        <v/>
      </c>
      <c r="C25" s="81" t="str">
        <f>IF(ISNA(VLOOKUP($F25,Declarations!B$6:C$293,2,FALSE)),"",IF(VLOOKUP($F25,Declarations!B$6:C$293,2,FALSE)="","NOT DECLARED",IF(ISNA(_xlfn.TEXTAFTER(VLOOKUP($F25,Declarations!B$6:C$293,2,FALSE)," ")),VLOOKUP($F25,Declarations!B$6:C$293,2,FALSE),_xlfn.TEXTAFTER(VLOOKUP($F25,Declarations!B$6:C$293,2,FALSE)," "))))</f>
        <v/>
      </c>
      <c r="D25" s="81" t="str">
        <f>IF(ISNA(VLOOKUP($F25,Declarations!$B$6:$F$293,5,FALSE)),"",IF(VLOOKUP($F25,Declarations!$B$6:$F$293,5,FALSE)="","NOT DECLARED",VLOOKUP($F25,Declarations!$B$6:$F$293,5,FALSE)))</f>
        <v/>
      </c>
      <c r="E25" s="120" t="str">
        <f>IF(ISNA(VLOOKUP($F25,Declarations!$B$6:$D$293,3,FALSE)),"",IF(VLOOKUP($F25,Declarations!$B$6:$D$293,3,FALSE)="","NOT DECLARED",VLOOKUP($F25,Declarations!$B$6:$D$293,3,FALSE)&amp;LEFT(VLOOKUP($F25,Declarations!$B$6:$E$293,4,FALSE))))</f>
        <v/>
      </c>
      <c r="F25" s="21"/>
      <c r="G25" s="22"/>
      <c r="H25" s="322"/>
      <c r="I25" s="8" t="str">
        <f>IF(ISNA(VLOOKUP(F25,Declarations!B$6:C$293,2,FALSE)),"",IF(VLOOKUP(F25,Declarations!B$6:C$293,2,FALSE)="","NOT DECLARED",VLOOKUP(F25,Declarations!B$6:C$293,2,FALSE)))</f>
        <v/>
      </c>
      <c r="J25" s="2">
        <f>IF(LOWER(LEFT(G25,1))="n",1,VLOOKUP(G25,ScoringTable!E$2:I$95,5))</f>
        <v>0</v>
      </c>
      <c r="K25" s="120" t="str" cm="1">
        <f t="array" ref="K25">IF(OR(E25="",G25=""),"",_xlfn.IFS(E25="U10B",_xlfn.XLOOKUP(G25,Data!$D$4:$L$4,Data!$D$1:$L$1,"",-1,1),E25="U12B",_xlfn.XLOOKUP(G25,Data!$D$11:$L$11,Data!$D$1:$L$1,"",-1,1),E25="U10G",_xlfn.XLOOKUP(G25,Data!$D$17:$L$17,Data!$D$1:$L$1,"",-1,1),E25="U12G",_xlfn.XLOOKUP(G25,Data!$D$24:$L$24,Data!$D$1:$L$1,"",-1,1)))</f>
        <v/>
      </c>
      <c r="L25" s="184" t="str" cm="1">
        <f t="array" ref="L25">IFERROR(_xlfn.IFNA(
                      _xlfn.IFS(
                      F25="", "",
                      AND(E25="U10B",G25&gt;=Data!$M$4), "U10 Boys record",
                      AND(E25="U12B",G25&gt;=Data!$M$11), "U12 Boys record",
                      AND(E25="U10G",G25&gt;=Data!$M$17), "U10 Girls record",
                      AND(E25="U12G",G25&gt;=Data!$M$24), "U12 Girls record"
                       ),""), "")</f>
        <v/>
      </c>
      <c r="M25" s="19" cm="1">
        <f t="array" ref="M25">_xlfn.IFS($G25="",0,AND(NOT(ISNUMBER($G25)),LOWER(LEFT($G25,1))&lt;&gt;"n"),"Not a valid distance",OR(LOWER(LEFT($G25,1))="n",$G25&lt;ScoringTable!$P$161),1,RIGHT($E25,1)="B",_xlfn.XLOOKUP($G25,ScoringTable!$P$2:$P$161,ScoringTable!$L$2:$L$161,,-1),TRUE,_xlfn.XLOOKUP($G25,ScoringTable!$V$2:$V$161,ScoringTable!$R$2:$R$161,,-1))</f>
        <v>0</v>
      </c>
    </row>
    <row r="26" spans="1:13" ht="16" customHeight="1">
      <c r="A26" s="82" t="s">
        <v>27</v>
      </c>
      <c r="B26" s="81" t="str">
        <f>IF(ISNA(VLOOKUP($F26,Declarations!B$6:C$293,2,FALSE)),"",IF(VLOOKUP($F26,Declarations!B$6:C$293,2,FALSE)="","NOT DECLARED",IF(ISNA(_xlfn.TEXTBEFORE(VLOOKUP($F26,Declarations!B$6:C$293,2,FALSE)," ")),VLOOKUP($F26,Declarations!B$6:C$293,2,FALSE),_xlfn.TEXTBEFORE(VLOOKUP($F26,Declarations!B$6:C$293,2,FALSE)," "))))</f>
        <v/>
      </c>
      <c r="C26" s="81" t="str">
        <f>IF(ISNA(VLOOKUP($F26,Declarations!B$6:C$293,2,FALSE)),"",IF(VLOOKUP($F26,Declarations!B$6:C$293,2,FALSE)="","NOT DECLARED",IF(ISNA(_xlfn.TEXTAFTER(VLOOKUP($F26,Declarations!B$6:C$293,2,FALSE)," ")),VLOOKUP($F26,Declarations!B$6:C$293,2,FALSE),_xlfn.TEXTAFTER(VLOOKUP($F26,Declarations!B$6:C$293,2,FALSE)," "))))</f>
        <v/>
      </c>
      <c r="D26" s="81" t="str">
        <f>IF(ISNA(VLOOKUP($F26,Declarations!$B$6:$F$293,5,FALSE)),"",IF(VLOOKUP($F26,Declarations!$B$6:$F$293,5,FALSE)="","NOT DECLARED",VLOOKUP($F26,Declarations!$B$6:$F$293,5,FALSE)))</f>
        <v/>
      </c>
      <c r="E26" s="120" t="str">
        <f>IF(ISNA(VLOOKUP($F26,Declarations!$B$6:$D$293,3,FALSE)),"",IF(VLOOKUP($F26,Declarations!$B$6:$D$293,3,FALSE)="","NOT DECLARED",VLOOKUP($F26,Declarations!$B$6:$D$293,3,FALSE)&amp;LEFT(VLOOKUP($F26,Declarations!$B$6:$E$293,4,FALSE))))</f>
        <v/>
      </c>
      <c r="F26" s="21"/>
      <c r="G26" s="22"/>
      <c r="H26" s="322"/>
      <c r="I26" s="8" t="str">
        <f>IF(ISNA(VLOOKUP(F26,Declarations!B$6:C$293,2,FALSE)),"",IF(VLOOKUP(F26,Declarations!B$6:C$293,2,FALSE)="","NOT DECLARED",VLOOKUP(F26,Declarations!B$6:C$293,2,FALSE)))</f>
        <v/>
      </c>
      <c r="J26" s="2">
        <f>IF(LOWER(LEFT(G26,1))="n",1,VLOOKUP(G26,ScoringTable!E$2:I$95,5))</f>
        <v>0</v>
      </c>
      <c r="K26" s="120" t="str" cm="1">
        <f t="array" ref="K26">IF(OR(E26="",G26=""),"",_xlfn.IFS(E26="U10B",_xlfn.XLOOKUP(G26,Data!$D$4:$L$4,Data!$D$1:$L$1,"",-1,1),E26="U12B",_xlfn.XLOOKUP(G26,Data!$D$11:$L$11,Data!$D$1:$L$1,"",-1,1),E26="U10G",_xlfn.XLOOKUP(G26,Data!$D$17:$L$17,Data!$D$1:$L$1,"",-1,1),E26="U12G",_xlfn.XLOOKUP(G26,Data!$D$24:$L$24,Data!$D$1:$L$1,"",-1,1)))</f>
        <v/>
      </c>
      <c r="L26" s="184" t="str" cm="1">
        <f t="array" ref="L26">IFERROR(_xlfn.IFNA(
                      _xlfn.IFS(
                      F26="", "",
                      AND(E26="U10B",G26&gt;=Data!$M$4), "U10 Boys record",
                      AND(E26="U12B",G26&gt;=Data!$M$11), "U12 Boys record",
                      AND(E26="U10G",G26&gt;=Data!$M$17), "U10 Girls record",
                      AND(E26="U12G",G26&gt;=Data!$M$24), "U12 Girls record"
                       ),""), "")</f>
        <v/>
      </c>
      <c r="M26" s="19" cm="1">
        <f t="array" ref="M26">_xlfn.IFS($G26="",0,AND(NOT(ISNUMBER($G26)),LOWER(LEFT($G26,1))&lt;&gt;"n"),"Not a valid distance",OR(LOWER(LEFT($G26,1))="n",$G26&lt;ScoringTable!$P$161),1,RIGHT($E26,1)="B",_xlfn.XLOOKUP($G26,ScoringTable!$P$2:$P$161,ScoringTable!$L$2:$L$161,,-1),TRUE,_xlfn.XLOOKUP($G26,ScoringTable!$V$2:$V$161,ScoringTable!$R$2:$R$161,,-1))</f>
        <v>0</v>
      </c>
    </row>
    <row r="27" spans="1:13" ht="16" customHeight="1">
      <c r="A27" s="82" t="s">
        <v>27</v>
      </c>
      <c r="B27" s="81" t="str">
        <f>IF(ISNA(VLOOKUP($F27,Declarations!B$6:C$293,2,FALSE)),"",IF(VLOOKUP($F27,Declarations!B$6:C$293,2,FALSE)="","NOT DECLARED",IF(ISNA(_xlfn.TEXTBEFORE(VLOOKUP($F27,Declarations!B$6:C$293,2,FALSE)," ")),VLOOKUP($F27,Declarations!B$6:C$293,2,FALSE),_xlfn.TEXTBEFORE(VLOOKUP($F27,Declarations!B$6:C$293,2,FALSE)," "))))</f>
        <v/>
      </c>
      <c r="C27" s="81" t="str">
        <f>IF(ISNA(VLOOKUP($F27,Declarations!B$6:C$293,2,FALSE)),"",IF(VLOOKUP($F27,Declarations!B$6:C$293,2,FALSE)="","NOT DECLARED",IF(ISNA(_xlfn.TEXTAFTER(VLOOKUP($F27,Declarations!B$6:C$293,2,FALSE)," ")),VLOOKUP($F27,Declarations!B$6:C$293,2,FALSE),_xlfn.TEXTAFTER(VLOOKUP($F27,Declarations!B$6:C$293,2,FALSE)," "))))</f>
        <v/>
      </c>
      <c r="D27" s="81" t="str">
        <f>IF(ISNA(VLOOKUP($F27,Declarations!$B$6:$F$293,5,FALSE)),"",IF(VLOOKUP($F27,Declarations!$B$6:$F$293,5,FALSE)="","NOT DECLARED",VLOOKUP($F27,Declarations!$B$6:$F$293,5,FALSE)))</f>
        <v/>
      </c>
      <c r="E27" s="120" t="str">
        <f>IF(ISNA(VLOOKUP($F27,Declarations!$B$6:$D$293,3,FALSE)),"",IF(VLOOKUP($F27,Declarations!$B$6:$D$293,3,FALSE)="","NOT DECLARED",VLOOKUP($F27,Declarations!$B$6:$D$293,3,FALSE)&amp;LEFT(VLOOKUP($F27,Declarations!$B$6:$E$293,4,FALSE))))</f>
        <v/>
      </c>
      <c r="F27" s="21"/>
      <c r="G27" s="22"/>
      <c r="H27" s="322"/>
      <c r="I27" s="8" t="str">
        <f>IF(ISNA(VLOOKUP(F27,Declarations!B$6:C$293,2,FALSE)),"",IF(VLOOKUP(F27,Declarations!B$6:C$293,2,FALSE)="","NOT DECLARED",VLOOKUP(F27,Declarations!B$6:C$293,2,FALSE)))</f>
        <v/>
      </c>
      <c r="J27" s="2">
        <f>IF(LOWER(LEFT(G27,1))="n",1,VLOOKUP(G27,ScoringTable!E$2:I$95,5))</f>
        <v>0</v>
      </c>
      <c r="K27" s="120" t="str" cm="1">
        <f t="array" ref="K27">IF(OR(E27="",G27=""),"",_xlfn.IFS(E27="U10B",_xlfn.XLOOKUP(G27,Data!$D$4:$L$4,Data!$D$1:$L$1,"",-1,1),E27="U12B",_xlfn.XLOOKUP(G27,Data!$D$11:$L$11,Data!$D$1:$L$1,"",-1,1),E27="U10G",_xlfn.XLOOKUP(G27,Data!$D$17:$L$17,Data!$D$1:$L$1,"",-1,1),E27="U12G",_xlfn.XLOOKUP(G27,Data!$D$24:$L$24,Data!$D$1:$L$1,"",-1,1)))</f>
        <v/>
      </c>
      <c r="L27" s="184" t="str" cm="1">
        <f t="array" ref="L27">IFERROR(_xlfn.IFNA(
                      _xlfn.IFS(
                      F27="", "",
                      AND(E27="U10B",G27&gt;=Data!$M$4), "U10 Boys record",
                      AND(E27="U12B",G27&gt;=Data!$M$11), "U12 Boys record",
                      AND(E27="U10G",G27&gt;=Data!$M$17), "U10 Girls record",
                      AND(E27="U12G",G27&gt;=Data!$M$24), "U12 Girls record"
                       ),""), "")</f>
        <v/>
      </c>
      <c r="M27" s="19" cm="1">
        <f t="array" ref="M27">_xlfn.IFS($G27="",0,AND(NOT(ISNUMBER($G27)),LOWER(LEFT($G27,1))&lt;&gt;"n"),"Not a valid distance",OR(LOWER(LEFT($G27,1))="n",$G27&lt;ScoringTable!$P$161),1,RIGHT($E27,1)="B",_xlfn.XLOOKUP($G27,ScoringTable!$P$2:$P$161,ScoringTable!$L$2:$L$161,,-1),TRUE,_xlfn.XLOOKUP($G27,ScoringTable!$V$2:$V$161,ScoringTable!$R$2:$R$161,,-1))</f>
        <v>0</v>
      </c>
    </row>
    <row r="28" spans="1:13" ht="16" customHeight="1">
      <c r="A28" s="82" t="s">
        <v>27</v>
      </c>
      <c r="B28" s="81" t="str">
        <f>IF(ISNA(VLOOKUP($F28,Declarations!B$6:C$293,2,FALSE)),"",IF(VLOOKUP($F28,Declarations!B$6:C$293,2,FALSE)="","NOT DECLARED",IF(ISNA(_xlfn.TEXTBEFORE(VLOOKUP($F28,Declarations!B$6:C$293,2,FALSE)," ")),VLOOKUP($F28,Declarations!B$6:C$293,2,FALSE),_xlfn.TEXTBEFORE(VLOOKUP($F28,Declarations!B$6:C$293,2,FALSE)," "))))</f>
        <v/>
      </c>
      <c r="C28" s="81" t="str">
        <f>IF(ISNA(VLOOKUP($F28,Declarations!B$6:C$293,2,FALSE)),"",IF(VLOOKUP($F28,Declarations!B$6:C$293,2,FALSE)="","NOT DECLARED",IF(ISNA(_xlfn.TEXTAFTER(VLOOKUP($F28,Declarations!B$6:C$293,2,FALSE)," ")),VLOOKUP($F28,Declarations!B$6:C$293,2,FALSE),_xlfn.TEXTAFTER(VLOOKUP($F28,Declarations!B$6:C$293,2,FALSE)," "))))</f>
        <v/>
      </c>
      <c r="D28" s="81" t="str">
        <f>IF(ISNA(VLOOKUP($F28,Declarations!$B$6:$F$293,5,FALSE)),"",IF(VLOOKUP($F28,Declarations!$B$6:$F$293,5,FALSE)="","NOT DECLARED",VLOOKUP($F28,Declarations!$B$6:$F$293,5,FALSE)))</f>
        <v/>
      </c>
      <c r="E28" s="120" t="str">
        <f>IF(ISNA(VLOOKUP($F28,Declarations!$B$6:$D$293,3,FALSE)),"",IF(VLOOKUP($F28,Declarations!$B$6:$D$293,3,FALSE)="","NOT DECLARED",VLOOKUP($F28,Declarations!$B$6:$D$293,3,FALSE)&amp;LEFT(VLOOKUP($F28,Declarations!$B$6:$E$293,4,FALSE))))</f>
        <v/>
      </c>
      <c r="F28" s="21"/>
      <c r="G28" s="22"/>
      <c r="H28" s="322"/>
      <c r="I28" s="8" t="str">
        <f>IF(ISNA(VLOOKUP(F28,Declarations!B$6:C$293,2,FALSE)),"",IF(VLOOKUP(F28,Declarations!B$6:C$293,2,FALSE)="","NOT DECLARED",VLOOKUP(F28,Declarations!B$6:C$293,2,FALSE)))</f>
        <v/>
      </c>
      <c r="J28" s="2">
        <f>IF(LOWER(LEFT(G28,1))="n",1,VLOOKUP(G28,ScoringTable!E$2:I$95,5))</f>
        <v>0</v>
      </c>
      <c r="K28" s="120" t="str" cm="1">
        <f t="array" ref="K28">IF(OR(E28="",G28=""),"",_xlfn.IFS(E28="U10B",_xlfn.XLOOKUP(G28,Data!$D$4:$L$4,Data!$D$1:$L$1,"",-1,1),E28="U12B",_xlfn.XLOOKUP(G28,Data!$D$11:$L$11,Data!$D$1:$L$1,"",-1,1),E28="U10G",_xlfn.XLOOKUP(G28,Data!$D$17:$L$17,Data!$D$1:$L$1,"",-1,1),E28="U12G",_xlfn.XLOOKUP(G28,Data!$D$24:$L$24,Data!$D$1:$L$1,"",-1,1)))</f>
        <v/>
      </c>
      <c r="L28" s="184" t="str" cm="1">
        <f t="array" ref="L28">IFERROR(_xlfn.IFNA(
                      _xlfn.IFS(
                      F28="", "",
                      AND(E28="U10B",G28&gt;=Data!$M$4), "U10 Boys record",
                      AND(E28="U12B",G28&gt;=Data!$M$11), "U12 Boys record",
                      AND(E28="U10G",G28&gt;=Data!$M$17), "U10 Girls record",
                      AND(E28="U12G",G28&gt;=Data!$M$24), "U12 Girls record"
                       ),""), "")</f>
        <v/>
      </c>
      <c r="M28" s="19" cm="1">
        <f t="array" ref="M28">_xlfn.IFS($G28="",0,AND(NOT(ISNUMBER($G28)),LOWER(LEFT($G28,1))&lt;&gt;"n"),"Not a valid distance",OR(LOWER(LEFT($G28,1))="n",$G28&lt;ScoringTable!$P$161),1,RIGHT($E28,1)="B",_xlfn.XLOOKUP($G28,ScoringTable!$P$2:$P$161,ScoringTable!$L$2:$L$161,,-1),TRUE,_xlfn.XLOOKUP($G28,ScoringTable!$V$2:$V$161,ScoringTable!$R$2:$R$161,,-1))</f>
        <v>0</v>
      </c>
    </row>
    <row r="29" spans="1:13" ht="16" customHeight="1">
      <c r="A29" s="82" t="s">
        <v>27</v>
      </c>
      <c r="B29" s="81" t="str">
        <f>IF(ISNA(VLOOKUP($F29,Declarations!B$6:C$293,2,FALSE)),"",IF(VLOOKUP($F29,Declarations!B$6:C$293,2,FALSE)="","NOT DECLARED",IF(ISNA(_xlfn.TEXTBEFORE(VLOOKUP($F29,Declarations!B$6:C$293,2,FALSE)," ")),VLOOKUP($F29,Declarations!B$6:C$293,2,FALSE),_xlfn.TEXTBEFORE(VLOOKUP($F29,Declarations!B$6:C$293,2,FALSE)," "))))</f>
        <v/>
      </c>
      <c r="C29" s="81" t="str">
        <f>IF(ISNA(VLOOKUP($F29,Declarations!B$6:C$293,2,FALSE)),"",IF(VLOOKUP($F29,Declarations!B$6:C$293,2,FALSE)="","NOT DECLARED",IF(ISNA(_xlfn.TEXTAFTER(VLOOKUP($F29,Declarations!B$6:C$293,2,FALSE)," ")),VLOOKUP($F29,Declarations!B$6:C$293,2,FALSE),_xlfn.TEXTAFTER(VLOOKUP($F29,Declarations!B$6:C$293,2,FALSE)," "))))</f>
        <v/>
      </c>
      <c r="D29" s="81" t="str">
        <f>IF(ISNA(VLOOKUP($F29,Declarations!$B$6:$F$293,5,FALSE)),"",IF(VLOOKUP($F29,Declarations!$B$6:$F$293,5,FALSE)="","NOT DECLARED",VLOOKUP($F29,Declarations!$B$6:$F$293,5,FALSE)))</f>
        <v/>
      </c>
      <c r="E29" s="120" t="str">
        <f>IF(ISNA(VLOOKUP($F29,Declarations!$B$6:$D$293,3,FALSE)),"",IF(VLOOKUP($F29,Declarations!$B$6:$D$293,3,FALSE)="","NOT DECLARED",VLOOKUP($F29,Declarations!$B$6:$D$293,3,FALSE)&amp;LEFT(VLOOKUP($F29,Declarations!$B$6:$E$293,4,FALSE))))</f>
        <v/>
      </c>
      <c r="F29" s="21"/>
      <c r="G29" s="22"/>
      <c r="H29" s="322"/>
      <c r="I29" s="8" t="str">
        <f>IF(ISNA(VLOOKUP(F29,Declarations!B$6:C$293,2,FALSE)),"",IF(VLOOKUP(F29,Declarations!B$6:C$293,2,FALSE)="","NOT DECLARED",VLOOKUP(F29,Declarations!B$6:C$293,2,FALSE)))</f>
        <v/>
      </c>
      <c r="J29" s="2">
        <f>IF(LOWER(LEFT(G29,1))="n",1,VLOOKUP(G29,ScoringTable!E$2:I$95,5))</f>
        <v>0</v>
      </c>
      <c r="K29" s="120" t="str" cm="1">
        <f t="array" ref="K29">IF(OR(E29="",G29=""),"",_xlfn.IFS(E29="U10B",_xlfn.XLOOKUP(G29,Data!$D$4:$L$4,Data!$D$1:$L$1,"",-1,1),E29="U12B",_xlfn.XLOOKUP(G29,Data!$D$11:$L$11,Data!$D$1:$L$1,"",-1,1),E29="U10G",_xlfn.XLOOKUP(G29,Data!$D$17:$L$17,Data!$D$1:$L$1,"",-1,1),E29="U12G",_xlfn.XLOOKUP(G29,Data!$D$24:$L$24,Data!$D$1:$L$1,"",-1,1)))</f>
        <v/>
      </c>
      <c r="L29" s="184" t="str" cm="1">
        <f t="array" ref="L29">IFERROR(_xlfn.IFNA(
                      _xlfn.IFS(
                      F29="", "",
                      AND(E29="U10B",G29&gt;=Data!$M$4), "U10 Boys record",
                      AND(E29="U12B",G29&gt;=Data!$M$11), "U12 Boys record",
                      AND(E29="U10G",G29&gt;=Data!$M$17), "U10 Girls record",
                      AND(E29="U12G",G29&gt;=Data!$M$24), "U12 Girls record"
                       ),""), "")</f>
        <v/>
      </c>
      <c r="M29" s="19" cm="1">
        <f t="array" ref="M29">_xlfn.IFS($G29="",0,AND(NOT(ISNUMBER($G29)),LOWER(LEFT($G29,1))&lt;&gt;"n"),"Not a valid distance",OR(LOWER(LEFT($G29,1))="n",$G29&lt;ScoringTable!$P$161),1,RIGHT($E29,1)="B",_xlfn.XLOOKUP($G29,ScoringTable!$P$2:$P$161,ScoringTable!$L$2:$L$161,,-1),TRUE,_xlfn.XLOOKUP($G29,ScoringTable!$V$2:$V$161,ScoringTable!$R$2:$R$161,,-1))</f>
        <v>0</v>
      </c>
    </row>
    <row r="30" spans="1:13" ht="16" customHeight="1">
      <c r="A30" s="82" t="s">
        <v>27</v>
      </c>
      <c r="B30" s="81" t="str">
        <f>IF(ISNA(VLOOKUP($F30,Declarations!B$6:C$293,2,FALSE)),"",IF(VLOOKUP($F30,Declarations!B$6:C$293,2,FALSE)="","NOT DECLARED",IF(ISNA(_xlfn.TEXTBEFORE(VLOOKUP($F30,Declarations!B$6:C$293,2,FALSE)," ")),VLOOKUP($F30,Declarations!B$6:C$293,2,FALSE),_xlfn.TEXTBEFORE(VLOOKUP($F30,Declarations!B$6:C$293,2,FALSE)," "))))</f>
        <v/>
      </c>
      <c r="C30" s="81" t="str">
        <f>IF(ISNA(VLOOKUP($F30,Declarations!B$6:C$293,2,FALSE)),"",IF(VLOOKUP($F30,Declarations!B$6:C$293,2,FALSE)="","NOT DECLARED",IF(ISNA(_xlfn.TEXTAFTER(VLOOKUP($F30,Declarations!B$6:C$293,2,FALSE)," ")),VLOOKUP($F30,Declarations!B$6:C$293,2,FALSE),_xlfn.TEXTAFTER(VLOOKUP($F30,Declarations!B$6:C$293,2,FALSE)," "))))</f>
        <v/>
      </c>
      <c r="D30" s="81" t="str">
        <f>IF(ISNA(VLOOKUP($F30,Declarations!$B$6:$F$293,5,FALSE)),"",IF(VLOOKUP($F30,Declarations!$B$6:$F$293,5,FALSE)="","NOT DECLARED",VLOOKUP($F30,Declarations!$B$6:$F$293,5,FALSE)))</f>
        <v/>
      </c>
      <c r="E30" s="120" t="str">
        <f>IF(ISNA(VLOOKUP($F30,Declarations!$B$6:$D$293,3,FALSE)),"",IF(VLOOKUP($F30,Declarations!$B$6:$D$293,3,FALSE)="","NOT DECLARED",VLOOKUP($F30,Declarations!$B$6:$D$293,3,FALSE)&amp;LEFT(VLOOKUP($F30,Declarations!$B$6:$E$293,4,FALSE))))</f>
        <v/>
      </c>
      <c r="F30" s="21"/>
      <c r="G30" s="22"/>
      <c r="H30" s="322"/>
      <c r="I30" s="8" t="str">
        <f>IF(ISNA(VLOOKUP(F30,Declarations!B$6:C$293,2,FALSE)),"",IF(VLOOKUP(F30,Declarations!B$6:C$293,2,FALSE)="","NOT DECLARED",VLOOKUP(F30,Declarations!B$6:C$293,2,FALSE)))</f>
        <v/>
      </c>
      <c r="J30" s="2">
        <f>IF(LOWER(LEFT(G30,1))="n",1,VLOOKUP(G30,ScoringTable!E$2:I$95,5))</f>
        <v>0</v>
      </c>
      <c r="K30" s="120" t="str" cm="1">
        <f t="array" ref="K30">IF(OR(E30="",G30=""),"",_xlfn.IFS(E30="U10B",_xlfn.XLOOKUP(G30,Data!$D$4:$L$4,Data!$D$1:$L$1,"",-1,1),E30="U12B",_xlfn.XLOOKUP(G30,Data!$D$11:$L$11,Data!$D$1:$L$1,"",-1,1),E30="U10G",_xlfn.XLOOKUP(G30,Data!$D$17:$L$17,Data!$D$1:$L$1,"",-1,1),E30="U12G",_xlfn.XLOOKUP(G30,Data!$D$24:$L$24,Data!$D$1:$L$1,"",-1,1)))</f>
        <v/>
      </c>
      <c r="L30" s="184" t="str" cm="1">
        <f t="array" ref="L30">IFERROR(_xlfn.IFNA(
                      _xlfn.IFS(
                      F30="", "",
                      AND(E30="U10B",G30&gt;=Data!$M$4), "U10 Boys record",
                      AND(E30="U12B",G30&gt;=Data!$M$11), "U12 Boys record",
                      AND(E30="U10G",G30&gt;=Data!$M$17), "U10 Girls record",
                      AND(E30="U12G",G30&gt;=Data!$M$24), "U12 Girls record"
                       ),""), "")</f>
        <v/>
      </c>
      <c r="M30" s="19" cm="1">
        <f t="array" ref="M30">_xlfn.IFS($G30="",0,AND(NOT(ISNUMBER($G30)),LOWER(LEFT($G30,1))&lt;&gt;"n"),"Not a valid distance",OR(LOWER(LEFT($G30,1))="n",$G30&lt;ScoringTable!$P$161),1,RIGHT($E30,1)="B",_xlfn.XLOOKUP($G30,ScoringTable!$P$2:$P$161,ScoringTable!$L$2:$L$161,,-1),TRUE,_xlfn.XLOOKUP($G30,ScoringTable!$V$2:$V$161,ScoringTable!$R$2:$R$161,,-1))</f>
        <v>0</v>
      </c>
    </row>
    <row r="31" spans="1:13" ht="16" customHeight="1">
      <c r="A31" s="82" t="s">
        <v>27</v>
      </c>
      <c r="B31" s="81" t="str">
        <f>IF(ISNA(VLOOKUP($F31,Declarations!B$6:C$293,2,FALSE)),"",IF(VLOOKUP($F31,Declarations!B$6:C$293,2,FALSE)="","NOT DECLARED",IF(ISNA(_xlfn.TEXTBEFORE(VLOOKUP($F31,Declarations!B$6:C$293,2,FALSE)," ")),VLOOKUP($F31,Declarations!B$6:C$293,2,FALSE),_xlfn.TEXTBEFORE(VLOOKUP($F31,Declarations!B$6:C$293,2,FALSE)," "))))</f>
        <v/>
      </c>
      <c r="C31" s="81" t="str">
        <f>IF(ISNA(VLOOKUP($F31,Declarations!B$6:C$293,2,FALSE)),"",IF(VLOOKUP($F31,Declarations!B$6:C$293,2,FALSE)="","NOT DECLARED",IF(ISNA(_xlfn.TEXTAFTER(VLOOKUP($F31,Declarations!B$6:C$293,2,FALSE)," ")),VLOOKUP($F31,Declarations!B$6:C$293,2,FALSE),_xlfn.TEXTAFTER(VLOOKUP($F31,Declarations!B$6:C$293,2,FALSE)," "))))</f>
        <v/>
      </c>
      <c r="D31" s="81" t="str">
        <f>IF(ISNA(VLOOKUP($F31,Declarations!$B$6:$F$293,5,FALSE)),"",IF(VLOOKUP($F31,Declarations!$B$6:$F$293,5,FALSE)="","NOT DECLARED",VLOOKUP($F31,Declarations!$B$6:$F$293,5,FALSE)))</f>
        <v/>
      </c>
      <c r="E31" s="120" t="str">
        <f>IF(ISNA(VLOOKUP($F31,Declarations!$B$6:$D$293,3,FALSE)),"",IF(VLOOKUP($F31,Declarations!$B$6:$D$293,3,FALSE)="","NOT DECLARED",VLOOKUP($F31,Declarations!$B$6:$D$293,3,FALSE)&amp;LEFT(VLOOKUP($F31,Declarations!$B$6:$E$293,4,FALSE))))</f>
        <v/>
      </c>
      <c r="F31" s="21"/>
      <c r="G31" s="22"/>
      <c r="H31" s="322"/>
      <c r="I31" s="8" t="str">
        <f>IF(ISNA(VLOOKUP(F31,Declarations!B$6:C$293,2,FALSE)),"",IF(VLOOKUP(F31,Declarations!B$6:C$293,2,FALSE)="","NOT DECLARED",VLOOKUP(F31,Declarations!B$6:C$293,2,FALSE)))</f>
        <v/>
      </c>
      <c r="J31" s="2">
        <f>IF(LOWER(LEFT(G31,1))="n",1,VLOOKUP(G31,ScoringTable!E$2:I$95,5))</f>
        <v>0</v>
      </c>
      <c r="K31" s="120" t="str" cm="1">
        <f t="array" ref="K31">IF(OR(E31="",G31=""),"",_xlfn.IFS(E31="U10B",_xlfn.XLOOKUP(G31,Data!$D$4:$L$4,Data!$D$1:$L$1,"",-1,1),E31="U12B",_xlfn.XLOOKUP(G31,Data!$D$11:$L$11,Data!$D$1:$L$1,"",-1,1),E31="U10G",_xlfn.XLOOKUP(G31,Data!$D$17:$L$17,Data!$D$1:$L$1,"",-1,1),E31="U12G",_xlfn.XLOOKUP(G31,Data!$D$24:$L$24,Data!$D$1:$L$1,"",-1,1)))</f>
        <v/>
      </c>
      <c r="L31" s="184" t="str" cm="1">
        <f t="array" ref="L31">IFERROR(_xlfn.IFNA(
                      _xlfn.IFS(
                      F31="", "",
                      AND(E31="U10B",G31&gt;=Data!$M$4), "U10 Boys record",
                      AND(E31="U12B",G31&gt;=Data!$M$11), "U12 Boys record",
                      AND(E31="U10G",G31&gt;=Data!$M$17), "U10 Girls record",
                      AND(E31="U12G",G31&gt;=Data!$M$24), "U12 Girls record"
                       ),""), "")</f>
        <v/>
      </c>
      <c r="M31" s="19" cm="1">
        <f t="array" ref="M31">_xlfn.IFS($G31="",0,AND(NOT(ISNUMBER($G31)),LOWER(LEFT($G31,1))&lt;&gt;"n"),"Not a valid distance",OR(LOWER(LEFT($G31,1))="n",$G31&lt;ScoringTable!$P$161),1,RIGHT($E31,1)="B",_xlfn.XLOOKUP($G31,ScoringTable!$P$2:$P$161,ScoringTable!$L$2:$L$161,,-1),TRUE,_xlfn.XLOOKUP($G31,ScoringTable!$V$2:$V$161,ScoringTable!$R$2:$R$161,,-1))</f>
        <v>0</v>
      </c>
    </row>
    <row r="32" spans="1:13" ht="16" customHeight="1">
      <c r="A32" s="82" t="s">
        <v>27</v>
      </c>
      <c r="B32" s="81" t="str">
        <f>IF(ISNA(VLOOKUP($F32,Declarations!B$6:C$293,2,FALSE)),"",IF(VLOOKUP($F32,Declarations!B$6:C$293,2,FALSE)="","NOT DECLARED",IF(ISNA(_xlfn.TEXTBEFORE(VLOOKUP($F32,Declarations!B$6:C$293,2,FALSE)," ")),VLOOKUP($F32,Declarations!B$6:C$293,2,FALSE),_xlfn.TEXTBEFORE(VLOOKUP($F32,Declarations!B$6:C$293,2,FALSE)," "))))</f>
        <v/>
      </c>
      <c r="C32" s="81" t="str">
        <f>IF(ISNA(VLOOKUP($F32,Declarations!B$6:C$293,2,FALSE)),"",IF(VLOOKUP($F32,Declarations!B$6:C$293,2,FALSE)="","NOT DECLARED",IF(ISNA(_xlfn.TEXTAFTER(VLOOKUP($F32,Declarations!B$6:C$293,2,FALSE)," ")),VLOOKUP($F32,Declarations!B$6:C$293,2,FALSE),_xlfn.TEXTAFTER(VLOOKUP($F32,Declarations!B$6:C$293,2,FALSE)," "))))</f>
        <v/>
      </c>
      <c r="D32" s="81" t="str">
        <f>IF(ISNA(VLOOKUP($F32,Declarations!$B$6:$F$293,5,FALSE)),"",IF(VLOOKUP($F32,Declarations!$B$6:$F$293,5,FALSE)="","NOT DECLARED",VLOOKUP($F32,Declarations!$B$6:$F$293,5,FALSE)))</f>
        <v/>
      </c>
      <c r="E32" s="120" t="str">
        <f>IF(ISNA(VLOOKUP($F32,Declarations!$B$6:$D$293,3,FALSE)),"",IF(VLOOKUP($F32,Declarations!$B$6:$D$293,3,FALSE)="","NOT DECLARED",VLOOKUP($F32,Declarations!$B$6:$D$293,3,FALSE)&amp;LEFT(VLOOKUP($F32,Declarations!$B$6:$E$293,4,FALSE))))</f>
        <v/>
      </c>
      <c r="F32" s="21"/>
      <c r="G32" s="22"/>
      <c r="H32" s="322"/>
      <c r="I32" s="8" t="str">
        <f>IF(ISNA(VLOOKUP(F32,Declarations!B$6:C$293,2,FALSE)),"",IF(VLOOKUP(F32,Declarations!B$6:C$293,2,FALSE)="","NOT DECLARED",VLOOKUP(F32,Declarations!B$6:C$293,2,FALSE)))</f>
        <v/>
      </c>
      <c r="J32" s="2">
        <f>IF(LOWER(LEFT(G32,1))="n",1,VLOOKUP(G32,ScoringTable!E$2:I$95,5))</f>
        <v>0</v>
      </c>
      <c r="K32" s="120" t="str" cm="1">
        <f t="array" ref="K32">IF(OR(E32="",G32=""),"",_xlfn.IFS(E32="U10B",_xlfn.XLOOKUP(G32,Data!$D$4:$L$4,Data!$D$1:$L$1,"",-1,1),E32="U12B",_xlfn.XLOOKUP(G32,Data!$D$11:$L$11,Data!$D$1:$L$1,"",-1,1),E32="U10G",_xlfn.XLOOKUP(G32,Data!$D$17:$L$17,Data!$D$1:$L$1,"",-1,1),E32="U12G",_xlfn.XLOOKUP(G32,Data!$D$24:$L$24,Data!$D$1:$L$1,"",-1,1)))</f>
        <v/>
      </c>
      <c r="L32" s="184" t="str" cm="1">
        <f t="array" ref="L32">IFERROR(_xlfn.IFNA(
                      _xlfn.IFS(
                      F32="", "",
                      AND(E32="U10B",G32&gt;=Data!$M$4), "U10 Boys record",
                      AND(E32="U12B",G32&gt;=Data!$M$11), "U12 Boys record",
                      AND(E32="U10G",G32&gt;=Data!$M$17), "U10 Girls record",
                      AND(E32="U12G",G32&gt;=Data!$M$24), "U12 Girls record"
                       ),""), "")</f>
        <v/>
      </c>
      <c r="M32" s="19" cm="1">
        <f t="array" ref="M32">_xlfn.IFS($G32="",0,AND(NOT(ISNUMBER($G32)),LOWER(LEFT($G32,1))&lt;&gt;"n"),"Not a valid distance",OR(LOWER(LEFT($G32,1))="n",$G32&lt;ScoringTable!$P$161),1,RIGHT($E32,1)="B",_xlfn.XLOOKUP($G32,ScoringTable!$P$2:$P$161,ScoringTable!$L$2:$L$161,,-1),TRUE,_xlfn.XLOOKUP($G32,ScoringTable!$V$2:$V$161,ScoringTable!$R$2:$R$161,,-1))</f>
        <v>0</v>
      </c>
    </row>
    <row r="33" spans="1:13" ht="16" customHeight="1">
      <c r="A33" s="82" t="s">
        <v>27</v>
      </c>
      <c r="B33" s="81" t="str">
        <f>IF(ISNA(VLOOKUP($F33,Declarations!B$6:C$293,2,FALSE)),"",IF(VLOOKUP($F33,Declarations!B$6:C$293,2,FALSE)="","NOT DECLARED",IF(ISNA(_xlfn.TEXTBEFORE(VLOOKUP($F33,Declarations!B$6:C$293,2,FALSE)," ")),VLOOKUP($F33,Declarations!B$6:C$293,2,FALSE),_xlfn.TEXTBEFORE(VLOOKUP($F33,Declarations!B$6:C$293,2,FALSE)," "))))</f>
        <v/>
      </c>
      <c r="C33" s="81" t="str">
        <f>IF(ISNA(VLOOKUP($F33,Declarations!B$6:C$293,2,FALSE)),"",IF(VLOOKUP($F33,Declarations!B$6:C$293,2,FALSE)="","NOT DECLARED",IF(ISNA(_xlfn.TEXTAFTER(VLOOKUP($F33,Declarations!B$6:C$293,2,FALSE)," ")),VLOOKUP($F33,Declarations!B$6:C$293,2,FALSE),_xlfn.TEXTAFTER(VLOOKUP($F33,Declarations!B$6:C$293,2,FALSE)," "))))</f>
        <v/>
      </c>
      <c r="D33" s="81" t="str">
        <f>IF(ISNA(VLOOKUP($F33,Declarations!$B$6:$F$293,5,FALSE)),"",IF(VLOOKUP($F33,Declarations!$B$6:$F$293,5,FALSE)="","NOT DECLARED",VLOOKUP($F33,Declarations!$B$6:$F$293,5,FALSE)))</f>
        <v/>
      </c>
      <c r="E33" s="120" t="str">
        <f>IF(ISNA(VLOOKUP($F33,Declarations!$B$6:$D$293,3,FALSE)),"",IF(VLOOKUP($F33,Declarations!$B$6:$D$293,3,FALSE)="","NOT DECLARED",VLOOKUP($F33,Declarations!$B$6:$D$293,3,FALSE)&amp;LEFT(VLOOKUP($F33,Declarations!$B$6:$E$293,4,FALSE))))</f>
        <v/>
      </c>
      <c r="F33" s="21"/>
      <c r="G33" s="22"/>
      <c r="H33" s="322"/>
      <c r="I33" s="8" t="str">
        <f>IF(ISNA(VLOOKUP(F33,Declarations!B$6:C$293,2,FALSE)),"",IF(VLOOKUP(F33,Declarations!B$6:C$293,2,FALSE)="","NOT DECLARED",VLOOKUP(F33,Declarations!B$6:C$293,2,FALSE)))</f>
        <v/>
      </c>
      <c r="J33" s="2">
        <f>IF(LOWER(LEFT(G33,1))="n",1,VLOOKUP(G33,ScoringTable!E$2:I$95,5))</f>
        <v>0</v>
      </c>
      <c r="K33" s="120" t="str" cm="1">
        <f t="array" ref="K33">IF(OR(E33="",G33=""),"",_xlfn.IFS(E33="U10B",_xlfn.XLOOKUP(G33,Data!$D$4:$L$4,Data!$D$1:$L$1,"",-1,1),E33="U12B",_xlfn.XLOOKUP(G33,Data!$D$11:$L$11,Data!$D$1:$L$1,"",-1,1),E33="U10G",_xlfn.XLOOKUP(G33,Data!$D$17:$L$17,Data!$D$1:$L$1,"",-1,1),E33="U12G",_xlfn.XLOOKUP(G33,Data!$D$24:$L$24,Data!$D$1:$L$1,"",-1,1)))</f>
        <v/>
      </c>
      <c r="L33" s="184" t="str" cm="1">
        <f t="array" ref="L33">IFERROR(_xlfn.IFNA(
                      _xlfn.IFS(
                      F33="", "",
                      AND(E33="U10B",G33&gt;=Data!$M$4), "U10 Boys record",
                      AND(E33="U12B",G33&gt;=Data!$M$11), "U12 Boys record",
                      AND(E33="U10G",G33&gt;=Data!$M$17), "U10 Girls record",
                      AND(E33="U12G",G33&gt;=Data!$M$24), "U12 Girls record"
                       ),""), "")</f>
        <v/>
      </c>
      <c r="M33" s="19" cm="1">
        <f t="array" ref="M33">_xlfn.IFS($G33="",0,AND(NOT(ISNUMBER($G33)),LOWER(LEFT($G33,1))&lt;&gt;"n"),"Not a valid distance",OR(LOWER(LEFT($G33,1))="n",$G33&lt;ScoringTable!$P$161),1,RIGHT($E33,1)="B",_xlfn.XLOOKUP($G33,ScoringTable!$P$2:$P$161,ScoringTable!$L$2:$L$161,,-1),TRUE,_xlfn.XLOOKUP($G33,ScoringTable!$V$2:$V$161,ScoringTable!$R$2:$R$161,,-1))</f>
        <v>0</v>
      </c>
    </row>
    <row r="34" spans="1:13" ht="16" customHeight="1">
      <c r="A34" s="82" t="s">
        <v>27</v>
      </c>
      <c r="B34" s="81" t="str">
        <f>IF(ISNA(VLOOKUP($F34,Declarations!B$6:C$293,2,FALSE)),"",IF(VLOOKUP($F34,Declarations!B$6:C$293,2,FALSE)="","NOT DECLARED",IF(ISNA(_xlfn.TEXTBEFORE(VLOOKUP($F34,Declarations!B$6:C$293,2,FALSE)," ")),VLOOKUP($F34,Declarations!B$6:C$293,2,FALSE),_xlfn.TEXTBEFORE(VLOOKUP($F34,Declarations!B$6:C$293,2,FALSE)," "))))</f>
        <v/>
      </c>
      <c r="C34" s="81" t="str">
        <f>IF(ISNA(VLOOKUP($F34,Declarations!B$6:C$293,2,FALSE)),"",IF(VLOOKUP($F34,Declarations!B$6:C$293,2,FALSE)="","NOT DECLARED",IF(ISNA(_xlfn.TEXTAFTER(VLOOKUP($F34,Declarations!B$6:C$293,2,FALSE)," ")),VLOOKUP($F34,Declarations!B$6:C$293,2,FALSE),_xlfn.TEXTAFTER(VLOOKUP($F34,Declarations!B$6:C$293,2,FALSE)," "))))</f>
        <v/>
      </c>
      <c r="D34" s="81" t="str">
        <f>IF(ISNA(VLOOKUP($F34,Declarations!$B$6:$F$293,5,FALSE)),"",IF(VLOOKUP($F34,Declarations!$B$6:$F$293,5,FALSE)="","NOT DECLARED",VLOOKUP($F34,Declarations!$B$6:$F$293,5,FALSE)))</f>
        <v/>
      </c>
      <c r="E34" s="120" t="str">
        <f>IF(ISNA(VLOOKUP($F34,Declarations!$B$6:$D$293,3,FALSE)),"",IF(VLOOKUP($F34,Declarations!$B$6:$D$293,3,FALSE)="","NOT DECLARED",VLOOKUP($F34,Declarations!$B$6:$D$293,3,FALSE)&amp;LEFT(VLOOKUP($F34,Declarations!$B$6:$E$293,4,FALSE))))</f>
        <v/>
      </c>
      <c r="F34" s="21"/>
      <c r="G34" s="22"/>
      <c r="H34" s="322"/>
      <c r="I34" s="8" t="str">
        <f>IF(ISNA(VLOOKUP(F34,Declarations!B$6:C$293,2,FALSE)),"",IF(VLOOKUP(F34,Declarations!B$6:C$293,2,FALSE)="","NOT DECLARED",VLOOKUP(F34,Declarations!B$6:C$293,2,FALSE)))</f>
        <v/>
      </c>
      <c r="J34" s="2">
        <f>IF(LOWER(LEFT(G34,1))="n",1,VLOOKUP(G34,ScoringTable!E$2:I$95,5))</f>
        <v>0</v>
      </c>
      <c r="K34" s="120" t="str" cm="1">
        <f t="array" ref="K34">IF(OR(E34="",G34=""),"",_xlfn.IFS(E34="U10B",_xlfn.XLOOKUP(G34,Data!$D$4:$L$4,Data!$D$1:$L$1,"",-1,1),E34="U12B",_xlfn.XLOOKUP(G34,Data!$D$11:$L$11,Data!$D$1:$L$1,"",-1,1),E34="U10G",_xlfn.XLOOKUP(G34,Data!$D$17:$L$17,Data!$D$1:$L$1,"",-1,1),E34="U12G",_xlfn.XLOOKUP(G34,Data!$D$24:$L$24,Data!$D$1:$L$1,"",-1,1)))</f>
        <v/>
      </c>
      <c r="L34" s="184" t="str" cm="1">
        <f t="array" ref="L34">IFERROR(_xlfn.IFNA(
                      _xlfn.IFS(
                      F34="", "",
                      AND(E34="U10B",G34&gt;=Data!$M$4), "U10 Boys record",
                      AND(E34="U12B",G34&gt;=Data!$M$11), "U12 Boys record",
                      AND(E34="U10G",G34&gt;=Data!$M$17), "U10 Girls record",
                      AND(E34="U12G",G34&gt;=Data!$M$24), "U12 Girls record"
                       ),""), "")</f>
        <v/>
      </c>
      <c r="M34" s="19" cm="1">
        <f t="array" ref="M34">_xlfn.IFS($G34="",0,AND(NOT(ISNUMBER($G34)),LOWER(LEFT($G34,1))&lt;&gt;"n"),"Not a valid distance",OR(LOWER(LEFT($G34,1))="n",$G34&lt;ScoringTable!$P$161),1,RIGHT($E34,1)="B",_xlfn.XLOOKUP($G34,ScoringTable!$P$2:$P$161,ScoringTable!$L$2:$L$161,,-1),TRUE,_xlfn.XLOOKUP($G34,ScoringTable!$V$2:$V$161,ScoringTable!$R$2:$R$161,,-1))</f>
        <v>0</v>
      </c>
    </row>
    <row r="35" spans="1:13" ht="16" customHeight="1">
      <c r="A35" s="82" t="s">
        <v>27</v>
      </c>
      <c r="B35" s="81" t="str">
        <f>IF(ISNA(VLOOKUP($F35,Declarations!B$6:C$293,2,FALSE)),"",IF(VLOOKUP($F35,Declarations!B$6:C$293,2,FALSE)="","NOT DECLARED",IF(ISNA(_xlfn.TEXTBEFORE(VLOOKUP($F35,Declarations!B$6:C$293,2,FALSE)," ")),VLOOKUP($F35,Declarations!B$6:C$293,2,FALSE),_xlfn.TEXTBEFORE(VLOOKUP($F35,Declarations!B$6:C$293,2,FALSE)," "))))</f>
        <v/>
      </c>
      <c r="C35" s="81" t="str">
        <f>IF(ISNA(VLOOKUP($F35,Declarations!B$6:C$293,2,FALSE)),"",IF(VLOOKUP($F35,Declarations!B$6:C$293,2,FALSE)="","NOT DECLARED",IF(ISNA(_xlfn.TEXTAFTER(VLOOKUP($F35,Declarations!B$6:C$293,2,FALSE)," ")),VLOOKUP($F35,Declarations!B$6:C$293,2,FALSE),_xlfn.TEXTAFTER(VLOOKUP($F35,Declarations!B$6:C$293,2,FALSE)," "))))</f>
        <v/>
      </c>
      <c r="D35" s="81" t="str">
        <f>IF(ISNA(VLOOKUP($F35,Declarations!$B$6:$F$293,5,FALSE)),"",IF(VLOOKUP($F35,Declarations!$B$6:$F$293,5,FALSE)="","NOT DECLARED",VLOOKUP($F35,Declarations!$B$6:$F$293,5,FALSE)))</f>
        <v/>
      </c>
      <c r="E35" s="120" t="str">
        <f>IF(ISNA(VLOOKUP($F35,Declarations!$B$6:$D$293,3,FALSE)),"",IF(VLOOKUP($F35,Declarations!$B$6:$D$293,3,FALSE)="","NOT DECLARED",VLOOKUP($F35,Declarations!$B$6:$D$293,3,FALSE)&amp;LEFT(VLOOKUP($F35,Declarations!$B$6:$E$293,4,FALSE))))</f>
        <v/>
      </c>
      <c r="F35" s="21"/>
      <c r="G35" s="22"/>
      <c r="H35" s="322"/>
      <c r="I35" s="8" t="str">
        <f>IF(ISNA(VLOOKUP(F35,Declarations!B$6:C$293,2,FALSE)),"",IF(VLOOKUP(F35,Declarations!B$6:C$293,2,FALSE)="","NOT DECLARED",VLOOKUP(F35,Declarations!B$6:C$293,2,FALSE)))</f>
        <v/>
      </c>
      <c r="J35" s="2">
        <f>IF(LOWER(LEFT(G35,1))="n",1,VLOOKUP(G35,ScoringTable!E$2:I$95,5))</f>
        <v>0</v>
      </c>
      <c r="K35" s="120" t="str" cm="1">
        <f t="array" ref="K35">IF(OR(E35="",G35=""),"",_xlfn.IFS(E35="U10B",_xlfn.XLOOKUP(G35,Data!$D$4:$L$4,Data!$D$1:$L$1,"",-1,1),E35="U12B",_xlfn.XLOOKUP(G35,Data!$D$11:$L$11,Data!$D$1:$L$1,"",-1,1),E35="U10G",_xlfn.XLOOKUP(G35,Data!$D$17:$L$17,Data!$D$1:$L$1,"",-1,1),E35="U12G",_xlfn.XLOOKUP(G35,Data!$D$24:$L$24,Data!$D$1:$L$1,"",-1,1)))</f>
        <v/>
      </c>
      <c r="L35" s="184" t="str" cm="1">
        <f t="array" ref="L35">IFERROR(_xlfn.IFNA(
                      _xlfn.IFS(
                      F35="", "",
                      AND(E35="U10B",G35&gt;=Data!$M$4), "U10 Boys record",
                      AND(E35="U12B",G35&gt;=Data!$M$11), "U12 Boys record",
                      AND(E35="U10G",G35&gt;=Data!$M$17), "U10 Girls record",
                      AND(E35="U12G",G35&gt;=Data!$M$24), "U12 Girls record"
                       ),""), "")</f>
        <v/>
      </c>
      <c r="M35" s="19" cm="1">
        <f t="array" ref="M35">_xlfn.IFS($G35="",0,AND(NOT(ISNUMBER($G35)),LOWER(LEFT($G35,1))&lt;&gt;"n"),"Not a valid distance",OR(LOWER(LEFT($G35,1))="n",$G35&lt;ScoringTable!$P$161),1,RIGHT($E35,1)="B",_xlfn.XLOOKUP($G35,ScoringTable!$P$2:$P$161,ScoringTable!$L$2:$L$161,,-1),TRUE,_xlfn.XLOOKUP($G35,ScoringTable!$V$2:$V$161,ScoringTable!$R$2:$R$161,,-1))</f>
        <v>0</v>
      </c>
    </row>
    <row r="36" spans="1:13" ht="16" customHeight="1">
      <c r="A36" s="82" t="s">
        <v>27</v>
      </c>
      <c r="B36" s="81" t="str">
        <f>IF(ISNA(VLOOKUP($F36,Declarations!B$6:C$293,2,FALSE)),"",IF(VLOOKUP($F36,Declarations!B$6:C$293,2,FALSE)="","NOT DECLARED",IF(ISNA(_xlfn.TEXTBEFORE(VLOOKUP($F36,Declarations!B$6:C$293,2,FALSE)," ")),VLOOKUP($F36,Declarations!B$6:C$293,2,FALSE),_xlfn.TEXTBEFORE(VLOOKUP($F36,Declarations!B$6:C$293,2,FALSE)," "))))</f>
        <v/>
      </c>
      <c r="C36" s="81" t="str">
        <f>IF(ISNA(VLOOKUP($F36,Declarations!B$6:C$293,2,FALSE)),"",IF(VLOOKUP($F36,Declarations!B$6:C$293,2,FALSE)="","NOT DECLARED",IF(ISNA(_xlfn.TEXTAFTER(VLOOKUP($F36,Declarations!B$6:C$293,2,FALSE)," ")),VLOOKUP($F36,Declarations!B$6:C$293,2,FALSE),_xlfn.TEXTAFTER(VLOOKUP($F36,Declarations!B$6:C$293,2,FALSE)," "))))</f>
        <v/>
      </c>
      <c r="D36" s="81" t="str">
        <f>IF(ISNA(VLOOKUP($F36,Declarations!$B$6:$F$293,5,FALSE)),"",IF(VLOOKUP($F36,Declarations!$B$6:$F$293,5,FALSE)="","NOT DECLARED",VLOOKUP($F36,Declarations!$B$6:$F$293,5,FALSE)))</f>
        <v/>
      </c>
      <c r="E36" s="120" t="str">
        <f>IF(ISNA(VLOOKUP($F36,Declarations!$B$6:$D$293,3,FALSE)),"",IF(VLOOKUP($F36,Declarations!$B$6:$D$293,3,FALSE)="","NOT DECLARED",VLOOKUP($F36,Declarations!$B$6:$D$293,3,FALSE)&amp;LEFT(VLOOKUP($F36,Declarations!$B$6:$E$293,4,FALSE))))</f>
        <v/>
      </c>
      <c r="F36" s="21"/>
      <c r="G36" s="22"/>
      <c r="H36" s="322"/>
      <c r="I36" s="8" t="str">
        <f>IF(ISNA(VLOOKUP(F36,Declarations!B$6:C$293,2,FALSE)),"",IF(VLOOKUP(F36,Declarations!B$6:C$293,2,FALSE)="","NOT DECLARED",VLOOKUP(F36,Declarations!B$6:C$293,2,FALSE)))</f>
        <v/>
      </c>
      <c r="J36" s="2">
        <f>IF(LOWER(LEFT(G36,1))="n",1,VLOOKUP(G36,ScoringTable!E$2:I$95,5))</f>
        <v>0</v>
      </c>
      <c r="K36" s="120" t="str" cm="1">
        <f t="array" ref="K36">IF(OR(E36="",G36=""),"",_xlfn.IFS(E36="U10B",_xlfn.XLOOKUP(G36,Data!$D$4:$L$4,Data!$D$1:$L$1,"",-1,1),E36="U12B",_xlfn.XLOOKUP(G36,Data!$D$11:$L$11,Data!$D$1:$L$1,"",-1,1),E36="U10G",_xlfn.XLOOKUP(G36,Data!$D$17:$L$17,Data!$D$1:$L$1,"",-1,1),E36="U12G",_xlfn.XLOOKUP(G36,Data!$D$24:$L$24,Data!$D$1:$L$1,"",-1,1)))</f>
        <v/>
      </c>
      <c r="L36" s="184" t="str" cm="1">
        <f t="array" ref="L36">IFERROR(_xlfn.IFNA(
                      _xlfn.IFS(
                      F36="", "",
                      AND(E36="U10B",G36&gt;=Data!$M$4), "U10 Boys record",
                      AND(E36="U12B",G36&gt;=Data!$M$11), "U12 Boys record",
                      AND(E36="U10G",G36&gt;=Data!$M$17), "U10 Girls record",
                      AND(E36="U12G",G36&gt;=Data!$M$24), "U12 Girls record"
                       ),""), "")</f>
        <v/>
      </c>
      <c r="M36" s="19" cm="1">
        <f t="array" ref="M36">_xlfn.IFS($G36="",0,AND(NOT(ISNUMBER($G36)),LOWER(LEFT($G36,1))&lt;&gt;"n"),"Not a valid distance",OR(LOWER(LEFT($G36,1))="n",$G36&lt;ScoringTable!$P$161),1,RIGHT($E36,1)="B",_xlfn.XLOOKUP($G36,ScoringTable!$P$2:$P$161,ScoringTable!$L$2:$L$161,,-1),TRUE,_xlfn.XLOOKUP($G36,ScoringTable!$V$2:$V$161,ScoringTable!$R$2:$R$161,,-1))</f>
        <v>0</v>
      </c>
    </row>
    <row r="37" spans="1:13" ht="16" customHeight="1">
      <c r="A37" s="82" t="s">
        <v>27</v>
      </c>
      <c r="B37" s="81" t="str">
        <f>IF(ISNA(VLOOKUP($F37,Declarations!B$6:C$293,2,FALSE)),"",IF(VLOOKUP($F37,Declarations!B$6:C$293,2,FALSE)="","NOT DECLARED",IF(ISNA(_xlfn.TEXTBEFORE(VLOOKUP($F37,Declarations!B$6:C$293,2,FALSE)," ")),VLOOKUP($F37,Declarations!B$6:C$293,2,FALSE),_xlfn.TEXTBEFORE(VLOOKUP($F37,Declarations!B$6:C$293,2,FALSE)," "))))</f>
        <v/>
      </c>
      <c r="C37" s="81" t="str">
        <f>IF(ISNA(VLOOKUP($F37,Declarations!B$6:C$293,2,FALSE)),"",IF(VLOOKUP($F37,Declarations!B$6:C$293,2,FALSE)="","NOT DECLARED",IF(ISNA(_xlfn.TEXTAFTER(VLOOKUP($F37,Declarations!B$6:C$293,2,FALSE)," ")),VLOOKUP($F37,Declarations!B$6:C$293,2,FALSE),_xlfn.TEXTAFTER(VLOOKUP($F37,Declarations!B$6:C$293,2,FALSE)," "))))</f>
        <v/>
      </c>
      <c r="D37" s="81" t="str">
        <f>IF(ISNA(VLOOKUP($F37,Declarations!$B$6:$F$293,5,FALSE)),"",IF(VLOOKUP($F37,Declarations!$B$6:$F$293,5,FALSE)="","NOT DECLARED",VLOOKUP($F37,Declarations!$B$6:$F$293,5,FALSE)))</f>
        <v/>
      </c>
      <c r="E37" s="120" t="str">
        <f>IF(ISNA(VLOOKUP($F37,Declarations!$B$6:$D$293,3,FALSE)),"",IF(VLOOKUP($F37,Declarations!$B$6:$D$293,3,FALSE)="","NOT DECLARED",VLOOKUP($F37,Declarations!$B$6:$D$293,3,FALSE)&amp;LEFT(VLOOKUP($F37,Declarations!$B$6:$E$293,4,FALSE))))</f>
        <v/>
      </c>
      <c r="F37" s="21"/>
      <c r="G37" s="22"/>
      <c r="H37" s="322"/>
      <c r="I37" s="8" t="str">
        <f>IF(ISNA(VLOOKUP(F37,Declarations!B$6:C$293,2,FALSE)),"",IF(VLOOKUP(F37,Declarations!B$6:C$293,2,FALSE)="","NOT DECLARED",VLOOKUP(F37,Declarations!B$6:C$293,2,FALSE)))</f>
        <v/>
      </c>
      <c r="J37" s="2">
        <f>IF(LOWER(LEFT(G37,1))="n",1,VLOOKUP(G37,ScoringTable!E$2:I$95,5))</f>
        <v>0</v>
      </c>
      <c r="K37" s="120" t="str" cm="1">
        <f t="array" ref="K37">IF(OR(E37="",G37=""),"",_xlfn.IFS(E37="U10B",_xlfn.XLOOKUP(G37,Data!$D$4:$L$4,Data!$D$1:$L$1,"",-1,1),E37="U12B",_xlfn.XLOOKUP(G37,Data!$D$11:$L$11,Data!$D$1:$L$1,"",-1,1),E37="U10G",_xlfn.XLOOKUP(G37,Data!$D$17:$L$17,Data!$D$1:$L$1,"",-1,1),E37="U12G",_xlfn.XLOOKUP(G37,Data!$D$24:$L$24,Data!$D$1:$L$1,"",-1,1)))</f>
        <v/>
      </c>
      <c r="L37" s="184" t="str" cm="1">
        <f t="array" ref="L37">IFERROR(_xlfn.IFNA(
                      _xlfn.IFS(
                      F37="", "",
                      AND(E37="U10B",G37&gt;=Data!$M$4), "U10 Boys record",
                      AND(E37="U12B",G37&gt;=Data!$M$11), "U12 Boys record",
                      AND(E37="U10G",G37&gt;=Data!$M$17), "U10 Girls record",
                      AND(E37="U12G",G37&gt;=Data!$M$24), "U12 Girls record"
                       ),""), "")</f>
        <v/>
      </c>
      <c r="M37" s="19" cm="1">
        <f t="array" ref="M37">_xlfn.IFS($G37="",0,AND(NOT(ISNUMBER($G37)),LOWER(LEFT($G37,1))&lt;&gt;"n"),"Not a valid distance",OR(LOWER(LEFT($G37,1))="n",$G37&lt;ScoringTable!$P$161),1,RIGHT($E37,1)="B",_xlfn.XLOOKUP($G37,ScoringTable!$P$2:$P$161,ScoringTable!$L$2:$L$161,,-1),TRUE,_xlfn.XLOOKUP($G37,ScoringTable!$V$2:$V$161,ScoringTable!$R$2:$R$161,,-1))</f>
        <v>0</v>
      </c>
    </row>
    <row r="38" spans="1:13" ht="16" customHeight="1">
      <c r="A38" s="82" t="s">
        <v>27</v>
      </c>
      <c r="B38" s="81" t="str">
        <f>IF(ISNA(VLOOKUP($F38,Declarations!B$6:C$293,2,FALSE)),"",IF(VLOOKUP($F38,Declarations!B$6:C$293,2,FALSE)="","NOT DECLARED",IF(ISNA(_xlfn.TEXTBEFORE(VLOOKUP($F38,Declarations!B$6:C$293,2,FALSE)," ")),VLOOKUP($F38,Declarations!B$6:C$293,2,FALSE),_xlfn.TEXTBEFORE(VLOOKUP($F38,Declarations!B$6:C$293,2,FALSE)," "))))</f>
        <v/>
      </c>
      <c r="C38" s="81" t="str">
        <f>IF(ISNA(VLOOKUP($F38,Declarations!B$6:C$293,2,FALSE)),"",IF(VLOOKUP($F38,Declarations!B$6:C$293,2,FALSE)="","NOT DECLARED",IF(ISNA(_xlfn.TEXTAFTER(VLOOKUP($F38,Declarations!B$6:C$293,2,FALSE)," ")),VLOOKUP($F38,Declarations!B$6:C$293,2,FALSE),_xlfn.TEXTAFTER(VLOOKUP($F38,Declarations!B$6:C$293,2,FALSE)," "))))</f>
        <v/>
      </c>
      <c r="D38" s="81" t="str">
        <f>IF(ISNA(VLOOKUP($F38,Declarations!$B$6:$F$293,5,FALSE)),"",IF(VLOOKUP($F38,Declarations!$B$6:$F$293,5,FALSE)="","NOT DECLARED",VLOOKUP($F38,Declarations!$B$6:$F$293,5,FALSE)))</f>
        <v/>
      </c>
      <c r="E38" s="120" t="str">
        <f>IF(ISNA(VLOOKUP($F38,Declarations!$B$6:$D$293,3,FALSE)),"",IF(VLOOKUP($F38,Declarations!$B$6:$D$293,3,FALSE)="","NOT DECLARED",VLOOKUP($F38,Declarations!$B$6:$D$293,3,FALSE)&amp;LEFT(VLOOKUP($F38,Declarations!$B$6:$E$293,4,FALSE))))</f>
        <v/>
      </c>
      <c r="F38" s="21"/>
      <c r="G38" s="22"/>
      <c r="H38" s="322"/>
      <c r="I38" s="8" t="str">
        <f>IF(ISNA(VLOOKUP(F38,Declarations!B$6:C$293,2,FALSE)),"",IF(VLOOKUP(F38,Declarations!B$6:C$293,2,FALSE)="","NOT DECLARED",VLOOKUP(F38,Declarations!B$6:C$293,2,FALSE)))</f>
        <v/>
      </c>
      <c r="J38" s="2">
        <f>IF(LOWER(LEFT(G38,1))="n",1,VLOOKUP(G38,ScoringTable!E$2:I$95,5))</f>
        <v>0</v>
      </c>
      <c r="K38" s="120" t="str" cm="1">
        <f t="array" ref="K38">IF(OR(E38="",G38=""),"",_xlfn.IFS(E38="U10B",_xlfn.XLOOKUP(G38,Data!$D$4:$L$4,Data!$D$1:$L$1,"",-1,1),E38="U12B",_xlfn.XLOOKUP(G38,Data!$D$11:$L$11,Data!$D$1:$L$1,"",-1,1),E38="U10G",_xlfn.XLOOKUP(G38,Data!$D$17:$L$17,Data!$D$1:$L$1,"",-1,1),E38="U12G",_xlfn.XLOOKUP(G38,Data!$D$24:$L$24,Data!$D$1:$L$1,"",-1,1)))</f>
        <v/>
      </c>
      <c r="L38" s="184" t="str" cm="1">
        <f t="array" ref="L38">IFERROR(_xlfn.IFNA(
                      _xlfn.IFS(
                      F38="", "",
                      AND(E38="U10B",G38&gt;=Data!$M$4), "U10 Boys record",
                      AND(E38="U12B",G38&gt;=Data!$M$11), "U12 Boys record",
                      AND(E38="U10G",G38&gt;=Data!$M$17), "U10 Girls record",
                      AND(E38="U12G",G38&gt;=Data!$M$24), "U12 Girls record"
                       ),""), "")</f>
        <v/>
      </c>
      <c r="M38" s="19" cm="1">
        <f t="array" ref="M38">_xlfn.IFS($G38="",0,AND(NOT(ISNUMBER($G38)),LOWER(LEFT($G38,1))&lt;&gt;"n"),"Not a valid distance",OR(LOWER(LEFT($G38,1))="n",$G38&lt;ScoringTable!$P$161),1,RIGHT($E38,1)="B",_xlfn.XLOOKUP($G38,ScoringTable!$P$2:$P$161,ScoringTable!$L$2:$L$161,,-1),TRUE,_xlfn.XLOOKUP($G38,ScoringTable!$V$2:$V$161,ScoringTable!$R$2:$R$161,,-1))</f>
        <v>0</v>
      </c>
    </row>
    <row r="39" spans="1:13" ht="16" customHeight="1">
      <c r="A39" s="82" t="s">
        <v>27</v>
      </c>
      <c r="B39" s="81" t="str">
        <f>IF(ISNA(VLOOKUP($F39,Declarations!B$6:C$293,2,FALSE)),"",IF(VLOOKUP($F39,Declarations!B$6:C$293,2,FALSE)="","NOT DECLARED",IF(ISNA(_xlfn.TEXTBEFORE(VLOOKUP($F39,Declarations!B$6:C$293,2,FALSE)," ")),VLOOKUP($F39,Declarations!B$6:C$293,2,FALSE),_xlfn.TEXTBEFORE(VLOOKUP($F39,Declarations!B$6:C$293,2,FALSE)," "))))</f>
        <v/>
      </c>
      <c r="C39" s="81" t="str">
        <f>IF(ISNA(VLOOKUP($F39,Declarations!B$6:C$293,2,FALSE)),"",IF(VLOOKUP($F39,Declarations!B$6:C$293,2,FALSE)="","NOT DECLARED",IF(ISNA(_xlfn.TEXTAFTER(VLOOKUP($F39,Declarations!B$6:C$293,2,FALSE)," ")),VLOOKUP($F39,Declarations!B$6:C$293,2,FALSE),_xlfn.TEXTAFTER(VLOOKUP($F39,Declarations!B$6:C$293,2,FALSE)," "))))</f>
        <v/>
      </c>
      <c r="D39" s="81" t="str">
        <f>IF(ISNA(VLOOKUP($F39,Declarations!$B$6:$F$293,5,FALSE)),"",IF(VLOOKUP($F39,Declarations!$B$6:$F$293,5,FALSE)="","NOT DECLARED",VLOOKUP($F39,Declarations!$B$6:$F$293,5,FALSE)))</f>
        <v/>
      </c>
      <c r="E39" s="120" t="str">
        <f>IF(ISNA(VLOOKUP($F39,Declarations!$B$6:$D$293,3,FALSE)),"",IF(VLOOKUP($F39,Declarations!$B$6:$D$293,3,FALSE)="","NOT DECLARED",VLOOKUP($F39,Declarations!$B$6:$D$293,3,FALSE)&amp;LEFT(VLOOKUP($F39,Declarations!$B$6:$E$293,4,FALSE))))</f>
        <v/>
      </c>
      <c r="F39" s="21"/>
      <c r="G39" s="22"/>
      <c r="H39" s="322"/>
      <c r="I39" s="8" t="str">
        <f>IF(ISNA(VLOOKUP(F39,Declarations!B$6:C$293,2,FALSE)),"",IF(VLOOKUP(F39,Declarations!B$6:C$293,2,FALSE)="","NOT DECLARED",VLOOKUP(F39,Declarations!B$6:C$293,2,FALSE)))</f>
        <v/>
      </c>
      <c r="J39" s="2">
        <f>IF(LOWER(LEFT(G39,1))="n",1,VLOOKUP(G39,ScoringTable!E$2:I$95,5))</f>
        <v>0</v>
      </c>
      <c r="K39" s="120" t="str" cm="1">
        <f t="array" ref="K39">IF(OR(E39="",G39=""),"",_xlfn.IFS(E39="U10B",_xlfn.XLOOKUP(G39,Data!$D$4:$L$4,Data!$D$1:$L$1,"",-1,1),E39="U12B",_xlfn.XLOOKUP(G39,Data!$D$11:$L$11,Data!$D$1:$L$1,"",-1,1),E39="U10G",_xlfn.XLOOKUP(G39,Data!$D$17:$L$17,Data!$D$1:$L$1,"",-1,1),E39="U12G",_xlfn.XLOOKUP(G39,Data!$D$24:$L$24,Data!$D$1:$L$1,"",-1,1)))</f>
        <v/>
      </c>
      <c r="L39" s="184" t="str" cm="1">
        <f t="array" ref="L39">IFERROR(_xlfn.IFNA(
                      _xlfn.IFS(
                      F39="", "",
                      AND(E39="U10B",G39&gt;=Data!$M$4), "U10 Boys record",
                      AND(E39="U12B",G39&gt;=Data!$M$11), "U12 Boys record",
                      AND(E39="U10G",G39&gt;=Data!$M$17), "U10 Girls record",
                      AND(E39="U12G",G39&gt;=Data!$M$24), "U12 Girls record"
                       ),""), "")</f>
        <v/>
      </c>
      <c r="M39" s="19" cm="1">
        <f t="array" ref="M39">_xlfn.IFS($G39="",0,AND(NOT(ISNUMBER($G39)),LOWER(LEFT($G39,1))&lt;&gt;"n"),"Not a valid distance",OR(LOWER(LEFT($G39,1))="n",$G39&lt;ScoringTable!$P$161),1,RIGHT($E39,1)="B",_xlfn.XLOOKUP($G39,ScoringTable!$P$2:$P$161,ScoringTable!$L$2:$L$161,,-1),TRUE,_xlfn.XLOOKUP($G39,ScoringTable!$V$2:$V$161,ScoringTable!$R$2:$R$161,,-1))</f>
        <v>0</v>
      </c>
    </row>
    <row r="40" spans="1:13" ht="16" customHeight="1">
      <c r="A40" s="82" t="s">
        <v>27</v>
      </c>
      <c r="B40" s="81" t="str">
        <f>IF(ISNA(VLOOKUP($F40,Declarations!B$6:C$293,2,FALSE)),"",IF(VLOOKUP($F40,Declarations!B$6:C$293,2,FALSE)="","NOT DECLARED",IF(ISNA(_xlfn.TEXTBEFORE(VLOOKUP($F40,Declarations!B$6:C$293,2,FALSE)," ")),VLOOKUP($F40,Declarations!B$6:C$293,2,FALSE),_xlfn.TEXTBEFORE(VLOOKUP($F40,Declarations!B$6:C$293,2,FALSE)," "))))</f>
        <v/>
      </c>
      <c r="C40" s="81" t="str">
        <f>IF(ISNA(VLOOKUP($F40,Declarations!B$6:C$293,2,FALSE)),"",IF(VLOOKUP($F40,Declarations!B$6:C$293,2,FALSE)="","NOT DECLARED",IF(ISNA(_xlfn.TEXTAFTER(VLOOKUP($F40,Declarations!B$6:C$293,2,FALSE)," ")),VLOOKUP($F40,Declarations!B$6:C$293,2,FALSE),_xlfn.TEXTAFTER(VLOOKUP($F40,Declarations!B$6:C$293,2,FALSE)," "))))</f>
        <v/>
      </c>
      <c r="D40" s="81" t="str">
        <f>IF(ISNA(VLOOKUP($F40,Declarations!$B$6:$F$293,5,FALSE)),"",IF(VLOOKUP($F40,Declarations!$B$6:$F$293,5,FALSE)="","NOT DECLARED",VLOOKUP($F40,Declarations!$B$6:$F$293,5,FALSE)))</f>
        <v/>
      </c>
      <c r="E40" s="120" t="str">
        <f>IF(ISNA(VLOOKUP($F40,Declarations!$B$6:$D$293,3,FALSE)),"",IF(VLOOKUP($F40,Declarations!$B$6:$D$293,3,FALSE)="","NOT DECLARED",VLOOKUP($F40,Declarations!$B$6:$D$293,3,FALSE)&amp;LEFT(VLOOKUP($F40,Declarations!$B$6:$E$293,4,FALSE))))</f>
        <v/>
      </c>
      <c r="F40" s="21"/>
      <c r="G40" s="22"/>
      <c r="H40" s="322"/>
      <c r="I40" s="8" t="str">
        <f>IF(ISNA(VLOOKUP(F40,Declarations!B$6:C$293,2,FALSE)),"",IF(VLOOKUP(F40,Declarations!B$6:C$293,2,FALSE)="","NOT DECLARED",VLOOKUP(F40,Declarations!B$6:C$293,2,FALSE)))</f>
        <v/>
      </c>
      <c r="J40" s="2">
        <f>IF(LOWER(LEFT(G40,1))="n",1,VLOOKUP(G40,ScoringTable!E$2:I$95,5))</f>
        <v>0</v>
      </c>
      <c r="K40" s="120" t="str" cm="1">
        <f t="array" ref="K40">IF(OR(E40="",G40=""),"",_xlfn.IFS(E40="U10B",_xlfn.XLOOKUP(G40,Data!$D$4:$L$4,Data!$D$1:$L$1,"",-1,1),E40="U12B",_xlfn.XLOOKUP(G40,Data!$D$11:$L$11,Data!$D$1:$L$1,"",-1,1),E40="U10G",_xlfn.XLOOKUP(G40,Data!$D$17:$L$17,Data!$D$1:$L$1,"",-1,1),E40="U12G",_xlfn.XLOOKUP(G40,Data!$D$24:$L$24,Data!$D$1:$L$1,"",-1,1)))</f>
        <v/>
      </c>
      <c r="L40" s="184" t="str" cm="1">
        <f t="array" ref="L40">IFERROR(_xlfn.IFNA(
                      _xlfn.IFS(
                      F40="", "",
                      AND(E40="U10B",G40&gt;=Data!$M$4), "U10 Boys record",
                      AND(E40="U12B",G40&gt;=Data!$M$11), "U12 Boys record",
                      AND(E40="U10G",G40&gt;=Data!$M$17), "U10 Girls record",
                      AND(E40="U12G",G40&gt;=Data!$M$24), "U12 Girls record"
                       ),""), "")</f>
        <v/>
      </c>
      <c r="M40" s="19" cm="1">
        <f t="array" ref="M40">_xlfn.IFS($G40="",0,AND(NOT(ISNUMBER($G40)),LOWER(LEFT($G40,1))&lt;&gt;"n"),"Not a valid distance",OR(LOWER(LEFT($G40,1))="n",$G40&lt;ScoringTable!$P$161),1,RIGHT($E40,1)="B",_xlfn.XLOOKUP($G40,ScoringTable!$P$2:$P$161,ScoringTable!$L$2:$L$161,,-1),TRUE,_xlfn.XLOOKUP($G40,ScoringTable!$V$2:$V$161,ScoringTable!$R$2:$R$161,,-1))</f>
        <v>0</v>
      </c>
    </row>
    <row r="41" spans="1:13" ht="16" customHeight="1">
      <c r="A41" s="82" t="s">
        <v>27</v>
      </c>
      <c r="B41" s="81" t="str">
        <f>IF(ISNA(VLOOKUP($F41,Declarations!B$6:C$293,2,FALSE)),"",IF(VLOOKUP($F41,Declarations!B$6:C$293,2,FALSE)="","NOT DECLARED",IF(ISNA(_xlfn.TEXTBEFORE(VLOOKUP($F41,Declarations!B$6:C$293,2,FALSE)," ")),VLOOKUP($F41,Declarations!B$6:C$293,2,FALSE),_xlfn.TEXTBEFORE(VLOOKUP($F41,Declarations!B$6:C$293,2,FALSE)," "))))</f>
        <v/>
      </c>
      <c r="C41" s="81" t="str">
        <f>IF(ISNA(VLOOKUP($F41,Declarations!B$6:C$293,2,FALSE)),"",IF(VLOOKUP($F41,Declarations!B$6:C$293,2,FALSE)="","NOT DECLARED",IF(ISNA(_xlfn.TEXTAFTER(VLOOKUP($F41,Declarations!B$6:C$293,2,FALSE)," ")),VLOOKUP($F41,Declarations!B$6:C$293,2,FALSE),_xlfn.TEXTAFTER(VLOOKUP($F41,Declarations!B$6:C$293,2,FALSE)," "))))</f>
        <v/>
      </c>
      <c r="D41" s="81" t="str">
        <f>IF(ISNA(VLOOKUP($F41,Declarations!$B$6:$F$293,5,FALSE)),"",IF(VLOOKUP($F41,Declarations!$B$6:$F$293,5,FALSE)="","NOT DECLARED",VLOOKUP($F41,Declarations!$B$6:$F$293,5,FALSE)))</f>
        <v/>
      </c>
      <c r="E41" s="120" t="str">
        <f>IF(ISNA(VLOOKUP($F41,Declarations!$B$6:$D$293,3,FALSE)),"",IF(VLOOKUP($F41,Declarations!$B$6:$D$293,3,FALSE)="","NOT DECLARED",VLOOKUP($F41,Declarations!$B$6:$D$293,3,FALSE)&amp;LEFT(VLOOKUP($F41,Declarations!$B$6:$E$293,4,FALSE))))</f>
        <v/>
      </c>
      <c r="F41" s="21"/>
      <c r="G41" s="22"/>
      <c r="H41" s="322"/>
      <c r="I41" s="8" t="str">
        <f>IF(ISNA(VLOOKUP(F41,Declarations!B$6:C$293,2,FALSE)),"",IF(VLOOKUP(F41,Declarations!B$6:C$293,2,FALSE)="","NOT DECLARED",VLOOKUP(F41,Declarations!B$6:C$293,2,FALSE)))</f>
        <v/>
      </c>
      <c r="J41" s="2">
        <f>IF(LOWER(LEFT(G41,1))="n",1,VLOOKUP(G41,ScoringTable!E$2:I$95,5))</f>
        <v>0</v>
      </c>
      <c r="K41" s="120" t="str" cm="1">
        <f t="array" ref="K41">IF(OR(E41="",G41=""),"",_xlfn.IFS(E41="U10B",_xlfn.XLOOKUP(G41,Data!$D$4:$L$4,Data!$D$1:$L$1,"",-1,1),E41="U12B",_xlfn.XLOOKUP(G41,Data!$D$11:$L$11,Data!$D$1:$L$1,"",-1,1),E41="U10G",_xlfn.XLOOKUP(G41,Data!$D$17:$L$17,Data!$D$1:$L$1,"",-1,1),E41="U12G",_xlfn.XLOOKUP(G41,Data!$D$24:$L$24,Data!$D$1:$L$1,"",-1,1)))</f>
        <v/>
      </c>
      <c r="L41" s="184" t="str" cm="1">
        <f t="array" ref="L41">IFERROR(_xlfn.IFNA(
                      _xlfn.IFS(
                      F41="", "",
                      AND(E41="U10B",G41&gt;=Data!$M$4), "U10 Boys record",
                      AND(E41="U12B",G41&gt;=Data!$M$11), "U12 Boys record",
                      AND(E41="U10G",G41&gt;=Data!$M$17), "U10 Girls record",
                      AND(E41="U12G",G41&gt;=Data!$M$24), "U12 Girls record"
                       ),""), "")</f>
        <v/>
      </c>
      <c r="M41" s="19" cm="1">
        <f t="array" ref="M41">_xlfn.IFS($G41="",0,AND(NOT(ISNUMBER($G41)),LOWER(LEFT($G41,1))&lt;&gt;"n"),"Not a valid distance",OR(LOWER(LEFT($G41,1))="n",$G41&lt;ScoringTable!$P$161),1,RIGHT($E41,1)="B",_xlfn.XLOOKUP($G41,ScoringTable!$P$2:$P$161,ScoringTable!$L$2:$L$161,,-1),TRUE,_xlfn.XLOOKUP($G41,ScoringTable!$V$2:$V$161,ScoringTable!$R$2:$R$161,,-1))</f>
        <v>0</v>
      </c>
    </row>
    <row r="42" spans="1:13" ht="16" customHeight="1">
      <c r="A42" s="82" t="s">
        <v>27</v>
      </c>
      <c r="B42" s="81" t="str">
        <f>IF(ISNA(VLOOKUP($F42,Declarations!B$6:C$293,2,FALSE)),"",IF(VLOOKUP($F42,Declarations!B$6:C$293,2,FALSE)="","NOT DECLARED",IF(ISNA(_xlfn.TEXTBEFORE(VLOOKUP($F42,Declarations!B$6:C$293,2,FALSE)," ")),VLOOKUP($F42,Declarations!B$6:C$293,2,FALSE),_xlfn.TEXTBEFORE(VLOOKUP($F42,Declarations!B$6:C$293,2,FALSE)," "))))</f>
        <v/>
      </c>
      <c r="C42" s="81" t="str">
        <f>IF(ISNA(VLOOKUP($F42,Declarations!B$6:C$293,2,FALSE)),"",IF(VLOOKUP($F42,Declarations!B$6:C$293,2,FALSE)="","NOT DECLARED",IF(ISNA(_xlfn.TEXTAFTER(VLOOKUP($F42,Declarations!B$6:C$293,2,FALSE)," ")),VLOOKUP($F42,Declarations!B$6:C$293,2,FALSE),_xlfn.TEXTAFTER(VLOOKUP($F42,Declarations!B$6:C$293,2,FALSE)," "))))</f>
        <v/>
      </c>
      <c r="D42" s="81" t="str">
        <f>IF(ISNA(VLOOKUP($F42,Declarations!$B$6:$F$293,5,FALSE)),"",IF(VLOOKUP($F42,Declarations!$B$6:$F$293,5,FALSE)="","NOT DECLARED",VLOOKUP($F42,Declarations!$B$6:$F$293,5,FALSE)))</f>
        <v/>
      </c>
      <c r="E42" s="120" t="str">
        <f>IF(ISNA(VLOOKUP($F42,Declarations!$B$6:$D$293,3,FALSE)),"",IF(VLOOKUP($F42,Declarations!$B$6:$D$293,3,FALSE)="","NOT DECLARED",VLOOKUP($F42,Declarations!$B$6:$D$293,3,FALSE)&amp;LEFT(VLOOKUP($F42,Declarations!$B$6:$E$293,4,FALSE))))</f>
        <v/>
      </c>
      <c r="F42" s="21"/>
      <c r="G42" s="22"/>
      <c r="H42" s="322"/>
      <c r="I42" s="8" t="str">
        <f>IF(ISNA(VLOOKUP(F42,Declarations!B$6:C$293,2,FALSE)),"",IF(VLOOKUP(F42,Declarations!B$6:C$293,2,FALSE)="","NOT DECLARED",VLOOKUP(F42,Declarations!B$6:C$293,2,FALSE)))</f>
        <v/>
      </c>
      <c r="J42" s="2">
        <f>IF(LOWER(LEFT(G42,1))="n",1,VLOOKUP(G42,ScoringTable!E$2:I$95,5))</f>
        <v>0</v>
      </c>
      <c r="K42" s="120" t="str" cm="1">
        <f t="array" ref="K42">IF(OR(E42="",G42=""),"",_xlfn.IFS(E42="U10B",_xlfn.XLOOKUP(G42,Data!$D$4:$L$4,Data!$D$1:$L$1,"",-1,1),E42="U12B",_xlfn.XLOOKUP(G42,Data!$D$11:$L$11,Data!$D$1:$L$1,"",-1,1),E42="U10G",_xlfn.XLOOKUP(G42,Data!$D$17:$L$17,Data!$D$1:$L$1,"",-1,1),E42="U12G",_xlfn.XLOOKUP(G42,Data!$D$24:$L$24,Data!$D$1:$L$1,"",-1,1)))</f>
        <v/>
      </c>
      <c r="L42" s="184" t="str" cm="1">
        <f t="array" ref="L42">IFERROR(_xlfn.IFNA(
                      _xlfn.IFS(
                      F42="", "",
                      AND(E42="U10B",G42&gt;=Data!$M$4), "U10 Boys record",
                      AND(E42="U12B",G42&gt;=Data!$M$11), "U12 Boys record",
                      AND(E42="U10G",G42&gt;=Data!$M$17), "U10 Girls record",
                      AND(E42="U12G",G42&gt;=Data!$M$24), "U12 Girls record"
                       ),""), "")</f>
        <v/>
      </c>
      <c r="M42" s="19" cm="1">
        <f t="array" ref="M42">_xlfn.IFS($G42="",0,AND(NOT(ISNUMBER($G42)),LOWER(LEFT($G42,1))&lt;&gt;"n"),"Not a valid distance",OR(LOWER(LEFT($G42,1))="n",$G42&lt;ScoringTable!$P$161),1,RIGHT($E42,1)="B",_xlfn.XLOOKUP($G42,ScoringTable!$P$2:$P$161,ScoringTable!$L$2:$L$161,,-1),TRUE,_xlfn.XLOOKUP($G42,ScoringTable!$V$2:$V$161,ScoringTable!$R$2:$R$161,,-1))</f>
        <v>0</v>
      </c>
    </row>
    <row r="43" spans="1:13" ht="16" customHeight="1">
      <c r="A43" s="82" t="s">
        <v>27</v>
      </c>
      <c r="B43" s="81" t="str">
        <f>IF(ISNA(VLOOKUP($F43,Declarations!B$6:C$293,2,FALSE)),"",IF(VLOOKUP($F43,Declarations!B$6:C$293,2,FALSE)="","NOT DECLARED",IF(ISNA(_xlfn.TEXTBEFORE(VLOOKUP($F43,Declarations!B$6:C$293,2,FALSE)," ")),VLOOKUP($F43,Declarations!B$6:C$293,2,FALSE),_xlfn.TEXTBEFORE(VLOOKUP($F43,Declarations!B$6:C$293,2,FALSE)," "))))</f>
        <v/>
      </c>
      <c r="C43" s="81" t="str">
        <f>IF(ISNA(VLOOKUP($F43,Declarations!B$6:C$293,2,FALSE)),"",IF(VLOOKUP($F43,Declarations!B$6:C$293,2,FALSE)="","NOT DECLARED",IF(ISNA(_xlfn.TEXTAFTER(VLOOKUP($F43,Declarations!B$6:C$293,2,FALSE)," ")),VLOOKUP($F43,Declarations!B$6:C$293,2,FALSE),_xlfn.TEXTAFTER(VLOOKUP($F43,Declarations!B$6:C$293,2,FALSE)," "))))</f>
        <v/>
      </c>
      <c r="D43" s="81" t="str">
        <f>IF(ISNA(VLOOKUP($F43,Declarations!$B$6:$F$293,5,FALSE)),"",IF(VLOOKUP($F43,Declarations!$B$6:$F$293,5,FALSE)="","NOT DECLARED",VLOOKUP($F43,Declarations!$B$6:$F$293,5,FALSE)))</f>
        <v/>
      </c>
      <c r="E43" s="120" t="str">
        <f>IF(ISNA(VLOOKUP($F43,Declarations!$B$6:$D$293,3,FALSE)),"",IF(VLOOKUP($F43,Declarations!$B$6:$D$293,3,FALSE)="","NOT DECLARED",VLOOKUP($F43,Declarations!$B$6:$D$293,3,FALSE)&amp;LEFT(VLOOKUP($F43,Declarations!$B$6:$E$293,4,FALSE))))</f>
        <v/>
      </c>
      <c r="F43" s="21"/>
      <c r="G43" s="22"/>
      <c r="H43" s="322"/>
      <c r="I43" s="8" t="str">
        <f>IF(ISNA(VLOOKUP(F43,Declarations!B$6:C$293,2,FALSE)),"",IF(VLOOKUP(F43,Declarations!B$6:C$293,2,FALSE)="","NOT DECLARED",VLOOKUP(F43,Declarations!B$6:C$293,2,FALSE)))</f>
        <v/>
      </c>
      <c r="J43" s="2">
        <f>IF(LOWER(LEFT(G43,1))="n",1,VLOOKUP(G43,ScoringTable!E$2:I$95,5))</f>
        <v>0</v>
      </c>
      <c r="K43" s="120" t="str" cm="1">
        <f t="array" ref="K43">IF(OR(E43="",G43=""),"",_xlfn.IFS(E43="U10B",_xlfn.XLOOKUP(G43,Data!$D$4:$L$4,Data!$D$1:$L$1,"",-1,1),E43="U12B",_xlfn.XLOOKUP(G43,Data!$D$11:$L$11,Data!$D$1:$L$1,"",-1,1),E43="U10G",_xlfn.XLOOKUP(G43,Data!$D$17:$L$17,Data!$D$1:$L$1,"",-1,1),E43="U12G",_xlfn.XLOOKUP(G43,Data!$D$24:$L$24,Data!$D$1:$L$1,"",-1,1)))</f>
        <v/>
      </c>
      <c r="L43" s="184" t="str" cm="1">
        <f t="array" ref="L43">IFERROR(_xlfn.IFNA(
                      _xlfn.IFS(
                      F43="", "",
                      AND(E43="U10B",G43&gt;=Data!$M$4), "U10 Boys record",
                      AND(E43="U12B",G43&gt;=Data!$M$11), "U12 Boys record",
                      AND(E43="U10G",G43&gt;=Data!$M$17), "U10 Girls record",
                      AND(E43="U12G",G43&gt;=Data!$M$24), "U12 Girls record"
                       ),""), "")</f>
        <v/>
      </c>
      <c r="M43" s="19" cm="1">
        <f t="array" ref="M43">_xlfn.IFS($G43="",0,AND(NOT(ISNUMBER($G43)),LOWER(LEFT($G43,1))&lt;&gt;"n"),"Not a valid distance",OR(LOWER(LEFT($G43,1))="n",$G43&lt;ScoringTable!$P$161),1,RIGHT($E43,1)="B",_xlfn.XLOOKUP($G43,ScoringTable!$P$2:$P$161,ScoringTable!$L$2:$L$161,,-1),TRUE,_xlfn.XLOOKUP($G43,ScoringTable!$V$2:$V$161,ScoringTable!$R$2:$R$161,,-1))</f>
        <v>0</v>
      </c>
    </row>
    <row r="44" spans="1:13" ht="16" customHeight="1">
      <c r="A44" s="82" t="s">
        <v>27</v>
      </c>
      <c r="B44" s="81" t="str">
        <f>IF(ISNA(VLOOKUP($F44,Declarations!B$6:C$293,2,FALSE)),"",IF(VLOOKUP($F44,Declarations!B$6:C$293,2,FALSE)="","NOT DECLARED",IF(ISNA(_xlfn.TEXTBEFORE(VLOOKUP($F44,Declarations!B$6:C$293,2,FALSE)," ")),VLOOKUP($F44,Declarations!B$6:C$293,2,FALSE),_xlfn.TEXTBEFORE(VLOOKUP($F44,Declarations!B$6:C$293,2,FALSE)," "))))</f>
        <v/>
      </c>
      <c r="C44" s="81" t="str">
        <f>IF(ISNA(VLOOKUP($F44,Declarations!B$6:C$293,2,FALSE)),"",IF(VLOOKUP($F44,Declarations!B$6:C$293,2,FALSE)="","NOT DECLARED",IF(ISNA(_xlfn.TEXTAFTER(VLOOKUP($F44,Declarations!B$6:C$293,2,FALSE)," ")),VLOOKUP($F44,Declarations!B$6:C$293,2,FALSE),_xlfn.TEXTAFTER(VLOOKUP($F44,Declarations!B$6:C$293,2,FALSE)," "))))</f>
        <v/>
      </c>
      <c r="D44" s="81" t="str">
        <f>IF(ISNA(VLOOKUP($F44,Declarations!$B$6:$F$293,5,FALSE)),"",IF(VLOOKUP($F44,Declarations!$B$6:$F$293,5,FALSE)="","NOT DECLARED",VLOOKUP($F44,Declarations!$B$6:$F$293,5,FALSE)))</f>
        <v/>
      </c>
      <c r="E44" s="120" t="str">
        <f>IF(ISNA(VLOOKUP($F44,Declarations!$B$6:$D$293,3,FALSE)),"",IF(VLOOKUP($F44,Declarations!$B$6:$D$293,3,FALSE)="","NOT DECLARED",VLOOKUP($F44,Declarations!$B$6:$D$293,3,FALSE)&amp;LEFT(VLOOKUP($F44,Declarations!$B$6:$E$293,4,FALSE))))</f>
        <v/>
      </c>
      <c r="F44" s="21"/>
      <c r="G44" s="22"/>
      <c r="H44" s="322"/>
      <c r="I44" s="8" t="str">
        <f>IF(ISNA(VLOOKUP(F44,Declarations!B$6:C$293,2,FALSE)),"",IF(VLOOKUP(F44,Declarations!B$6:C$293,2,FALSE)="","NOT DECLARED",VLOOKUP(F44,Declarations!B$6:C$293,2,FALSE)))</f>
        <v/>
      </c>
      <c r="J44" s="2">
        <f>IF(LOWER(LEFT(G44,1))="n",1,VLOOKUP(G44,ScoringTable!E$2:I$95,5))</f>
        <v>0</v>
      </c>
      <c r="K44" s="120" t="str" cm="1">
        <f t="array" ref="K44">IF(OR(E44="",G44=""),"",_xlfn.IFS(E44="U10B",_xlfn.XLOOKUP(G44,Data!$D$4:$L$4,Data!$D$1:$L$1,"",-1,1),E44="U12B",_xlfn.XLOOKUP(G44,Data!$D$11:$L$11,Data!$D$1:$L$1,"",-1,1),E44="U10G",_xlfn.XLOOKUP(G44,Data!$D$17:$L$17,Data!$D$1:$L$1,"",-1,1),E44="U12G",_xlfn.XLOOKUP(G44,Data!$D$24:$L$24,Data!$D$1:$L$1,"",-1,1)))</f>
        <v/>
      </c>
      <c r="L44" s="184" t="str" cm="1">
        <f t="array" ref="L44">IFERROR(_xlfn.IFNA(
                      _xlfn.IFS(
                      F44="", "",
                      AND(E44="U10B",G44&gt;=Data!$M$4), "U10 Boys record",
                      AND(E44="U12B",G44&gt;=Data!$M$11), "U12 Boys record",
                      AND(E44="U10G",G44&gt;=Data!$M$17), "U10 Girls record",
                      AND(E44="U12G",G44&gt;=Data!$M$24), "U12 Girls record"
                       ),""), "")</f>
        <v/>
      </c>
      <c r="M44" s="19" cm="1">
        <f t="array" ref="M44">_xlfn.IFS($G44="",0,AND(NOT(ISNUMBER($G44)),LOWER(LEFT($G44,1))&lt;&gt;"n"),"Not a valid distance",OR(LOWER(LEFT($G44,1))="n",$G44&lt;ScoringTable!$P$161),1,RIGHT($E44,1)="B",_xlfn.XLOOKUP($G44,ScoringTable!$P$2:$P$161,ScoringTable!$L$2:$L$161,,-1),TRUE,_xlfn.XLOOKUP($G44,ScoringTable!$V$2:$V$161,ScoringTable!$R$2:$R$161,,-1))</f>
        <v>0</v>
      </c>
    </row>
    <row r="45" spans="1:13" ht="16" customHeight="1">
      <c r="A45" s="82" t="s">
        <v>27</v>
      </c>
      <c r="B45" s="81" t="str">
        <f>IF(ISNA(VLOOKUP($F45,Declarations!B$6:C$293,2,FALSE)),"",IF(VLOOKUP($F45,Declarations!B$6:C$293,2,FALSE)="","NOT DECLARED",IF(ISNA(_xlfn.TEXTBEFORE(VLOOKUP($F45,Declarations!B$6:C$293,2,FALSE)," ")),VLOOKUP($F45,Declarations!B$6:C$293,2,FALSE),_xlfn.TEXTBEFORE(VLOOKUP($F45,Declarations!B$6:C$293,2,FALSE)," "))))</f>
        <v/>
      </c>
      <c r="C45" s="81" t="str">
        <f>IF(ISNA(VLOOKUP($F45,Declarations!B$6:C$293,2,FALSE)),"",IF(VLOOKUP($F45,Declarations!B$6:C$293,2,FALSE)="","NOT DECLARED",IF(ISNA(_xlfn.TEXTAFTER(VLOOKUP($F45,Declarations!B$6:C$293,2,FALSE)," ")),VLOOKUP($F45,Declarations!B$6:C$293,2,FALSE),_xlfn.TEXTAFTER(VLOOKUP($F45,Declarations!B$6:C$293,2,FALSE)," "))))</f>
        <v/>
      </c>
      <c r="D45" s="81" t="str">
        <f>IF(ISNA(VLOOKUP($F45,Declarations!$B$6:$F$293,5,FALSE)),"",IF(VLOOKUP($F45,Declarations!$B$6:$F$293,5,FALSE)="","NOT DECLARED",VLOOKUP($F45,Declarations!$B$6:$F$293,5,FALSE)))</f>
        <v/>
      </c>
      <c r="E45" s="120" t="str">
        <f>IF(ISNA(VLOOKUP($F45,Declarations!$B$6:$D$293,3,FALSE)),"",IF(VLOOKUP($F45,Declarations!$B$6:$D$293,3,FALSE)="","NOT DECLARED",VLOOKUP($F45,Declarations!$B$6:$D$293,3,FALSE)&amp;LEFT(VLOOKUP($F45,Declarations!$B$6:$E$293,4,FALSE))))</f>
        <v/>
      </c>
      <c r="F45" s="21"/>
      <c r="G45" s="22"/>
      <c r="H45" s="322"/>
      <c r="I45" s="8" t="str">
        <f>IF(ISNA(VLOOKUP(F45,Declarations!B$6:C$293,2,FALSE)),"",IF(VLOOKUP(F45,Declarations!B$6:C$293,2,FALSE)="","NOT DECLARED",VLOOKUP(F45,Declarations!B$6:C$293,2,FALSE)))</f>
        <v/>
      </c>
      <c r="J45" s="2">
        <f>IF(LOWER(LEFT(G45,1))="n",1,VLOOKUP(G45,ScoringTable!E$2:I$95,5))</f>
        <v>0</v>
      </c>
      <c r="K45" s="120" t="str" cm="1">
        <f t="array" ref="K45">IF(OR(E45="",G45=""),"",_xlfn.IFS(E45="U10B",_xlfn.XLOOKUP(G45,Data!$D$4:$L$4,Data!$D$1:$L$1,"",-1,1),E45="U12B",_xlfn.XLOOKUP(G45,Data!$D$11:$L$11,Data!$D$1:$L$1,"",-1,1),E45="U10G",_xlfn.XLOOKUP(G45,Data!$D$17:$L$17,Data!$D$1:$L$1,"",-1,1),E45="U12G",_xlfn.XLOOKUP(G45,Data!$D$24:$L$24,Data!$D$1:$L$1,"",-1,1)))</f>
        <v/>
      </c>
      <c r="L45" s="184" t="str" cm="1">
        <f t="array" ref="L45">IFERROR(_xlfn.IFNA(
                      _xlfn.IFS(
                      F45="", "",
                      AND(E45="U10B",G45&gt;=Data!$M$4), "U10 Boys record",
                      AND(E45="U12B",G45&gt;=Data!$M$11), "U12 Boys record",
                      AND(E45="U10G",G45&gt;=Data!$M$17), "U10 Girls record",
                      AND(E45="U12G",G45&gt;=Data!$M$24), "U12 Girls record"
                       ),""), "")</f>
        <v/>
      </c>
      <c r="M45" s="19" cm="1">
        <f t="array" ref="M45">_xlfn.IFS($G45="",0,AND(NOT(ISNUMBER($G45)),LOWER(LEFT($G45,1))&lt;&gt;"n"),"Not a valid distance",OR(LOWER(LEFT($G45,1))="n",$G45&lt;ScoringTable!$P$161),1,RIGHT($E45,1)="B",_xlfn.XLOOKUP($G45,ScoringTable!$P$2:$P$161,ScoringTable!$L$2:$L$161,,-1),TRUE,_xlfn.XLOOKUP($G45,ScoringTable!$V$2:$V$161,ScoringTable!$R$2:$R$161,,-1))</f>
        <v>0</v>
      </c>
    </row>
    <row r="46" spans="1:13" ht="16" customHeight="1">
      <c r="A46" s="82" t="s">
        <v>27</v>
      </c>
      <c r="B46" s="81" t="str">
        <f>IF(ISNA(VLOOKUP($F46,Declarations!B$6:C$293,2,FALSE)),"",IF(VLOOKUP($F46,Declarations!B$6:C$293,2,FALSE)="","NOT DECLARED",IF(ISNA(_xlfn.TEXTBEFORE(VLOOKUP($F46,Declarations!B$6:C$293,2,FALSE)," ")),VLOOKUP($F46,Declarations!B$6:C$293,2,FALSE),_xlfn.TEXTBEFORE(VLOOKUP($F46,Declarations!B$6:C$293,2,FALSE)," "))))</f>
        <v/>
      </c>
      <c r="C46" s="81" t="str">
        <f>IF(ISNA(VLOOKUP($F46,Declarations!B$6:C$293,2,FALSE)),"",IF(VLOOKUP($F46,Declarations!B$6:C$293,2,FALSE)="","NOT DECLARED",IF(ISNA(_xlfn.TEXTAFTER(VLOOKUP($F46,Declarations!B$6:C$293,2,FALSE)," ")),VLOOKUP($F46,Declarations!B$6:C$293,2,FALSE),_xlfn.TEXTAFTER(VLOOKUP($F46,Declarations!B$6:C$293,2,FALSE)," "))))</f>
        <v/>
      </c>
      <c r="D46" s="81" t="str">
        <f>IF(ISNA(VLOOKUP($F46,Declarations!$B$6:$F$293,5,FALSE)),"",IF(VLOOKUP($F46,Declarations!$B$6:$F$293,5,FALSE)="","NOT DECLARED",VLOOKUP($F46,Declarations!$B$6:$F$293,5,FALSE)))</f>
        <v/>
      </c>
      <c r="E46" s="120" t="str">
        <f>IF(ISNA(VLOOKUP($F46,Declarations!$B$6:$D$293,3,FALSE)),"",IF(VLOOKUP($F46,Declarations!$B$6:$D$293,3,FALSE)="","NOT DECLARED",VLOOKUP($F46,Declarations!$B$6:$D$293,3,FALSE)&amp;LEFT(VLOOKUP($F46,Declarations!$B$6:$E$293,4,FALSE))))</f>
        <v/>
      </c>
      <c r="F46" s="21"/>
      <c r="G46" s="22"/>
      <c r="H46" s="322"/>
      <c r="I46" s="8" t="str">
        <f>IF(ISNA(VLOOKUP(F46,Declarations!B$6:C$293,2,FALSE)),"",IF(VLOOKUP(F46,Declarations!B$6:C$293,2,FALSE)="","NOT DECLARED",VLOOKUP(F46,Declarations!B$6:C$293,2,FALSE)))</f>
        <v/>
      </c>
      <c r="J46" s="2">
        <f>IF(LOWER(LEFT(G46,1))="n",1,VLOOKUP(G46,ScoringTable!E$2:I$95,5))</f>
        <v>0</v>
      </c>
      <c r="K46" s="120" t="str" cm="1">
        <f t="array" ref="K46">IF(OR(E46="",G46=""),"",_xlfn.IFS(E46="U10B",_xlfn.XLOOKUP(G46,Data!$D$4:$L$4,Data!$D$1:$L$1,"",-1,1),E46="U12B",_xlfn.XLOOKUP(G46,Data!$D$11:$L$11,Data!$D$1:$L$1,"",-1,1),E46="U10G",_xlfn.XLOOKUP(G46,Data!$D$17:$L$17,Data!$D$1:$L$1,"",-1,1),E46="U12G",_xlfn.XLOOKUP(G46,Data!$D$24:$L$24,Data!$D$1:$L$1,"",-1,1)))</f>
        <v/>
      </c>
      <c r="L46" s="184" t="str" cm="1">
        <f t="array" ref="L46">IFERROR(_xlfn.IFNA(
                      _xlfn.IFS(
                      F46="", "",
                      AND(E46="U10B",G46&gt;=Data!$M$4), "U10 Boys record",
                      AND(E46="U12B",G46&gt;=Data!$M$11), "U12 Boys record",
                      AND(E46="U10G",G46&gt;=Data!$M$17), "U10 Girls record",
                      AND(E46="U12G",G46&gt;=Data!$M$24), "U12 Girls record"
                       ),""), "")</f>
        <v/>
      </c>
      <c r="M46" s="19" cm="1">
        <f t="array" ref="M46">_xlfn.IFS($G46="",0,AND(NOT(ISNUMBER($G46)),LOWER(LEFT($G46,1))&lt;&gt;"n"),"Not a valid distance",OR(LOWER(LEFT($G46,1))="n",$G46&lt;ScoringTable!$P$161),1,RIGHT($E46,1)="B",_xlfn.XLOOKUP($G46,ScoringTable!$P$2:$P$161,ScoringTable!$L$2:$L$161,,-1),TRUE,_xlfn.XLOOKUP($G46,ScoringTable!$V$2:$V$161,ScoringTable!$R$2:$R$161,,-1))</f>
        <v>0</v>
      </c>
    </row>
    <row r="47" spans="1:13" ht="16" customHeight="1">
      <c r="A47" s="82" t="s">
        <v>27</v>
      </c>
      <c r="B47" s="81" t="str">
        <f>IF(ISNA(VLOOKUP($F47,Declarations!B$6:C$293,2,FALSE)),"",IF(VLOOKUP($F47,Declarations!B$6:C$293,2,FALSE)="","NOT DECLARED",IF(ISNA(_xlfn.TEXTBEFORE(VLOOKUP($F47,Declarations!B$6:C$293,2,FALSE)," ")),VLOOKUP($F47,Declarations!B$6:C$293,2,FALSE),_xlfn.TEXTBEFORE(VLOOKUP($F47,Declarations!B$6:C$293,2,FALSE)," "))))</f>
        <v/>
      </c>
      <c r="C47" s="81" t="str">
        <f>IF(ISNA(VLOOKUP($F47,Declarations!B$6:C$293,2,FALSE)),"",IF(VLOOKUP($F47,Declarations!B$6:C$293,2,FALSE)="","NOT DECLARED",IF(ISNA(_xlfn.TEXTAFTER(VLOOKUP($F47,Declarations!B$6:C$293,2,FALSE)," ")),VLOOKUP($F47,Declarations!B$6:C$293,2,FALSE),_xlfn.TEXTAFTER(VLOOKUP($F47,Declarations!B$6:C$293,2,FALSE)," "))))</f>
        <v/>
      </c>
      <c r="D47" s="81" t="str">
        <f>IF(ISNA(VLOOKUP($F47,Declarations!$B$6:$F$293,5,FALSE)),"",IF(VLOOKUP($F47,Declarations!$B$6:$F$293,5,FALSE)="","NOT DECLARED",VLOOKUP($F47,Declarations!$B$6:$F$293,5,FALSE)))</f>
        <v/>
      </c>
      <c r="E47" s="120" t="str">
        <f>IF(ISNA(VLOOKUP($F47,Declarations!$B$6:$D$293,3,FALSE)),"",IF(VLOOKUP($F47,Declarations!$B$6:$D$293,3,FALSE)="","NOT DECLARED",VLOOKUP($F47,Declarations!$B$6:$D$293,3,FALSE)&amp;LEFT(VLOOKUP($F47,Declarations!$B$6:$E$293,4,FALSE))))</f>
        <v/>
      </c>
      <c r="F47" s="21"/>
      <c r="G47" s="22"/>
      <c r="H47" s="322"/>
      <c r="I47" s="8" t="str">
        <f>IF(ISNA(VLOOKUP(F47,Declarations!B$6:C$293,2,FALSE)),"",IF(VLOOKUP(F47,Declarations!B$6:C$293,2,FALSE)="","NOT DECLARED",VLOOKUP(F47,Declarations!B$6:C$293,2,FALSE)))</f>
        <v/>
      </c>
      <c r="J47" s="2">
        <f>IF(LOWER(LEFT(G47,1))="n",1,VLOOKUP(G47,ScoringTable!E$2:I$95,5))</f>
        <v>0</v>
      </c>
      <c r="K47" s="120" t="str" cm="1">
        <f t="array" ref="K47">IF(OR(E47="",G47=""),"",_xlfn.IFS(E47="U10B",_xlfn.XLOOKUP(G47,Data!$D$4:$L$4,Data!$D$1:$L$1,"",-1,1),E47="U12B",_xlfn.XLOOKUP(G47,Data!$D$11:$L$11,Data!$D$1:$L$1,"",-1,1),E47="U10G",_xlfn.XLOOKUP(G47,Data!$D$17:$L$17,Data!$D$1:$L$1,"",-1,1),E47="U12G",_xlfn.XLOOKUP(G47,Data!$D$24:$L$24,Data!$D$1:$L$1,"",-1,1)))</f>
        <v/>
      </c>
      <c r="L47" s="184" t="str" cm="1">
        <f t="array" ref="L47">IFERROR(_xlfn.IFNA(
                      _xlfn.IFS(
                      F47="", "",
                      AND(E47="U10B",G47&gt;=Data!$M$4), "U10 Boys record",
                      AND(E47="U12B",G47&gt;=Data!$M$11), "U12 Boys record",
                      AND(E47="U10G",G47&gt;=Data!$M$17), "U10 Girls record",
                      AND(E47="U12G",G47&gt;=Data!$M$24), "U12 Girls record"
                       ),""), "")</f>
        <v/>
      </c>
      <c r="M47" s="19" cm="1">
        <f t="array" ref="M47">_xlfn.IFS($G47="",0,AND(NOT(ISNUMBER($G47)),LOWER(LEFT($G47,1))&lt;&gt;"n"),"Not a valid distance",OR(LOWER(LEFT($G47,1))="n",$G47&lt;ScoringTable!$P$161),1,RIGHT($E47,1)="B",_xlfn.XLOOKUP($G47,ScoringTable!$P$2:$P$161,ScoringTable!$L$2:$L$161,,-1),TRUE,_xlfn.XLOOKUP($G47,ScoringTable!$V$2:$V$161,ScoringTable!$R$2:$R$161,,-1))</f>
        <v>0</v>
      </c>
    </row>
    <row r="48" spans="1:13" ht="16" customHeight="1">
      <c r="A48" s="82" t="s">
        <v>27</v>
      </c>
      <c r="B48" s="81" t="str">
        <f>IF(ISNA(VLOOKUP($F48,Declarations!B$6:C$293,2,FALSE)),"",IF(VLOOKUP($F48,Declarations!B$6:C$293,2,FALSE)="","NOT DECLARED",IF(ISNA(_xlfn.TEXTBEFORE(VLOOKUP($F48,Declarations!B$6:C$293,2,FALSE)," ")),VLOOKUP($F48,Declarations!B$6:C$293,2,FALSE),_xlfn.TEXTBEFORE(VLOOKUP($F48,Declarations!B$6:C$293,2,FALSE)," "))))</f>
        <v/>
      </c>
      <c r="C48" s="81" t="str">
        <f>IF(ISNA(VLOOKUP($F48,Declarations!B$6:C$293,2,FALSE)),"",IF(VLOOKUP($F48,Declarations!B$6:C$293,2,FALSE)="","NOT DECLARED",IF(ISNA(_xlfn.TEXTAFTER(VLOOKUP($F48,Declarations!B$6:C$293,2,FALSE)," ")),VLOOKUP($F48,Declarations!B$6:C$293,2,FALSE),_xlfn.TEXTAFTER(VLOOKUP($F48,Declarations!B$6:C$293,2,FALSE)," "))))</f>
        <v/>
      </c>
      <c r="D48" s="81" t="str">
        <f>IF(ISNA(VLOOKUP($F48,Declarations!$B$6:$F$293,5,FALSE)),"",IF(VLOOKUP($F48,Declarations!$B$6:$F$293,5,FALSE)="","NOT DECLARED",VLOOKUP($F48,Declarations!$B$6:$F$293,5,FALSE)))</f>
        <v/>
      </c>
      <c r="E48" s="120" t="str">
        <f>IF(ISNA(VLOOKUP($F48,Declarations!$B$6:$D$293,3,FALSE)),"",IF(VLOOKUP($F48,Declarations!$B$6:$D$293,3,FALSE)="","NOT DECLARED",VLOOKUP($F48,Declarations!$B$6:$D$293,3,FALSE)&amp;LEFT(VLOOKUP($F48,Declarations!$B$6:$E$293,4,FALSE))))</f>
        <v/>
      </c>
      <c r="F48" s="21"/>
      <c r="G48" s="22"/>
      <c r="H48" s="322"/>
      <c r="I48" s="8" t="str">
        <f>IF(ISNA(VLOOKUP(F48,Declarations!B$6:C$293,2,FALSE)),"",IF(VLOOKUP(F48,Declarations!B$6:C$293,2,FALSE)="","NOT DECLARED",VLOOKUP(F48,Declarations!B$6:C$293,2,FALSE)))</f>
        <v/>
      </c>
      <c r="J48" s="2">
        <f>IF(LOWER(LEFT(G48,1))="n",1,VLOOKUP(G48,ScoringTable!E$2:I$95,5))</f>
        <v>0</v>
      </c>
      <c r="K48" s="120" t="str" cm="1">
        <f t="array" ref="K48">IF(OR(E48="",G48=""),"",_xlfn.IFS(E48="U10B",_xlfn.XLOOKUP(G48,Data!$D$4:$L$4,Data!$D$1:$L$1,"",-1,1),E48="U12B",_xlfn.XLOOKUP(G48,Data!$D$11:$L$11,Data!$D$1:$L$1,"",-1,1),E48="U10G",_xlfn.XLOOKUP(G48,Data!$D$17:$L$17,Data!$D$1:$L$1,"",-1,1),E48="U12G",_xlfn.XLOOKUP(G48,Data!$D$24:$L$24,Data!$D$1:$L$1,"",-1,1)))</f>
        <v/>
      </c>
      <c r="L48" s="184" t="str" cm="1">
        <f t="array" ref="L48">IFERROR(_xlfn.IFNA(
                      _xlfn.IFS(
                      F48="", "",
                      AND(E48="U10B",G48&gt;=Data!$M$4), "U10 Boys record",
                      AND(E48="U12B",G48&gt;=Data!$M$11), "U12 Boys record",
                      AND(E48="U10G",G48&gt;=Data!$M$17), "U10 Girls record",
                      AND(E48="U12G",G48&gt;=Data!$M$24), "U12 Girls record"
                       ),""), "")</f>
        <v/>
      </c>
      <c r="M48" s="19" cm="1">
        <f t="array" ref="M48">_xlfn.IFS($G48="",0,AND(NOT(ISNUMBER($G48)),LOWER(LEFT($G48,1))&lt;&gt;"n"),"Not a valid distance",OR(LOWER(LEFT($G48,1))="n",$G48&lt;ScoringTable!$P$161),1,RIGHT($E48,1)="B",_xlfn.XLOOKUP($G48,ScoringTable!$P$2:$P$161,ScoringTable!$L$2:$L$161,,-1),TRUE,_xlfn.XLOOKUP($G48,ScoringTable!$V$2:$V$161,ScoringTable!$R$2:$R$161,,-1))</f>
        <v>0</v>
      </c>
    </row>
    <row r="49" spans="1:13" ht="16" customHeight="1">
      <c r="A49" s="82" t="s">
        <v>27</v>
      </c>
      <c r="B49" s="81" t="str">
        <f>IF(ISNA(VLOOKUP($F49,Declarations!B$6:C$293,2,FALSE)),"",IF(VLOOKUP($F49,Declarations!B$6:C$293,2,FALSE)="","NOT DECLARED",IF(ISNA(_xlfn.TEXTBEFORE(VLOOKUP($F49,Declarations!B$6:C$293,2,FALSE)," ")),VLOOKUP($F49,Declarations!B$6:C$293,2,FALSE),_xlfn.TEXTBEFORE(VLOOKUP($F49,Declarations!B$6:C$293,2,FALSE)," "))))</f>
        <v/>
      </c>
      <c r="C49" s="81" t="str">
        <f>IF(ISNA(VLOOKUP($F49,Declarations!B$6:C$293,2,FALSE)),"",IF(VLOOKUP($F49,Declarations!B$6:C$293,2,FALSE)="","NOT DECLARED",IF(ISNA(_xlfn.TEXTAFTER(VLOOKUP($F49,Declarations!B$6:C$293,2,FALSE)," ")),VLOOKUP($F49,Declarations!B$6:C$293,2,FALSE),_xlfn.TEXTAFTER(VLOOKUP($F49,Declarations!B$6:C$293,2,FALSE)," "))))</f>
        <v/>
      </c>
      <c r="D49" s="81" t="str">
        <f>IF(ISNA(VLOOKUP($F49,Declarations!$B$6:$F$293,5,FALSE)),"",IF(VLOOKUP($F49,Declarations!$B$6:$F$293,5,FALSE)="","NOT DECLARED",VLOOKUP($F49,Declarations!$B$6:$F$293,5,FALSE)))</f>
        <v/>
      </c>
      <c r="E49" s="120" t="str">
        <f>IF(ISNA(VLOOKUP($F49,Declarations!$B$6:$D$293,3,FALSE)),"",IF(VLOOKUP($F49,Declarations!$B$6:$D$293,3,FALSE)="","NOT DECLARED",VLOOKUP($F49,Declarations!$B$6:$D$293,3,FALSE)&amp;LEFT(VLOOKUP($F49,Declarations!$B$6:$E$293,4,FALSE))))</f>
        <v/>
      </c>
      <c r="F49" s="21"/>
      <c r="G49" s="22"/>
      <c r="H49" s="322"/>
      <c r="I49" s="8" t="str">
        <f>IF(ISNA(VLOOKUP(F49,Declarations!B$6:C$293,2,FALSE)),"",IF(VLOOKUP(F49,Declarations!B$6:C$293,2,FALSE)="","NOT DECLARED",VLOOKUP(F49,Declarations!B$6:C$293,2,FALSE)))</f>
        <v/>
      </c>
      <c r="J49" s="2">
        <f>IF(LOWER(LEFT(G49,1))="n",1,VLOOKUP(G49,ScoringTable!E$2:I$95,5))</f>
        <v>0</v>
      </c>
      <c r="K49" s="120" t="str" cm="1">
        <f t="array" ref="K49">IF(OR(E49="",G49=""),"",_xlfn.IFS(E49="U10B",_xlfn.XLOOKUP(G49,Data!$D$4:$L$4,Data!$D$1:$L$1,"",-1,1),E49="U12B",_xlfn.XLOOKUP(G49,Data!$D$11:$L$11,Data!$D$1:$L$1,"",-1,1),E49="U10G",_xlfn.XLOOKUP(G49,Data!$D$17:$L$17,Data!$D$1:$L$1,"",-1,1),E49="U12G",_xlfn.XLOOKUP(G49,Data!$D$24:$L$24,Data!$D$1:$L$1,"",-1,1)))</f>
        <v/>
      </c>
      <c r="L49" s="184" t="str" cm="1">
        <f t="array" ref="L49">IFERROR(_xlfn.IFNA(
                      _xlfn.IFS(
                      F49="", "",
                      AND(E49="U10B",G49&gt;=Data!$M$4), "U10 Boys record",
                      AND(E49="U12B",G49&gt;=Data!$M$11), "U12 Boys record",
                      AND(E49="U10G",G49&gt;=Data!$M$17), "U10 Girls record",
                      AND(E49="U12G",G49&gt;=Data!$M$24), "U12 Girls record"
                       ),""), "")</f>
        <v/>
      </c>
      <c r="M49" s="19" cm="1">
        <f t="array" ref="M49">_xlfn.IFS($G49="",0,AND(NOT(ISNUMBER($G49)),LOWER(LEFT($G49,1))&lt;&gt;"n"),"Not a valid distance",OR(LOWER(LEFT($G49,1))="n",$G49&lt;ScoringTable!$P$161),1,RIGHT($E49,1)="B",_xlfn.XLOOKUP($G49,ScoringTable!$P$2:$P$161,ScoringTable!$L$2:$L$161,,-1),TRUE,_xlfn.XLOOKUP($G49,ScoringTable!$V$2:$V$161,ScoringTable!$R$2:$R$161,,-1))</f>
        <v>0</v>
      </c>
    </row>
    <row r="50" spans="1:13" ht="16" customHeight="1">
      <c r="A50" s="82" t="s">
        <v>27</v>
      </c>
      <c r="B50" s="81" t="str">
        <f>IF(ISNA(VLOOKUP($F50,Declarations!B$6:C$293,2,FALSE)),"",IF(VLOOKUP($F50,Declarations!B$6:C$293,2,FALSE)="","NOT DECLARED",IF(ISNA(_xlfn.TEXTBEFORE(VLOOKUP($F50,Declarations!B$6:C$293,2,FALSE)," ")),VLOOKUP($F50,Declarations!B$6:C$293,2,FALSE),_xlfn.TEXTBEFORE(VLOOKUP($F50,Declarations!B$6:C$293,2,FALSE)," "))))</f>
        <v/>
      </c>
      <c r="C50" s="81" t="str">
        <f>IF(ISNA(VLOOKUP($F50,Declarations!B$6:C$293,2,FALSE)),"",IF(VLOOKUP($F50,Declarations!B$6:C$293,2,FALSE)="","NOT DECLARED",IF(ISNA(_xlfn.TEXTAFTER(VLOOKUP($F50,Declarations!B$6:C$293,2,FALSE)," ")),VLOOKUP($F50,Declarations!B$6:C$293,2,FALSE),_xlfn.TEXTAFTER(VLOOKUP($F50,Declarations!B$6:C$293,2,FALSE)," "))))</f>
        <v/>
      </c>
      <c r="D50" s="81" t="str">
        <f>IF(ISNA(VLOOKUP($F50,Declarations!$B$6:$F$293,5,FALSE)),"",IF(VLOOKUP($F50,Declarations!$B$6:$F$293,5,FALSE)="","NOT DECLARED",VLOOKUP($F50,Declarations!$B$6:$F$293,5,FALSE)))</f>
        <v/>
      </c>
      <c r="E50" s="120" t="str">
        <f>IF(ISNA(VLOOKUP($F50,Declarations!$B$6:$D$293,3,FALSE)),"",IF(VLOOKUP($F50,Declarations!$B$6:$D$293,3,FALSE)="","NOT DECLARED",VLOOKUP($F50,Declarations!$B$6:$D$293,3,FALSE)&amp;LEFT(VLOOKUP($F50,Declarations!$B$6:$E$293,4,FALSE))))</f>
        <v/>
      </c>
      <c r="F50" s="21"/>
      <c r="G50" s="22"/>
      <c r="H50" s="322"/>
      <c r="I50" s="8" t="str">
        <f>IF(ISNA(VLOOKUP(F50,Declarations!B$6:C$293,2,FALSE)),"",IF(VLOOKUP(F50,Declarations!B$6:C$293,2,FALSE)="","NOT DECLARED",VLOOKUP(F50,Declarations!B$6:C$293,2,FALSE)))</f>
        <v/>
      </c>
      <c r="J50" s="2">
        <f>IF(LOWER(LEFT(G50,1))="n",1,VLOOKUP(G50,ScoringTable!E$2:I$95,5))</f>
        <v>0</v>
      </c>
      <c r="K50" s="120" t="str" cm="1">
        <f t="array" ref="K50">IF(OR(E50="",G50=""),"",_xlfn.IFS(E50="U10B",_xlfn.XLOOKUP(G50,Data!$D$4:$L$4,Data!$D$1:$L$1,"",-1,1),E50="U12B",_xlfn.XLOOKUP(G50,Data!$D$11:$L$11,Data!$D$1:$L$1,"",-1,1),E50="U10G",_xlfn.XLOOKUP(G50,Data!$D$17:$L$17,Data!$D$1:$L$1,"",-1,1),E50="U12G",_xlfn.XLOOKUP(G50,Data!$D$24:$L$24,Data!$D$1:$L$1,"",-1,1)))</f>
        <v/>
      </c>
      <c r="L50" s="184" t="str" cm="1">
        <f t="array" ref="L50">IFERROR(_xlfn.IFNA(
                      _xlfn.IFS(
                      F50="", "",
                      AND(E50="U10B",G50&gt;=Data!$M$4), "U10 Boys record",
                      AND(E50="U12B",G50&gt;=Data!$M$11), "U12 Boys record",
                      AND(E50="U10G",G50&gt;=Data!$M$17), "U10 Girls record",
                      AND(E50="U12G",G50&gt;=Data!$M$24), "U12 Girls record"
                       ),""), "")</f>
        <v/>
      </c>
      <c r="M50" s="19" cm="1">
        <f t="array" ref="M50">_xlfn.IFS($G50="",0,AND(NOT(ISNUMBER($G50)),LOWER(LEFT($G50,1))&lt;&gt;"n"),"Not a valid distance",OR(LOWER(LEFT($G50,1))="n",$G50&lt;ScoringTable!$P$161),1,RIGHT($E50,1)="B",_xlfn.XLOOKUP($G50,ScoringTable!$P$2:$P$161,ScoringTable!$L$2:$L$161,,-1),TRUE,_xlfn.XLOOKUP($G50,ScoringTable!$V$2:$V$161,ScoringTable!$R$2:$R$161,,-1))</f>
        <v>0</v>
      </c>
    </row>
    <row r="51" spans="1:13" ht="16" customHeight="1">
      <c r="A51" s="82" t="s">
        <v>27</v>
      </c>
      <c r="B51" s="81" t="str">
        <f>IF(ISNA(VLOOKUP($F51,Declarations!B$6:C$293,2,FALSE)),"",IF(VLOOKUP($F51,Declarations!B$6:C$293,2,FALSE)="","NOT DECLARED",IF(ISNA(_xlfn.TEXTBEFORE(VLOOKUP($F51,Declarations!B$6:C$293,2,FALSE)," ")),VLOOKUP($F51,Declarations!B$6:C$293,2,FALSE),_xlfn.TEXTBEFORE(VLOOKUP($F51,Declarations!B$6:C$293,2,FALSE)," "))))</f>
        <v/>
      </c>
      <c r="C51" s="81" t="str">
        <f>IF(ISNA(VLOOKUP($F51,Declarations!B$6:C$293,2,FALSE)),"",IF(VLOOKUP($F51,Declarations!B$6:C$293,2,FALSE)="","NOT DECLARED",IF(ISNA(_xlfn.TEXTAFTER(VLOOKUP($F51,Declarations!B$6:C$293,2,FALSE)," ")),VLOOKUP($F51,Declarations!B$6:C$293,2,FALSE),_xlfn.TEXTAFTER(VLOOKUP($F51,Declarations!B$6:C$293,2,FALSE)," "))))</f>
        <v/>
      </c>
      <c r="D51" s="81" t="str">
        <f>IF(ISNA(VLOOKUP($F51,Declarations!$B$6:$F$293,5,FALSE)),"",IF(VLOOKUP($F51,Declarations!$B$6:$F$293,5,FALSE)="","NOT DECLARED",VLOOKUP($F51,Declarations!$B$6:$F$293,5,FALSE)))</f>
        <v/>
      </c>
      <c r="E51" s="120" t="str">
        <f>IF(ISNA(VLOOKUP($F51,Declarations!$B$6:$D$293,3,FALSE)),"",IF(VLOOKUP($F51,Declarations!$B$6:$D$293,3,FALSE)="","NOT DECLARED",VLOOKUP($F51,Declarations!$B$6:$D$293,3,FALSE)&amp;LEFT(VLOOKUP($F51,Declarations!$B$6:$E$293,4,FALSE))))</f>
        <v/>
      </c>
      <c r="F51" s="21"/>
      <c r="G51" s="22"/>
      <c r="H51" s="322"/>
      <c r="I51" s="8" t="str">
        <f>IF(ISNA(VLOOKUP(F51,Declarations!B$6:C$293,2,FALSE)),"",IF(VLOOKUP(F51,Declarations!B$6:C$293,2,FALSE)="","NOT DECLARED",VLOOKUP(F51,Declarations!B$6:C$293,2,FALSE)))</f>
        <v/>
      </c>
      <c r="J51" s="2">
        <f>IF(LOWER(LEFT(G51,1))="n",1,VLOOKUP(G51,ScoringTable!E$2:I$95,5))</f>
        <v>0</v>
      </c>
      <c r="K51" s="120" t="str" cm="1">
        <f t="array" ref="K51">IF(OR(E51="",G51=""),"",_xlfn.IFS(E51="U10B",_xlfn.XLOOKUP(G51,Data!$D$4:$L$4,Data!$D$1:$L$1,"",-1,1),E51="U12B",_xlfn.XLOOKUP(G51,Data!$D$11:$L$11,Data!$D$1:$L$1,"",-1,1),E51="U10G",_xlfn.XLOOKUP(G51,Data!$D$17:$L$17,Data!$D$1:$L$1,"",-1,1),E51="U12G",_xlfn.XLOOKUP(G51,Data!$D$24:$L$24,Data!$D$1:$L$1,"",-1,1)))</f>
        <v/>
      </c>
      <c r="L51" s="184" t="str" cm="1">
        <f t="array" ref="L51">IFERROR(_xlfn.IFNA(
                      _xlfn.IFS(
                      F51="", "",
                      AND(E51="U10B",G51&gt;=Data!$M$4), "U10 Boys record",
                      AND(E51="U12B",G51&gt;=Data!$M$11), "U12 Boys record",
                      AND(E51="U10G",G51&gt;=Data!$M$17), "U10 Girls record",
                      AND(E51="U12G",G51&gt;=Data!$M$24), "U12 Girls record"
                       ),""), "")</f>
        <v/>
      </c>
      <c r="M51" s="19" cm="1">
        <f t="array" ref="M51">_xlfn.IFS($G51="",0,AND(NOT(ISNUMBER($G51)),LOWER(LEFT($G51,1))&lt;&gt;"n"),"Not a valid distance",OR(LOWER(LEFT($G51,1))="n",$G51&lt;ScoringTable!$P$161),1,RIGHT($E51,1)="B",_xlfn.XLOOKUP($G51,ScoringTable!$P$2:$P$161,ScoringTable!$L$2:$L$161,,-1),TRUE,_xlfn.XLOOKUP($G51,ScoringTable!$V$2:$V$161,ScoringTable!$R$2:$R$161,,-1))</f>
        <v>0</v>
      </c>
    </row>
    <row r="52" spans="1:13" ht="16" customHeight="1">
      <c r="A52" s="82" t="s">
        <v>27</v>
      </c>
      <c r="B52" s="81" t="str">
        <f>IF(ISNA(VLOOKUP($F52,Declarations!B$6:C$293,2,FALSE)),"",IF(VLOOKUP($F52,Declarations!B$6:C$293,2,FALSE)="","NOT DECLARED",IF(ISNA(_xlfn.TEXTBEFORE(VLOOKUP($F52,Declarations!B$6:C$293,2,FALSE)," ")),VLOOKUP($F52,Declarations!B$6:C$293,2,FALSE),_xlfn.TEXTBEFORE(VLOOKUP($F52,Declarations!B$6:C$293,2,FALSE)," "))))</f>
        <v/>
      </c>
      <c r="C52" s="81" t="str">
        <f>IF(ISNA(VLOOKUP($F52,Declarations!B$6:C$293,2,FALSE)),"",IF(VLOOKUP($F52,Declarations!B$6:C$293,2,FALSE)="","NOT DECLARED",IF(ISNA(_xlfn.TEXTAFTER(VLOOKUP($F52,Declarations!B$6:C$293,2,FALSE)," ")),VLOOKUP($F52,Declarations!B$6:C$293,2,FALSE),_xlfn.TEXTAFTER(VLOOKUP($F52,Declarations!B$6:C$293,2,FALSE)," "))))</f>
        <v/>
      </c>
      <c r="D52" s="81" t="str">
        <f>IF(ISNA(VLOOKUP($F52,Declarations!$B$6:$F$293,5,FALSE)),"",IF(VLOOKUP($F52,Declarations!$B$6:$F$293,5,FALSE)="","NOT DECLARED",VLOOKUP($F52,Declarations!$B$6:$F$293,5,FALSE)))</f>
        <v/>
      </c>
      <c r="E52" s="120" t="str">
        <f>IF(ISNA(VLOOKUP($F52,Declarations!$B$6:$D$293,3,FALSE)),"",IF(VLOOKUP($F52,Declarations!$B$6:$D$293,3,FALSE)="","NOT DECLARED",VLOOKUP($F52,Declarations!$B$6:$D$293,3,FALSE)&amp;LEFT(VLOOKUP($F52,Declarations!$B$6:$E$293,4,FALSE))))</f>
        <v/>
      </c>
      <c r="F52" s="21"/>
      <c r="G52" s="22"/>
      <c r="H52" s="322"/>
      <c r="I52" s="8" t="str">
        <f>IF(ISNA(VLOOKUP(F52,Declarations!B$6:C$293,2,FALSE)),"",IF(VLOOKUP(F52,Declarations!B$6:C$293,2,FALSE)="","NOT DECLARED",VLOOKUP(F52,Declarations!B$6:C$293,2,FALSE)))</f>
        <v/>
      </c>
      <c r="J52" s="2">
        <f>IF(LOWER(LEFT(G52,1))="n",1,VLOOKUP(G52,ScoringTable!E$2:I$95,5))</f>
        <v>0</v>
      </c>
      <c r="K52" s="120" t="str" cm="1">
        <f t="array" ref="K52">IF(OR(E52="",G52=""),"",_xlfn.IFS(E52="U10B",_xlfn.XLOOKUP(G52,Data!$D$4:$L$4,Data!$D$1:$L$1,"",-1,1),E52="U12B",_xlfn.XLOOKUP(G52,Data!$D$11:$L$11,Data!$D$1:$L$1,"",-1,1),E52="U10G",_xlfn.XLOOKUP(G52,Data!$D$17:$L$17,Data!$D$1:$L$1,"",-1,1),E52="U12G",_xlfn.XLOOKUP(G52,Data!$D$24:$L$24,Data!$D$1:$L$1,"",-1,1)))</f>
        <v/>
      </c>
      <c r="L52" s="184" t="str" cm="1">
        <f t="array" ref="L52">IFERROR(_xlfn.IFNA(
                      _xlfn.IFS(
                      F52="", "",
                      AND(E52="U10B",G52&gt;=Data!$M$4), "U10 Boys record",
                      AND(E52="U12B",G52&gt;=Data!$M$11), "U12 Boys record",
                      AND(E52="U10G",G52&gt;=Data!$M$17), "U10 Girls record",
                      AND(E52="U12G",G52&gt;=Data!$M$24), "U12 Girls record"
                       ),""), "")</f>
        <v/>
      </c>
      <c r="M52" s="19" cm="1">
        <f t="array" ref="M52">_xlfn.IFS($G52="",0,AND(NOT(ISNUMBER($G52)),LOWER(LEFT($G52,1))&lt;&gt;"n"),"Not a valid distance",OR(LOWER(LEFT($G52,1))="n",$G52&lt;ScoringTable!$P$161),1,RIGHT($E52,1)="B",_xlfn.XLOOKUP($G52,ScoringTable!$P$2:$P$161,ScoringTable!$L$2:$L$161,,-1),TRUE,_xlfn.XLOOKUP($G52,ScoringTable!$V$2:$V$161,ScoringTable!$R$2:$R$161,,-1))</f>
        <v>0</v>
      </c>
    </row>
    <row r="53" spans="1:13" ht="16" customHeight="1">
      <c r="A53" s="82" t="s">
        <v>27</v>
      </c>
      <c r="B53" s="81" t="str">
        <f>IF(ISNA(VLOOKUP($F53,Declarations!B$6:C$293,2,FALSE)),"",IF(VLOOKUP($F53,Declarations!B$6:C$293,2,FALSE)="","NOT DECLARED",IF(ISNA(_xlfn.TEXTBEFORE(VLOOKUP($F53,Declarations!B$6:C$293,2,FALSE)," ")),VLOOKUP($F53,Declarations!B$6:C$293,2,FALSE),_xlfn.TEXTBEFORE(VLOOKUP($F53,Declarations!B$6:C$293,2,FALSE)," "))))</f>
        <v/>
      </c>
      <c r="C53" s="81" t="str">
        <f>IF(ISNA(VLOOKUP($F53,Declarations!B$6:C$293,2,FALSE)),"",IF(VLOOKUP($F53,Declarations!B$6:C$293,2,FALSE)="","NOT DECLARED",IF(ISNA(_xlfn.TEXTAFTER(VLOOKUP($F53,Declarations!B$6:C$293,2,FALSE)," ")),VLOOKUP($F53,Declarations!B$6:C$293,2,FALSE),_xlfn.TEXTAFTER(VLOOKUP($F53,Declarations!B$6:C$293,2,FALSE)," "))))</f>
        <v/>
      </c>
      <c r="D53" s="81" t="str">
        <f>IF(ISNA(VLOOKUP($F53,Declarations!$B$6:$F$293,5,FALSE)),"",IF(VLOOKUP($F53,Declarations!$B$6:$F$293,5,FALSE)="","NOT DECLARED",VLOOKUP($F53,Declarations!$B$6:$F$293,5,FALSE)))</f>
        <v/>
      </c>
      <c r="E53" s="120" t="str">
        <f>IF(ISNA(VLOOKUP($F53,Declarations!$B$6:$D$293,3,FALSE)),"",IF(VLOOKUP($F53,Declarations!$B$6:$D$293,3,FALSE)="","NOT DECLARED",VLOOKUP($F53,Declarations!$B$6:$D$293,3,FALSE)&amp;LEFT(VLOOKUP($F53,Declarations!$B$6:$E$293,4,FALSE))))</f>
        <v/>
      </c>
      <c r="F53" s="21"/>
      <c r="G53" s="22"/>
      <c r="H53" s="322"/>
      <c r="I53" s="8" t="str">
        <f>IF(ISNA(VLOOKUP(F53,Declarations!B$6:C$293,2,FALSE)),"",IF(VLOOKUP(F53,Declarations!B$6:C$293,2,FALSE)="","NOT DECLARED",VLOOKUP(F53,Declarations!B$6:C$293,2,FALSE)))</f>
        <v/>
      </c>
      <c r="J53" s="2">
        <f>IF(LOWER(LEFT(G53,1))="n",1,VLOOKUP(G53,ScoringTable!E$2:I$95,5))</f>
        <v>0</v>
      </c>
      <c r="K53" s="120" t="str" cm="1">
        <f t="array" ref="K53">IF(OR(E53="",G53=""),"",_xlfn.IFS(E53="U10B",_xlfn.XLOOKUP(G53,Data!$D$4:$L$4,Data!$D$1:$L$1,"",-1,1),E53="U12B",_xlfn.XLOOKUP(G53,Data!$D$11:$L$11,Data!$D$1:$L$1,"",-1,1),E53="U10G",_xlfn.XLOOKUP(G53,Data!$D$17:$L$17,Data!$D$1:$L$1,"",-1,1),E53="U12G",_xlfn.XLOOKUP(G53,Data!$D$24:$L$24,Data!$D$1:$L$1,"",-1,1)))</f>
        <v/>
      </c>
      <c r="L53" s="184" t="str" cm="1">
        <f t="array" ref="L53">IFERROR(_xlfn.IFNA(
                      _xlfn.IFS(
                      F53="", "",
                      AND(E53="U10B",G53&gt;=Data!$M$4), "U10 Boys record",
                      AND(E53="U12B",G53&gt;=Data!$M$11), "U12 Boys record",
                      AND(E53="U10G",G53&gt;=Data!$M$17), "U10 Girls record",
                      AND(E53="U12G",G53&gt;=Data!$M$24), "U12 Girls record"
                       ),""), "")</f>
        <v/>
      </c>
      <c r="M53" s="19" cm="1">
        <f t="array" ref="M53">_xlfn.IFS($G53="",0,AND(NOT(ISNUMBER($G53)),LOWER(LEFT($G53,1))&lt;&gt;"n"),"Not a valid distance",OR(LOWER(LEFT($G53,1))="n",$G53&lt;ScoringTable!$P$161),1,RIGHT($E53,1)="B",_xlfn.XLOOKUP($G53,ScoringTable!$P$2:$P$161,ScoringTable!$L$2:$L$161,,-1),TRUE,_xlfn.XLOOKUP($G53,ScoringTable!$V$2:$V$161,ScoringTable!$R$2:$R$161,,-1))</f>
        <v>0</v>
      </c>
    </row>
    <row r="54" spans="1:13" ht="16" customHeight="1">
      <c r="A54" s="82" t="s">
        <v>27</v>
      </c>
      <c r="B54" s="81" t="str">
        <f>IF(ISNA(VLOOKUP($F54,Declarations!B$6:C$293,2,FALSE)),"",IF(VLOOKUP($F54,Declarations!B$6:C$293,2,FALSE)="","NOT DECLARED",IF(ISNA(_xlfn.TEXTBEFORE(VLOOKUP($F54,Declarations!B$6:C$293,2,FALSE)," ")),VLOOKUP($F54,Declarations!B$6:C$293,2,FALSE),_xlfn.TEXTBEFORE(VLOOKUP($F54,Declarations!B$6:C$293,2,FALSE)," "))))</f>
        <v/>
      </c>
      <c r="C54" s="81" t="str">
        <f>IF(ISNA(VLOOKUP($F54,Declarations!B$6:C$293,2,FALSE)),"",IF(VLOOKUP($F54,Declarations!B$6:C$293,2,FALSE)="","NOT DECLARED",IF(ISNA(_xlfn.TEXTAFTER(VLOOKUP($F54,Declarations!B$6:C$293,2,FALSE)," ")),VLOOKUP($F54,Declarations!B$6:C$293,2,FALSE),_xlfn.TEXTAFTER(VLOOKUP($F54,Declarations!B$6:C$293,2,FALSE)," "))))</f>
        <v/>
      </c>
      <c r="D54" s="81" t="str">
        <f>IF(ISNA(VLOOKUP($F54,Declarations!$B$6:$F$293,5,FALSE)),"",IF(VLOOKUP($F54,Declarations!$B$6:$F$293,5,FALSE)="","NOT DECLARED",VLOOKUP($F54,Declarations!$B$6:$F$293,5,FALSE)))</f>
        <v/>
      </c>
      <c r="E54" s="120" t="str">
        <f>IF(ISNA(VLOOKUP($F54,Declarations!$B$6:$D$293,3,FALSE)),"",IF(VLOOKUP($F54,Declarations!$B$6:$D$293,3,FALSE)="","NOT DECLARED",VLOOKUP($F54,Declarations!$B$6:$D$293,3,FALSE)&amp;LEFT(VLOOKUP($F54,Declarations!$B$6:$E$293,4,FALSE))))</f>
        <v/>
      </c>
      <c r="F54" s="21"/>
      <c r="G54" s="22"/>
      <c r="H54" s="322"/>
      <c r="I54" s="8" t="str">
        <f>IF(ISNA(VLOOKUP(F54,Declarations!B$6:C$293,2,FALSE)),"",IF(VLOOKUP(F54,Declarations!B$6:C$293,2,FALSE)="","NOT DECLARED",VLOOKUP(F54,Declarations!B$6:C$293,2,FALSE)))</f>
        <v/>
      </c>
      <c r="J54" s="2">
        <f>IF(LOWER(LEFT(G54,1))="n",1,VLOOKUP(G54,ScoringTable!E$2:I$95,5))</f>
        <v>0</v>
      </c>
      <c r="K54" s="120" t="str" cm="1">
        <f t="array" ref="K54">IF(OR(E54="",G54=""),"",_xlfn.IFS(E54="U10B",_xlfn.XLOOKUP(G54,Data!$D$4:$L$4,Data!$D$1:$L$1,"",-1,1),E54="U12B",_xlfn.XLOOKUP(G54,Data!$D$11:$L$11,Data!$D$1:$L$1,"",-1,1),E54="U10G",_xlfn.XLOOKUP(G54,Data!$D$17:$L$17,Data!$D$1:$L$1,"",-1,1),E54="U12G",_xlfn.XLOOKUP(G54,Data!$D$24:$L$24,Data!$D$1:$L$1,"",-1,1)))</f>
        <v/>
      </c>
      <c r="L54" s="184" t="str" cm="1">
        <f t="array" ref="L54">IFERROR(_xlfn.IFNA(
                      _xlfn.IFS(
                      F54="", "",
                      AND(E54="U10B",G54&gt;=Data!$M$4), "U10 Boys record",
                      AND(E54="U12B",G54&gt;=Data!$M$11), "U12 Boys record",
                      AND(E54="U10G",G54&gt;=Data!$M$17), "U10 Girls record",
                      AND(E54="U12G",G54&gt;=Data!$M$24), "U12 Girls record"
                       ),""), "")</f>
        <v/>
      </c>
      <c r="M54" s="19" cm="1">
        <f t="array" ref="M54">_xlfn.IFS($G54="",0,AND(NOT(ISNUMBER($G54)),LOWER(LEFT($G54,1))&lt;&gt;"n"),"Not a valid distance",OR(LOWER(LEFT($G54,1))="n",$G54&lt;ScoringTable!$P$161),1,RIGHT($E54,1)="B",_xlfn.XLOOKUP($G54,ScoringTable!$P$2:$P$161,ScoringTable!$L$2:$L$161,,-1),TRUE,_xlfn.XLOOKUP($G54,ScoringTable!$V$2:$V$161,ScoringTable!$R$2:$R$161,,-1))</f>
        <v>0</v>
      </c>
    </row>
    <row r="55" spans="1:13" ht="16" customHeight="1">
      <c r="A55" s="82" t="s">
        <v>27</v>
      </c>
      <c r="B55" s="81" t="str">
        <f>IF(ISNA(VLOOKUP($F55,Declarations!B$6:C$293,2,FALSE)),"",IF(VLOOKUP($F55,Declarations!B$6:C$293,2,FALSE)="","NOT DECLARED",IF(ISNA(_xlfn.TEXTBEFORE(VLOOKUP($F55,Declarations!B$6:C$293,2,FALSE)," ")),VLOOKUP($F55,Declarations!B$6:C$293,2,FALSE),_xlfn.TEXTBEFORE(VLOOKUP($F55,Declarations!B$6:C$293,2,FALSE)," "))))</f>
        <v/>
      </c>
      <c r="C55" s="81" t="str">
        <f>IF(ISNA(VLOOKUP($F55,Declarations!B$6:C$293,2,FALSE)),"",IF(VLOOKUP($F55,Declarations!B$6:C$293,2,FALSE)="","NOT DECLARED",IF(ISNA(_xlfn.TEXTAFTER(VLOOKUP($F55,Declarations!B$6:C$293,2,FALSE)," ")),VLOOKUP($F55,Declarations!B$6:C$293,2,FALSE),_xlfn.TEXTAFTER(VLOOKUP($F55,Declarations!B$6:C$293,2,FALSE)," "))))</f>
        <v/>
      </c>
      <c r="D55" s="81" t="str">
        <f>IF(ISNA(VLOOKUP($F55,Declarations!$B$6:$F$293,5,FALSE)),"",IF(VLOOKUP($F55,Declarations!$B$6:$F$293,5,FALSE)="","NOT DECLARED",VLOOKUP($F55,Declarations!$B$6:$F$293,5,FALSE)))</f>
        <v/>
      </c>
      <c r="E55" s="120" t="str">
        <f>IF(ISNA(VLOOKUP($F55,Declarations!$B$6:$D$293,3,FALSE)),"",IF(VLOOKUP($F55,Declarations!$B$6:$D$293,3,FALSE)="","NOT DECLARED",VLOOKUP($F55,Declarations!$B$6:$D$293,3,FALSE)&amp;LEFT(VLOOKUP($F55,Declarations!$B$6:$E$293,4,FALSE))))</f>
        <v/>
      </c>
      <c r="F55" s="21"/>
      <c r="G55" s="22"/>
      <c r="H55" s="322"/>
      <c r="I55" s="8" t="str">
        <f>IF(ISNA(VLOOKUP(F55,Declarations!B$6:C$293,2,FALSE)),"",IF(VLOOKUP(F55,Declarations!B$6:C$293,2,FALSE)="","NOT DECLARED",VLOOKUP(F55,Declarations!B$6:C$293,2,FALSE)))</f>
        <v/>
      </c>
      <c r="J55" s="2">
        <f>IF(LOWER(LEFT(G55,1))="n",1,VLOOKUP(G55,ScoringTable!E$2:I$95,5))</f>
        <v>0</v>
      </c>
      <c r="K55" s="120" t="str" cm="1">
        <f t="array" ref="K55">IF(OR(E55="",G55=""),"",_xlfn.IFS(E55="U10B",_xlfn.XLOOKUP(G55,Data!$D$4:$L$4,Data!$D$1:$L$1,"",-1,1),E55="U12B",_xlfn.XLOOKUP(G55,Data!$D$11:$L$11,Data!$D$1:$L$1,"",-1,1),E55="U10G",_xlfn.XLOOKUP(G55,Data!$D$17:$L$17,Data!$D$1:$L$1,"",-1,1),E55="U12G",_xlfn.XLOOKUP(G55,Data!$D$24:$L$24,Data!$D$1:$L$1,"",-1,1)))</f>
        <v/>
      </c>
      <c r="L55" s="184" t="str" cm="1">
        <f t="array" ref="L55">IFERROR(_xlfn.IFNA(
                      _xlfn.IFS(
                      F55="", "",
                      AND(E55="U10B",G55&gt;=Data!$M$4), "U10 Boys record",
                      AND(E55="U12B",G55&gt;=Data!$M$11), "U12 Boys record",
                      AND(E55="U10G",G55&gt;=Data!$M$17), "U10 Girls record",
                      AND(E55="U12G",G55&gt;=Data!$M$24), "U12 Girls record"
                       ),""), "")</f>
        <v/>
      </c>
      <c r="M55" s="19" cm="1">
        <f t="array" ref="M55">_xlfn.IFS($G55="",0,AND(NOT(ISNUMBER($G55)),LOWER(LEFT($G55,1))&lt;&gt;"n"),"Not a valid distance",OR(LOWER(LEFT($G55,1))="n",$G55&lt;ScoringTable!$P$161),1,RIGHT($E55,1)="B",_xlfn.XLOOKUP($G55,ScoringTable!$P$2:$P$161,ScoringTable!$L$2:$L$161,,-1),TRUE,_xlfn.XLOOKUP($G55,ScoringTable!$V$2:$V$161,ScoringTable!$R$2:$R$161,,-1))</f>
        <v>0</v>
      </c>
    </row>
    <row r="56" spans="1:13" ht="16" customHeight="1">
      <c r="A56" s="82" t="s">
        <v>27</v>
      </c>
      <c r="B56" s="81" t="str">
        <f>IF(ISNA(VLOOKUP($F56,Declarations!B$6:C$293,2,FALSE)),"",IF(VLOOKUP($F56,Declarations!B$6:C$293,2,FALSE)="","NOT DECLARED",IF(ISNA(_xlfn.TEXTBEFORE(VLOOKUP($F56,Declarations!B$6:C$293,2,FALSE)," ")),VLOOKUP($F56,Declarations!B$6:C$293,2,FALSE),_xlfn.TEXTBEFORE(VLOOKUP($F56,Declarations!B$6:C$293,2,FALSE)," "))))</f>
        <v/>
      </c>
      <c r="C56" s="81" t="str">
        <f>IF(ISNA(VLOOKUP($F56,Declarations!B$6:C$293,2,FALSE)),"",IF(VLOOKUP($F56,Declarations!B$6:C$293,2,FALSE)="","NOT DECLARED",IF(ISNA(_xlfn.TEXTAFTER(VLOOKUP($F56,Declarations!B$6:C$293,2,FALSE)," ")),VLOOKUP($F56,Declarations!B$6:C$293,2,FALSE),_xlfn.TEXTAFTER(VLOOKUP($F56,Declarations!B$6:C$293,2,FALSE)," "))))</f>
        <v/>
      </c>
      <c r="D56" s="81" t="str">
        <f>IF(ISNA(VLOOKUP($F56,Declarations!$B$6:$F$293,5,FALSE)),"",IF(VLOOKUP($F56,Declarations!$B$6:$F$293,5,FALSE)="","NOT DECLARED",VLOOKUP($F56,Declarations!$B$6:$F$293,5,FALSE)))</f>
        <v/>
      </c>
      <c r="E56" s="120" t="str">
        <f>IF(ISNA(VLOOKUP($F56,Declarations!$B$6:$D$293,3,FALSE)),"",IF(VLOOKUP($F56,Declarations!$B$6:$D$293,3,FALSE)="","NOT DECLARED",VLOOKUP($F56,Declarations!$B$6:$D$293,3,FALSE)&amp;LEFT(VLOOKUP($F56,Declarations!$B$6:$E$293,4,FALSE))))</f>
        <v/>
      </c>
      <c r="F56" s="21"/>
      <c r="G56" s="22"/>
      <c r="H56" s="322"/>
      <c r="I56" s="8" t="str">
        <f>IF(ISNA(VLOOKUP(F56,Declarations!B$6:C$293,2,FALSE)),"",IF(VLOOKUP(F56,Declarations!B$6:C$293,2,FALSE)="","NOT DECLARED",VLOOKUP(F56,Declarations!B$6:C$293,2,FALSE)))</f>
        <v/>
      </c>
      <c r="J56" s="2">
        <f>IF(LOWER(LEFT(G56,1))="n",1,VLOOKUP(G56,ScoringTable!E$2:I$95,5))</f>
        <v>0</v>
      </c>
      <c r="K56" s="120" t="str" cm="1">
        <f t="array" ref="K56">IF(OR(E56="",G56=""),"",_xlfn.IFS(E56="U10B",_xlfn.XLOOKUP(G56,Data!$D$4:$L$4,Data!$D$1:$L$1,"",-1,1),E56="U12B",_xlfn.XLOOKUP(G56,Data!$D$11:$L$11,Data!$D$1:$L$1,"",-1,1),E56="U10G",_xlfn.XLOOKUP(G56,Data!$D$17:$L$17,Data!$D$1:$L$1,"",-1,1),E56="U12G",_xlfn.XLOOKUP(G56,Data!$D$24:$L$24,Data!$D$1:$L$1,"",-1,1)))</f>
        <v/>
      </c>
      <c r="L56" s="184" t="str" cm="1">
        <f t="array" ref="L56">IFERROR(_xlfn.IFNA(
                      _xlfn.IFS(
                      F56="", "",
                      AND(E56="U10B",G56&gt;=Data!$M$4), "U10 Boys record",
                      AND(E56="U12B",G56&gt;=Data!$M$11), "U12 Boys record",
                      AND(E56="U10G",G56&gt;=Data!$M$17), "U10 Girls record",
                      AND(E56="U12G",G56&gt;=Data!$M$24), "U12 Girls record"
                       ),""), "")</f>
        <v/>
      </c>
      <c r="M56" s="19" cm="1">
        <f t="array" ref="M56">_xlfn.IFS($G56="",0,AND(NOT(ISNUMBER($G56)),LOWER(LEFT($G56,1))&lt;&gt;"n"),"Not a valid distance",OR(LOWER(LEFT($G56,1))="n",$G56&lt;ScoringTable!$P$161),1,RIGHT($E56,1)="B",_xlfn.XLOOKUP($G56,ScoringTable!$P$2:$P$161,ScoringTable!$L$2:$L$161,,-1),TRUE,_xlfn.XLOOKUP($G56,ScoringTable!$V$2:$V$161,ScoringTable!$R$2:$R$161,,-1))</f>
        <v>0</v>
      </c>
    </row>
    <row r="57" spans="1:13" ht="16" customHeight="1">
      <c r="A57" s="82" t="s">
        <v>27</v>
      </c>
      <c r="B57" s="81" t="str">
        <f>IF(ISNA(VLOOKUP($F57,Declarations!B$6:C$293,2,FALSE)),"",IF(VLOOKUP($F57,Declarations!B$6:C$293,2,FALSE)="","NOT DECLARED",IF(ISNA(_xlfn.TEXTBEFORE(VLOOKUP($F57,Declarations!B$6:C$293,2,FALSE)," ")),VLOOKUP($F57,Declarations!B$6:C$293,2,FALSE),_xlfn.TEXTBEFORE(VLOOKUP($F57,Declarations!B$6:C$293,2,FALSE)," "))))</f>
        <v/>
      </c>
      <c r="C57" s="81" t="str">
        <f>IF(ISNA(VLOOKUP($F57,Declarations!B$6:C$293,2,FALSE)),"",IF(VLOOKUP($F57,Declarations!B$6:C$293,2,FALSE)="","NOT DECLARED",IF(ISNA(_xlfn.TEXTAFTER(VLOOKUP($F57,Declarations!B$6:C$293,2,FALSE)," ")),VLOOKUP($F57,Declarations!B$6:C$293,2,FALSE),_xlfn.TEXTAFTER(VLOOKUP($F57,Declarations!B$6:C$293,2,FALSE)," "))))</f>
        <v/>
      </c>
      <c r="D57" s="81" t="str">
        <f>IF(ISNA(VLOOKUP($F57,Declarations!$B$6:$F$293,5,FALSE)),"",IF(VLOOKUP($F57,Declarations!$B$6:$F$293,5,FALSE)="","NOT DECLARED",VLOOKUP($F57,Declarations!$B$6:$F$293,5,FALSE)))</f>
        <v/>
      </c>
      <c r="E57" s="120" t="str">
        <f>IF(ISNA(VLOOKUP($F57,Declarations!$B$6:$D$293,3,FALSE)),"",IF(VLOOKUP($F57,Declarations!$B$6:$D$293,3,FALSE)="","NOT DECLARED",VLOOKUP($F57,Declarations!$B$6:$D$293,3,FALSE)&amp;LEFT(VLOOKUP($F57,Declarations!$B$6:$E$293,4,FALSE))))</f>
        <v/>
      </c>
      <c r="F57" s="21"/>
      <c r="G57" s="22"/>
      <c r="H57" s="322"/>
      <c r="I57" s="8" t="str">
        <f>IF(ISNA(VLOOKUP(F57,Declarations!B$6:C$293,2,FALSE)),"",IF(VLOOKUP(F57,Declarations!B$6:C$293,2,FALSE)="","NOT DECLARED",VLOOKUP(F57,Declarations!B$6:C$293,2,FALSE)))</f>
        <v/>
      </c>
      <c r="J57" s="2">
        <f>IF(LOWER(LEFT(G57,1))="n",1,VLOOKUP(G57,ScoringTable!E$2:I$95,5))</f>
        <v>0</v>
      </c>
      <c r="K57" s="120" t="str" cm="1">
        <f t="array" ref="K57">IF(OR(E57="",G57=""),"",_xlfn.IFS(E57="U10B",_xlfn.XLOOKUP(G57,Data!$D$4:$L$4,Data!$D$1:$L$1,"",-1,1),E57="U12B",_xlfn.XLOOKUP(G57,Data!$D$11:$L$11,Data!$D$1:$L$1,"",-1,1),E57="U10G",_xlfn.XLOOKUP(G57,Data!$D$17:$L$17,Data!$D$1:$L$1,"",-1,1),E57="U12G",_xlfn.XLOOKUP(G57,Data!$D$24:$L$24,Data!$D$1:$L$1,"",-1,1)))</f>
        <v/>
      </c>
      <c r="L57" s="184" t="str" cm="1">
        <f t="array" ref="L57">IFERROR(_xlfn.IFNA(
                      _xlfn.IFS(
                      F57="", "",
                      AND(E57="U10B",G57&gt;=Data!$M$4), "U10 Boys record",
                      AND(E57="U12B",G57&gt;=Data!$M$11), "U12 Boys record",
                      AND(E57="U10G",G57&gt;=Data!$M$17), "U10 Girls record",
                      AND(E57="U12G",G57&gt;=Data!$M$24), "U12 Girls record"
                       ),""), "")</f>
        <v/>
      </c>
      <c r="M57" s="19" cm="1">
        <f t="array" ref="M57">_xlfn.IFS($G57="",0,AND(NOT(ISNUMBER($G57)),LOWER(LEFT($G57,1))&lt;&gt;"n"),"Not a valid distance",OR(LOWER(LEFT($G57,1))="n",$G57&lt;ScoringTable!$P$161),1,RIGHT($E57,1)="B",_xlfn.XLOOKUP($G57,ScoringTable!$P$2:$P$161,ScoringTable!$L$2:$L$161,,-1),TRUE,_xlfn.XLOOKUP($G57,ScoringTable!$V$2:$V$161,ScoringTable!$R$2:$R$161,,-1))</f>
        <v>0</v>
      </c>
    </row>
    <row r="58" spans="1:13" ht="16" customHeight="1">
      <c r="A58" s="82" t="s">
        <v>27</v>
      </c>
      <c r="B58" s="81" t="str">
        <f>IF(ISNA(VLOOKUP($F58,Declarations!B$6:C$293,2,FALSE)),"",IF(VLOOKUP($F58,Declarations!B$6:C$293,2,FALSE)="","NOT DECLARED",IF(ISNA(_xlfn.TEXTBEFORE(VLOOKUP($F58,Declarations!B$6:C$293,2,FALSE)," ")),VLOOKUP($F58,Declarations!B$6:C$293,2,FALSE),_xlfn.TEXTBEFORE(VLOOKUP($F58,Declarations!B$6:C$293,2,FALSE)," "))))</f>
        <v/>
      </c>
      <c r="C58" s="81" t="str">
        <f>IF(ISNA(VLOOKUP($F58,Declarations!B$6:C$293,2,FALSE)),"",IF(VLOOKUP($F58,Declarations!B$6:C$293,2,FALSE)="","NOT DECLARED",IF(ISNA(_xlfn.TEXTAFTER(VLOOKUP($F58,Declarations!B$6:C$293,2,FALSE)," ")),VLOOKUP($F58,Declarations!B$6:C$293,2,FALSE),_xlfn.TEXTAFTER(VLOOKUP($F58,Declarations!B$6:C$293,2,FALSE)," "))))</f>
        <v/>
      </c>
      <c r="D58" s="81" t="str">
        <f>IF(ISNA(VLOOKUP($F58,Declarations!$B$6:$F$293,5,FALSE)),"",IF(VLOOKUP($F58,Declarations!$B$6:$F$293,5,FALSE)="","NOT DECLARED",VLOOKUP($F58,Declarations!$B$6:$F$293,5,FALSE)))</f>
        <v/>
      </c>
      <c r="E58" s="120" t="str">
        <f>IF(ISNA(VLOOKUP($F58,Declarations!$B$6:$D$293,3,FALSE)),"",IF(VLOOKUP($F58,Declarations!$B$6:$D$293,3,FALSE)="","NOT DECLARED",VLOOKUP($F58,Declarations!$B$6:$D$293,3,FALSE)&amp;LEFT(VLOOKUP($F58,Declarations!$B$6:$E$293,4,FALSE))))</f>
        <v/>
      </c>
      <c r="F58" s="21"/>
      <c r="G58" s="22"/>
      <c r="H58" s="322"/>
      <c r="I58" s="8" t="str">
        <f>IF(ISNA(VLOOKUP(F58,Declarations!B$6:C$293,2,FALSE)),"",IF(VLOOKUP(F58,Declarations!B$6:C$293,2,FALSE)="","NOT DECLARED",VLOOKUP(F58,Declarations!B$6:C$293,2,FALSE)))</f>
        <v/>
      </c>
      <c r="J58" s="2">
        <f>IF(LOWER(LEFT(G58,1))="n",1,VLOOKUP(G58,ScoringTable!E$2:I$95,5))</f>
        <v>0</v>
      </c>
      <c r="K58" s="120" t="str" cm="1">
        <f t="array" ref="K58">IF(OR(E58="",G58=""),"",_xlfn.IFS(E58="U10B",_xlfn.XLOOKUP(G58,Data!$D$4:$L$4,Data!$D$1:$L$1,"",-1,1),E58="U12B",_xlfn.XLOOKUP(G58,Data!$D$11:$L$11,Data!$D$1:$L$1,"",-1,1),E58="U10G",_xlfn.XLOOKUP(G58,Data!$D$17:$L$17,Data!$D$1:$L$1,"",-1,1),E58="U12G",_xlfn.XLOOKUP(G58,Data!$D$24:$L$24,Data!$D$1:$L$1,"",-1,1)))</f>
        <v/>
      </c>
      <c r="L58" s="184" t="str" cm="1">
        <f t="array" ref="L58">IFERROR(_xlfn.IFNA(
                      _xlfn.IFS(
                      F58="", "",
                      AND(E58="U10B",G58&gt;=Data!$M$4), "U10 Boys record",
                      AND(E58="U12B",G58&gt;=Data!$M$11), "U12 Boys record",
                      AND(E58="U10G",G58&gt;=Data!$M$17), "U10 Girls record",
                      AND(E58="U12G",G58&gt;=Data!$M$24), "U12 Girls record"
                       ),""), "")</f>
        <v/>
      </c>
      <c r="M58" s="19" cm="1">
        <f t="array" ref="M58">_xlfn.IFS($G58="",0,AND(NOT(ISNUMBER($G58)),LOWER(LEFT($G58,1))&lt;&gt;"n"),"Not a valid distance",OR(LOWER(LEFT($G58,1))="n",$G58&lt;ScoringTable!$P$161),1,RIGHT($E58,1)="B",_xlfn.XLOOKUP($G58,ScoringTable!$P$2:$P$161,ScoringTable!$L$2:$L$161,,-1),TRUE,_xlfn.XLOOKUP($G58,ScoringTable!$V$2:$V$161,ScoringTable!$R$2:$R$161,,-1))</f>
        <v>0</v>
      </c>
    </row>
    <row r="59" spans="1:13" ht="16" customHeight="1">
      <c r="A59" s="82" t="s">
        <v>27</v>
      </c>
      <c r="B59" s="81" t="str">
        <f>IF(ISNA(VLOOKUP($F59,Declarations!B$6:C$293,2,FALSE)),"",IF(VLOOKUP($F59,Declarations!B$6:C$293,2,FALSE)="","NOT DECLARED",IF(ISNA(_xlfn.TEXTBEFORE(VLOOKUP($F59,Declarations!B$6:C$293,2,FALSE)," ")),VLOOKUP($F59,Declarations!B$6:C$293,2,FALSE),_xlfn.TEXTBEFORE(VLOOKUP($F59,Declarations!B$6:C$293,2,FALSE)," "))))</f>
        <v/>
      </c>
      <c r="C59" s="81" t="str">
        <f>IF(ISNA(VLOOKUP($F59,Declarations!B$6:C$293,2,FALSE)),"",IF(VLOOKUP($F59,Declarations!B$6:C$293,2,FALSE)="","NOT DECLARED",IF(ISNA(_xlfn.TEXTAFTER(VLOOKUP($F59,Declarations!B$6:C$293,2,FALSE)," ")),VLOOKUP($F59,Declarations!B$6:C$293,2,FALSE),_xlfn.TEXTAFTER(VLOOKUP($F59,Declarations!B$6:C$293,2,FALSE)," "))))</f>
        <v/>
      </c>
      <c r="D59" s="81" t="str">
        <f>IF(ISNA(VLOOKUP($F59,Declarations!$B$6:$F$293,5,FALSE)),"",IF(VLOOKUP($F59,Declarations!$B$6:$F$293,5,FALSE)="","NOT DECLARED",VLOOKUP($F59,Declarations!$B$6:$F$293,5,FALSE)))</f>
        <v/>
      </c>
      <c r="E59" s="120" t="str">
        <f>IF(ISNA(VLOOKUP($F59,Declarations!$B$6:$D$293,3,FALSE)),"",IF(VLOOKUP($F59,Declarations!$B$6:$D$293,3,FALSE)="","NOT DECLARED",VLOOKUP($F59,Declarations!$B$6:$D$293,3,FALSE)&amp;LEFT(VLOOKUP($F59,Declarations!$B$6:$E$293,4,FALSE))))</f>
        <v/>
      </c>
      <c r="F59" s="21"/>
      <c r="G59" s="22"/>
      <c r="H59" s="322"/>
      <c r="I59" s="8" t="str">
        <f>IF(ISNA(VLOOKUP(F59,Declarations!B$6:C$293,2,FALSE)),"",IF(VLOOKUP(F59,Declarations!B$6:C$293,2,FALSE)="","NOT DECLARED",VLOOKUP(F59,Declarations!B$6:C$293,2,FALSE)))</f>
        <v/>
      </c>
      <c r="J59" s="2">
        <f>IF(LOWER(LEFT(G59,1))="n",1,VLOOKUP(G59,ScoringTable!E$2:I$95,5))</f>
        <v>0</v>
      </c>
      <c r="K59" s="120" t="str" cm="1">
        <f t="array" ref="K59">IF(OR(E59="",G59=""),"",_xlfn.IFS(E59="U10B",_xlfn.XLOOKUP(G59,Data!$D$4:$L$4,Data!$D$1:$L$1,"",-1,1),E59="U12B",_xlfn.XLOOKUP(G59,Data!$D$11:$L$11,Data!$D$1:$L$1,"",-1,1),E59="U10G",_xlfn.XLOOKUP(G59,Data!$D$17:$L$17,Data!$D$1:$L$1,"",-1,1),E59="U12G",_xlfn.XLOOKUP(G59,Data!$D$24:$L$24,Data!$D$1:$L$1,"",-1,1)))</f>
        <v/>
      </c>
      <c r="L59" s="184" t="str" cm="1">
        <f t="array" ref="L59">IFERROR(_xlfn.IFNA(
                      _xlfn.IFS(
                      F59="", "",
                      AND(E59="U10B",G59&gt;=Data!$M$4), "U10 Boys record",
                      AND(E59="U12B",G59&gt;=Data!$M$11), "U12 Boys record",
                      AND(E59="U10G",G59&gt;=Data!$M$17), "U10 Girls record",
                      AND(E59="U12G",G59&gt;=Data!$M$24), "U12 Girls record"
                       ),""), "")</f>
        <v/>
      </c>
      <c r="M59" s="19" cm="1">
        <f t="array" ref="M59">_xlfn.IFS($G59="",0,AND(NOT(ISNUMBER($G59)),LOWER(LEFT($G59,1))&lt;&gt;"n"),"Not a valid distance",OR(LOWER(LEFT($G59,1))="n",$G59&lt;ScoringTable!$P$161),1,RIGHT($E59,1)="B",_xlfn.XLOOKUP($G59,ScoringTable!$P$2:$P$161,ScoringTable!$L$2:$L$161,,-1),TRUE,_xlfn.XLOOKUP($G59,ScoringTable!$V$2:$V$161,ScoringTable!$R$2:$R$161,,-1))</f>
        <v>0</v>
      </c>
    </row>
    <row r="60" spans="1:13" ht="16" customHeight="1">
      <c r="A60" s="82" t="s">
        <v>27</v>
      </c>
      <c r="B60" s="81" t="str">
        <f>IF(ISNA(VLOOKUP($F60,Declarations!B$6:C$293,2,FALSE)),"",IF(VLOOKUP($F60,Declarations!B$6:C$293,2,FALSE)="","NOT DECLARED",IF(ISNA(_xlfn.TEXTBEFORE(VLOOKUP($F60,Declarations!B$6:C$293,2,FALSE)," ")),VLOOKUP($F60,Declarations!B$6:C$293,2,FALSE),_xlfn.TEXTBEFORE(VLOOKUP($F60,Declarations!B$6:C$293,2,FALSE)," "))))</f>
        <v/>
      </c>
      <c r="C60" s="81" t="str">
        <f>IF(ISNA(VLOOKUP($F60,Declarations!B$6:C$293,2,FALSE)),"",IF(VLOOKUP($F60,Declarations!B$6:C$293,2,FALSE)="","NOT DECLARED",IF(ISNA(_xlfn.TEXTAFTER(VLOOKUP($F60,Declarations!B$6:C$293,2,FALSE)," ")),VLOOKUP($F60,Declarations!B$6:C$293,2,FALSE),_xlfn.TEXTAFTER(VLOOKUP($F60,Declarations!B$6:C$293,2,FALSE)," "))))</f>
        <v/>
      </c>
      <c r="D60" s="81" t="str">
        <f>IF(ISNA(VLOOKUP($F60,Declarations!$B$6:$F$293,5,FALSE)),"",IF(VLOOKUP($F60,Declarations!$B$6:$F$293,5,FALSE)="","NOT DECLARED",VLOOKUP($F60,Declarations!$B$6:$F$293,5,FALSE)))</f>
        <v/>
      </c>
      <c r="E60" s="120" t="str">
        <f>IF(ISNA(VLOOKUP($F60,Declarations!$B$6:$D$293,3,FALSE)),"",IF(VLOOKUP($F60,Declarations!$B$6:$D$293,3,FALSE)="","NOT DECLARED",VLOOKUP($F60,Declarations!$B$6:$D$293,3,FALSE)&amp;LEFT(VLOOKUP($F60,Declarations!$B$6:$E$293,4,FALSE))))</f>
        <v/>
      </c>
      <c r="F60" s="21"/>
      <c r="G60" s="22"/>
      <c r="H60" s="322"/>
      <c r="I60" s="8" t="str">
        <f>IF(ISNA(VLOOKUP(F60,Declarations!B$6:C$293,2,FALSE)),"",IF(VLOOKUP(F60,Declarations!B$6:C$293,2,FALSE)="","NOT DECLARED",VLOOKUP(F60,Declarations!B$6:C$293,2,FALSE)))</f>
        <v/>
      </c>
      <c r="J60" s="2">
        <f>IF(LOWER(LEFT(G60,1))="n",1,VLOOKUP(G60,ScoringTable!E$2:I$95,5))</f>
        <v>0</v>
      </c>
      <c r="K60" s="120" t="str" cm="1">
        <f t="array" ref="K60">IF(OR(E60="",G60=""),"",_xlfn.IFS(E60="U10B",_xlfn.XLOOKUP(G60,Data!$D$4:$L$4,Data!$D$1:$L$1,"",-1,1),E60="U12B",_xlfn.XLOOKUP(G60,Data!$D$11:$L$11,Data!$D$1:$L$1,"",-1,1),E60="U10G",_xlfn.XLOOKUP(G60,Data!$D$17:$L$17,Data!$D$1:$L$1,"",-1,1),E60="U12G",_xlfn.XLOOKUP(G60,Data!$D$24:$L$24,Data!$D$1:$L$1,"",-1,1)))</f>
        <v/>
      </c>
      <c r="L60" s="184" t="str" cm="1">
        <f t="array" ref="L60">IFERROR(_xlfn.IFNA(
                      _xlfn.IFS(
                      F60="", "",
                      AND(E60="U10B",G60&gt;=Data!$M$4), "U10 Boys record",
                      AND(E60="U12B",G60&gt;=Data!$M$11), "U12 Boys record",
                      AND(E60="U10G",G60&gt;=Data!$M$17), "U10 Girls record",
                      AND(E60="U12G",G60&gt;=Data!$M$24), "U12 Girls record"
                       ),""), "")</f>
        <v/>
      </c>
      <c r="M60" s="19" cm="1">
        <f t="array" ref="M60">_xlfn.IFS($G60="",0,AND(NOT(ISNUMBER($G60)),LOWER(LEFT($G60,1))&lt;&gt;"n"),"Not a valid distance",OR(LOWER(LEFT($G60,1))="n",$G60&lt;ScoringTable!$P$161),1,RIGHT($E60,1)="B",_xlfn.XLOOKUP($G60,ScoringTable!$P$2:$P$161,ScoringTable!$L$2:$L$161,,-1),TRUE,_xlfn.XLOOKUP($G60,ScoringTable!$V$2:$V$161,ScoringTable!$R$2:$R$161,,-1))</f>
        <v>0</v>
      </c>
    </row>
    <row r="61" spans="1:13" ht="16" customHeight="1">
      <c r="A61" s="82" t="s">
        <v>27</v>
      </c>
      <c r="B61" s="81" t="str">
        <f>IF(ISNA(VLOOKUP($F61,Declarations!B$6:C$293,2,FALSE)),"",IF(VLOOKUP($F61,Declarations!B$6:C$293,2,FALSE)="","NOT DECLARED",IF(ISNA(_xlfn.TEXTBEFORE(VLOOKUP($F61,Declarations!B$6:C$293,2,FALSE)," ")),VLOOKUP($F61,Declarations!B$6:C$293,2,FALSE),_xlfn.TEXTBEFORE(VLOOKUP($F61,Declarations!B$6:C$293,2,FALSE)," "))))</f>
        <v/>
      </c>
      <c r="C61" s="81" t="str">
        <f>IF(ISNA(VLOOKUP($F61,Declarations!B$6:C$293,2,FALSE)),"",IF(VLOOKUP($F61,Declarations!B$6:C$293,2,FALSE)="","NOT DECLARED",IF(ISNA(_xlfn.TEXTAFTER(VLOOKUP($F61,Declarations!B$6:C$293,2,FALSE)," ")),VLOOKUP($F61,Declarations!B$6:C$293,2,FALSE),_xlfn.TEXTAFTER(VLOOKUP($F61,Declarations!B$6:C$293,2,FALSE)," "))))</f>
        <v/>
      </c>
      <c r="D61" s="81" t="str">
        <f>IF(ISNA(VLOOKUP($F61,Declarations!$B$6:$F$293,5,FALSE)),"",IF(VLOOKUP($F61,Declarations!$B$6:$F$293,5,FALSE)="","NOT DECLARED",VLOOKUP($F61,Declarations!$B$6:$F$293,5,FALSE)))</f>
        <v/>
      </c>
      <c r="E61" s="120" t="str">
        <f>IF(ISNA(VLOOKUP($F61,Declarations!$B$6:$D$293,3,FALSE)),"",IF(VLOOKUP($F61,Declarations!$B$6:$D$293,3,FALSE)="","NOT DECLARED",VLOOKUP($F61,Declarations!$B$6:$D$293,3,FALSE)&amp;LEFT(VLOOKUP($F61,Declarations!$B$6:$E$293,4,FALSE))))</f>
        <v/>
      </c>
      <c r="F61" s="21"/>
      <c r="G61" s="22"/>
      <c r="H61" s="322"/>
      <c r="I61" s="8" t="str">
        <f>IF(ISNA(VLOOKUP(F61,Declarations!B$6:C$293,2,FALSE)),"",IF(VLOOKUP(F61,Declarations!B$6:C$293,2,FALSE)="","NOT DECLARED",VLOOKUP(F61,Declarations!B$6:C$293,2,FALSE)))</f>
        <v/>
      </c>
      <c r="J61" s="2">
        <f>IF(LOWER(LEFT(G61,1))="n",1,VLOOKUP(G61,ScoringTable!E$2:I$95,5))</f>
        <v>0</v>
      </c>
      <c r="K61" s="120" t="str" cm="1">
        <f t="array" ref="K61">IF(OR(E61="",G61=""),"",_xlfn.IFS(E61="U10B",_xlfn.XLOOKUP(G61,Data!$D$4:$L$4,Data!$D$1:$L$1,"",-1,1),E61="U12B",_xlfn.XLOOKUP(G61,Data!$D$11:$L$11,Data!$D$1:$L$1,"",-1,1),E61="U10G",_xlfn.XLOOKUP(G61,Data!$D$17:$L$17,Data!$D$1:$L$1,"",-1,1),E61="U12G",_xlfn.XLOOKUP(G61,Data!$D$24:$L$24,Data!$D$1:$L$1,"",-1,1)))</f>
        <v/>
      </c>
      <c r="L61" s="184" t="str" cm="1">
        <f t="array" ref="L61">IFERROR(_xlfn.IFNA(
                      _xlfn.IFS(
                      F61="", "",
                      AND(E61="U10B",G61&gt;=Data!$M$4), "U10 Boys record",
                      AND(E61="U12B",G61&gt;=Data!$M$11), "U12 Boys record",
                      AND(E61="U10G",G61&gt;=Data!$M$17), "U10 Girls record",
                      AND(E61="U12G",G61&gt;=Data!$M$24), "U12 Girls record"
                       ),""), "")</f>
        <v/>
      </c>
      <c r="M61" s="19" cm="1">
        <f t="array" ref="M61">_xlfn.IFS($G61="",0,AND(NOT(ISNUMBER($G61)),LOWER(LEFT($G61,1))&lt;&gt;"n"),"Not a valid distance",OR(LOWER(LEFT($G61,1))="n",$G61&lt;ScoringTable!$P$161),1,RIGHT($E61,1)="B",_xlfn.XLOOKUP($G61,ScoringTable!$P$2:$P$161,ScoringTable!$L$2:$L$161,,-1),TRUE,_xlfn.XLOOKUP($G61,ScoringTable!$V$2:$V$161,ScoringTable!$R$2:$R$161,,-1))</f>
        <v>0</v>
      </c>
    </row>
    <row r="62" spans="1:13" ht="16" customHeight="1">
      <c r="A62" s="82" t="s">
        <v>27</v>
      </c>
      <c r="B62" s="81" t="str">
        <f>IF(ISNA(VLOOKUP($F62,Declarations!B$6:C$293,2,FALSE)),"",IF(VLOOKUP($F62,Declarations!B$6:C$293,2,FALSE)="","NOT DECLARED",IF(ISNA(_xlfn.TEXTBEFORE(VLOOKUP($F62,Declarations!B$6:C$293,2,FALSE)," ")),VLOOKUP($F62,Declarations!B$6:C$293,2,FALSE),_xlfn.TEXTBEFORE(VLOOKUP($F62,Declarations!B$6:C$293,2,FALSE)," "))))</f>
        <v/>
      </c>
      <c r="C62" s="81" t="str">
        <f>IF(ISNA(VLOOKUP($F62,Declarations!B$6:C$293,2,FALSE)),"",IF(VLOOKUP($F62,Declarations!B$6:C$293,2,FALSE)="","NOT DECLARED",IF(ISNA(_xlfn.TEXTAFTER(VLOOKUP($F62,Declarations!B$6:C$293,2,FALSE)," ")),VLOOKUP($F62,Declarations!B$6:C$293,2,FALSE),_xlfn.TEXTAFTER(VLOOKUP($F62,Declarations!B$6:C$293,2,FALSE)," "))))</f>
        <v/>
      </c>
      <c r="D62" s="81" t="str">
        <f>IF(ISNA(VLOOKUP($F62,Declarations!$B$6:$F$293,5,FALSE)),"",IF(VLOOKUP($F62,Declarations!$B$6:$F$293,5,FALSE)="","NOT DECLARED",VLOOKUP($F62,Declarations!$B$6:$F$293,5,FALSE)))</f>
        <v/>
      </c>
      <c r="E62" s="120" t="str">
        <f>IF(ISNA(VLOOKUP($F62,Declarations!$B$6:$D$293,3,FALSE)),"",IF(VLOOKUP($F62,Declarations!$B$6:$D$293,3,FALSE)="","NOT DECLARED",VLOOKUP($F62,Declarations!$B$6:$D$293,3,FALSE)&amp;LEFT(VLOOKUP($F62,Declarations!$B$6:$E$293,4,FALSE))))</f>
        <v/>
      </c>
      <c r="F62" s="21"/>
      <c r="G62" s="22"/>
      <c r="H62" s="322"/>
      <c r="I62" s="8" t="str">
        <f>IF(ISNA(VLOOKUP(F62,Declarations!B$6:C$293,2,FALSE)),"",IF(VLOOKUP(F62,Declarations!B$6:C$293,2,FALSE)="","NOT DECLARED",VLOOKUP(F62,Declarations!B$6:C$293,2,FALSE)))</f>
        <v/>
      </c>
      <c r="J62" s="2">
        <f>IF(LOWER(LEFT(G62,1))="n",1,VLOOKUP(G62,ScoringTable!E$2:I$95,5))</f>
        <v>0</v>
      </c>
      <c r="K62" s="120" t="str" cm="1">
        <f t="array" ref="K62">IF(OR(E62="",G62=""),"",_xlfn.IFS(E62="U10B",_xlfn.XLOOKUP(G62,Data!$D$4:$L$4,Data!$D$1:$L$1,"",-1,1),E62="U12B",_xlfn.XLOOKUP(G62,Data!$D$11:$L$11,Data!$D$1:$L$1,"",-1,1),E62="U10G",_xlfn.XLOOKUP(G62,Data!$D$17:$L$17,Data!$D$1:$L$1,"",-1,1),E62="U12G",_xlfn.XLOOKUP(G62,Data!$D$24:$L$24,Data!$D$1:$L$1,"",-1,1)))</f>
        <v/>
      </c>
      <c r="L62" s="184" t="str" cm="1">
        <f t="array" ref="L62">IFERROR(_xlfn.IFNA(
                      _xlfn.IFS(
                      F62="", "",
                      AND(E62="U10B",G62&gt;=Data!$M$4), "U10 Boys record",
                      AND(E62="U12B",G62&gt;=Data!$M$11), "U12 Boys record",
                      AND(E62="U10G",G62&gt;=Data!$M$17), "U10 Girls record",
                      AND(E62="U12G",G62&gt;=Data!$M$24), "U12 Girls record"
                       ),""), "")</f>
        <v/>
      </c>
      <c r="M62" s="19" cm="1">
        <f t="array" ref="M62">_xlfn.IFS($G62="",0,AND(NOT(ISNUMBER($G62)),LOWER(LEFT($G62,1))&lt;&gt;"n"),"Not a valid distance",OR(LOWER(LEFT($G62,1))="n",$G62&lt;ScoringTable!$P$161),1,RIGHT($E62,1)="B",_xlfn.XLOOKUP($G62,ScoringTable!$P$2:$P$161,ScoringTable!$L$2:$L$161,,-1),TRUE,_xlfn.XLOOKUP($G62,ScoringTable!$V$2:$V$161,ScoringTable!$R$2:$R$161,,-1))</f>
        <v>0</v>
      </c>
    </row>
    <row r="63" spans="1:13" ht="16" customHeight="1">
      <c r="A63" s="82" t="s">
        <v>27</v>
      </c>
      <c r="B63" s="81" t="str">
        <f>IF(ISNA(VLOOKUP($F63,Declarations!B$6:C$293,2,FALSE)),"",IF(VLOOKUP($F63,Declarations!B$6:C$293,2,FALSE)="","NOT DECLARED",IF(ISNA(_xlfn.TEXTBEFORE(VLOOKUP($F63,Declarations!B$6:C$293,2,FALSE)," ")),VLOOKUP($F63,Declarations!B$6:C$293,2,FALSE),_xlfn.TEXTBEFORE(VLOOKUP($F63,Declarations!B$6:C$293,2,FALSE)," "))))</f>
        <v/>
      </c>
      <c r="C63" s="81" t="str">
        <f>IF(ISNA(VLOOKUP($F63,Declarations!B$6:C$293,2,FALSE)),"",IF(VLOOKUP($F63,Declarations!B$6:C$293,2,FALSE)="","NOT DECLARED",IF(ISNA(_xlfn.TEXTAFTER(VLOOKUP($F63,Declarations!B$6:C$293,2,FALSE)," ")),VLOOKUP($F63,Declarations!B$6:C$293,2,FALSE),_xlfn.TEXTAFTER(VLOOKUP($F63,Declarations!B$6:C$293,2,FALSE)," "))))</f>
        <v/>
      </c>
      <c r="D63" s="81" t="str">
        <f>IF(ISNA(VLOOKUP($F63,Declarations!$B$6:$F$293,5,FALSE)),"",IF(VLOOKUP($F63,Declarations!$B$6:$F$293,5,FALSE)="","NOT DECLARED",VLOOKUP($F63,Declarations!$B$6:$F$293,5,FALSE)))</f>
        <v/>
      </c>
      <c r="E63" s="120" t="str">
        <f>IF(ISNA(VLOOKUP($F63,Declarations!$B$6:$D$293,3,FALSE)),"",IF(VLOOKUP($F63,Declarations!$B$6:$D$293,3,FALSE)="","NOT DECLARED",VLOOKUP($F63,Declarations!$B$6:$D$293,3,FALSE)&amp;LEFT(VLOOKUP($F63,Declarations!$B$6:$E$293,4,FALSE))))</f>
        <v/>
      </c>
      <c r="F63" s="21"/>
      <c r="G63" s="22"/>
      <c r="H63" s="322"/>
      <c r="I63" s="8" t="str">
        <f>IF(ISNA(VLOOKUP(F63,Declarations!B$6:C$293,2,FALSE)),"",IF(VLOOKUP(F63,Declarations!B$6:C$293,2,FALSE)="","NOT DECLARED",VLOOKUP(F63,Declarations!B$6:C$293,2,FALSE)))</f>
        <v/>
      </c>
      <c r="J63" s="2">
        <f>IF(LOWER(LEFT(G63,1))="n",1,VLOOKUP(G63,ScoringTable!E$2:I$95,5))</f>
        <v>0</v>
      </c>
      <c r="K63" s="120" t="str" cm="1">
        <f t="array" ref="K63">IF(OR(E63="",G63=""),"",_xlfn.IFS(E63="U10B",_xlfn.XLOOKUP(G63,Data!$D$4:$L$4,Data!$D$1:$L$1,"",-1,1),E63="U12B",_xlfn.XLOOKUP(G63,Data!$D$11:$L$11,Data!$D$1:$L$1,"",-1,1),E63="U10G",_xlfn.XLOOKUP(G63,Data!$D$17:$L$17,Data!$D$1:$L$1,"",-1,1),E63="U12G",_xlfn.XLOOKUP(G63,Data!$D$24:$L$24,Data!$D$1:$L$1,"",-1,1)))</f>
        <v/>
      </c>
      <c r="L63" s="184" t="str" cm="1">
        <f t="array" ref="L63">IFERROR(_xlfn.IFNA(
                      _xlfn.IFS(
                      F63="", "",
                      AND(E63="U10B",G63&gt;=Data!$M$4), "U10 Boys record",
                      AND(E63="U12B",G63&gt;=Data!$M$11), "U12 Boys record",
                      AND(E63="U10G",G63&gt;=Data!$M$17), "U10 Girls record",
                      AND(E63="U12G",G63&gt;=Data!$M$24), "U12 Girls record"
                       ),""), "")</f>
        <v/>
      </c>
      <c r="M63" s="19" cm="1">
        <f t="array" ref="M63">_xlfn.IFS($G63="",0,AND(NOT(ISNUMBER($G63)),LOWER(LEFT($G63,1))&lt;&gt;"n"),"Not a valid distance",OR(LOWER(LEFT($G63,1))="n",$G63&lt;ScoringTable!$P$161),1,RIGHT($E63,1)="B",_xlfn.XLOOKUP($G63,ScoringTable!$P$2:$P$161,ScoringTable!$L$2:$L$161,,-1),TRUE,_xlfn.XLOOKUP($G63,ScoringTable!$V$2:$V$161,ScoringTable!$R$2:$R$161,,-1))</f>
        <v>0</v>
      </c>
    </row>
    <row r="64" spans="1:13" ht="16" customHeight="1">
      <c r="A64" s="82" t="s">
        <v>27</v>
      </c>
      <c r="B64" s="81" t="str">
        <f>IF(ISNA(VLOOKUP($F64,Declarations!B$6:C$293,2,FALSE)),"",IF(VLOOKUP($F64,Declarations!B$6:C$293,2,FALSE)="","NOT DECLARED",IF(ISNA(_xlfn.TEXTBEFORE(VLOOKUP($F64,Declarations!B$6:C$293,2,FALSE)," ")),VLOOKUP($F64,Declarations!B$6:C$293,2,FALSE),_xlfn.TEXTBEFORE(VLOOKUP($F64,Declarations!B$6:C$293,2,FALSE)," "))))</f>
        <v/>
      </c>
      <c r="C64" s="81" t="str">
        <f>IF(ISNA(VLOOKUP($F64,Declarations!B$6:C$293,2,FALSE)),"",IF(VLOOKUP($F64,Declarations!B$6:C$293,2,FALSE)="","NOT DECLARED",IF(ISNA(_xlfn.TEXTAFTER(VLOOKUP($F64,Declarations!B$6:C$293,2,FALSE)," ")),VLOOKUP($F64,Declarations!B$6:C$293,2,FALSE),_xlfn.TEXTAFTER(VLOOKUP($F64,Declarations!B$6:C$293,2,FALSE)," "))))</f>
        <v/>
      </c>
      <c r="D64" s="81" t="str">
        <f>IF(ISNA(VLOOKUP($F64,Declarations!$B$6:$F$293,5,FALSE)),"",IF(VLOOKUP($F64,Declarations!$B$6:$F$293,5,FALSE)="","NOT DECLARED",VLOOKUP($F64,Declarations!$B$6:$F$293,5,FALSE)))</f>
        <v/>
      </c>
      <c r="E64" s="120" t="str">
        <f>IF(ISNA(VLOOKUP($F64,Declarations!$B$6:$D$293,3,FALSE)),"",IF(VLOOKUP($F64,Declarations!$B$6:$D$293,3,FALSE)="","NOT DECLARED",VLOOKUP($F64,Declarations!$B$6:$D$293,3,FALSE)&amp;LEFT(VLOOKUP($F64,Declarations!$B$6:$E$293,4,FALSE))))</f>
        <v/>
      </c>
      <c r="F64" s="21"/>
      <c r="G64" s="22"/>
      <c r="H64" s="322"/>
      <c r="I64" s="8" t="str">
        <f>IF(ISNA(VLOOKUP(F64,Declarations!B$6:C$293,2,FALSE)),"",IF(VLOOKUP(F64,Declarations!B$6:C$293,2,FALSE)="","NOT DECLARED",VLOOKUP(F64,Declarations!B$6:C$293,2,FALSE)))</f>
        <v/>
      </c>
      <c r="J64" s="2">
        <f>IF(LOWER(LEFT(G64,1))="n",1,VLOOKUP(G64,ScoringTable!E$2:I$95,5))</f>
        <v>0</v>
      </c>
      <c r="K64" s="120" t="str" cm="1">
        <f t="array" ref="K64">IF(OR(E64="",G64=""),"",_xlfn.IFS(E64="U10B",_xlfn.XLOOKUP(G64,Data!$D$4:$L$4,Data!$D$1:$L$1,"",-1,1),E64="U12B",_xlfn.XLOOKUP(G64,Data!$D$11:$L$11,Data!$D$1:$L$1,"",-1,1),E64="U10G",_xlfn.XLOOKUP(G64,Data!$D$17:$L$17,Data!$D$1:$L$1,"",-1,1),E64="U12G",_xlfn.XLOOKUP(G64,Data!$D$24:$L$24,Data!$D$1:$L$1,"",-1,1)))</f>
        <v/>
      </c>
      <c r="L64" s="184" t="str" cm="1">
        <f t="array" ref="L64">IFERROR(_xlfn.IFNA(
                      _xlfn.IFS(
                      F64="", "",
                      AND(E64="U10B",G64&gt;=Data!$M$4), "U10 Boys record",
                      AND(E64="U12B",G64&gt;=Data!$M$11), "U12 Boys record",
                      AND(E64="U10G",G64&gt;=Data!$M$17), "U10 Girls record",
                      AND(E64="U12G",G64&gt;=Data!$M$24), "U12 Girls record"
                       ),""), "")</f>
        <v/>
      </c>
      <c r="M64" s="19" cm="1">
        <f t="array" ref="M64">_xlfn.IFS($G64="",0,AND(NOT(ISNUMBER($G64)),LOWER(LEFT($G64,1))&lt;&gt;"n"),"Not a valid distance",OR(LOWER(LEFT($G64,1))="n",$G64&lt;ScoringTable!$P$161),1,RIGHT($E64,1)="B",_xlfn.XLOOKUP($G64,ScoringTable!$P$2:$P$161,ScoringTable!$L$2:$L$161,,-1),TRUE,_xlfn.XLOOKUP($G64,ScoringTable!$V$2:$V$161,ScoringTable!$R$2:$R$161,,-1))</f>
        <v>0</v>
      </c>
    </row>
    <row r="65" spans="1:13" ht="16" customHeight="1">
      <c r="A65" s="82" t="s">
        <v>27</v>
      </c>
      <c r="B65" s="81" t="str">
        <f>IF(ISNA(VLOOKUP($F65,Declarations!B$6:C$293,2,FALSE)),"",IF(VLOOKUP($F65,Declarations!B$6:C$293,2,FALSE)="","NOT DECLARED",IF(ISNA(_xlfn.TEXTBEFORE(VLOOKUP($F65,Declarations!B$6:C$293,2,FALSE)," ")),VLOOKUP($F65,Declarations!B$6:C$293,2,FALSE),_xlfn.TEXTBEFORE(VLOOKUP($F65,Declarations!B$6:C$293,2,FALSE)," "))))</f>
        <v/>
      </c>
      <c r="C65" s="81" t="str">
        <f>IF(ISNA(VLOOKUP($F65,Declarations!B$6:C$293,2,FALSE)),"",IF(VLOOKUP($F65,Declarations!B$6:C$293,2,FALSE)="","NOT DECLARED",IF(ISNA(_xlfn.TEXTAFTER(VLOOKUP($F65,Declarations!B$6:C$293,2,FALSE)," ")),VLOOKUP($F65,Declarations!B$6:C$293,2,FALSE),_xlfn.TEXTAFTER(VLOOKUP($F65,Declarations!B$6:C$293,2,FALSE)," "))))</f>
        <v/>
      </c>
      <c r="D65" s="81" t="str">
        <f>IF(ISNA(VLOOKUP($F65,Declarations!$B$6:$F$293,5,FALSE)),"",IF(VLOOKUP($F65,Declarations!$B$6:$F$293,5,FALSE)="","NOT DECLARED",VLOOKUP($F65,Declarations!$B$6:$F$293,5,FALSE)))</f>
        <v/>
      </c>
      <c r="E65" s="120" t="str">
        <f>IF(ISNA(VLOOKUP($F65,Declarations!$B$6:$D$293,3,FALSE)),"",IF(VLOOKUP($F65,Declarations!$B$6:$D$293,3,FALSE)="","NOT DECLARED",VLOOKUP($F65,Declarations!$B$6:$D$293,3,FALSE)&amp;LEFT(VLOOKUP($F65,Declarations!$B$6:$E$293,4,FALSE))))</f>
        <v/>
      </c>
      <c r="F65" s="21"/>
      <c r="G65" s="22"/>
      <c r="H65" s="322"/>
      <c r="I65" s="8" t="str">
        <f>IF(ISNA(VLOOKUP(F65,Declarations!B$6:C$293,2,FALSE)),"",IF(VLOOKUP(F65,Declarations!B$6:C$293,2,FALSE)="","NOT DECLARED",VLOOKUP(F65,Declarations!B$6:C$293,2,FALSE)))</f>
        <v/>
      </c>
      <c r="J65" s="2">
        <f>IF(LOWER(LEFT(G65,1))="n",1,VLOOKUP(G65,ScoringTable!E$2:I$95,5))</f>
        <v>0</v>
      </c>
      <c r="K65" s="120" t="str" cm="1">
        <f t="array" ref="K65">IF(OR(E65="",G65=""),"",_xlfn.IFS(E65="U10B",_xlfn.XLOOKUP(G65,Data!$D$4:$L$4,Data!$D$1:$L$1,"",-1,1),E65="U12B",_xlfn.XLOOKUP(G65,Data!$D$11:$L$11,Data!$D$1:$L$1,"",-1,1),E65="U10G",_xlfn.XLOOKUP(G65,Data!$D$17:$L$17,Data!$D$1:$L$1,"",-1,1),E65="U12G",_xlfn.XLOOKUP(G65,Data!$D$24:$L$24,Data!$D$1:$L$1,"",-1,1)))</f>
        <v/>
      </c>
      <c r="L65" s="184" t="str" cm="1">
        <f t="array" ref="L65">IFERROR(_xlfn.IFNA(
                      _xlfn.IFS(
                      F65="", "",
                      AND(E65="U10B",G65&gt;=Data!$M$4), "U10 Boys record",
                      AND(E65="U12B",G65&gt;=Data!$M$11), "U12 Boys record",
                      AND(E65="U10G",G65&gt;=Data!$M$17), "U10 Girls record",
                      AND(E65="U12G",G65&gt;=Data!$M$24), "U12 Girls record"
                       ),""), "")</f>
        <v/>
      </c>
      <c r="M65" s="19" cm="1">
        <f t="array" ref="M65">_xlfn.IFS($G65="",0,AND(NOT(ISNUMBER($G65)),LOWER(LEFT($G65,1))&lt;&gt;"n"),"Not a valid distance",OR(LOWER(LEFT($G65,1))="n",$G65&lt;ScoringTable!$P$161),1,RIGHT($E65,1)="B",_xlfn.XLOOKUP($G65,ScoringTable!$P$2:$P$161,ScoringTable!$L$2:$L$161,,-1),TRUE,_xlfn.XLOOKUP($G65,ScoringTable!$V$2:$V$161,ScoringTable!$R$2:$R$161,,-1))</f>
        <v>0</v>
      </c>
    </row>
    <row r="66" spans="1:13" ht="16" customHeight="1">
      <c r="A66" s="82" t="s">
        <v>27</v>
      </c>
      <c r="B66" s="81" t="str">
        <f>IF(ISNA(VLOOKUP($F66,Declarations!B$6:C$293,2,FALSE)),"",IF(VLOOKUP($F66,Declarations!B$6:C$293,2,FALSE)="","NOT DECLARED",IF(ISNA(_xlfn.TEXTBEFORE(VLOOKUP($F66,Declarations!B$6:C$293,2,FALSE)," ")),VLOOKUP($F66,Declarations!B$6:C$293,2,FALSE),_xlfn.TEXTBEFORE(VLOOKUP($F66,Declarations!B$6:C$293,2,FALSE)," "))))</f>
        <v/>
      </c>
      <c r="C66" s="81" t="str">
        <f>IF(ISNA(VLOOKUP($F66,Declarations!B$6:C$293,2,FALSE)),"",IF(VLOOKUP($F66,Declarations!B$6:C$293,2,FALSE)="","NOT DECLARED",IF(ISNA(_xlfn.TEXTAFTER(VLOOKUP($F66,Declarations!B$6:C$293,2,FALSE)," ")),VLOOKUP($F66,Declarations!B$6:C$293,2,FALSE),_xlfn.TEXTAFTER(VLOOKUP($F66,Declarations!B$6:C$293,2,FALSE)," "))))</f>
        <v/>
      </c>
      <c r="D66" s="81" t="str">
        <f>IF(ISNA(VLOOKUP($F66,Declarations!$B$6:$F$293,5,FALSE)),"",IF(VLOOKUP($F66,Declarations!$B$6:$F$293,5,FALSE)="","NOT DECLARED",VLOOKUP($F66,Declarations!$B$6:$F$293,5,FALSE)))</f>
        <v/>
      </c>
      <c r="E66" s="120" t="str">
        <f>IF(ISNA(VLOOKUP($F66,Declarations!$B$6:$D$293,3,FALSE)),"",IF(VLOOKUP($F66,Declarations!$B$6:$D$293,3,FALSE)="","NOT DECLARED",VLOOKUP($F66,Declarations!$B$6:$D$293,3,FALSE)&amp;LEFT(VLOOKUP($F66,Declarations!$B$6:$E$293,4,FALSE))))</f>
        <v/>
      </c>
      <c r="F66" s="21"/>
      <c r="G66" s="22"/>
      <c r="H66" s="322"/>
      <c r="I66" s="8" t="str">
        <f>IF(ISNA(VLOOKUP(F66,Declarations!B$6:C$293,2,FALSE)),"",IF(VLOOKUP(F66,Declarations!B$6:C$293,2,FALSE)="","NOT DECLARED",VLOOKUP(F66,Declarations!B$6:C$293,2,FALSE)))</f>
        <v/>
      </c>
      <c r="J66" s="2">
        <f>IF(LOWER(LEFT(G66,1))="n",1,VLOOKUP(G66,ScoringTable!E$2:I$95,5))</f>
        <v>0</v>
      </c>
      <c r="K66" s="120" t="str" cm="1">
        <f t="array" ref="K66">IF(OR(E66="",G66=""),"",_xlfn.IFS(E66="U10B",_xlfn.XLOOKUP(G66,Data!$D$4:$L$4,Data!$D$1:$L$1,"",-1,1),E66="U12B",_xlfn.XLOOKUP(G66,Data!$D$11:$L$11,Data!$D$1:$L$1,"",-1,1),E66="U10G",_xlfn.XLOOKUP(G66,Data!$D$17:$L$17,Data!$D$1:$L$1,"",-1,1),E66="U12G",_xlfn.XLOOKUP(G66,Data!$D$24:$L$24,Data!$D$1:$L$1,"",-1,1)))</f>
        <v/>
      </c>
      <c r="L66" s="184" t="str" cm="1">
        <f t="array" ref="L66">IFERROR(_xlfn.IFNA(
                      _xlfn.IFS(
                      F66="", "",
                      AND(E66="U10B",G66&gt;=Data!$M$4), "U10 Boys record",
                      AND(E66="U12B",G66&gt;=Data!$M$11), "U12 Boys record",
                      AND(E66="U10G",G66&gt;=Data!$M$17), "U10 Girls record",
                      AND(E66="U12G",G66&gt;=Data!$M$24), "U12 Girls record"
                       ),""), "")</f>
        <v/>
      </c>
      <c r="M66" s="19" cm="1">
        <f t="array" ref="M66">_xlfn.IFS($G66="",0,AND(NOT(ISNUMBER($G66)),LOWER(LEFT($G66,1))&lt;&gt;"n"),"Not a valid distance",OR(LOWER(LEFT($G66,1))="n",$G66&lt;ScoringTable!$P$161),1,RIGHT($E66,1)="B",_xlfn.XLOOKUP($G66,ScoringTable!$P$2:$P$161,ScoringTable!$L$2:$L$161,,-1),TRUE,_xlfn.XLOOKUP($G66,ScoringTable!$V$2:$V$161,ScoringTable!$R$2:$R$161,,-1))</f>
        <v>0</v>
      </c>
    </row>
    <row r="67" spans="1:13" ht="16" customHeight="1">
      <c r="A67" s="82" t="s">
        <v>27</v>
      </c>
      <c r="B67" s="81" t="str">
        <f>IF(ISNA(VLOOKUP($F67,Declarations!B$6:C$293,2,FALSE)),"",IF(VLOOKUP($F67,Declarations!B$6:C$293,2,FALSE)="","NOT DECLARED",IF(ISNA(_xlfn.TEXTBEFORE(VLOOKUP($F67,Declarations!B$6:C$293,2,FALSE)," ")),VLOOKUP($F67,Declarations!B$6:C$293,2,FALSE),_xlfn.TEXTBEFORE(VLOOKUP($F67,Declarations!B$6:C$293,2,FALSE)," "))))</f>
        <v/>
      </c>
      <c r="C67" s="81" t="str">
        <f>IF(ISNA(VLOOKUP($F67,Declarations!B$6:C$293,2,FALSE)),"",IF(VLOOKUP($F67,Declarations!B$6:C$293,2,FALSE)="","NOT DECLARED",IF(ISNA(_xlfn.TEXTAFTER(VLOOKUP($F67,Declarations!B$6:C$293,2,FALSE)," ")),VLOOKUP($F67,Declarations!B$6:C$293,2,FALSE),_xlfn.TEXTAFTER(VLOOKUP($F67,Declarations!B$6:C$293,2,FALSE)," "))))</f>
        <v/>
      </c>
      <c r="D67" s="81" t="str">
        <f>IF(ISNA(VLOOKUP($F67,Declarations!$B$6:$F$293,5,FALSE)),"",IF(VLOOKUP($F67,Declarations!$B$6:$F$293,5,FALSE)="","NOT DECLARED",VLOOKUP($F67,Declarations!$B$6:$F$293,5,FALSE)))</f>
        <v/>
      </c>
      <c r="E67" s="120" t="str">
        <f>IF(ISNA(VLOOKUP($F67,Declarations!$B$6:$D$293,3,FALSE)),"",IF(VLOOKUP($F67,Declarations!$B$6:$D$293,3,FALSE)="","NOT DECLARED",VLOOKUP($F67,Declarations!$B$6:$D$293,3,FALSE)&amp;LEFT(VLOOKUP($F67,Declarations!$B$6:$E$293,4,FALSE))))</f>
        <v/>
      </c>
      <c r="F67" s="21"/>
      <c r="G67" s="22"/>
      <c r="H67" s="322"/>
      <c r="I67" s="8" t="str">
        <f>IF(ISNA(VLOOKUP(F67,Declarations!B$6:C$293,2,FALSE)),"",IF(VLOOKUP(F67,Declarations!B$6:C$293,2,FALSE)="","NOT DECLARED",VLOOKUP(F67,Declarations!B$6:C$293,2,FALSE)))</f>
        <v/>
      </c>
      <c r="J67" s="2">
        <f>IF(LOWER(LEFT(G67,1))="n",1,VLOOKUP(G67,ScoringTable!E$2:I$95,5))</f>
        <v>0</v>
      </c>
      <c r="K67" s="120" t="str" cm="1">
        <f t="array" ref="K67">IF(OR(E67="",G67=""),"",_xlfn.IFS(E67="U10B",_xlfn.XLOOKUP(G67,Data!$D$4:$L$4,Data!$D$1:$L$1,"",-1,1),E67="U12B",_xlfn.XLOOKUP(G67,Data!$D$11:$L$11,Data!$D$1:$L$1,"",-1,1),E67="U10G",_xlfn.XLOOKUP(G67,Data!$D$17:$L$17,Data!$D$1:$L$1,"",-1,1),E67="U12G",_xlfn.XLOOKUP(G67,Data!$D$24:$L$24,Data!$D$1:$L$1,"",-1,1)))</f>
        <v/>
      </c>
      <c r="L67" s="184" t="str" cm="1">
        <f t="array" ref="L67">IFERROR(_xlfn.IFNA(
                      _xlfn.IFS(
                      F67="", "",
                      AND(E67="U10B",G67&gt;=Data!$M$4), "U10 Boys record",
                      AND(E67="U12B",G67&gt;=Data!$M$11), "U12 Boys record",
                      AND(E67="U10G",G67&gt;=Data!$M$17), "U10 Girls record",
                      AND(E67="U12G",G67&gt;=Data!$M$24), "U12 Girls record"
                       ),""), "")</f>
        <v/>
      </c>
      <c r="M67" s="19" cm="1">
        <f t="array" ref="M67">_xlfn.IFS($G67="",0,AND(NOT(ISNUMBER($G67)),LOWER(LEFT($G67,1))&lt;&gt;"n"),"Not a valid distance",OR(LOWER(LEFT($G67,1))="n",$G67&lt;ScoringTable!$P$161),1,RIGHT($E67,1)="B",_xlfn.XLOOKUP($G67,ScoringTable!$P$2:$P$161,ScoringTable!$L$2:$L$161,,-1),TRUE,_xlfn.XLOOKUP($G67,ScoringTable!$V$2:$V$161,ScoringTable!$R$2:$R$161,,-1))</f>
        <v>0</v>
      </c>
    </row>
    <row r="68" spans="1:13" ht="16" customHeight="1">
      <c r="A68" s="82" t="s">
        <v>27</v>
      </c>
      <c r="B68" s="81" t="str">
        <f>IF(ISNA(VLOOKUP($F68,Declarations!B$6:C$293,2,FALSE)),"",IF(VLOOKUP($F68,Declarations!B$6:C$293,2,FALSE)="","NOT DECLARED",IF(ISNA(_xlfn.TEXTBEFORE(VLOOKUP($F68,Declarations!B$6:C$293,2,FALSE)," ")),VLOOKUP($F68,Declarations!B$6:C$293,2,FALSE),_xlfn.TEXTBEFORE(VLOOKUP($F68,Declarations!B$6:C$293,2,FALSE)," "))))</f>
        <v/>
      </c>
      <c r="C68" s="81" t="str">
        <f>IF(ISNA(VLOOKUP($F68,Declarations!B$6:C$293,2,FALSE)),"",IF(VLOOKUP($F68,Declarations!B$6:C$293,2,FALSE)="","NOT DECLARED",IF(ISNA(_xlfn.TEXTAFTER(VLOOKUP($F68,Declarations!B$6:C$293,2,FALSE)," ")),VLOOKUP($F68,Declarations!B$6:C$293,2,FALSE),_xlfn.TEXTAFTER(VLOOKUP($F68,Declarations!B$6:C$293,2,FALSE)," "))))</f>
        <v/>
      </c>
      <c r="D68" s="81" t="str">
        <f>IF(ISNA(VLOOKUP($F68,Declarations!$B$6:$F$293,5,FALSE)),"",IF(VLOOKUP($F68,Declarations!$B$6:$F$293,5,FALSE)="","NOT DECLARED",VLOOKUP($F68,Declarations!$B$6:$F$293,5,FALSE)))</f>
        <v/>
      </c>
      <c r="E68" s="120" t="str">
        <f>IF(ISNA(VLOOKUP($F68,Declarations!$B$6:$D$293,3,FALSE)),"",IF(VLOOKUP($F68,Declarations!$B$6:$D$293,3,FALSE)="","NOT DECLARED",VLOOKUP($F68,Declarations!$B$6:$D$293,3,FALSE)&amp;LEFT(VLOOKUP($F68,Declarations!$B$6:$E$293,4,FALSE))))</f>
        <v/>
      </c>
      <c r="F68" s="21"/>
      <c r="G68" s="22"/>
      <c r="H68" s="322"/>
      <c r="I68" s="8" t="str">
        <f>IF(ISNA(VLOOKUP(F68,Declarations!B$6:C$293,2,FALSE)),"",IF(VLOOKUP(F68,Declarations!B$6:C$293,2,FALSE)="","NOT DECLARED",VLOOKUP(F68,Declarations!B$6:C$293,2,FALSE)))</f>
        <v/>
      </c>
      <c r="J68" s="2">
        <f>IF(LOWER(LEFT(G68,1))="n",1,VLOOKUP(G68,ScoringTable!E$2:I$95,5))</f>
        <v>0</v>
      </c>
      <c r="K68" s="120" t="str" cm="1">
        <f t="array" ref="K68">IF(OR(E68="",G68=""),"",_xlfn.IFS(E68="U10B",_xlfn.XLOOKUP(G68,Data!$D$4:$L$4,Data!$D$1:$L$1,"",-1,1),E68="U12B",_xlfn.XLOOKUP(G68,Data!$D$11:$L$11,Data!$D$1:$L$1,"",-1,1),E68="U10G",_xlfn.XLOOKUP(G68,Data!$D$17:$L$17,Data!$D$1:$L$1,"",-1,1),E68="U12G",_xlfn.XLOOKUP(G68,Data!$D$24:$L$24,Data!$D$1:$L$1,"",-1,1)))</f>
        <v/>
      </c>
      <c r="L68" s="184" t="str" cm="1">
        <f t="array" ref="L68">IFERROR(_xlfn.IFNA(
                      _xlfn.IFS(
                      F68="", "",
                      AND(E68="U10B",G68&gt;=Data!$M$4), "U10 Boys record",
                      AND(E68="U12B",G68&gt;=Data!$M$11), "U12 Boys record",
                      AND(E68="U10G",G68&gt;=Data!$M$17), "U10 Girls record",
                      AND(E68="U12G",G68&gt;=Data!$M$24), "U12 Girls record"
                       ),""), "")</f>
        <v/>
      </c>
      <c r="M68" s="19" cm="1">
        <f t="array" ref="M68">_xlfn.IFS($G68="",0,AND(NOT(ISNUMBER($G68)),LOWER(LEFT($G68,1))&lt;&gt;"n"),"Not a valid distance",OR(LOWER(LEFT($G68,1))="n",$G68&lt;ScoringTable!$P$161),1,RIGHT($E68,1)="B",_xlfn.XLOOKUP($G68,ScoringTable!$P$2:$P$161,ScoringTable!$L$2:$L$161,,-1),TRUE,_xlfn.XLOOKUP($G68,ScoringTable!$V$2:$V$161,ScoringTable!$R$2:$R$161,,-1))</f>
        <v>0</v>
      </c>
    </row>
    <row r="69" spans="1:13" ht="16" customHeight="1">
      <c r="A69" s="82" t="s">
        <v>27</v>
      </c>
      <c r="B69" s="81" t="str">
        <f>IF(ISNA(VLOOKUP($F69,Declarations!B$6:C$293,2,FALSE)),"",IF(VLOOKUP($F69,Declarations!B$6:C$293,2,FALSE)="","NOT DECLARED",IF(ISNA(_xlfn.TEXTBEFORE(VLOOKUP($F69,Declarations!B$6:C$293,2,FALSE)," ")),VLOOKUP($F69,Declarations!B$6:C$293,2,FALSE),_xlfn.TEXTBEFORE(VLOOKUP($F69,Declarations!B$6:C$293,2,FALSE)," "))))</f>
        <v/>
      </c>
      <c r="C69" s="81" t="str">
        <f>IF(ISNA(VLOOKUP($F69,Declarations!B$6:C$293,2,FALSE)),"",IF(VLOOKUP($F69,Declarations!B$6:C$293,2,FALSE)="","NOT DECLARED",IF(ISNA(_xlfn.TEXTAFTER(VLOOKUP($F69,Declarations!B$6:C$293,2,FALSE)," ")),VLOOKUP($F69,Declarations!B$6:C$293,2,FALSE),_xlfn.TEXTAFTER(VLOOKUP($F69,Declarations!B$6:C$293,2,FALSE)," "))))</f>
        <v/>
      </c>
      <c r="D69" s="81" t="str">
        <f>IF(ISNA(VLOOKUP($F69,Declarations!$B$6:$F$293,5,FALSE)),"",IF(VLOOKUP($F69,Declarations!$B$6:$F$293,5,FALSE)="","NOT DECLARED",VLOOKUP($F69,Declarations!$B$6:$F$293,5,FALSE)))</f>
        <v/>
      </c>
      <c r="E69" s="120" t="str">
        <f>IF(ISNA(VLOOKUP($F69,Declarations!$B$6:$D$293,3,FALSE)),"",IF(VLOOKUP($F69,Declarations!$B$6:$D$293,3,FALSE)="","NOT DECLARED",VLOOKUP($F69,Declarations!$B$6:$D$293,3,FALSE)&amp;LEFT(VLOOKUP($F69,Declarations!$B$6:$E$293,4,FALSE))))</f>
        <v/>
      </c>
      <c r="F69" s="21"/>
      <c r="G69" s="22"/>
      <c r="H69" s="322"/>
      <c r="I69" s="8" t="str">
        <f>IF(ISNA(VLOOKUP(F69,Declarations!B$6:C$293,2,FALSE)),"",IF(VLOOKUP(F69,Declarations!B$6:C$293,2,FALSE)="","NOT DECLARED",VLOOKUP(F69,Declarations!B$6:C$293,2,FALSE)))</f>
        <v/>
      </c>
      <c r="J69" s="2">
        <f>IF(LOWER(LEFT(G69,1))="n",1,VLOOKUP(G69,ScoringTable!E$2:I$95,5))</f>
        <v>0</v>
      </c>
      <c r="K69" s="120" t="str" cm="1">
        <f t="array" ref="K69">IF(OR(E69="",G69=""),"",_xlfn.IFS(E69="U10B",_xlfn.XLOOKUP(G69,Data!$D$4:$L$4,Data!$D$1:$L$1,"",-1,1),E69="U12B",_xlfn.XLOOKUP(G69,Data!$D$11:$L$11,Data!$D$1:$L$1,"",-1,1),E69="U10G",_xlfn.XLOOKUP(G69,Data!$D$17:$L$17,Data!$D$1:$L$1,"",-1,1),E69="U12G",_xlfn.XLOOKUP(G69,Data!$D$24:$L$24,Data!$D$1:$L$1,"",-1,1)))</f>
        <v/>
      </c>
      <c r="L69" s="184" t="str" cm="1">
        <f t="array" ref="L69">IFERROR(_xlfn.IFNA(
                      _xlfn.IFS(
                      F69="", "",
                      AND(E69="U10B",G69&gt;=Data!$M$4), "U10 Boys record",
                      AND(E69="U12B",G69&gt;=Data!$M$11), "U12 Boys record",
                      AND(E69="U10G",G69&gt;=Data!$M$17), "U10 Girls record",
                      AND(E69="U12G",G69&gt;=Data!$M$24), "U12 Girls record"
                       ),""), "")</f>
        <v/>
      </c>
      <c r="M69" s="19" cm="1">
        <f t="array" ref="M69">_xlfn.IFS($G69="",0,AND(NOT(ISNUMBER($G69)),LOWER(LEFT($G69,1))&lt;&gt;"n"),"Not a valid distance",OR(LOWER(LEFT($G69,1))="n",$G69&lt;ScoringTable!$P$161),1,RIGHT($E69,1)="B",_xlfn.XLOOKUP($G69,ScoringTable!$P$2:$P$161,ScoringTable!$L$2:$L$161,,-1),TRUE,_xlfn.XLOOKUP($G69,ScoringTable!$V$2:$V$161,ScoringTable!$R$2:$R$161,,-1))</f>
        <v>0</v>
      </c>
    </row>
    <row r="70" spans="1:13" ht="16" customHeight="1">
      <c r="A70" s="82" t="s">
        <v>27</v>
      </c>
      <c r="B70" s="81" t="str">
        <f>IF(ISNA(VLOOKUP($F70,Declarations!B$6:C$293,2,FALSE)),"",IF(VLOOKUP($F70,Declarations!B$6:C$293,2,FALSE)="","NOT DECLARED",IF(ISNA(_xlfn.TEXTBEFORE(VLOOKUP($F70,Declarations!B$6:C$293,2,FALSE)," ")),VLOOKUP($F70,Declarations!B$6:C$293,2,FALSE),_xlfn.TEXTBEFORE(VLOOKUP($F70,Declarations!B$6:C$293,2,FALSE)," "))))</f>
        <v/>
      </c>
      <c r="C70" s="81" t="str">
        <f>IF(ISNA(VLOOKUP($F70,Declarations!B$6:C$293,2,FALSE)),"",IF(VLOOKUP($F70,Declarations!B$6:C$293,2,FALSE)="","NOT DECLARED",IF(ISNA(_xlfn.TEXTAFTER(VLOOKUP($F70,Declarations!B$6:C$293,2,FALSE)," ")),VLOOKUP($F70,Declarations!B$6:C$293,2,FALSE),_xlfn.TEXTAFTER(VLOOKUP($F70,Declarations!B$6:C$293,2,FALSE)," "))))</f>
        <v/>
      </c>
      <c r="D70" s="81" t="str">
        <f>IF(ISNA(VLOOKUP($F70,Declarations!$B$6:$F$293,5,FALSE)),"",IF(VLOOKUP($F70,Declarations!$B$6:$F$293,5,FALSE)="","NOT DECLARED",VLOOKUP($F70,Declarations!$B$6:$F$293,5,FALSE)))</f>
        <v/>
      </c>
      <c r="E70" s="120" t="str">
        <f>IF(ISNA(VLOOKUP($F70,Declarations!$B$6:$D$293,3,FALSE)),"",IF(VLOOKUP($F70,Declarations!$B$6:$D$293,3,FALSE)="","NOT DECLARED",VLOOKUP($F70,Declarations!$B$6:$D$293,3,FALSE)&amp;LEFT(VLOOKUP($F70,Declarations!$B$6:$E$293,4,FALSE))))</f>
        <v/>
      </c>
      <c r="F70" s="21"/>
      <c r="G70" s="22"/>
      <c r="H70" s="322"/>
      <c r="I70" s="8" t="str">
        <f>IF(ISNA(VLOOKUP(F70,Declarations!B$6:C$293,2,FALSE)),"",IF(VLOOKUP(F70,Declarations!B$6:C$293,2,FALSE)="","NOT DECLARED",VLOOKUP(F70,Declarations!B$6:C$293,2,FALSE)))</f>
        <v/>
      </c>
      <c r="J70" s="2">
        <f>IF(LOWER(LEFT(G70,1))="n",1,VLOOKUP(G70,ScoringTable!E$2:I$95,5))</f>
        <v>0</v>
      </c>
      <c r="K70" s="120" t="str" cm="1">
        <f t="array" ref="K70">IF(OR(E70="",G70=""),"",_xlfn.IFS(E70="U10B",_xlfn.XLOOKUP(G70,Data!$D$4:$L$4,Data!$D$1:$L$1,"",-1,1),E70="U12B",_xlfn.XLOOKUP(G70,Data!$D$11:$L$11,Data!$D$1:$L$1,"",-1,1),E70="U10G",_xlfn.XLOOKUP(G70,Data!$D$17:$L$17,Data!$D$1:$L$1,"",-1,1),E70="U12G",_xlfn.XLOOKUP(G70,Data!$D$24:$L$24,Data!$D$1:$L$1,"",-1,1)))</f>
        <v/>
      </c>
      <c r="L70" s="184" t="str" cm="1">
        <f t="array" ref="L70">IFERROR(_xlfn.IFNA(
                      _xlfn.IFS(
                      F70="", "",
                      AND(E70="U10B",G70&gt;=Data!$M$4), "U10 Boys record",
                      AND(E70="U12B",G70&gt;=Data!$M$11), "U12 Boys record",
                      AND(E70="U10G",G70&gt;=Data!$M$17), "U10 Girls record",
                      AND(E70="U12G",G70&gt;=Data!$M$24), "U12 Girls record"
                       ),""), "")</f>
        <v/>
      </c>
      <c r="M70" s="19" cm="1">
        <f t="array" ref="M70">_xlfn.IFS($G70="",0,AND(NOT(ISNUMBER($G70)),LOWER(LEFT($G70,1))&lt;&gt;"n"),"Not a valid distance",OR(LOWER(LEFT($G70,1))="n",$G70&lt;ScoringTable!$P$161),1,RIGHT($E70,1)="B",_xlfn.XLOOKUP($G70,ScoringTable!$P$2:$P$161,ScoringTable!$L$2:$L$161,,-1),TRUE,_xlfn.XLOOKUP($G70,ScoringTable!$V$2:$V$161,ScoringTable!$R$2:$R$161,,-1))</f>
        <v>0</v>
      </c>
    </row>
    <row r="71" spans="1:13" ht="16" customHeight="1">
      <c r="A71" s="82" t="s">
        <v>27</v>
      </c>
      <c r="B71" s="81" t="str">
        <f>IF(ISNA(VLOOKUP($F71,Declarations!B$6:C$293,2,FALSE)),"",IF(VLOOKUP($F71,Declarations!B$6:C$293,2,FALSE)="","NOT DECLARED",IF(ISNA(_xlfn.TEXTBEFORE(VLOOKUP($F71,Declarations!B$6:C$293,2,FALSE)," ")),VLOOKUP($F71,Declarations!B$6:C$293,2,FALSE),_xlfn.TEXTBEFORE(VLOOKUP($F71,Declarations!B$6:C$293,2,FALSE)," "))))</f>
        <v/>
      </c>
      <c r="C71" s="81" t="str">
        <f>IF(ISNA(VLOOKUP($F71,Declarations!B$6:C$293,2,FALSE)),"",IF(VLOOKUP($F71,Declarations!B$6:C$293,2,FALSE)="","NOT DECLARED",IF(ISNA(_xlfn.TEXTAFTER(VLOOKUP($F71,Declarations!B$6:C$293,2,FALSE)," ")),VLOOKUP($F71,Declarations!B$6:C$293,2,FALSE),_xlfn.TEXTAFTER(VLOOKUP($F71,Declarations!B$6:C$293,2,FALSE)," "))))</f>
        <v/>
      </c>
      <c r="D71" s="81" t="str">
        <f>IF(ISNA(VLOOKUP($F71,Declarations!$B$6:$F$293,5,FALSE)),"",IF(VLOOKUP($F71,Declarations!$B$6:$F$293,5,FALSE)="","NOT DECLARED",VLOOKUP($F71,Declarations!$B$6:$F$293,5,FALSE)))</f>
        <v/>
      </c>
      <c r="E71" s="120" t="str">
        <f>IF(ISNA(VLOOKUP($F71,Declarations!$B$6:$D$293,3,FALSE)),"",IF(VLOOKUP($F71,Declarations!$B$6:$D$293,3,FALSE)="","NOT DECLARED",VLOOKUP($F71,Declarations!$B$6:$D$293,3,FALSE)&amp;LEFT(VLOOKUP($F71,Declarations!$B$6:$E$293,4,FALSE))))</f>
        <v/>
      </c>
      <c r="F71" s="21"/>
      <c r="G71" s="22"/>
      <c r="H71" s="322"/>
      <c r="I71" s="8" t="str">
        <f>IF(ISNA(VLOOKUP(F71,Declarations!B$6:C$293,2,FALSE)),"",IF(VLOOKUP(F71,Declarations!B$6:C$293,2,FALSE)="","NOT DECLARED",VLOOKUP(F71,Declarations!B$6:C$293,2,FALSE)))</f>
        <v/>
      </c>
      <c r="J71" s="2">
        <f>IF(LOWER(LEFT(G71,1))="n",1,VLOOKUP(G71,ScoringTable!E$2:I$95,5))</f>
        <v>0</v>
      </c>
      <c r="K71" s="120" t="str" cm="1">
        <f t="array" ref="K71">IF(OR(E71="",G71=""),"",_xlfn.IFS(E71="U10B",_xlfn.XLOOKUP(G71,Data!$D$4:$L$4,Data!$D$1:$L$1,"",-1,1),E71="U12B",_xlfn.XLOOKUP(G71,Data!$D$11:$L$11,Data!$D$1:$L$1,"",-1,1),E71="U10G",_xlfn.XLOOKUP(G71,Data!$D$17:$L$17,Data!$D$1:$L$1,"",-1,1),E71="U12G",_xlfn.XLOOKUP(G71,Data!$D$24:$L$24,Data!$D$1:$L$1,"",-1,1)))</f>
        <v/>
      </c>
      <c r="L71" s="184" t="str" cm="1">
        <f t="array" ref="L71">IFERROR(_xlfn.IFNA(
                      _xlfn.IFS(
                      F71="", "",
                      AND(E71="U10B",G71&gt;=Data!$M$4), "U10 Boys record",
                      AND(E71="U12B",G71&gt;=Data!$M$11), "U12 Boys record",
                      AND(E71="U10G",G71&gt;=Data!$M$17), "U10 Girls record",
                      AND(E71="U12G",G71&gt;=Data!$M$24), "U12 Girls record"
                       ),""), "")</f>
        <v/>
      </c>
      <c r="M71" s="19" cm="1">
        <f t="array" ref="M71">_xlfn.IFS($G71="",0,AND(NOT(ISNUMBER($G71)),LOWER(LEFT($G71,1))&lt;&gt;"n"),"Not a valid distance",OR(LOWER(LEFT($G71,1))="n",$G71&lt;ScoringTable!$P$161),1,RIGHT($E71,1)="B",_xlfn.XLOOKUP($G71,ScoringTable!$P$2:$P$161,ScoringTable!$L$2:$L$161,,-1),TRUE,_xlfn.XLOOKUP($G71,ScoringTable!$V$2:$V$161,ScoringTable!$R$2:$R$161,,-1))</f>
        <v>0</v>
      </c>
    </row>
    <row r="72" spans="1:13" ht="16" customHeight="1">
      <c r="A72" s="82" t="s">
        <v>27</v>
      </c>
      <c r="B72" s="81" t="str">
        <f>IF(ISNA(VLOOKUP($F72,Declarations!B$6:C$293,2,FALSE)),"",IF(VLOOKUP($F72,Declarations!B$6:C$293,2,FALSE)="","NOT DECLARED",IF(ISNA(_xlfn.TEXTBEFORE(VLOOKUP($F72,Declarations!B$6:C$293,2,FALSE)," ")),VLOOKUP($F72,Declarations!B$6:C$293,2,FALSE),_xlfn.TEXTBEFORE(VLOOKUP($F72,Declarations!B$6:C$293,2,FALSE)," "))))</f>
        <v/>
      </c>
      <c r="C72" s="81" t="str">
        <f>IF(ISNA(VLOOKUP($F72,Declarations!B$6:C$293,2,FALSE)),"",IF(VLOOKUP($F72,Declarations!B$6:C$293,2,FALSE)="","NOT DECLARED",IF(ISNA(_xlfn.TEXTAFTER(VLOOKUP($F72,Declarations!B$6:C$293,2,FALSE)," ")),VLOOKUP($F72,Declarations!B$6:C$293,2,FALSE),_xlfn.TEXTAFTER(VLOOKUP($F72,Declarations!B$6:C$293,2,FALSE)," "))))</f>
        <v/>
      </c>
      <c r="D72" s="81" t="str">
        <f>IF(ISNA(VLOOKUP($F72,Declarations!$B$6:$F$293,5,FALSE)),"",IF(VLOOKUP($F72,Declarations!$B$6:$F$293,5,FALSE)="","NOT DECLARED",VLOOKUP($F72,Declarations!$B$6:$F$293,5,FALSE)))</f>
        <v/>
      </c>
      <c r="E72" s="120" t="str">
        <f>IF(ISNA(VLOOKUP($F72,Declarations!$B$6:$D$293,3,FALSE)),"",IF(VLOOKUP($F72,Declarations!$B$6:$D$293,3,FALSE)="","NOT DECLARED",VLOOKUP($F72,Declarations!$B$6:$D$293,3,FALSE)&amp;LEFT(VLOOKUP($F72,Declarations!$B$6:$E$293,4,FALSE))))</f>
        <v/>
      </c>
      <c r="F72" s="21"/>
      <c r="G72" s="22"/>
      <c r="H72" s="322"/>
      <c r="I72" s="8" t="str">
        <f>IF(ISNA(VLOOKUP(F72,Declarations!B$6:C$293,2,FALSE)),"",IF(VLOOKUP(F72,Declarations!B$6:C$293,2,FALSE)="","NOT DECLARED",VLOOKUP(F72,Declarations!B$6:C$293,2,FALSE)))</f>
        <v/>
      </c>
      <c r="J72" s="2">
        <f>IF(LOWER(LEFT(G72,1))="n",1,VLOOKUP(G72,ScoringTable!E$2:I$95,5))</f>
        <v>0</v>
      </c>
      <c r="K72" s="120" t="str" cm="1">
        <f t="array" ref="K72">IF(OR(E72="",G72=""),"",_xlfn.IFS(E72="U10B",_xlfn.XLOOKUP(G72,Data!$D$4:$L$4,Data!$D$1:$L$1,"",-1,1),E72="U12B",_xlfn.XLOOKUP(G72,Data!$D$11:$L$11,Data!$D$1:$L$1,"",-1,1),E72="U10G",_xlfn.XLOOKUP(G72,Data!$D$17:$L$17,Data!$D$1:$L$1,"",-1,1),E72="U12G",_xlfn.XLOOKUP(G72,Data!$D$24:$L$24,Data!$D$1:$L$1,"",-1,1)))</f>
        <v/>
      </c>
      <c r="L72" s="184" t="str" cm="1">
        <f t="array" ref="L72">IFERROR(_xlfn.IFNA(
                      _xlfn.IFS(
                      F72="", "",
                      AND(E72="U10B",G72&gt;=Data!$M$4), "U10 Boys record",
                      AND(E72="U12B",G72&gt;=Data!$M$11), "U12 Boys record",
                      AND(E72="U10G",G72&gt;=Data!$M$17), "U10 Girls record",
                      AND(E72="U12G",G72&gt;=Data!$M$24), "U12 Girls record"
                       ),""), "")</f>
        <v/>
      </c>
      <c r="M72" s="19" cm="1">
        <f t="array" ref="M72">_xlfn.IFS($G72="",0,AND(NOT(ISNUMBER($G72)),LOWER(LEFT($G72,1))&lt;&gt;"n"),"Not a valid distance",OR(LOWER(LEFT($G72,1))="n",$G72&lt;ScoringTable!$P$161),1,RIGHT($E72,1)="B",_xlfn.XLOOKUP($G72,ScoringTable!$P$2:$P$161,ScoringTable!$L$2:$L$161,,-1),TRUE,_xlfn.XLOOKUP($G72,ScoringTable!$V$2:$V$161,ScoringTable!$R$2:$R$161,,-1))</f>
        <v>0</v>
      </c>
    </row>
    <row r="73" spans="1:13" ht="16" customHeight="1">
      <c r="A73" s="82" t="s">
        <v>27</v>
      </c>
      <c r="B73" s="81" t="str">
        <f>IF(ISNA(VLOOKUP($F73,Declarations!B$6:C$293,2,FALSE)),"",IF(VLOOKUP($F73,Declarations!B$6:C$293,2,FALSE)="","NOT DECLARED",IF(ISNA(_xlfn.TEXTBEFORE(VLOOKUP($F73,Declarations!B$6:C$293,2,FALSE)," ")),VLOOKUP($F73,Declarations!B$6:C$293,2,FALSE),_xlfn.TEXTBEFORE(VLOOKUP($F73,Declarations!B$6:C$293,2,FALSE)," "))))</f>
        <v/>
      </c>
      <c r="C73" s="81" t="str">
        <f>IF(ISNA(VLOOKUP($F73,Declarations!B$6:C$293,2,FALSE)),"",IF(VLOOKUP($F73,Declarations!B$6:C$293,2,FALSE)="","NOT DECLARED",IF(ISNA(_xlfn.TEXTAFTER(VLOOKUP($F73,Declarations!B$6:C$293,2,FALSE)," ")),VLOOKUP($F73,Declarations!B$6:C$293,2,FALSE),_xlfn.TEXTAFTER(VLOOKUP($F73,Declarations!B$6:C$293,2,FALSE)," "))))</f>
        <v/>
      </c>
      <c r="D73" s="81" t="str">
        <f>IF(ISNA(VLOOKUP($F73,Declarations!$B$6:$F$293,5,FALSE)),"",IF(VLOOKUP($F73,Declarations!$B$6:$F$293,5,FALSE)="","NOT DECLARED",VLOOKUP($F73,Declarations!$B$6:$F$293,5,FALSE)))</f>
        <v/>
      </c>
      <c r="E73" s="120" t="str">
        <f>IF(ISNA(VLOOKUP($F73,Declarations!$B$6:$D$293,3,FALSE)),"",IF(VLOOKUP($F73,Declarations!$B$6:$D$293,3,FALSE)="","NOT DECLARED",VLOOKUP($F73,Declarations!$B$6:$D$293,3,FALSE)&amp;LEFT(VLOOKUP($F73,Declarations!$B$6:$E$293,4,FALSE))))</f>
        <v/>
      </c>
      <c r="F73" s="21"/>
      <c r="G73" s="22"/>
      <c r="H73" s="322"/>
      <c r="I73" s="8" t="str">
        <f>IF(ISNA(VLOOKUP(F73,Declarations!B$6:C$293,2,FALSE)),"",IF(VLOOKUP(F73,Declarations!B$6:C$293,2,FALSE)="","NOT DECLARED",VLOOKUP(F73,Declarations!B$6:C$293,2,FALSE)))</f>
        <v/>
      </c>
      <c r="J73" s="2">
        <f>IF(LOWER(LEFT(G73,1))="n",1,VLOOKUP(G73,ScoringTable!E$2:I$95,5))</f>
        <v>0</v>
      </c>
      <c r="K73" s="120" t="str" cm="1">
        <f t="array" ref="K73">IF(OR(E73="",G73=""),"",_xlfn.IFS(E73="U10B",_xlfn.XLOOKUP(G73,Data!$D$4:$L$4,Data!$D$1:$L$1,"",-1,1),E73="U12B",_xlfn.XLOOKUP(G73,Data!$D$11:$L$11,Data!$D$1:$L$1,"",-1,1),E73="U10G",_xlfn.XLOOKUP(G73,Data!$D$17:$L$17,Data!$D$1:$L$1,"",-1,1),E73="U12G",_xlfn.XLOOKUP(G73,Data!$D$24:$L$24,Data!$D$1:$L$1,"",-1,1)))</f>
        <v/>
      </c>
      <c r="L73" s="184" t="str" cm="1">
        <f t="array" ref="L73">IFERROR(_xlfn.IFNA(
                      _xlfn.IFS(
                      F73="", "",
                      AND(E73="U10B",G73&gt;=Data!$M$4), "U10 Boys record",
                      AND(E73="U12B",G73&gt;=Data!$M$11), "U12 Boys record",
                      AND(E73="U10G",G73&gt;=Data!$M$17), "U10 Girls record",
                      AND(E73="U12G",G73&gt;=Data!$M$24), "U12 Girls record"
                       ),""), "")</f>
        <v/>
      </c>
      <c r="M73" s="19" cm="1">
        <f t="array" ref="M73">_xlfn.IFS($G73="",0,AND(NOT(ISNUMBER($G73)),LOWER(LEFT($G73,1))&lt;&gt;"n"),"Not a valid distance",OR(LOWER(LEFT($G73,1))="n",$G73&lt;ScoringTable!$P$161),1,RIGHT($E73,1)="B",_xlfn.XLOOKUP($G73,ScoringTable!$P$2:$P$161,ScoringTable!$L$2:$L$161,,-1),TRUE,_xlfn.XLOOKUP($G73,ScoringTable!$V$2:$V$161,ScoringTable!$R$2:$R$161,,-1))</f>
        <v>0</v>
      </c>
    </row>
    <row r="74" spans="1:13" ht="16" customHeight="1">
      <c r="A74" s="82" t="s">
        <v>27</v>
      </c>
      <c r="B74" s="81" t="str">
        <f>IF(ISNA(VLOOKUP($F74,Declarations!B$6:C$293,2,FALSE)),"",IF(VLOOKUP($F74,Declarations!B$6:C$293,2,FALSE)="","NOT DECLARED",IF(ISNA(_xlfn.TEXTBEFORE(VLOOKUP($F74,Declarations!B$6:C$293,2,FALSE)," ")),VLOOKUP($F74,Declarations!B$6:C$293,2,FALSE),_xlfn.TEXTBEFORE(VLOOKUP($F74,Declarations!B$6:C$293,2,FALSE)," "))))</f>
        <v/>
      </c>
      <c r="C74" s="81" t="str">
        <f>IF(ISNA(VLOOKUP($F74,Declarations!B$6:C$293,2,FALSE)),"",IF(VLOOKUP($F74,Declarations!B$6:C$293,2,FALSE)="","NOT DECLARED",IF(ISNA(_xlfn.TEXTAFTER(VLOOKUP($F74,Declarations!B$6:C$293,2,FALSE)," ")),VLOOKUP($F74,Declarations!B$6:C$293,2,FALSE),_xlfn.TEXTAFTER(VLOOKUP($F74,Declarations!B$6:C$293,2,FALSE)," "))))</f>
        <v/>
      </c>
      <c r="D74" s="81" t="str">
        <f>IF(ISNA(VLOOKUP($F74,Declarations!$B$6:$F$293,5,FALSE)),"",IF(VLOOKUP($F74,Declarations!$B$6:$F$293,5,FALSE)="","NOT DECLARED",VLOOKUP($F74,Declarations!$B$6:$F$293,5,FALSE)))</f>
        <v/>
      </c>
      <c r="E74" s="120" t="str">
        <f>IF(ISNA(VLOOKUP($F74,Declarations!$B$6:$D$293,3,FALSE)),"",IF(VLOOKUP($F74,Declarations!$B$6:$D$293,3,FALSE)="","NOT DECLARED",VLOOKUP($F74,Declarations!$B$6:$D$293,3,FALSE)&amp;LEFT(VLOOKUP($F74,Declarations!$B$6:$E$293,4,FALSE))))</f>
        <v/>
      </c>
      <c r="F74" s="21"/>
      <c r="G74" s="22"/>
      <c r="H74" s="322"/>
      <c r="I74" s="8" t="str">
        <f>IF(ISNA(VLOOKUP(F74,Declarations!B$6:C$293,2,FALSE)),"",IF(VLOOKUP(F74,Declarations!B$6:C$293,2,FALSE)="","NOT DECLARED",VLOOKUP(F74,Declarations!B$6:C$293,2,FALSE)))</f>
        <v/>
      </c>
      <c r="J74" s="2">
        <f>IF(LOWER(LEFT(G74,1))="n",1,VLOOKUP(G74,ScoringTable!E$2:I$95,5))</f>
        <v>0</v>
      </c>
      <c r="K74" s="120" t="str" cm="1">
        <f t="array" ref="K74">IF(OR(E74="",G74=""),"",_xlfn.IFS(E74="U10B",_xlfn.XLOOKUP(G74,Data!$D$4:$L$4,Data!$D$1:$L$1,"",-1,1),E74="U12B",_xlfn.XLOOKUP(G74,Data!$D$11:$L$11,Data!$D$1:$L$1,"",-1,1),E74="U10G",_xlfn.XLOOKUP(G74,Data!$D$17:$L$17,Data!$D$1:$L$1,"",-1,1),E74="U12G",_xlfn.XLOOKUP(G74,Data!$D$24:$L$24,Data!$D$1:$L$1,"",-1,1)))</f>
        <v/>
      </c>
      <c r="L74" s="184" t="str" cm="1">
        <f t="array" ref="L74">IFERROR(_xlfn.IFNA(
                      _xlfn.IFS(
                      F74="", "",
                      AND(E74="U10B",G74&gt;=Data!$M$4), "U10 Boys record",
                      AND(E74="U12B",G74&gt;=Data!$M$11), "U12 Boys record",
                      AND(E74="U10G",G74&gt;=Data!$M$17), "U10 Girls record",
                      AND(E74="U12G",G74&gt;=Data!$M$24), "U12 Girls record"
                       ),""), "")</f>
        <v/>
      </c>
      <c r="M74" s="19" cm="1">
        <f t="array" ref="M74">_xlfn.IFS($G74="",0,AND(NOT(ISNUMBER($G74)),LOWER(LEFT($G74,1))&lt;&gt;"n"),"Not a valid distance",OR(LOWER(LEFT($G74,1))="n",$G74&lt;ScoringTable!$P$161),1,RIGHT($E74,1)="B",_xlfn.XLOOKUP($G74,ScoringTable!$P$2:$P$161,ScoringTable!$L$2:$L$161,,-1),TRUE,_xlfn.XLOOKUP($G74,ScoringTable!$V$2:$V$161,ScoringTable!$R$2:$R$161,,-1))</f>
        <v>0</v>
      </c>
    </row>
    <row r="75" spans="1:13" ht="16" customHeight="1">
      <c r="A75" s="82" t="s">
        <v>27</v>
      </c>
      <c r="B75" s="81" t="str">
        <f>IF(ISNA(VLOOKUP($F75,Declarations!B$6:C$293,2,FALSE)),"",IF(VLOOKUP($F75,Declarations!B$6:C$293,2,FALSE)="","NOT DECLARED",IF(ISNA(_xlfn.TEXTBEFORE(VLOOKUP($F75,Declarations!B$6:C$293,2,FALSE)," ")),VLOOKUP($F75,Declarations!B$6:C$293,2,FALSE),_xlfn.TEXTBEFORE(VLOOKUP($F75,Declarations!B$6:C$293,2,FALSE)," "))))</f>
        <v/>
      </c>
      <c r="C75" s="81" t="str">
        <f>IF(ISNA(VLOOKUP($F75,Declarations!B$6:C$293,2,FALSE)),"",IF(VLOOKUP($F75,Declarations!B$6:C$293,2,FALSE)="","NOT DECLARED",IF(ISNA(_xlfn.TEXTAFTER(VLOOKUP($F75,Declarations!B$6:C$293,2,FALSE)," ")),VLOOKUP($F75,Declarations!B$6:C$293,2,FALSE),_xlfn.TEXTAFTER(VLOOKUP($F75,Declarations!B$6:C$293,2,FALSE)," "))))</f>
        <v/>
      </c>
      <c r="D75" s="81" t="str">
        <f>IF(ISNA(VLOOKUP($F75,Declarations!$B$6:$F$293,5,FALSE)),"",IF(VLOOKUP($F75,Declarations!$B$6:$F$293,5,FALSE)="","NOT DECLARED",VLOOKUP($F75,Declarations!$B$6:$F$293,5,FALSE)))</f>
        <v/>
      </c>
      <c r="E75" s="120" t="str">
        <f>IF(ISNA(VLOOKUP($F75,Declarations!$B$6:$D$293,3,FALSE)),"",IF(VLOOKUP($F75,Declarations!$B$6:$D$293,3,FALSE)="","NOT DECLARED",VLOOKUP($F75,Declarations!$B$6:$D$293,3,FALSE)&amp;LEFT(VLOOKUP($F75,Declarations!$B$6:$E$293,4,FALSE))))</f>
        <v/>
      </c>
      <c r="F75" s="21"/>
      <c r="G75" s="22"/>
      <c r="H75" s="322"/>
      <c r="I75" s="8" t="str">
        <f>IF(ISNA(VLOOKUP(F75,Declarations!B$6:C$293,2,FALSE)),"",IF(VLOOKUP(F75,Declarations!B$6:C$293,2,FALSE)="","NOT DECLARED",VLOOKUP(F75,Declarations!B$6:C$293,2,FALSE)))</f>
        <v/>
      </c>
      <c r="J75" s="2">
        <f>IF(LOWER(LEFT(G75,1))="n",1,VLOOKUP(G75,ScoringTable!E$2:I$95,5))</f>
        <v>0</v>
      </c>
      <c r="K75" s="120" t="str" cm="1">
        <f t="array" ref="K75">IF(OR(E75="",G75=""),"",_xlfn.IFS(E75="U10B",_xlfn.XLOOKUP(G75,Data!$D$4:$L$4,Data!$D$1:$L$1,"",-1,1),E75="U12B",_xlfn.XLOOKUP(G75,Data!$D$11:$L$11,Data!$D$1:$L$1,"",-1,1),E75="U10G",_xlfn.XLOOKUP(G75,Data!$D$17:$L$17,Data!$D$1:$L$1,"",-1,1),E75="U12G",_xlfn.XLOOKUP(G75,Data!$D$24:$L$24,Data!$D$1:$L$1,"",-1,1)))</f>
        <v/>
      </c>
      <c r="L75" s="184" t="str" cm="1">
        <f t="array" ref="L75">IFERROR(_xlfn.IFNA(
                      _xlfn.IFS(
                      F75="", "",
                      AND(E75="U10B",G75&gt;=Data!$M$4), "U10 Boys record",
                      AND(E75="U12B",G75&gt;=Data!$M$11), "U12 Boys record",
                      AND(E75="U10G",G75&gt;=Data!$M$17), "U10 Girls record",
                      AND(E75="U12G",G75&gt;=Data!$M$24), "U12 Girls record"
                       ),""), "")</f>
        <v/>
      </c>
      <c r="M75" s="19" cm="1">
        <f t="array" ref="M75">_xlfn.IFS($G75="",0,AND(NOT(ISNUMBER($G75)),LOWER(LEFT($G75,1))&lt;&gt;"n"),"Not a valid distance",OR(LOWER(LEFT($G75,1))="n",$G75&lt;ScoringTable!$P$161),1,RIGHT($E75,1)="B",_xlfn.XLOOKUP($G75,ScoringTable!$P$2:$P$161,ScoringTable!$L$2:$L$161,,-1),TRUE,_xlfn.XLOOKUP($G75,ScoringTable!$V$2:$V$161,ScoringTable!$R$2:$R$161,,-1))</f>
        <v>0</v>
      </c>
    </row>
    <row r="76" spans="1:13" ht="16" customHeight="1">
      <c r="A76" s="82" t="s">
        <v>27</v>
      </c>
      <c r="B76" s="81" t="str">
        <f>IF(ISNA(VLOOKUP($F76,Declarations!B$6:C$293,2,FALSE)),"",IF(VLOOKUP($F76,Declarations!B$6:C$293,2,FALSE)="","NOT DECLARED",IF(ISNA(_xlfn.TEXTBEFORE(VLOOKUP($F76,Declarations!B$6:C$293,2,FALSE)," ")),VLOOKUP($F76,Declarations!B$6:C$293,2,FALSE),_xlfn.TEXTBEFORE(VLOOKUP($F76,Declarations!B$6:C$293,2,FALSE)," "))))</f>
        <v/>
      </c>
      <c r="C76" s="81" t="str">
        <f>IF(ISNA(VLOOKUP($F76,Declarations!B$6:C$293,2,FALSE)),"",IF(VLOOKUP($F76,Declarations!B$6:C$293,2,FALSE)="","NOT DECLARED",IF(ISNA(_xlfn.TEXTAFTER(VLOOKUP($F76,Declarations!B$6:C$293,2,FALSE)," ")),VLOOKUP($F76,Declarations!B$6:C$293,2,FALSE),_xlfn.TEXTAFTER(VLOOKUP($F76,Declarations!B$6:C$293,2,FALSE)," "))))</f>
        <v/>
      </c>
      <c r="D76" s="81" t="str">
        <f>IF(ISNA(VLOOKUP($F76,Declarations!$B$6:$F$293,5,FALSE)),"",IF(VLOOKUP($F76,Declarations!$B$6:$F$293,5,FALSE)="","NOT DECLARED",VLOOKUP($F76,Declarations!$B$6:$F$293,5,FALSE)))</f>
        <v/>
      </c>
      <c r="E76" s="120" t="str">
        <f>IF(ISNA(VLOOKUP($F76,Declarations!$B$6:$D$293,3,FALSE)),"",IF(VLOOKUP($F76,Declarations!$B$6:$D$293,3,FALSE)="","NOT DECLARED",VLOOKUP($F76,Declarations!$B$6:$D$293,3,FALSE)&amp;LEFT(VLOOKUP($F76,Declarations!$B$6:$E$293,4,FALSE))))</f>
        <v/>
      </c>
      <c r="F76" s="21"/>
      <c r="G76" s="22"/>
      <c r="H76" s="322"/>
      <c r="I76" s="8" t="str">
        <f>IF(ISNA(VLOOKUP(F76,Declarations!B$6:C$293,2,FALSE)),"",IF(VLOOKUP(F76,Declarations!B$6:C$293,2,FALSE)="","NOT DECLARED",VLOOKUP(F76,Declarations!B$6:C$293,2,FALSE)))</f>
        <v/>
      </c>
      <c r="J76" s="2">
        <f>IF(LOWER(LEFT(G76,1))="n",1,VLOOKUP(G76,ScoringTable!E$2:I$95,5))</f>
        <v>0</v>
      </c>
      <c r="K76" s="120" t="str" cm="1">
        <f t="array" ref="K76">IF(OR(E76="",G76=""),"",_xlfn.IFS(E76="U10B",_xlfn.XLOOKUP(G76,Data!$D$4:$L$4,Data!$D$1:$L$1,"",-1,1),E76="U12B",_xlfn.XLOOKUP(G76,Data!$D$11:$L$11,Data!$D$1:$L$1,"",-1,1),E76="U10G",_xlfn.XLOOKUP(G76,Data!$D$17:$L$17,Data!$D$1:$L$1,"",-1,1),E76="U12G",_xlfn.XLOOKUP(G76,Data!$D$24:$L$24,Data!$D$1:$L$1,"",-1,1)))</f>
        <v/>
      </c>
      <c r="L76" s="184" t="str" cm="1">
        <f t="array" ref="L76">IFERROR(_xlfn.IFNA(
                      _xlfn.IFS(
                      F76="", "",
                      AND(E76="U10B",G76&gt;=Data!$M$4), "U10 Boys record",
                      AND(E76="U12B",G76&gt;=Data!$M$11), "U12 Boys record",
                      AND(E76="U10G",G76&gt;=Data!$M$17), "U10 Girls record",
                      AND(E76="U12G",G76&gt;=Data!$M$24), "U12 Girls record"
                       ),""), "")</f>
        <v/>
      </c>
      <c r="M76" s="19" cm="1">
        <f t="array" ref="M76">_xlfn.IFS($G76="",0,AND(NOT(ISNUMBER($G76)),LOWER(LEFT($G76,1))&lt;&gt;"n"),"Not a valid distance",OR(LOWER(LEFT($G76,1))="n",$G76&lt;ScoringTable!$P$161),1,RIGHT($E76,1)="B",_xlfn.XLOOKUP($G76,ScoringTable!$P$2:$P$161,ScoringTable!$L$2:$L$161,,-1),TRUE,_xlfn.XLOOKUP($G76,ScoringTable!$V$2:$V$161,ScoringTable!$R$2:$R$161,,-1))</f>
        <v>0</v>
      </c>
    </row>
    <row r="77" spans="1:13" ht="16" customHeight="1">
      <c r="A77" s="82" t="s">
        <v>27</v>
      </c>
      <c r="B77" s="81" t="str">
        <f>IF(ISNA(VLOOKUP($F77,Declarations!B$6:C$293,2,FALSE)),"",IF(VLOOKUP($F77,Declarations!B$6:C$293,2,FALSE)="","NOT DECLARED",IF(ISNA(_xlfn.TEXTBEFORE(VLOOKUP($F77,Declarations!B$6:C$293,2,FALSE)," ")),VLOOKUP($F77,Declarations!B$6:C$293,2,FALSE),_xlfn.TEXTBEFORE(VLOOKUP($F77,Declarations!B$6:C$293,2,FALSE)," "))))</f>
        <v/>
      </c>
      <c r="C77" s="81" t="str">
        <f>IF(ISNA(VLOOKUP($F77,Declarations!B$6:C$293,2,FALSE)),"",IF(VLOOKUP($F77,Declarations!B$6:C$293,2,FALSE)="","NOT DECLARED",IF(ISNA(_xlfn.TEXTAFTER(VLOOKUP($F77,Declarations!B$6:C$293,2,FALSE)," ")),VLOOKUP($F77,Declarations!B$6:C$293,2,FALSE),_xlfn.TEXTAFTER(VLOOKUP($F77,Declarations!B$6:C$293,2,FALSE)," "))))</f>
        <v/>
      </c>
      <c r="D77" s="81" t="str">
        <f>IF(ISNA(VLOOKUP($F77,Declarations!$B$6:$F$293,5,FALSE)),"",IF(VLOOKUP($F77,Declarations!$B$6:$F$293,5,FALSE)="","NOT DECLARED",VLOOKUP($F77,Declarations!$B$6:$F$293,5,FALSE)))</f>
        <v/>
      </c>
      <c r="E77" s="120" t="str">
        <f>IF(ISNA(VLOOKUP($F77,Declarations!$B$6:$D$293,3,FALSE)),"",IF(VLOOKUP($F77,Declarations!$B$6:$D$293,3,FALSE)="","NOT DECLARED",VLOOKUP($F77,Declarations!$B$6:$D$293,3,FALSE)&amp;LEFT(VLOOKUP($F77,Declarations!$B$6:$E$293,4,FALSE))))</f>
        <v/>
      </c>
      <c r="F77" s="21"/>
      <c r="G77" s="22"/>
      <c r="H77" s="322"/>
      <c r="I77" s="8" t="str">
        <f>IF(ISNA(VLOOKUP(F77,Declarations!B$6:C$293,2,FALSE)),"",IF(VLOOKUP(F77,Declarations!B$6:C$293,2,FALSE)="","NOT DECLARED",VLOOKUP(F77,Declarations!B$6:C$293,2,FALSE)))</f>
        <v/>
      </c>
      <c r="J77" s="2">
        <f>IF(LOWER(LEFT(G77,1))="n",1,VLOOKUP(G77,ScoringTable!E$2:I$95,5))</f>
        <v>0</v>
      </c>
      <c r="K77" s="120" t="str" cm="1">
        <f t="array" ref="K77">IF(OR(E77="",G77=""),"",_xlfn.IFS(E77="U10B",_xlfn.XLOOKUP(G77,Data!$D$4:$L$4,Data!$D$1:$L$1,"",-1,1),E77="U12B",_xlfn.XLOOKUP(G77,Data!$D$11:$L$11,Data!$D$1:$L$1,"",-1,1),E77="U10G",_xlfn.XLOOKUP(G77,Data!$D$17:$L$17,Data!$D$1:$L$1,"",-1,1),E77="U12G",_xlfn.XLOOKUP(G77,Data!$D$24:$L$24,Data!$D$1:$L$1,"",-1,1)))</f>
        <v/>
      </c>
      <c r="L77" s="184" t="str" cm="1">
        <f t="array" ref="L77">IFERROR(_xlfn.IFNA(
                      _xlfn.IFS(
                      F77="", "",
                      AND(E77="U10B",G77&gt;=Data!$M$4), "U10 Boys record",
                      AND(E77="U12B",G77&gt;=Data!$M$11), "U12 Boys record",
                      AND(E77="U10G",G77&gt;=Data!$M$17), "U10 Girls record",
                      AND(E77="U12G",G77&gt;=Data!$M$24), "U12 Girls record"
                       ),""), "")</f>
        <v/>
      </c>
      <c r="M77" s="19" cm="1">
        <f t="array" ref="M77">_xlfn.IFS($G77="",0,AND(NOT(ISNUMBER($G77)),LOWER(LEFT($G77,1))&lt;&gt;"n"),"Not a valid distance",OR(LOWER(LEFT($G77,1))="n",$G77&lt;ScoringTable!$P$161),1,RIGHT($E77,1)="B",_xlfn.XLOOKUP($G77,ScoringTable!$P$2:$P$161,ScoringTable!$L$2:$L$161,,-1),TRUE,_xlfn.XLOOKUP($G77,ScoringTable!$V$2:$V$161,ScoringTable!$R$2:$R$161,,-1))</f>
        <v>0</v>
      </c>
    </row>
    <row r="78" spans="1:13" ht="16" customHeight="1">
      <c r="A78" s="82" t="s">
        <v>27</v>
      </c>
      <c r="B78" s="81" t="str">
        <f>IF(ISNA(VLOOKUP($F78,Declarations!B$6:C$293,2,FALSE)),"",IF(VLOOKUP($F78,Declarations!B$6:C$293,2,FALSE)="","NOT DECLARED",IF(ISNA(_xlfn.TEXTBEFORE(VLOOKUP($F78,Declarations!B$6:C$293,2,FALSE)," ")),VLOOKUP($F78,Declarations!B$6:C$293,2,FALSE),_xlfn.TEXTBEFORE(VLOOKUP($F78,Declarations!B$6:C$293,2,FALSE)," "))))</f>
        <v/>
      </c>
      <c r="C78" s="81" t="str">
        <f>IF(ISNA(VLOOKUP($F78,Declarations!B$6:C$293,2,FALSE)),"",IF(VLOOKUP($F78,Declarations!B$6:C$293,2,FALSE)="","NOT DECLARED",IF(ISNA(_xlfn.TEXTAFTER(VLOOKUP($F78,Declarations!B$6:C$293,2,FALSE)," ")),VLOOKUP($F78,Declarations!B$6:C$293,2,FALSE),_xlfn.TEXTAFTER(VLOOKUP($F78,Declarations!B$6:C$293,2,FALSE)," "))))</f>
        <v/>
      </c>
      <c r="D78" s="81" t="str">
        <f>IF(ISNA(VLOOKUP($F78,Declarations!$B$6:$F$293,5,FALSE)),"",IF(VLOOKUP($F78,Declarations!$B$6:$F$293,5,FALSE)="","NOT DECLARED",VLOOKUP($F78,Declarations!$B$6:$F$293,5,FALSE)))</f>
        <v/>
      </c>
      <c r="E78" s="120" t="str">
        <f>IF(ISNA(VLOOKUP($F78,Declarations!$B$6:$D$293,3,FALSE)),"",IF(VLOOKUP($F78,Declarations!$B$6:$D$293,3,FALSE)="","NOT DECLARED",VLOOKUP($F78,Declarations!$B$6:$D$293,3,FALSE)&amp;LEFT(VLOOKUP($F78,Declarations!$B$6:$E$293,4,FALSE))))</f>
        <v/>
      </c>
      <c r="F78" s="21"/>
      <c r="G78" s="22"/>
      <c r="H78" s="322"/>
      <c r="I78" s="8" t="str">
        <f>IF(ISNA(VLOOKUP(F78,Declarations!B$6:C$293,2,FALSE)),"",IF(VLOOKUP(F78,Declarations!B$6:C$293,2,FALSE)="","NOT DECLARED",VLOOKUP(F78,Declarations!B$6:C$293,2,FALSE)))</f>
        <v/>
      </c>
      <c r="J78" s="2">
        <f>IF(LOWER(LEFT(G78,1))="n",1,VLOOKUP(G78,ScoringTable!E$2:I$95,5))</f>
        <v>0</v>
      </c>
      <c r="K78" s="120" t="str" cm="1">
        <f t="array" ref="K78">IF(OR(E78="",G78=""),"",_xlfn.IFS(E78="U10B",_xlfn.XLOOKUP(G78,Data!$D$4:$L$4,Data!$D$1:$L$1,"",-1,1),E78="U12B",_xlfn.XLOOKUP(G78,Data!$D$11:$L$11,Data!$D$1:$L$1,"",-1,1),E78="U10G",_xlfn.XLOOKUP(G78,Data!$D$17:$L$17,Data!$D$1:$L$1,"",-1,1),E78="U12G",_xlfn.XLOOKUP(G78,Data!$D$24:$L$24,Data!$D$1:$L$1,"",-1,1)))</f>
        <v/>
      </c>
      <c r="L78" s="184" t="str" cm="1">
        <f t="array" ref="L78">IFERROR(_xlfn.IFNA(
                      _xlfn.IFS(
                      F78="", "",
                      AND(E78="U10B",G78&gt;=Data!$M$4), "U10 Boys record",
                      AND(E78="U12B",G78&gt;=Data!$M$11), "U12 Boys record",
                      AND(E78="U10G",G78&gt;=Data!$M$17), "U10 Girls record",
                      AND(E78="U12G",G78&gt;=Data!$M$24), "U12 Girls record"
                       ),""), "")</f>
        <v/>
      </c>
      <c r="M78" s="19" cm="1">
        <f t="array" ref="M78">_xlfn.IFS($G78="",0,AND(NOT(ISNUMBER($G78)),LOWER(LEFT($G78,1))&lt;&gt;"n"),"Not a valid distance",OR(LOWER(LEFT($G78,1))="n",$G78&lt;ScoringTable!$P$161),1,RIGHT($E78,1)="B",_xlfn.XLOOKUP($G78,ScoringTable!$P$2:$P$161,ScoringTable!$L$2:$L$161,,-1),TRUE,_xlfn.XLOOKUP($G78,ScoringTable!$V$2:$V$161,ScoringTable!$R$2:$R$161,,-1))</f>
        <v>0</v>
      </c>
    </row>
    <row r="79" spans="1:13" ht="16" customHeight="1">
      <c r="A79" s="82" t="s">
        <v>27</v>
      </c>
      <c r="B79" s="81" t="str">
        <f>IF(ISNA(VLOOKUP($F79,Declarations!B$6:C$293,2,FALSE)),"",IF(VLOOKUP($F79,Declarations!B$6:C$293,2,FALSE)="","NOT DECLARED",IF(ISNA(_xlfn.TEXTBEFORE(VLOOKUP($F79,Declarations!B$6:C$293,2,FALSE)," ")),VLOOKUP($F79,Declarations!B$6:C$293,2,FALSE),_xlfn.TEXTBEFORE(VLOOKUP($F79,Declarations!B$6:C$293,2,FALSE)," "))))</f>
        <v/>
      </c>
      <c r="C79" s="81" t="str">
        <f>IF(ISNA(VLOOKUP($F79,Declarations!B$6:C$293,2,FALSE)),"",IF(VLOOKUP($F79,Declarations!B$6:C$293,2,FALSE)="","NOT DECLARED",IF(ISNA(_xlfn.TEXTAFTER(VLOOKUP($F79,Declarations!B$6:C$293,2,FALSE)," ")),VLOOKUP($F79,Declarations!B$6:C$293,2,FALSE),_xlfn.TEXTAFTER(VLOOKUP($F79,Declarations!B$6:C$293,2,FALSE)," "))))</f>
        <v/>
      </c>
      <c r="D79" s="81" t="str">
        <f>IF(ISNA(VLOOKUP($F79,Declarations!$B$6:$F$293,5,FALSE)),"",IF(VLOOKUP($F79,Declarations!$B$6:$F$293,5,FALSE)="","NOT DECLARED",VLOOKUP($F79,Declarations!$B$6:$F$293,5,FALSE)))</f>
        <v/>
      </c>
      <c r="E79" s="120" t="str">
        <f>IF(ISNA(VLOOKUP($F79,Declarations!$B$6:$D$293,3,FALSE)),"",IF(VLOOKUP($F79,Declarations!$B$6:$D$293,3,FALSE)="","NOT DECLARED",VLOOKUP($F79,Declarations!$B$6:$D$293,3,FALSE)&amp;LEFT(VLOOKUP($F79,Declarations!$B$6:$E$293,4,FALSE))))</f>
        <v/>
      </c>
      <c r="F79" s="21"/>
      <c r="G79" s="22"/>
      <c r="H79" s="322"/>
      <c r="I79" s="8" t="str">
        <f>IF(ISNA(VLOOKUP(F79,Declarations!B$6:C$293,2,FALSE)),"",IF(VLOOKUP(F79,Declarations!B$6:C$293,2,FALSE)="","NOT DECLARED",VLOOKUP(F79,Declarations!B$6:C$293,2,FALSE)))</f>
        <v/>
      </c>
      <c r="J79" s="2">
        <f>IF(LOWER(LEFT(G79,1))="n",1,VLOOKUP(G79,ScoringTable!E$2:I$95,5))</f>
        <v>0</v>
      </c>
      <c r="K79" s="120" t="str" cm="1">
        <f t="array" ref="K79">IF(OR(E79="",G79=""),"",_xlfn.IFS(E79="U10B",_xlfn.XLOOKUP(G79,Data!$D$4:$L$4,Data!$D$1:$L$1,"",-1,1),E79="U12B",_xlfn.XLOOKUP(G79,Data!$D$11:$L$11,Data!$D$1:$L$1,"",-1,1),E79="U10G",_xlfn.XLOOKUP(G79,Data!$D$17:$L$17,Data!$D$1:$L$1,"",-1,1),E79="U12G",_xlfn.XLOOKUP(G79,Data!$D$24:$L$24,Data!$D$1:$L$1,"",-1,1)))</f>
        <v/>
      </c>
      <c r="L79" s="184" t="str" cm="1">
        <f t="array" ref="L79">IFERROR(_xlfn.IFNA(
                      _xlfn.IFS(
                      F79="", "",
                      AND(E79="U10B",G79&gt;=Data!$M$4), "U10 Boys record",
                      AND(E79="U12B",G79&gt;=Data!$M$11), "U12 Boys record",
                      AND(E79="U10G",G79&gt;=Data!$M$17), "U10 Girls record",
                      AND(E79="U12G",G79&gt;=Data!$M$24), "U12 Girls record"
                       ),""), "")</f>
        <v/>
      </c>
      <c r="M79" s="19" cm="1">
        <f t="array" ref="M79">_xlfn.IFS($G79="",0,AND(NOT(ISNUMBER($G79)),LOWER(LEFT($G79,1))&lt;&gt;"n"),"Not a valid distance",OR(LOWER(LEFT($G79,1))="n",$G79&lt;ScoringTable!$P$161),1,RIGHT($E79,1)="B",_xlfn.XLOOKUP($G79,ScoringTable!$P$2:$P$161,ScoringTable!$L$2:$L$161,,-1),TRUE,_xlfn.XLOOKUP($G79,ScoringTable!$V$2:$V$161,ScoringTable!$R$2:$R$161,,-1))</f>
        <v>0</v>
      </c>
    </row>
    <row r="80" spans="1:13" ht="16" customHeight="1">
      <c r="A80" s="82" t="s">
        <v>27</v>
      </c>
      <c r="B80" s="81" t="str">
        <f>IF(ISNA(VLOOKUP($F80,Declarations!B$6:C$293,2,FALSE)),"",IF(VLOOKUP($F80,Declarations!B$6:C$293,2,FALSE)="","NOT DECLARED",IF(ISNA(_xlfn.TEXTBEFORE(VLOOKUP($F80,Declarations!B$6:C$293,2,FALSE)," ")),VLOOKUP($F80,Declarations!B$6:C$293,2,FALSE),_xlfn.TEXTBEFORE(VLOOKUP($F80,Declarations!B$6:C$293,2,FALSE)," "))))</f>
        <v/>
      </c>
      <c r="C80" s="81" t="str">
        <f>IF(ISNA(VLOOKUP($F80,Declarations!B$6:C$293,2,FALSE)),"",IF(VLOOKUP($F80,Declarations!B$6:C$293,2,FALSE)="","NOT DECLARED",IF(ISNA(_xlfn.TEXTAFTER(VLOOKUP($F80,Declarations!B$6:C$293,2,FALSE)," ")),VLOOKUP($F80,Declarations!B$6:C$293,2,FALSE),_xlfn.TEXTAFTER(VLOOKUP($F80,Declarations!B$6:C$293,2,FALSE)," "))))</f>
        <v/>
      </c>
      <c r="D80" s="81" t="str">
        <f>IF(ISNA(VLOOKUP($F80,Declarations!$B$6:$F$293,5,FALSE)),"",IF(VLOOKUP($F80,Declarations!$B$6:$F$293,5,FALSE)="","NOT DECLARED",VLOOKUP($F80,Declarations!$B$6:$F$293,5,FALSE)))</f>
        <v/>
      </c>
      <c r="E80" s="120" t="str">
        <f>IF(ISNA(VLOOKUP($F80,Declarations!$B$6:$D$293,3,FALSE)),"",IF(VLOOKUP($F80,Declarations!$B$6:$D$293,3,FALSE)="","NOT DECLARED",VLOOKUP($F80,Declarations!$B$6:$D$293,3,FALSE)&amp;LEFT(VLOOKUP($F80,Declarations!$B$6:$E$293,4,FALSE))))</f>
        <v/>
      </c>
      <c r="F80" s="21"/>
      <c r="G80" s="22"/>
      <c r="H80" s="322"/>
      <c r="I80" s="8" t="str">
        <f>IF(ISNA(VLOOKUP(F80,Declarations!B$6:C$293,2,FALSE)),"",IF(VLOOKUP(F80,Declarations!B$6:C$293,2,FALSE)="","NOT DECLARED",VLOOKUP(F80,Declarations!B$6:C$293,2,FALSE)))</f>
        <v/>
      </c>
      <c r="J80" s="2">
        <f>IF(LOWER(LEFT(G80,1))="n",1,VLOOKUP(G80,ScoringTable!E$2:I$95,5))</f>
        <v>0</v>
      </c>
      <c r="K80" s="120" t="str" cm="1">
        <f t="array" ref="K80">IF(OR(E80="",G80=""),"",_xlfn.IFS(E80="U10B",_xlfn.XLOOKUP(G80,Data!$D$4:$L$4,Data!$D$1:$L$1,"",-1,1),E80="U12B",_xlfn.XLOOKUP(G80,Data!$D$11:$L$11,Data!$D$1:$L$1,"",-1,1),E80="U10G",_xlfn.XLOOKUP(G80,Data!$D$17:$L$17,Data!$D$1:$L$1,"",-1,1),E80="U12G",_xlfn.XLOOKUP(G80,Data!$D$24:$L$24,Data!$D$1:$L$1,"",-1,1)))</f>
        <v/>
      </c>
      <c r="L80" s="184" t="str" cm="1">
        <f t="array" ref="L80">IFERROR(_xlfn.IFNA(
                      _xlfn.IFS(
                      F80="", "",
                      AND(E80="U10B",G80&gt;=Data!$M$4), "U10 Boys record",
                      AND(E80="U12B",G80&gt;=Data!$M$11), "U12 Boys record",
                      AND(E80="U10G",G80&gt;=Data!$M$17), "U10 Girls record",
                      AND(E80="U12G",G80&gt;=Data!$M$24), "U12 Girls record"
                       ),""), "")</f>
        <v/>
      </c>
      <c r="M80" s="19" cm="1">
        <f t="array" ref="M80">_xlfn.IFS($G80="",0,AND(NOT(ISNUMBER($G80)),LOWER(LEFT($G80,1))&lt;&gt;"n"),"Not a valid distance",OR(LOWER(LEFT($G80,1))="n",$G80&lt;ScoringTable!$P$161),1,RIGHT($E80,1)="B",_xlfn.XLOOKUP($G80,ScoringTable!$P$2:$P$161,ScoringTable!$L$2:$L$161,,-1),TRUE,_xlfn.XLOOKUP($G80,ScoringTable!$V$2:$V$161,ScoringTable!$R$2:$R$161,,-1))</f>
        <v>0</v>
      </c>
    </row>
    <row r="81" spans="1:13" ht="16" customHeight="1">
      <c r="A81" s="82" t="s">
        <v>27</v>
      </c>
      <c r="B81" s="81" t="str">
        <f>IF(ISNA(VLOOKUP($F81,Declarations!B$6:C$293,2,FALSE)),"",IF(VLOOKUP($F81,Declarations!B$6:C$293,2,FALSE)="","NOT DECLARED",IF(ISNA(_xlfn.TEXTBEFORE(VLOOKUP($F81,Declarations!B$6:C$293,2,FALSE)," ")),VLOOKUP($F81,Declarations!B$6:C$293,2,FALSE),_xlfn.TEXTBEFORE(VLOOKUP($F81,Declarations!B$6:C$293,2,FALSE)," "))))</f>
        <v/>
      </c>
      <c r="C81" s="81" t="str">
        <f>IF(ISNA(VLOOKUP($F81,Declarations!B$6:C$293,2,FALSE)),"",IF(VLOOKUP($F81,Declarations!B$6:C$293,2,FALSE)="","NOT DECLARED",IF(ISNA(_xlfn.TEXTAFTER(VLOOKUP($F81,Declarations!B$6:C$293,2,FALSE)," ")),VLOOKUP($F81,Declarations!B$6:C$293,2,FALSE),_xlfn.TEXTAFTER(VLOOKUP($F81,Declarations!B$6:C$293,2,FALSE)," "))))</f>
        <v/>
      </c>
      <c r="D81" s="81" t="str">
        <f>IF(ISNA(VLOOKUP($F81,Declarations!$B$6:$F$293,5,FALSE)),"",IF(VLOOKUP($F81,Declarations!$B$6:$F$293,5,FALSE)="","NOT DECLARED",VLOOKUP($F81,Declarations!$B$6:$F$293,5,FALSE)))</f>
        <v/>
      </c>
      <c r="E81" s="120" t="str">
        <f>IF(ISNA(VLOOKUP($F81,Declarations!$B$6:$D$293,3,FALSE)),"",IF(VLOOKUP($F81,Declarations!$B$6:$D$293,3,FALSE)="","NOT DECLARED",VLOOKUP($F81,Declarations!$B$6:$D$293,3,FALSE)&amp;LEFT(VLOOKUP($F81,Declarations!$B$6:$E$293,4,FALSE))))</f>
        <v/>
      </c>
      <c r="F81" s="21"/>
      <c r="G81" s="22"/>
      <c r="H81" s="322"/>
      <c r="I81" s="8" t="str">
        <f>IF(ISNA(VLOOKUP(F81,Declarations!B$6:C$293,2,FALSE)),"",IF(VLOOKUP(F81,Declarations!B$6:C$293,2,FALSE)="","NOT DECLARED",VLOOKUP(F81,Declarations!B$6:C$293,2,FALSE)))</f>
        <v/>
      </c>
      <c r="J81" s="2">
        <f>IF(LOWER(LEFT(G81,1))="n",1,VLOOKUP(G81,ScoringTable!E$2:I$95,5))</f>
        <v>0</v>
      </c>
      <c r="K81" s="120" t="str" cm="1">
        <f t="array" ref="K81">IF(OR(E81="",G81=""),"",_xlfn.IFS(E81="U10B",_xlfn.XLOOKUP(G81,Data!$D$4:$L$4,Data!$D$1:$L$1,"",-1,1),E81="U12B",_xlfn.XLOOKUP(G81,Data!$D$11:$L$11,Data!$D$1:$L$1,"",-1,1),E81="U10G",_xlfn.XLOOKUP(G81,Data!$D$17:$L$17,Data!$D$1:$L$1,"",-1,1),E81="U12G",_xlfn.XLOOKUP(G81,Data!$D$24:$L$24,Data!$D$1:$L$1,"",-1,1)))</f>
        <v/>
      </c>
      <c r="L81" s="184" t="str" cm="1">
        <f t="array" ref="L81">IFERROR(_xlfn.IFNA(
                      _xlfn.IFS(
                      F81="", "",
                      AND(E81="U10B",G81&gt;=Data!$M$4), "U10 Boys record",
                      AND(E81="U12B",G81&gt;=Data!$M$11), "U12 Boys record",
                      AND(E81="U10G",G81&gt;=Data!$M$17), "U10 Girls record",
                      AND(E81="U12G",G81&gt;=Data!$M$24), "U12 Girls record"
                       ),""), "")</f>
        <v/>
      </c>
      <c r="M81" s="19" cm="1">
        <f t="array" ref="M81">_xlfn.IFS($G81="",0,AND(NOT(ISNUMBER($G81)),LOWER(LEFT($G81,1))&lt;&gt;"n"),"Not a valid distance",OR(LOWER(LEFT($G81,1))="n",$G81&lt;ScoringTable!$P$161),1,RIGHT($E81,1)="B",_xlfn.XLOOKUP($G81,ScoringTable!$P$2:$P$161,ScoringTable!$L$2:$L$161,,-1),TRUE,_xlfn.XLOOKUP($G81,ScoringTable!$V$2:$V$161,ScoringTable!$R$2:$R$161,,-1))</f>
        <v>0</v>
      </c>
    </row>
    <row r="82" spans="1:13" ht="16" customHeight="1">
      <c r="A82" s="82" t="s">
        <v>27</v>
      </c>
      <c r="B82" s="81" t="str">
        <f>IF(ISNA(VLOOKUP($F82,Declarations!B$6:C$293,2,FALSE)),"",IF(VLOOKUP($F82,Declarations!B$6:C$293,2,FALSE)="","NOT DECLARED",IF(ISNA(_xlfn.TEXTBEFORE(VLOOKUP($F82,Declarations!B$6:C$293,2,FALSE)," ")),VLOOKUP($F82,Declarations!B$6:C$293,2,FALSE),_xlfn.TEXTBEFORE(VLOOKUP($F82,Declarations!B$6:C$293,2,FALSE)," "))))</f>
        <v/>
      </c>
      <c r="C82" s="81" t="str">
        <f>IF(ISNA(VLOOKUP($F82,Declarations!B$6:C$293,2,FALSE)),"",IF(VLOOKUP($F82,Declarations!B$6:C$293,2,FALSE)="","NOT DECLARED",IF(ISNA(_xlfn.TEXTAFTER(VLOOKUP($F82,Declarations!B$6:C$293,2,FALSE)," ")),VLOOKUP($F82,Declarations!B$6:C$293,2,FALSE),_xlfn.TEXTAFTER(VLOOKUP($F82,Declarations!B$6:C$293,2,FALSE)," "))))</f>
        <v/>
      </c>
      <c r="D82" s="81" t="str">
        <f>IF(ISNA(VLOOKUP($F82,Declarations!$B$6:$F$293,5,FALSE)),"",IF(VLOOKUP($F82,Declarations!$B$6:$F$293,5,FALSE)="","NOT DECLARED",VLOOKUP($F82,Declarations!$B$6:$F$293,5,FALSE)))</f>
        <v/>
      </c>
      <c r="E82" s="120" t="str">
        <f>IF(ISNA(VLOOKUP($F82,Declarations!$B$6:$D$293,3,FALSE)),"",IF(VLOOKUP($F82,Declarations!$B$6:$D$293,3,FALSE)="","NOT DECLARED",VLOOKUP($F82,Declarations!$B$6:$D$293,3,FALSE)&amp;LEFT(VLOOKUP($F82,Declarations!$B$6:$E$293,4,FALSE))))</f>
        <v/>
      </c>
      <c r="F82" s="21"/>
      <c r="G82" s="22"/>
      <c r="H82" s="322"/>
      <c r="I82" s="8" t="str">
        <f>IF(ISNA(VLOOKUP(F82,Declarations!B$6:C$293,2,FALSE)),"",IF(VLOOKUP(F82,Declarations!B$6:C$293,2,FALSE)="","NOT DECLARED",VLOOKUP(F82,Declarations!B$6:C$293,2,FALSE)))</f>
        <v/>
      </c>
      <c r="J82" s="2">
        <f>IF(LOWER(LEFT(G82,1))="n",1,VLOOKUP(G82,ScoringTable!E$2:I$95,5))</f>
        <v>0</v>
      </c>
      <c r="K82" s="120" t="str" cm="1">
        <f t="array" ref="K82">IF(OR(E82="",G82=""),"",_xlfn.IFS(E82="U10B",_xlfn.XLOOKUP(G82,Data!$D$4:$L$4,Data!$D$1:$L$1,"",-1,1),E82="U12B",_xlfn.XLOOKUP(G82,Data!$D$11:$L$11,Data!$D$1:$L$1,"",-1,1),E82="U10G",_xlfn.XLOOKUP(G82,Data!$D$17:$L$17,Data!$D$1:$L$1,"",-1,1),E82="U12G",_xlfn.XLOOKUP(G82,Data!$D$24:$L$24,Data!$D$1:$L$1,"",-1,1)))</f>
        <v/>
      </c>
      <c r="L82" s="184" t="str" cm="1">
        <f t="array" ref="L82">IFERROR(_xlfn.IFNA(
                      _xlfn.IFS(
                      F82="", "",
                      AND(E82="U10B",G82&gt;=Data!$M$4), "U10 Boys record",
                      AND(E82="U12B",G82&gt;=Data!$M$11), "U12 Boys record",
                      AND(E82="U10G",G82&gt;=Data!$M$17), "U10 Girls record",
                      AND(E82="U12G",G82&gt;=Data!$M$24), "U12 Girls record"
                       ),""), "")</f>
        <v/>
      </c>
      <c r="M82" s="19" cm="1">
        <f t="array" ref="M82">_xlfn.IFS($G82="",0,AND(NOT(ISNUMBER($G82)),LOWER(LEFT($G82,1))&lt;&gt;"n"),"Not a valid distance",OR(LOWER(LEFT($G82,1))="n",$G82&lt;ScoringTable!$P$161),1,RIGHT($E82,1)="B",_xlfn.XLOOKUP($G82,ScoringTable!$P$2:$P$161,ScoringTable!$L$2:$L$161,,-1),TRUE,_xlfn.XLOOKUP($G82,ScoringTable!$V$2:$V$161,ScoringTable!$R$2:$R$161,,-1))</f>
        <v>0</v>
      </c>
    </row>
    <row r="83" spans="1:13" ht="16" customHeight="1">
      <c r="A83" s="82" t="s">
        <v>27</v>
      </c>
      <c r="B83" s="81" t="str">
        <f>IF(ISNA(VLOOKUP($F83,Declarations!B$6:C$293,2,FALSE)),"",IF(VLOOKUP($F83,Declarations!B$6:C$293,2,FALSE)="","NOT DECLARED",IF(ISNA(_xlfn.TEXTBEFORE(VLOOKUP($F83,Declarations!B$6:C$293,2,FALSE)," ")),VLOOKUP($F83,Declarations!B$6:C$293,2,FALSE),_xlfn.TEXTBEFORE(VLOOKUP($F83,Declarations!B$6:C$293,2,FALSE)," "))))</f>
        <v/>
      </c>
      <c r="C83" s="81" t="str">
        <f>IF(ISNA(VLOOKUP($F83,Declarations!B$6:C$293,2,FALSE)),"",IF(VLOOKUP($F83,Declarations!B$6:C$293,2,FALSE)="","NOT DECLARED",IF(ISNA(_xlfn.TEXTAFTER(VLOOKUP($F83,Declarations!B$6:C$293,2,FALSE)," ")),VLOOKUP($F83,Declarations!B$6:C$293,2,FALSE),_xlfn.TEXTAFTER(VLOOKUP($F83,Declarations!B$6:C$293,2,FALSE)," "))))</f>
        <v/>
      </c>
      <c r="D83" s="81" t="str">
        <f>IF(ISNA(VLOOKUP($F83,Declarations!$B$6:$F$293,5,FALSE)),"",IF(VLOOKUP($F83,Declarations!$B$6:$F$293,5,FALSE)="","NOT DECLARED",VLOOKUP($F83,Declarations!$B$6:$F$293,5,FALSE)))</f>
        <v/>
      </c>
      <c r="E83" s="120" t="str">
        <f>IF(ISNA(VLOOKUP($F83,Declarations!$B$6:$D$293,3,FALSE)),"",IF(VLOOKUP($F83,Declarations!$B$6:$D$293,3,FALSE)="","NOT DECLARED",VLOOKUP($F83,Declarations!$B$6:$D$293,3,FALSE)&amp;LEFT(VLOOKUP($F83,Declarations!$B$6:$E$293,4,FALSE))))</f>
        <v/>
      </c>
      <c r="F83" s="21"/>
      <c r="G83" s="22"/>
      <c r="H83" s="322"/>
      <c r="I83" s="8" t="str">
        <f>IF(ISNA(VLOOKUP(F83,Declarations!B$6:C$293,2,FALSE)),"",IF(VLOOKUP(F83,Declarations!B$6:C$293,2,FALSE)="","NOT DECLARED",VLOOKUP(F83,Declarations!B$6:C$293,2,FALSE)))</f>
        <v/>
      </c>
      <c r="J83" s="2">
        <f>IF(LOWER(LEFT(G83,1))="n",1,VLOOKUP(G83,ScoringTable!E$2:I$95,5))</f>
        <v>0</v>
      </c>
      <c r="K83" s="120" t="str" cm="1">
        <f t="array" ref="K83">IF(OR(E83="",G83=""),"",_xlfn.IFS(E83="U10B",_xlfn.XLOOKUP(G83,Data!$D$4:$L$4,Data!$D$1:$L$1,"",-1,1),E83="U12B",_xlfn.XLOOKUP(G83,Data!$D$11:$L$11,Data!$D$1:$L$1,"",-1,1),E83="U10G",_xlfn.XLOOKUP(G83,Data!$D$17:$L$17,Data!$D$1:$L$1,"",-1,1),E83="U12G",_xlfn.XLOOKUP(G83,Data!$D$24:$L$24,Data!$D$1:$L$1,"",-1,1)))</f>
        <v/>
      </c>
      <c r="L83" s="184" t="str" cm="1">
        <f t="array" ref="L83">IFERROR(_xlfn.IFNA(
                      _xlfn.IFS(
                      F83="", "",
                      AND(E83="U10B",G83&gt;=Data!$M$4), "U10 Boys record",
                      AND(E83="U12B",G83&gt;=Data!$M$11), "U12 Boys record",
                      AND(E83="U10G",G83&gt;=Data!$M$17), "U10 Girls record",
                      AND(E83="U12G",G83&gt;=Data!$M$24), "U12 Girls record"
                       ),""), "")</f>
        <v/>
      </c>
      <c r="M83" s="19" cm="1">
        <f t="array" ref="M83">_xlfn.IFS($G83="",0,AND(NOT(ISNUMBER($G83)),LOWER(LEFT($G83,1))&lt;&gt;"n"),"Not a valid distance",OR(LOWER(LEFT($G83,1))="n",$G83&lt;ScoringTable!$P$161),1,RIGHT($E83,1)="B",_xlfn.XLOOKUP($G83,ScoringTable!$P$2:$P$161,ScoringTable!$L$2:$L$161,,-1),TRUE,_xlfn.XLOOKUP($G83,ScoringTable!$V$2:$V$161,ScoringTable!$R$2:$R$161,,-1))</f>
        <v>0</v>
      </c>
    </row>
    <row r="84" spans="1:13" ht="16" customHeight="1">
      <c r="A84" s="82" t="s">
        <v>27</v>
      </c>
      <c r="B84" s="81" t="str">
        <f>IF(ISNA(VLOOKUP($F84,Declarations!B$6:C$293,2,FALSE)),"",IF(VLOOKUP($F84,Declarations!B$6:C$293,2,FALSE)="","NOT DECLARED",IF(ISNA(_xlfn.TEXTBEFORE(VLOOKUP($F84,Declarations!B$6:C$293,2,FALSE)," ")),VLOOKUP($F84,Declarations!B$6:C$293,2,FALSE),_xlfn.TEXTBEFORE(VLOOKUP($F84,Declarations!B$6:C$293,2,FALSE)," "))))</f>
        <v/>
      </c>
      <c r="C84" s="81" t="str">
        <f>IF(ISNA(VLOOKUP($F84,Declarations!B$6:C$293,2,FALSE)),"",IF(VLOOKUP($F84,Declarations!B$6:C$293,2,FALSE)="","NOT DECLARED",IF(ISNA(_xlfn.TEXTAFTER(VLOOKUP($F84,Declarations!B$6:C$293,2,FALSE)," ")),VLOOKUP($F84,Declarations!B$6:C$293,2,FALSE),_xlfn.TEXTAFTER(VLOOKUP($F84,Declarations!B$6:C$293,2,FALSE)," "))))</f>
        <v/>
      </c>
      <c r="D84" s="81" t="str">
        <f>IF(ISNA(VLOOKUP($F84,Declarations!$B$6:$F$293,5,FALSE)),"",IF(VLOOKUP($F84,Declarations!$B$6:$F$293,5,FALSE)="","NOT DECLARED",VLOOKUP($F84,Declarations!$B$6:$F$293,5,FALSE)))</f>
        <v/>
      </c>
      <c r="E84" s="120" t="str">
        <f>IF(ISNA(VLOOKUP($F84,Declarations!$B$6:$D$293,3,FALSE)),"",IF(VLOOKUP($F84,Declarations!$B$6:$D$293,3,FALSE)="","NOT DECLARED",VLOOKUP($F84,Declarations!$B$6:$D$293,3,FALSE)&amp;LEFT(VLOOKUP($F84,Declarations!$B$6:$E$293,4,FALSE))))</f>
        <v/>
      </c>
      <c r="F84" s="21"/>
      <c r="G84" s="22"/>
      <c r="H84" s="322"/>
      <c r="I84" s="8" t="str">
        <f>IF(ISNA(VLOOKUP(F84,Declarations!B$6:C$293,2,FALSE)),"",IF(VLOOKUP(F84,Declarations!B$6:C$293,2,FALSE)="","NOT DECLARED",VLOOKUP(F84,Declarations!B$6:C$293,2,FALSE)))</f>
        <v/>
      </c>
      <c r="J84" s="2">
        <f>IF(LOWER(LEFT(G84,1))="n",1,VLOOKUP(G84,ScoringTable!E$2:I$95,5))</f>
        <v>0</v>
      </c>
      <c r="K84" s="120" t="str" cm="1">
        <f t="array" ref="K84">IF(OR(E84="",G84=""),"",_xlfn.IFS(E84="U10B",_xlfn.XLOOKUP(G84,Data!$D$4:$L$4,Data!$D$1:$L$1,"",-1,1),E84="U12B",_xlfn.XLOOKUP(G84,Data!$D$11:$L$11,Data!$D$1:$L$1,"",-1,1),E84="U10G",_xlfn.XLOOKUP(G84,Data!$D$17:$L$17,Data!$D$1:$L$1,"",-1,1),E84="U12G",_xlfn.XLOOKUP(G84,Data!$D$24:$L$24,Data!$D$1:$L$1,"",-1,1)))</f>
        <v/>
      </c>
      <c r="L84" s="184" t="str" cm="1">
        <f t="array" ref="L84">IFERROR(_xlfn.IFNA(
                      _xlfn.IFS(
                      F84="", "",
                      AND(E84="U10B",G84&gt;=Data!$M$4), "U10 Boys record",
                      AND(E84="U12B",G84&gt;=Data!$M$11), "U12 Boys record",
                      AND(E84="U10G",G84&gt;=Data!$M$17), "U10 Girls record",
                      AND(E84="U12G",G84&gt;=Data!$M$24), "U12 Girls record"
                       ),""), "")</f>
        <v/>
      </c>
      <c r="M84" s="19" cm="1">
        <f t="array" ref="M84">_xlfn.IFS($G84="",0,AND(NOT(ISNUMBER($G84)),LOWER(LEFT($G84,1))&lt;&gt;"n"),"Not a valid distance",OR(LOWER(LEFT($G84,1))="n",$G84&lt;ScoringTable!$P$161),1,RIGHT($E84,1)="B",_xlfn.XLOOKUP($G84,ScoringTable!$P$2:$P$161,ScoringTable!$L$2:$L$161,,-1),TRUE,_xlfn.XLOOKUP($G84,ScoringTable!$V$2:$V$161,ScoringTable!$R$2:$R$161,,-1))</f>
        <v>0</v>
      </c>
    </row>
    <row r="85" spans="1:13" ht="16" customHeight="1">
      <c r="A85" s="82" t="s">
        <v>27</v>
      </c>
      <c r="B85" s="81" t="str">
        <f>IF(ISNA(VLOOKUP($F85,Declarations!B$6:C$293,2,FALSE)),"",IF(VLOOKUP($F85,Declarations!B$6:C$293,2,FALSE)="","NOT DECLARED",IF(ISNA(_xlfn.TEXTBEFORE(VLOOKUP($F85,Declarations!B$6:C$293,2,FALSE)," ")),VLOOKUP($F85,Declarations!B$6:C$293,2,FALSE),_xlfn.TEXTBEFORE(VLOOKUP($F85,Declarations!B$6:C$293,2,FALSE)," "))))</f>
        <v/>
      </c>
      <c r="C85" s="81" t="str">
        <f>IF(ISNA(VLOOKUP($F85,Declarations!B$6:C$293,2,FALSE)),"",IF(VLOOKUP($F85,Declarations!B$6:C$293,2,FALSE)="","NOT DECLARED",IF(ISNA(_xlfn.TEXTAFTER(VLOOKUP($F85,Declarations!B$6:C$293,2,FALSE)," ")),VLOOKUP($F85,Declarations!B$6:C$293,2,FALSE),_xlfn.TEXTAFTER(VLOOKUP($F85,Declarations!B$6:C$293,2,FALSE)," "))))</f>
        <v/>
      </c>
      <c r="D85" s="81" t="str">
        <f>IF(ISNA(VLOOKUP($F85,Declarations!$B$6:$F$293,5,FALSE)),"",IF(VLOOKUP($F85,Declarations!$B$6:$F$293,5,FALSE)="","NOT DECLARED",VLOOKUP($F85,Declarations!$B$6:$F$293,5,FALSE)))</f>
        <v/>
      </c>
      <c r="E85" s="120" t="str">
        <f>IF(ISNA(VLOOKUP($F85,Declarations!$B$6:$D$293,3,FALSE)),"",IF(VLOOKUP($F85,Declarations!$B$6:$D$293,3,FALSE)="","NOT DECLARED",VLOOKUP($F85,Declarations!$B$6:$D$293,3,FALSE)&amp;LEFT(VLOOKUP($F85,Declarations!$B$6:$E$293,4,FALSE))))</f>
        <v/>
      </c>
      <c r="F85" s="21"/>
      <c r="G85" s="22"/>
      <c r="H85" s="322"/>
      <c r="I85" s="8" t="str">
        <f>IF(ISNA(VLOOKUP(F85,Declarations!B$6:C$293,2,FALSE)),"",IF(VLOOKUP(F85,Declarations!B$6:C$293,2,FALSE)="","NOT DECLARED",VLOOKUP(F85,Declarations!B$6:C$293,2,FALSE)))</f>
        <v/>
      </c>
      <c r="J85" s="2">
        <f>IF(LOWER(LEFT(G85,1))="n",1,VLOOKUP(G85,ScoringTable!E$2:I$95,5))</f>
        <v>0</v>
      </c>
      <c r="K85" s="120" t="str" cm="1">
        <f t="array" ref="K85">IF(OR(E85="",G85=""),"",_xlfn.IFS(E85="U10B",_xlfn.XLOOKUP(G85,Data!$D$4:$L$4,Data!$D$1:$L$1,"",-1,1),E85="U12B",_xlfn.XLOOKUP(G85,Data!$D$11:$L$11,Data!$D$1:$L$1,"",-1,1),E85="U10G",_xlfn.XLOOKUP(G85,Data!$D$17:$L$17,Data!$D$1:$L$1,"",-1,1),E85="U12G",_xlfn.XLOOKUP(G85,Data!$D$24:$L$24,Data!$D$1:$L$1,"",-1,1)))</f>
        <v/>
      </c>
      <c r="L85" s="184" t="str" cm="1">
        <f t="array" ref="L85">IFERROR(_xlfn.IFNA(
                      _xlfn.IFS(
                      F85="", "",
                      AND(E85="U10B",G85&gt;=Data!$M$4), "U10 Boys record",
                      AND(E85="U12B",G85&gt;=Data!$M$11), "U12 Boys record",
                      AND(E85="U10G",G85&gt;=Data!$M$17), "U10 Girls record",
                      AND(E85="U12G",G85&gt;=Data!$M$24), "U12 Girls record"
                       ),""), "")</f>
        <v/>
      </c>
      <c r="M85" s="19" cm="1">
        <f t="array" ref="M85">_xlfn.IFS($G85="",0,AND(NOT(ISNUMBER($G85)),LOWER(LEFT($G85,1))&lt;&gt;"n"),"Not a valid distance",OR(LOWER(LEFT($G85,1))="n",$G85&lt;ScoringTable!$P$161),1,RIGHT($E85,1)="B",_xlfn.XLOOKUP($G85,ScoringTable!$P$2:$P$161,ScoringTable!$L$2:$L$161,,-1),TRUE,_xlfn.XLOOKUP($G85,ScoringTable!$V$2:$V$161,ScoringTable!$R$2:$R$161,,-1))</f>
        <v>0</v>
      </c>
    </row>
    <row r="86" spans="1:13" ht="16" customHeight="1">
      <c r="A86" s="82" t="s">
        <v>27</v>
      </c>
      <c r="B86" s="81" t="str">
        <f>IF(ISNA(VLOOKUP($F86,Declarations!B$6:C$293,2,FALSE)),"",IF(VLOOKUP($F86,Declarations!B$6:C$293,2,FALSE)="","NOT DECLARED",IF(ISNA(_xlfn.TEXTBEFORE(VLOOKUP($F86,Declarations!B$6:C$293,2,FALSE)," ")),VLOOKUP($F86,Declarations!B$6:C$293,2,FALSE),_xlfn.TEXTBEFORE(VLOOKUP($F86,Declarations!B$6:C$293,2,FALSE)," "))))</f>
        <v/>
      </c>
      <c r="C86" s="81" t="str">
        <f>IF(ISNA(VLOOKUP($F86,Declarations!B$6:C$293,2,FALSE)),"",IF(VLOOKUP($F86,Declarations!B$6:C$293,2,FALSE)="","NOT DECLARED",IF(ISNA(_xlfn.TEXTAFTER(VLOOKUP($F86,Declarations!B$6:C$293,2,FALSE)," ")),VLOOKUP($F86,Declarations!B$6:C$293,2,FALSE),_xlfn.TEXTAFTER(VLOOKUP($F86,Declarations!B$6:C$293,2,FALSE)," "))))</f>
        <v/>
      </c>
      <c r="D86" s="81" t="str">
        <f>IF(ISNA(VLOOKUP($F86,Declarations!$B$6:$F$293,5,FALSE)),"",IF(VLOOKUP($F86,Declarations!$B$6:$F$293,5,FALSE)="","NOT DECLARED",VLOOKUP($F86,Declarations!$B$6:$F$293,5,FALSE)))</f>
        <v/>
      </c>
      <c r="E86" s="120" t="str">
        <f>IF(ISNA(VLOOKUP($F86,Declarations!$B$6:$D$293,3,FALSE)),"",IF(VLOOKUP($F86,Declarations!$B$6:$D$293,3,FALSE)="","NOT DECLARED",VLOOKUP($F86,Declarations!$B$6:$D$293,3,FALSE)&amp;LEFT(VLOOKUP($F86,Declarations!$B$6:$E$293,4,FALSE))))</f>
        <v/>
      </c>
      <c r="F86" s="21"/>
      <c r="G86" s="22"/>
      <c r="H86" s="322"/>
      <c r="I86" s="8" t="str">
        <f>IF(ISNA(VLOOKUP(F86,Declarations!B$6:C$293,2,FALSE)),"",IF(VLOOKUP(F86,Declarations!B$6:C$293,2,FALSE)="","NOT DECLARED",VLOOKUP(F86,Declarations!B$6:C$293,2,FALSE)))</f>
        <v/>
      </c>
      <c r="J86" s="2">
        <f>IF(LOWER(LEFT(G86,1))="n",1,VLOOKUP(G86,ScoringTable!E$2:I$95,5))</f>
        <v>0</v>
      </c>
      <c r="K86" s="120" t="str" cm="1">
        <f t="array" ref="K86">IF(OR(E86="",G86=""),"",_xlfn.IFS(E86="U10B",_xlfn.XLOOKUP(G86,Data!$D$4:$L$4,Data!$D$1:$L$1,"",-1,1),E86="U12B",_xlfn.XLOOKUP(G86,Data!$D$11:$L$11,Data!$D$1:$L$1,"",-1,1),E86="U10G",_xlfn.XLOOKUP(G86,Data!$D$17:$L$17,Data!$D$1:$L$1,"",-1,1),E86="U12G",_xlfn.XLOOKUP(G86,Data!$D$24:$L$24,Data!$D$1:$L$1,"",-1,1)))</f>
        <v/>
      </c>
      <c r="L86" s="184" t="str" cm="1">
        <f t="array" ref="L86">IFERROR(_xlfn.IFNA(
                      _xlfn.IFS(
                      F86="", "",
                      AND(E86="U10B",G86&gt;=Data!$M$4), "U10 Boys record",
                      AND(E86="U12B",G86&gt;=Data!$M$11), "U12 Boys record",
                      AND(E86="U10G",G86&gt;=Data!$M$17), "U10 Girls record",
                      AND(E86="U12G",G86&gt;=Data!$M$24), "U12 Girls record"
                       ),""), "")</f>
        <v/>
      </c>
      <c r="M86" s="19" cm="1">
        <f t="array" ref="M86">_xlfn.IFS($G86="",0,AND(NOT(ISNUMBER($G86)),LOWER(LEFT($G86,1))&lt;&gt;"n"),"Not a valid distance",OR(LOWER(LEFT($G86,1))="n",$G86&lt;ScoringTable!$P$161),1,RIGHT($E86,1)="B",_xlfn.XLOOKUP($G86,ScoringTable!$P$2:$P$161,ScoringTable!$L$2:$L$161,,-1),TRUE,_xlfn.XLOOKUP($G86,ScoringTable!$V$2:$V$161,ScoringTable!$R$2:$R$161,,-1))</f>
        <v>0</v>
      </c>
    </row>
    <row r="87" spans="1:13" ht="16" customHeight="1">
      <c r="A87" s="82" t="s">
        <v>27</v>
      </c>
      <c r="B87" s="81" t="str">
        <f>IF(ISNA(VLOOKUP($F87,Declarations!B$6:C$293,2,FALSE)),"",IF(VLOOKUP($F87,Declarations!B$6:C$293,2,FALSE)="","NOT DECLARED",IF(ISNA(_xlfn.TEXTBEFORE(VLOOKUP($F87,Declarations!B$6:C$293,2,FALSE)," ")),VLOOKUP($F87,Declarations!B$6:C$293,2,FALSE),_xlfn.TEXTBEFORE(VLOOKUP($F87,Declarations!B$6:C$293,2,FALSE)," "))))</f>
        <v/>
      </c>
      <c r="C87" s="81" t="str">
        <f>IF(ISNA(VLOOKUP($F87,Declarations!B$6:C$293,2,FALSE)),"",IF(VLOOKUP($F87,Declarations!B$6:C$293,2,FALSE)="","NOT DECLARED",IF(ISNA(_xlfn.TEXTAFTER(VLOOKUP($F87,Declarations!B$6:C$293,2,FALSE)," ")),VLOOKUP($F87,Declarations!B$6:C$293,2,FALSE),_xlfn.TEXTAFTER(VLOOKUP($F87,Declarations!B$6:C$293,2,FALSE)," "))))</f>
        <v/>
      </c>
      <c r="D87" s="81" t="str">
        <f>IF(ISNA(VLOOKUP($F87,Declarations!$B$6:$F$293,5,FALSE)),"",IF(VLOOKUP($F87,Declarations!$B$6:$F$293,5,FALSE)="","NOT DECLARED",VLOOKUP($F87,Declarations!$B$6:$F$293,5,FALSE)))</f>
        <v/>
      </c>
      <c r="E87" s="120" t="str">
        <f>IF(ISNA(VLOOKUP($F87,Declarations!$B$6:$D$293,3,FALSE)),"",IF(VLOOKUP($F87,Declarations!$B$6:$D$293,3,FALSE)="","NOT DECLARED",VLOOKUP($F87,Declarations!$B$6:$D$293,3,FALSE)&amp;LEFT(VLOOKUP($F87,Declarations!$B$6:$E$293,4,FALSE))))</f>
        <v/>
      </c>
      <c r="F87" s="21"/>
      <c r="G87" s="22"/>
      <c r="H87" s="322"/>
      <c r="I87" s="8" t="str">
        <f>IF(ISNA(VLOOKUP(F87,Declarations!B$6:C$293,2,FALSE)),"",IF(VLOOKUP(F87,Declarations!B$6:C$293,2,FALSE)="","NOT DECLARED",VLOOKUP(F87,Declarations!B$6:C$293,2,FALSE)))</f>
        <v/>
      </c>
      <c r="J87" s="2">
        <f>IF(LOWER(LEFT(G87,1))="n",1,VLOOKUP(G87,ScoringTable!E$2:I$95,5))</f>
        <v>0</v>
      </c>
      <c r="K87" s="120" t="str" cm="1">
        <f t="array" ref="K87">IF(OR(E87="",G87=""),"",_xlfn.IFS(E87="U10B",_xlfn.XLOOKUP(G87,Data!$D$4:$L$4,Data!$D$1:$L$1,"",-1,1),E87="U12B",_xlfn.XLOOKUP(G87,Data!$D$11:$L$11,Data!$D$1:$L$1,"",-1,1),E87="U10G",_xlfn.XLOOKUP(G87,Data!$D$17:$L$17,Data!$D$1:$L$1,"",-1,1),E87="U12G",_xlfn.XLOOKUP(G87,Data!$D$24:$L$24,Data!$D$1:$L$1,"",-1,1)))</f>
        <v/>
      </c>
      <c r="L87" s="184" t="str" cm="1">
        <f t="array" ref="L87">IFERROR(_xlfn.IFNA(
                      _xlfn.IFS(
                      F87="", "",
                      AND(E87="U10B",G87&gt;=Data!$M$4), "U10 Boys record",
                      AND(E87="U12B",G87&gt;=Data!$M$11), "U12 Boys record",
                      AND(E87="U10G",G87&gt;=Data!$M$17), "U10 Girls record",
                      AND(E87="U12G",G87&gt;=Data!$M$24), "U12 Girls record"
                       ),""), "")</f>
        <v/>
      </c>
      <c r="M87" s="19" cm="1">
        <f t="array" ref="M87">_xlfn.IFS($G87="",0,AND(NOT(ISNUMBER($G87)),LOWER(LEFT($G87,1))&lt;&gt;"n"),"Not a valid distance",OR(LOWER(LEFT($G87,1))="n",$G87&lt;ScoringTable!$P$161),1,RIGHT($E87,1)="B",_xlfn.XLOOKUP($G87,ScoringTable!$P$2:$P$161,ScoringTable!$L$2:$L$161,,-1),TRUE,_xlfn.XLOOKUP($G87,ScoringTable!$V$2:$V$161,ScoringTable!$R$2:$R$161,,-1))</f>
        <v>0</v>
      </c>
    </row>
    <row r="88" spans="1:13" ht="16" customHeight="1">
      <c r="A88" s="82" t="s">
        <v>27</v>
      </c>
      <c r="B88" s="81" t="str">
        <f>IF(ISNA(VLOOKUP($F88,Declarations!B$6:C$293,2,FALSE)),"",IF(VLOOKUP($F88,Declarations!B$6:C$293,2,FALSE)="","NOT DECLARED",IF(ISNA(_xlfn.TEXTBEFORE(VLOOKUP($F88,Declarations!B$6:C$293,2,FALSE)," ")),VLOOKUP($F88,Declarations!B$6:C$293,2,FALSE),_xlfn.TEXTBEFORE(VLOOKUP($F88,Declarations!B$6:C$293,2,FALSE)," "))))</f>
        <v/>
      </c>
      <c r="C88" s="81" t="str">
        <f>IF(ISNA(VLOOKUP($F88,Declarations!B$6:C$293,2,FALSE)),"",IF(VLOOKUP($F88,Declarations!B$6:C$293,2,FALSE)="","NOT DECLARED",IF(ISNA(_xlfn.TEXTAFTER(VLOOKUP($F88,Declarations!B$6:C$293,2,FALSE)," ")),VLOOKUP($F88,Declarations!B$6:C$293,2,FALSE),_xlfn.TEXTAFTER(VLOOKUP($F88,Declarations!B$6:C$293,2,FALSE)," "))))</f>
        <v/>
      </c>
      <c r="D88" s="81" t="str">
        <f>IF(ISNA(VLOOKUP($F88,Declarations!$B$6:$F$293,5,FALSE)),"",IF(VLOOKUP($F88,Declarations!$B$6:$F$293,5,FALSE)="","NOT DECLARED",VLOOKUP($F88,Declarations!$B$6:$F$293,5,FALSE)))</f>
        <v/>
      </c>
      <c r="E88" s="120" t="str">
        <f>IF(ISNA(VLOOKUP($F88,Declarations!$B$6:$D$293,3,FALSE)),"",IF(VLOOKUP($F88,Declarations!$B$6:$D$293,3,FALSE)="","NOT DECLARED",VLOOKUP($F88,Declarations!$B$6:$D$293,3,FALSE)&amp;LEFT(VLOOKUP($F88,Declarations!$B$6:$E$293,4,FALSE))))</f>
        <v/>
      </c>
      <c r="F88" s="21"/>
      <c r="G88" s="22"/>
      <c r="H88" s="322"/>
      <c r="I88" s="8" t="str">
        <f>IF(ISNA(VLOOKUP(F88,Declarations!B$6:C$293,2,FALSE)),"",IF(VLOOKUP(F88,Declarations!B$6:C$293,2,FALSE)="","NOT DECLARED",VLOOKUP(F88,Declarations!B$6:C$293,2,FALSE)))</f>
        <v/>
      </c>
      <c r="J88" s="2">
        <f>IF(LOWER(LEFT(G88,1))="n",1,VLOOKUP(G88,ScoringTable!E$2:I$95,5))</f>
        <v>0</v>
      </c>
      <c r="K88" s="120" t="str" cm="1">
        <f t="array" ref="K88">IF(OR(E88="",G88=""),"",_xlfn.IFS(E88="U10B",_xlfn.XLOOKUP(G88,Data!$D$4:$L$4,Data!$D$1:$L$1,"",-1,1),E88="U12B",_xlfn.XLOOKUP(G88,Data!$D$11:$L$11,Data!$D$1:$L$1,"",-1,1),E88="U10G",_xlfn.XLOOKUP(G88,Data!$D$17:$L$17,Data!$D$1:$L$1,"",-1,1),E88="U12G",_xlfn.XLOOKUP(G88,Data!$D$24:$L$24,Data!$D$1:$L$1,"",-1,1)))</f>
        <v/>
      </c>
      <c r="L88" s="184" t="str" cm="1">
        <f t="array" ref="L88">IFERROR(_xlfn.IFNA(
                      _xlfn.IFS(
                      F88="", "",
                      AND(E88="U10B",G88&gt;=Data!$M$4), "U10 Boys record",
                      AND(E88="U12B",G88&gt;=Data!$M$11), "U12 Boys record",
                      AND(E88="U10G",G88&gt;=Data!$M$17), "U10 Girls record",
                      AND(E88="U12G",G88&gt;=Data!$M$24), "U12 Girls record"
                       ),""), "")</f>
        <v/>
      </c>
      <c r="M88" s="19" cm="1">
        <f t="array" ref="M88">_xlfn.IFS($G88="",0,AND(NOT(ISNUMBER($G88)),LOWER(LEFT($G88,1))&lt;&gt;"n"),"Not a valid distance",OR(LOWER(LEFT($G88,1))="n",$G88&lt;ScoringTable!$P$161),1,RIGHT($E88,1)="B",_xlfn.XLOOKUP($G88,ScoringTable!$P$2:$P$161,ScoringTable!$L$2:$L$161,,-1),TRUE,_xlfn.XLOOKUP($G88,ScoringTable!$V$2:$V$161,ScoringTable!$R$2:$R$161,,-1))</f>
        <v>0</v>
      </c>
    </row>
    <row r="89" spans="1:13" ht="16" customHeight="1">
      <c r="A89" s="82" t="s">
        <v>27</v>
      </c>
      <c r="B89" s="81" t="str">
        <f>IF(ISNA(VLOOKUP($F89,Declarations!B$6:C$293,2,FALSE)),"",IF(VLOOKUP($F89,Declarations!B$6:C$293,2,FALSE)="","NOT DECLARED",IF(ISNA(_xlfn.TEXTBEFORE(VLOOKUP($F89,Declarations!B$6:C$293,2,FALSE)," ")),VLOOKUP($F89,Declarations!B$6:C$293,2,FALSE),_xlfn.TEXTBEFORE(VLOOKUP($F89,Declarations!B$6:C$293,2,FALSE)," "))))</f>
        <v/>
      </c>
      <c r="C89" s="81" t="str">
        <f>IF(ISNA(VLOOKUP($F89,Declarations!B$6:C$293,2,FALSE)),"",IF(VLOOKUP($F89,Declarations!B$6:C$293,2,FALSE)="","NOT DECLARED",IF(ISNA(_xlfn.TEXTAFTER(VLOOKUP($F89,Declarations!B$6:C$293,2,FALSE)," ")),VLOOKUP($F89,Declarations!B$6:C$293,2,FALSE),_xlfn.TEXTAFTER(VLOOKUP($F89,Declarations!B$6:C$293,2,FALSE)," "))))</f>
        <v/>
      </c>
      <c r="D89" s="81" t="str">
        <f>IF(ISNA(VLOOKUP($F89,Declarations!$B$6:$F$293,5,FALSE)),"",IF(VLOOKUP($F89,Declarations!$B$6:$F$293,5,FALSE)="","NOT DECLARED",VLOOKUP($F89,Declarations!$B$6:$F$293,5,FALSE)))</f>
        <v/>
      </c>
      <c r="E89" s="120" t="str">
        <f>IF(ISNA(VLOOKUP($F89,Declarations!$B$6:$D$293,3,FALSE)),"",IF(VLOOKUP($F89,Declarations!$B$6:$D$293,3,FALSE)="","NOT DECLARED",VLOOKUP($F89,Declarations!$B$6:$D$293,3,FALSE)&amp;LEFT(VLOOKUP($F89,Declarations!$B$6:$E$293,4,FALSE))))</f>
        <v/>
      </c>
      <c r="F89" s="21"/>
      <c r="G89" s="22"/>
      <c r="H89" s="322"/>
      <c r="I89" s="8" t="str">
        <f>IF(ISNA(VLOOKUP(F89,Declarations!B$6:C$293,2,FALSE)),"",IF(VLOOKUP(F89,Declarations!B$6:C$293,2,FALSE)="","NOT DECLARED",VLOOKUP(F89,Declarations!B$6:C$293,2,FALSE)))</f>
        <v/>
      </c>
      <c r="J89" s="2">
        <f>IF(LOWER(LEFT(G89,1))="n",1,VLOOKUP(G89,ScoringTable!E$2:I$95,5))</f>
        <v>0</v>
      </c>
      <c r="K89" s="120" t="str" cm="1">
        <f t="array" ref="K89">IF(OR(E89="",G89=""),"",_xlfn.IFS(E89="U10B",_xlfn.XLOOKUP(G89,Data!$D$4:$L$4,Data!$D$1:$L$1,"",-1,1),E89="U12B",_xlfn.XLOOKUP(G89,Data!$D$11:$L$11,Data!$D$1:$L$1,"",-1,1),E89="U10G",_xlfn.XLOOKUP(G89,Data!$D$17:$L$17,Data!$D$1:$L$1,"",-1,1),E89="U12G",_xlfn.XLOOKUP(G89,Data!$D$24:$L$24,Data!$D$1:$L$1,"",-1,1)))</f>
        <v/>
      </c>
      <c r="L89" s="184" t="str" cm="1">
        <f t="array" ref="L89">IFERROR(_xlfn.IFNA(
                      _xlfn.IFS(
                      F89="", "",
                      AND(E89="U10B",G89&gt;=Data!$M$4), "U10 Boys record",
                      AND(E89="U12B",G89&gt;=Data!$M$11), "U12 Boys record",
                      AND(E89="U10G",G89&gt;=Data!$M$17), "U10 Girls record",
                      AND(E89="U12G",G89&gt;=Data!$M$24), "U12 Girls record"
                       ),""), "")</f>
        <v/>
      </c>
      <c r="M89" s="19" cm="1">
        <f t="array" ref="M89">_xlfn.IFS($G89="",0,AND(NOT(ISNUMBER($G89)),LOWER(LEFT($G89,1))&lt;&gt;"n"),"Not a valid distance",OR(LOWER(LEFT($G89,1))="n",$G89&lt;ScoringTable!$P$161),1,RIGHT($E89,1)="B",_xlfn.XLOOKUP($G89,ScoringTable!$P$2:$P$161,ScoringTable!$L$2:$L$161,,-1),TRUE,_xlfn.XLOOKUP($G89,ScoringTable!$V$2:$V$161,ScoringTable!$R$2:$R$161,,-1))</f>
        <v>0</v>
      </c>
    </row>
    <row r="90" spans="1:13" ht="16" customHeight="1">
      <c r="A90" s="82" t="s">
        <v>27</v>
      </c>
      <c r="B90" s="81" t="str">
        <f>IF(ISNA(VLOOKUP($F90,Declarations!B$6:C$293,2,FALSE)),"",IF(VLOOKUP($F90,Declarations!B$6:C$293,2,FALSE)="","NOT DECLARED",IF(ISNA(_xlfn.TEXTBEFORE(VLOOKUP($F90,Declarations!B$6:C$293,2,FALSE)," ")),VLOOKUP($F90,Declarations!B$6:C$293,2,FALSE),_xlfn.TEXTBEFORE(VLOOKUP($F90,Declarations!B$6:C$293,2,FALSE)," "))))</f>
        <v/>
      </c>
      <c r="C90" s="81" t="str">
        <f>IF(ISNA(VLOOKUP($F90,Declarations!B$6:C$293,2,FALSE)),"",IF(VLOOKUP($F90,Declarations!B$6:C$293,2,FALSE)="","NOT DECLARED",IF(ISNA(_xlfn.TEXTAFTER(VLOOKUP($F90,Declarations!B$6:C$293,2,FALSE)," ")),VLOOKUP($F90,Declarations!B$6:C$293,2,FALSE),_xlfn.TEXTAFTER(VLOOKUP($F90,Declarations!B$6:C$293,2,FALSE)," "))))</f>
        <v/>
      </c>
      <c r="D90" s="81" t="str">
        <f>IF(ISNA(VLOOKUP($F90,Declarations!$B$6:$F$293,5,FALSE)),"",IF(VLOOKUP($F90,Declarations!$B$6:$F$293,5,FALSE)="","NOT DECLARED",VLOOKUP($F90,Declarations!$B$6:$F$293,5,FALSE)))</f>
        <v/>
      </c>
      <c r="E90" s="120" t="str">
        <f>IF(ISNA(VLOOKUP($F90,Declarations!$B$6:$D$293,3,FALSE)),"",IF(VLOOKUP($F90,Declarations!$B$6:$D$293,3,FALSE)="","NOT DECLARED",VLOOKUP($F90,Declarations!$B$6:$D$293,3,FALSE)&amp;LEFT(VLOOKUP($F90,Declarations!$B$6:$E$293,4,FALSE))))</f>
        <v/>
      </c>
      <c r="F90" s="21"/>
      <c r="G90" s="22"/>
      <c r="H90" s="322"/>
      <c r="I90" s="8" t="str">
        <f>IF(ISNA(VLOOKUP(F90,Declarations!B$6:C$293,2,FALSE)),"",IF(VLOOKUP(F90,Declarations!B$6:C$293,2,FALSE)="","NOT DECLARED",VLOOKUP(F90,Declarations!B$6:C$293,2,FALSE)))</f>
        <v/>
      </c>
      <c r="J90" s="2">
        <f>IF(LOWER(LEFT(G90,1))="n",1,VLOOKUP(G90,ScoringTable!E$2:I$95,5))</f>
        <v>0</v>
      </c>
      <c r="K90" s="120" t="str" cm="1">
        <f t="array" ref="K90">IF(OR(E90="",G90=""),"",_xlfn.IFS(E90="U10B",_xlfn.XLOOKUP(G90,Data!$D$4:$L$4,Data!$D$1:$L$1,"",-1,1),E90="U12B",_xlfn.XLOOKUP(G90,Data!$D$11:$L$11,Data!$D$1:$L$1,"",-1,1),E90="U10G",_xlfn.XLOOKUP(G90,Data!$D$17:$L$17,Data!$D$1:$L$1,"",-1,1),E90="U12G",_xlfn.XLOOKUP(G90,Data!$D$24:$L$24,Data!$D$1:$L$1,"",-1,1)))</f>
        <v/>
      </c>
      <c r="L90" s="184" t="str" cm="1">
        <f t="array" ref="L90">IFERROR(_xlfn.IFNA(
                      _xlfn.IFS(
                      F90="", "",
                      AND(E90="U10B",G90&gt;=Data!$M$4), "U10 Boys record",
                      AND(E90="U12B",G90&gt;=Data!$M$11), "U12 Boys record",
                      AND(E90="U10G",G90&gt;=Data!$M$17), "U10 Girls record",
                      AND(E90="U12G",G90&gt;=Data!$M$24), "U12 Girls record"
                       ),""), "")</f>
        <v/>
      </c>
      <c r="M90" s="19" cm="1">
        <f t="array" ref="M90">_xlfn.IFS($G90="",0,AND(NOT(ISNUMBER($G90)),LOWER(LEFT($G90,1))&lt;&gt;"n"),"Not a valid distance",OR(LOWER(LEFT($G90,1))="n",$G90&lt;ScoringTable!$P$161),1,RIGHT($E90,1)="B",_xlfn.XLOOKUP($G90,ScoringTable!$P$2:$P$161,ScoringTable!$L$2:$L$161,,-1),TRUE,_xlfn.XLOOKUP($G90,ScoringTable!$V$2:$V$161,ScoringTable!$R$2:$R$161,,-1))</f>
        <v>0</v>
      </c>
    </row>
    <row r="91" spans="1:13" ht="16" customHeight="1">
      <c r="A91" s="82" t="s">
        <v>27</v>
      </c>
      <c r="B91" s="81" t="str">
        <f>IF(ISNA(VLOOKUP($F91,Declarations!B$6:C$293,2,FALSE)),"",IF(VLOOKUP($F91,Declarations!B$6:C$293,2,FALSE)="","NOT DECLARED",IF(ISNA(_xlfn.TEXTBEFORE(VLOOKUP($F91,Declarations!B$6:C$293,2,FALSE)," ")),VLOOKUP($F91,Declarations!B$6:C$293,2,FALSE),_xlfn.TEXTBEFORE(VLOOKUP($F91,Declarations!B$6:C$293,2,FALSE)," "))))</f>
        <v/>
      </c>
      <c r="C91" s="81" t="str">
        <f>IF(ISNA(VLOOKUP($F91,Declarations!B$6:C$293,2,FALSE)),"",IF(VLOOKUP($F91,Declarations!B$6:C$293,2,FALSE)="","NOT DECLARED",IF(ISNA(_xlfn.TEXTAFTER(VLOOKUP($F91,Declarations!B$6:C$293,2,FALSE)," ")),VLOOKUP($F91,Declarations!B$6:C$293,2,FALSE),_xlfn.TEXTAFTER(VLOOKUP($F91,Declarations!B$6:C$293,2,FALSE)," "))))</f>
        <v/>
      </c>
      <c r="D91" s="81" t="str">
        <f>IF(ISNA(VLOOKUP($F91,Declarations!$B$6:$F$293,5,FALSE)),"",IF(VLOOKUP($F91,Declarations!$B$6:$F$293,5,FALSE)="","NOT DECLARED",VLOOKUP($F91,Declarations!$B$6:$F$293,5,FALSE)))</f>
        <v/>
      </c>
      <c r="E91" s="120" t="str">
        <f>IF(ISNA(VLOOKUP($F91,Declarations!$B$6:$D$293,3,FALSE)),"",IF(VLOOKUP($F91,Declarations!$B$6:$D$293,3,FALSE)="","NOT DECLARED",VLOOKUP($F91,Declarations!$B$6:$D$293,3,FALSE)&amp;LEFT(VLOOKUP($F91,Declarations!$B$6:$E$293,4,FALSE))))</f>
        <v/>
      </c>
      <c r="F91" s="21"/>
      <c r="G91" s="22"/>
      <c r="H91" s="322"/>
      <c r="I91" s="8" t="str">
        <f>IF(ISNA(VLOOKUP(F91,Declarations!B$6:C$293,2,FALSE)),"",IF(VLOOKUP(F91,Declarations!B$6:C$293,2,FALSE)="","NOT DECLARED",VLOOKUP(F91,Declarations!B$6:C$293,2,FALSE)))</f>
        <v/>
      </c>
      <c r="J91" s="2">
        <f>IF(LOWER(LEFT(G91,1))="n",1,VLOOKUP(G91,ScoringTable!E$2:I$95,5))</f>
        <v>0</v>
      </c>
      <c r="K91" s="120" t="str" cm="1">
        <f t="array" ref="K91">IF(OR(E91="",G91=""),"",_xlfn.IFS(E91="U10B",_xlfn.XLOOKUP(G91,Data!$D$4:$L$4,Data!$D$1:$L$1,"",-1,1),E91="U12B",_xlfn.XLOOKUP(G91,Data!$D$11:$L$11,Data!$D$1:$L$1,"",-1,1),E91="U10G",_xlfn.XLOOKUP(G91,Data!$D$17:$L$17,Data!$D$1:$L$1,"",-1,1),E91="U12G",_xlfn.XLOOKUP(G91,Data!$D$24:$L$24,Data!$D$1:$L$1,"",-1,1)))</f>
        <v/>
      </c>
      <c r="L91" s="184" t="str" cm="1">
        <f t="array" ref="L91">IFERROR(_xlfn.IFNA(
                      _xlfn.IFS(
                      F91="", "",
                      AND(E91="U10B",G91&gt;=Data!$M$4), "U10 Boys record",
                      AND(E91="U12B",G91&gt;=Data!$M$11), "U12 Boys record",
                      AND(E91="U10G",G91&gt;=Data!$M$17), "U10 Girls record",
                      AND(E91="U12G",G91&gt;=Data!$M$24), "U12 Girls record"
                       ),""), "")</f>
        <v/>
      </c>
      <c r="M91" s="19" cm="1">
        <f t="array" ref="M91">_xlfn.IFS($G91="",0,AND(NOT(ISNUMBER($G91)),LOWER(LEFT($G91,1))&lt;&gt;"n"),"Not a valid distance",OR(LOWER(LEFT($G91,1))="n",$G91&lt;ScoringTable!$P$161),1,RIGHT($E91,1)="B",_xlfn.XLOOKUP($G91,ScoringTable!$P$2:$P$161,ScoringTable!$L$2:$L$161,,-1),TRUE,_xlfn.XLOOKUP($G91,ScoringTable!$V$2:$V$161,ScoringTable!$R$2:$R$161,,-1))</f>
        <v>0</v>
      </c>
    </row>
    <row r="92" spans="1:13" ht="16" customHeight="1">
      <c r="A92" s="82" t="s">
        <v>27</v>
      </c>
      <c r="B92" s="81" t="str">
        <f>IF(ISNA(VLOOKUP($F92,Declarations!B$6:C$293,2,FALSE)),"",IF(VLOOKUP($F92,Declarations!B$6:C$293,2,FALSE)="","NOT DECLARED",IF(ISNA(_xlfn.TEXTBEFORE(VLOOKUP($F92,Declarations!B$6:C$293,2,FALSE)," ")),VLOOKUP($F92,Declarations!B$6:C$293,2,FALSE),_xlfn.TEXTBEFORE(VLOOKUP($F92,Declarations!B$6:C$293,2,FALSE)," "))))</f>
        <v/>
      </c>
      <c r="C92" s="81" t="str">
        <f>IF(ISNA(VLOOKUP($F92,Declarations!B$6:C$293,2,FALSE)),"",IF(VLOOKUP($F92,Declarations!B$6:C$293,2,FALSE)="","NOT DECLARED",IF(ISNA(_xlfn.TEXTAFTER(VLOOKUP($F92,Declarations!B$6:C$293,2,FALSE)," ")),VLOOKUP($F92,Declarations!B$6:C$293,2,FALSE),_xlfn.TEXTAFTER(VLOOKUP($F92,Declarations!B$6:C$293,2,FALSE)," "))))</f>
        <v/>
      </c>
      <c r="D92" s="81" t="str">
        <f>IF(ISNA(VLOOKUP($F92,Declarations!$B$6:$F$293,5,FALSE)),"",IF(VLOOKUP($F92,Declarations!$B$6:$F$293,5,FALSE)="","NOT DECLARED",VLOOKUP($F92,Declarations!$B$6:$F$293,5,FALSE)))</f>
        <v/>
      </c>
      <c r="E92" s="120" t="str">
        <f>IF(ISNA(VLOOKUP($F92,Declarations!$B$6:$D$293,3,FALSE)),"",IF(VLOOKUP($F92,Declarations!$B$6:$D$293,3,FALSE)="","NOT DECLARED",VLOOKUP($F92,Declarations!$B$6:$D$293,3,FALSE)&amp;LEFT(VLOOKUP($F92,Declarations!$B$6:$E$293,4,FALSE))))</f>
        <v/>
      </c>
      <c r="F92" s="21"/>
      <c r="G92" s="22"/>
      <c r="H92" s="322"/>
      <c r="I92" s="8" t="str">
        <f>IF(ISNA(VLOOKUP(F92,Declarations!B$6:C$293,2,FALSE)),"",IF(VLOOKUP(F92,Declarations!B$6:C$293,2,FALSE)="","NOT DECLARED",VLOOKUP(F92,Declarations!B$6:C$293,2,FALSE)))</f>
        <v/>
      </c>
      <c r="J92" s="2">
        <f>IF(LOWER(LEFT(G92,1))="n",1,VLOOKUP(G92,ScoringTable!E$2:I$95,5))</f>
        <v>0</v>
      </c>
      <c r="K92" s="120" t="str" cm="1">
        <f t="array" ref="K92">IF(OR(E92="",G92=""),"",_xlfn.IFS(E92="U10B",_xlfn.XLOOKUP(G92,Data!$D$4:$L$4,Data!$D$1:$L$1,"",-1,1),E92="U12B",_xlfn.XLOOKUP(G92,Data!$D$11:$L$11,Data!$D$1:$L$1,"",-1,1),E92="U10G",_xlfn.XLOOKUP(G92,Data!$D$17:$L$17,Data!$D$1:$L$1,"",-1,1),E92="U12G",_xlfn.XLOOKUP(G92,Data!$D$24:$L$24,Data!$D$1:$L$1,"",-1,1)))</f>
        <v/>
      </c>
      <c r="L92" s="184" t="str" cm="1">
        <f t="array" ref="L92">IFERROR(_xlfn.IFNA(
                      _xlfn.IFS(
                      F92="", "",
                      AND(E92="U10B",G92&gt;=Data!$M$4), "U10 Boys record",
                      AND(E92="U12B",G92&gt;=Data!$M$11), "U12 Boys record",
                      AND(E92="U10G",G92&gt;=Data!$M$17), "U10 Girls record",
                      AND(E92="U12G",G92&gt;=Data!$M$24), "U12 Girls record"
                       ),""), "")</f>
        <v/>
      </c>
      <c r="M92" s="19" cm="1">
        <f t="array" ref="M92">_xlfn.IFS($G92="",0,AND(NOT(ISNUMBER($G92)),LOWER(LEFT($G92,1))&lt;&gt;"n"),"Not a valid distance",OR(LOWER(LEFT($G92,1))="n",$G92&lt;ScoringTable!$P$161),1,RIGHT($E92,1)="B",_xlfn.XLOOKUP($G92,ScoringTable!$P$2:$P$161,ScoringTable!$L$2:$L$161,,-1),TRUE,_xlfn.XLOOKUP($G92,ScoringTable!$V$2:$V$161,ScoringTable!$R$2:$R$161,,-1))</f>
        <v>0</v>
      </c>
    </row>
    <row r="93" spans="1:13" ht="16" customHeight="1">
      <c r="A93" s="82" t="s">
        <v>27</v>
      </c>
      <c r="B93" s="81" t="str">
        <f>IF(ISNA(VLOOKUP($F93,Declarations!B$6:C$293,2,FALSE)),"",IF(VLOOKUP($F93,Declarations!B$6:C$293,2,FALSE)="","NOT DECLARED",IF(ISNA(_xlfn.TEXTBEFORE(VLOOKUP($F93,Declarations!B$6:C$293,2,FALSE)," ")),VLOOKUP($F93,Declarations!B$6:C$293,2,FALSE),_xlfn.TEXTBEFORE(VLOOKUP($F93,Declarations!B$6:C$293,2,FALSE)," "))))</f>
        <v/>
      </c>
      <c r="C93" s="81" t="str">
        <f>IF(ISNA(VLOOKUP($F93,Declarations!B$6:C$293,2,FALSE)),"",IF(VLOOKUP($F93,Declarations!B$6:C$293,2,FALSE)="","NOT DECLARED",IF(ISNA(_xlfn.TEXTAFTER(VLOOKUP($F93,Declarations!B$6:C$293,2,FALSE)," ")),VLOOKUP($F93,Declarations!B$6:C$293,2,FALSE),_xlfn.TEXTAFTER(VLOOKUP($F93,Declarations!B$6:C$293,2,FALSE)," "))))</f>
        <v/>
      </c>
      <c r="D93" s="81" t="str">
        <f>IF(ISNA(VLOOKUP($F93,Declarations!$B$6:$F$293,5,FALSE)),"",IF(VLOOKUP($F93,Declarations!$B$6:$F$293,5,FALSE)="","NOT DECLARED",VLOOKUP($F93,Declarations!$B$6:$F$293,5,FALSE)))</f>
        <v/>
      </c>
      <c r="E93" s="120" t="str">
        <f>IF(ISNA(VLOOKUP($F93,Declarations!$B$6:$D$293,3,FALSE)),"",IF(VLOOKUP($F93,Declarations!$B$6:$D$293,3,FALSE)="","NOT DECLARED",VLOOKUP($F93,Declarations!$B$6:$D$293,3,FALSE)&amp;LEFT(VLOOKUP($F93,Declarations!$B$6:$E$293,4,FALSE))))</f>
        <v/>
      </c>
      <c r="F93" s="21"/>
      <c r="G93" s="22"/>
      <c r="H93" s="322"/>
      <c r="I93" s="8" t="str">
        <f>IF(ISNA(VLOOKUP(F93,Declarations!B$6:C$293,2,FALSE)),"",IF(VLOOKUP(F93,Declarations!B$6:C$293,2,FALSE)="","NOT DECLARED",VLOOKUP(F93,Declarations!B$6:C$293,2,FALSE)))</f>
        <v/>
      </c>
      <c r="J93" s="2">
        <f>IF(LOWER(LEFT(G93,1))="n",1,VLOOKUP(G93,ScoringTable!E$2:I$95,5))</f>
        <v>0</v>
      </c>
      <c r="K93" s="120" t="str" cm="1">
        <f t="array" ref="K93">IF(OR(E93="",G93=""),"",_xlfn.IFS(E93="U10B",_xlfn.XLOOKUP(G93,Data!$D$4:$L$4,Data!$D$1:$L$1,"",-1,1),E93="U12B",_xlfn.XLOOKUP(G93,Data!$D$11:$L$11,Data!$D$1:$L$1,"",-1,1),E93="U10G",_xlfn.XLOOKUP(G93,Data!$D$17:$L$17,Data!$D$1:$L$1,"",-1,1),E93="U12G",_xlfn.XLOOKUP(G93,Data!$D$24:$L$24,Data!$D$1:$L$1,"",-1,1)))</f>
        <v/>
      </c>
      <c r="L93" s="184" t="str" cm="1">
        <f t="array" ref="L93">IFERROR(_xlfn.IFNA(
                      _xlfn.IFS(
                      F93="", "",
                      AND(E93="U10B",G93&gt;=Data!$M$4), "U10 Boys record",
                      AND(E93="U12B",G93&gt;=Data!$M$11), "U12 Boys record",
                      AND(E93="U10G",G93&gt;=Data!$M$17), "U10 Girls record",
                      AND(E93="U12G",G93&gt;=Data!$M$24), "U12 Girls record"
                       ),""), "")</f>
        <v/>
      </c>
      <c r="M93" s="19" cm="1">
        <f t="array" ref="M93">_xlfn.IFS($G93="",0,AND(NOT(ISNUMBER($G93)),LOWER(LEFT($G93,1))&lt;&gt;"n"),"Not a valid distance",OR(LOWER(LEFT($G93,1))="n",$G93&lt;ScoringTable!$P$161),1,RIGHT($E93,1)="B",_xlfn.XLOOKUP($G93,ScoringTable!$P$2:$P$161,ScoringTable!$L$2:$L$161,,-1),TRUE,_xlfn.XLOOKUP($G93,ScoringTable!$V$2:$V$161,ScoringTable!$R$2:$R$161,,-1))</f>
        <v>0</v>
      </c>
    </row>
    <row r="94" spans="1:13" ht="16" customHeight="1">
      <c r="A94" s="82" t="s">
        <v>27</v>
      </c>
      <c r="B94" s="81" t="str">
        <f>IF(ISNA(VLOOKUP($F94,Declarations!B$6:C$293,2,FALSE)),"",IF(VLOOKUP($F94,Declarations!B$6:C$293,2,FALSE)="","NOT DECLARED",IF(ISNA(_xlfn.TEXTBEFORE(VLOOKUP($F94,Declarations!B$6:C$293,2,FALSE)," ")),VLOOKUP($F94,Declarations!B$6:C$293,2,FALSE),_xlfn.TEXTBEFORE(VLOOKUP($F94,Declarations!B$6:C$293,2,FALSE)," "))))</f>
        <v/>
      </c>
      <c r="C94" s="81" t="str">
        <f>IF(ISNA(VLOOKUP($F94,Declarations!B$6:C$293,2,FALSE)),"",IF(VLOOKUP($F94,Declarations!B$6:C$293,2,FALSE)="","NOT DECLARED",IF(ISNA(_xlfn.TEXTAFTER(VLOOKUP($F94,Declarations!B$6:C$293,2,FALSE)," ")),VLOOKUP($F94,Declarations!B$6:C$293,2,FALSE),_xlfn.TEXTAFTER(VLOOKUP($F94,Declarations!B$6:C$293,2,FALSE)," "))))</f>
        <v/>
      </c>
      <c r="D94" s="81" t="str">
        <f>IF(ISNA(VLOOKUP($F94,Declarations!$B$6:$F$293,5,FALSE)),"",IF(VLOOKUP($F94,Declarations!$B$6:$F$293,5,FALSE)="","NOT DECLARED",VLOOKUP($F94,Declarations!$B$6:$F$293,5,FALSE)))</f>
        <v/>
      </c>
      <c r="E94" s="120" t="str">
        <f>IF(ISNA(VLOOKUP($F94,Declarations!$B$6:$D$293,3,FALSE)),"",IF(VLOOKUP($F94,Declarations!$B$6:$D$293,3,FALSE)="","NOT DECLARED",VLOOKUP($F94,Declarations!$B$6:$D$293,3,FALSE)&amp;LEFT(VLOOKUP($F94,Declarations!$B$6:$E$293,4,FALSE))))</f>
        <v/>
      </c>
      <c r="F94" s="21"/>
      <c r="G94" s="22"/>
      <c r="H94" s="322"/>
      <c r="I94" s="8" t="str">
        <f>IF(ISNA(VLOOKUP(F94,Declarations!B$6:C$293,2,FALSE)),"",IF(VLOOKUP(F94,Declarations!B$6:C$293,2,FALSE)="","NOT DECLARED",VLOOKUP(F94,Declarations!B$6:C$293,2,FALSE)))</f>
        <v/>
      </c>
      <c r="J94" s="2">
        <f>IF(LOWER(LEFT(G94,1))="n",1,VLOOKUP(G94,ScoringTable!E$2:I$95,5))</f>
        <v>0</v>
      </c>
      <c r="K94" s="120" t="str" cm="1">
        <f t="array" ref="K94">IF(OR(E94="",G94=""),"",_xlfn.IFS(E94="U10B",_xlfn.XLOOKUP(G94,Data!$D$4:$L$4,Data!$D$1:$L$1,"",-1,1),E94="U12B",_xlfn.XLOOKUP(G94,Data!$D$11:$L$11,Data!$D$1:$L$1,"",-1,1),E94="U10G",_xlfn.XLOOKUP(G94,Data!$D$17:$L$17,Data!$D$1:$L$1,"",-1,1),E94="U12G",_xlfn.XLOOKUP(G94,Data!$D$24:$L$24,Data!$D$1:$L$1,"",-1,1)))</f>
        <v/>
      </c>
      <c r="L94" s="184" t="str" cm="1">
        <f t="array" ref="L94">IFERROR(_xlfn.IFNA(
                      _xlfn.IFS(
                      F94="", "",
                      AND(E94="U10B",G94&gt;=Data!$M$4), "U10 Boys record",
                      AND(E94="U12B",G94&gt;=Data!$M$11), "U12 Boys record",
                      AND(E94="U10G",G94&gt;=Data!$M$17), "U10 Girls record",
                      AND(E94="U12G",G94&gt;=Data!$M$24), "U12 Girls record"
                       ),""), "")</f>
        <v/>
      </c>
      <c r="M94" s="19" cm="1">
        <f t="array" ref="M94">_xlfn.IFS($G94="",0,AND(NOT(ISNUMBER($G94)),LOWER(LEFT($G94,1))&lt;&gt;"n"),"Not a valid distance",OR(LOWER(LEFT($G94,1))="n",$G94&lt;ScoringTable!$P$161),1,RIGHT($E94,1)="B",_xlfn.XLOOKUP($G94,ScoringTable!$P$2:$P$161,ScoringTable!$L$2:$L$161,,-1),TRUE,_xlfn.XLOOKUP($G94,ScoringTable!$V$2:$V$161,ScoringTable!$R$2:$R$161,,-1))</f>
        <v>0</v>
      </c>
    </row>
    <row r="95" spans="1:13" ht="16" customHeight="1">
      <c r="A95" s="82" t="s">
        <v>27</v>
      </c>
      <c r="B95" s="81" t="str">
        <f>IF(ISNA(VLOOKUP($F95,Declarations!B$6:C$293,2,FALSE)),"",IF(VLOOKUP($F95,Declarations!B$6:C$293,2,FALSE)="","NOT DECLARED",IF(ISNA(_xlfn.TEXTBEFORE(VLOOKUP($F95,Declarations!B$6:C$293,2,FALSE)," ")),VLOOKUP($F95,Declarations!B$6:C$293,2,FALSE),_xlfn.TEXTBEFORE(VLOOKUP($F95,Declarations!B$6:C$293,2,FALSE)," "))))</f>
        <v/>
      </c>
      <c r="C95" s="81" t="str">
        <f>IF(ISNA(VLOOKUP($F95,Declarations!B$6:C$293,2,FALSE)),"",IF(VLOOKUP($F95,Declarations!B$6:C$293,2,FALSE)="","NOT DECLARED",IF(ISNA(_xlfn.TEXTAFTER(VLOOKUP($F95,Declarations!B$6:C$293,2,FALSE)," ")),VLOOKUP($F95,Declarations!B$6:C$293,2,FALSE),_xlfn.TEXTAFTER(VLOOKUP($F95,Declarations!B$6:C$293,2,FALSE)," "))))</f>
        <v/>
      </c>
      <c r="D95" s="81" t="str">
        <f>IF(ISNA(VLOOKUP($F95,Declarations!$B$6:$F$293,5,FALSE)),"",IF(VLOOKUP($F95,Declarations!$B$6:$F$293,5,FALSE)="","NOT DECLARED",VLOOKUP($F95,Declarations!$B$6:$F$293,5,FALSE)))</f>
        <v/>
      </c>
      <c r="E95" s="120" t="str">
        <f>IF(ISNA(VLOOKUP($F95,Declarations!$B$6:$D$293,3,FALSE)),"",IF(VLOOKUP($F95,Declarations!$B$6:$D$293,3,FALSE)="","NOT DECLARED",VLOOKUP($F95,Declarations!$B$6:$D$293,3,FALSE)&amp;LEFT(VLOOKUP($F95,Declarations!$B$6:$E$293,4,FALSE))))</f>
        <v/>
      </c>
      <c r="F95" s="21"/>
      <c r="G95" s="22"/>
      <c r="H95" s="322"/>
      <c r="I95" s="8" t="str">
        <f>IF(ISNA(VLOOKUP(F95,Declarations!B$6:C$293,2,FALSE)),"",IF(VLOOKUP(F95,Declarations!B$6:C$293,2,FALSE)="","NOT DECLARED",VLOOKUP(F95,Declarations!B$6:C$293,2,FALSE)))</f>
        <v/>
      </c>
      <c r="J95" s="2">
        <f>IF(LOWER(LEFT(G95,1))="n",1,VLOOKUP(G95,ScoringTable!E$2:I$95,5))</f>
        <v>0</v>
      </c>
      <c r="K95" s="120" t="str" cm="1">
        <f t="array" ref="K95">IF(OR(E95="",G95=""),"",_xlfn.IFS(E95="U10B",_xlfn.XLOOKUP(G95,Data!$D$4:$L$4,Data!$D$1:$L$1,"",-1,1),E95="U12B",_xlfn.XLOOKUP(G95,Data!$D$11:$L$11,Data!$D$1:$L$1,"",-1,1),E95="U10G",_xlfn.XLOOKUP(G95,Data!$D$17:$L$17,Data!$D$1:$L$1,"",-1,1),E95="U12G",_xlfn.XLOOKUP(G95,Data!$D$24:$L$24,Data!$D$1:$L$1,"",-1,1)))</f>
        <v/>
      </c>
      <c r="L95" s="184" t="str" cm="1">
        <f t="array" ref="L95">IFERROR(_xlfn.IFNA(
                      _xlfn.IFS(
                      F95="", "",
                      AND(E95="U10B",G95&gt;=Data!$M$4), "U10 Boys record",
                      AND(E95="U12B",G95&gt;=Data!$M$11), "U12 Boys record",
                      AND(E95="U10G",G95&gt;=Data!$M$17), "U10 Girls record",
                      AND(E95="U12G",G95&gt;=Data!$M$24), "U12 Girls record"
                       ),""), "")</f>
        <v/>
      </c>
      <c r="M95" s="19" cm="1">
        <f t="array" ref="M95">_xlfn.IFS($G95="",0,AND(NOT(ISNUMBER($G95)),LOWER(LEFT($G95,1))&lt;&gt;"n"),"Not a valid distance",OR(LOWER(LEFT($G95,1))="n",$G95&lt;ScoringTable!$P$161),1,RIGHT($E95,1)="B",_xlfn.XLOOKUP($G95,ScoringTable!$P$2:$P$161,ScoringTable!$L$2:$L$161,,-1),TRUE,_xlfn.XLOOKUP($G95,ScoringTable!$V$2:$V$161,ScoringTable!$R$2:$R$161,,-1))</f>
        <v>0</v>
      </c>
    </row>
    <row r="96" spans="1:13" ht="16" customHeight="1">
      <c r="A96" s="82" t="s">
        <v>27</v>
      </c>
      <c r="B96" s="81" t="str">
        <f>IF(ISNA(VLOOKUP($F96,Declarations!B$6:C$293,2,FALSE)),"",IF(VLOOKUP($F96,Declarations!B$6:C$293,2,FALSE)="","NOT DECLARED",IF(ISNA(_xlfn.TEXTBEFORE(VLOOKUP($F96,Declarations!B$6:C$293,2,FALSE)," ")),VLOOKUP($F96,Declarations!B$6:C$293,2,FALSE),_xlfn.TEXTBEFORE(VLOOKUP($F96,Declarations!B$6:C$293,2,FALSE)," "))))</f>
        <v/>
      </c>
      <c r="C96" s="81" t="str">
        <f>IF(ISNA(VLOOKUP($F96,Declarations!B$6:C$293,2,FALSE)),"",IF(VLOOKUP($F96,Declarations!B$6:C$293,2,FALSE)="","NOT DECLARED",IF(ISNA(_xlfn.TEXTAFTER(VLOOKUP($F96,Declarations!B$6:C$293,2,FALSE)," ")),VLOOKUP($F96,Declarations!B$6:C$293,2,FALSE),_xlfn.TEXTAFTER(VLOOKUP($F96,Declarations!B$6:C$293,2,FALSE)," "))))</f>
        <v/>
      </c>
      <c r="D96" s="81" t="str">
        <f>IF(ISNA(VLOOKUP($F96,Declarations!$B$6:$F$293,5,FALSE)),"",IF(VLOOKUP($F96,Declarations!$B$6:$F$293,5,FALSE)="","NOT DECLARED",VLOOKUP($F96,Declarations!$B$6:$F$293,5,FALSE)))</f>
        <v/>
      </c>
      <c r="E96" s="120" t="str">
        <f>IF(ISNA(VLOOKUP($F96,Declarations!$B$6:$D$293,3,FALSE)),"",IF(VLOOKUP($F96,Declarations!$B$6:$D$293,3,FALSE)="","NOT DECLARED",VLOOKUP($F96,Declarations!$B$6:$D$293,3,FALSE)&amp;LEFT(VLOOKUP($F96,Declarations!$B$6:$E$293,4,FALSE))))</f>
        <v/>
      </c>
      <c r="F96" s="21"/>
      <c r="G96" s="22"/>
      <c r="H96" s="322"/>
      <c r="I96" s="8" t="str">
        <f>IF(ISNA(VLOOKUP(F96,Declarations!B$6:C$293,2,FALSE)),"",IF(VLOOKUP(F96,Declarations!B$6:C$293,2,FALSE)="","NOT DECLARED",VLOOKUP(F96,Declarations!B$6:C$293,2,FALSE)))</f>
        <v/>
      </c>
      <c r="J96" s="2">
        <f>IF(LOWER(LEFT(G96,1))="n",1,VLOOKUP(G96,ScoringTable!E$2:I$95,5))</f>
        <v>0</v>
      </c>
      <c r="K96" s="120" t="str" cm="1">
        <f t="array" ref="K96">IF(OR(E96="",G96=""),"",_xlfn.IFS(E96="U10B",_xlfn.XLOOKUP(G96,Data!$D$4:$L$4,Data!$D$1:$L$1,"",-1,1),E96="U12B",_xlfn.XLOOKUP(G96,Data!$D$11:$L$11,Data!$D$1:$L$1,"",-1,1),E96="U10G",_xlfn.XLOOKUP(G96,Data!$D$17:$L$17,Data!$D$1:$L$1,"",-1,1),E96="U12G",_xlfn.XLOOKUP(G96,Data!$D$24:$L$24,Data!$D$1:$L$1,"",-1,1)))</f>
        <v/>
      </c>
      <c r="L96" s="184" t="str" cm="1">
        <f t="array" ref="L96">IFERROR(_xlfn.IFNA(
                      _xlfn.IFS(
                      F96="", "",
                      AND(E96="U10B",G96&gt;=Data!$M$4), "U10 Boys record",
                      AND(E96="U12B",G96&gt;=Data!$M$11), "U12 Boys record",
                      AND(E96="U10G",G96&gt;=Data!$M$17), "U10 Girls record",
                      AND(E96="U12G",G96&gt;=Data!$M$24), "U12 Girls record"
                       ),""), "")</f>
        <v/>
      </c>
      <c r="M96" s="19" cm="1">
        <f t="array" ref="M96">_xlfn.IFS($G96="",0,AND(NOT(ISNUMBER($G96)),LOWER(LEFT($G96,1))&lt;&gt;"n"),"Not a valid distance",OR(LOWER(LEFT($G96,1))="n",$G96&lt;ScoringTable!$P$161),1,RIGHT($E96,1)="B",_xlfn.XLOOKUP($G96,ScoringTable!$P$2:$P$161,ScoringTable!$L$2:$L$161,,-1),TRUE,_xlfn.XLOOKUP($G96,ScoringTable!$V$2:$V$161,ScoringTable!$R$2:$R$161,,-1))</f>
        <v>0</v>
      </c>
    </row>
    <row r="97" spans="1:13" ht="16" customHeight="1">
      <c r="A97" s="82" t="s">
        <v>27</v>
      </c>
      <c r="B97" s="81" t="str">
        <f>IF(ISNA(VLOOKUP($F97,Declarations!B$6:C$293,2,FALSE)),"",IF(VLOOKUP($F97,Declarations!B$6:C$293,2,FALSE)="","NOT DECLARED",IF(ISNA(_xlfn.TEXTBEFORE(VLOOKUP($F97,Declarations!B$6:C$293,2,FALSE)," ")),VLOOKUP($F97,Declarations!B$6:C$293,2,FALSE),_xlfn.TEXTBEFORE(VLOOKUP($F97,Declarations!B$6:C$293,2,FALSE)," "))))</f>
        <v/>
      </c>
      <c r="C97" s="81" t="str">
        <f>IF(ISNA(VLOOKUP($F97,Declarations!B$6:C$293,2,FALSE)),"",IF(VLOOKUP($F97,Declarations!B$6:C$293,2,FALSE)="","NOT DECLARED",IF(ISNA(_xlfn.TEXTAFTER(VLOOKUP($F97,Declarations!B$6:C$293,2,FALSE)," ")),VLOOKUP($F97,Declarations!B$6:C$293,2,FALSE),_xlfn.TEXTAFTER(VLOOKUP($F97,Declarations!B$6:C$293,2,FALSE)," "))))</f>
        <v/>
      </c>
      <c r="D97" s="81" t="str">
        <f>IF(ISNA(VLOOKUP($F97,Declarations!$B$6:$F$293,5,FALSE)),"",IF(VLOOKUP($F97,Declarations!$B$6:$F$293,5,FALSE)="","NOT DECLARED",VLOOKUP($F97,Declarations!$B$6:$F$293,5,FALSE)))</f>
        <v/>
      </c>
      <c r="E97" s="120" t="str">
        <f>IF(ISNA(VLOOKUP($F97,Declarations!$B$6:$D$293,3,FALSE)),"",IF(VLOOKUP($F97,Declarations!$B$6:$D$293,3,FALSE)="","NOT DECLARED",VLOOKUP($F97,Declarations!$B$6:$D$293,3,FALSE)&amp;LEFT(VLOOKUP($F97,Declarations!$B$6:$E$293,4,FALSE))))</f>
        <v/>
      </c>
      <c r="F97" s="21"/>
      <c r="G97" s="22"/>
      <c r="H97" s="322"/>
      <c r="I97" s="8" t="str">
        <f>IF(ISNA(VLOOKUP(F97,Declarations!B$6:C$293,2,FALSE)),"",IF(VLOOKUP(F97,Declarations!B$6:C$293,2,FALSE)="","NOT DECLARED",VLOOKUP(F97,Declarations!B$6:C$293,2,FALSE)))</f>
        <v/>
      </c>
      <c r="J97" s="2">
        <f>IF(LOWER(LEFT(G97,1))="n",1,VLOOKUP(G97,ScoringTable!E$2:I$95,5))</f>
        <v>0</v>
      </c>
      <c r="K97" s="120" t="str" cm="1">
        <f t="array" ref="K97">IF(OR(E97="",G97=""),"",_xlfn.IFS(E97="U10B",_xlfn.XLOOKUP(G97,Data!$D$4:$L$4,Data!$D$1:$L$1,"",-1,1),E97="U12B",_xlfn.XLOOKUP(G97,Data!$D$11:$L$11,Data!$D$1:$L$1,"",-1,1),E97="U10G",_xlfn.XLOOKUP(G97,Data!$D$17:$L$17,Data!$D$1:$L$1,"",-1,1),E97="U12G",_xlfn.XLOOKUP(G97,Data!$D$24:$L$24,Data!$D$1:$L$1,"",-1,1)))</f>
        <v/>
      </c>
      <c r="L97" s="184" t="str" cm="1">
        <f t="array" ref="L97">IFERROR(_xlfn.IFNA(
                      _xlfn.IFS(
                      F97="", "",
                      AND(E97="U10B",G97&gt;=Data!$M$4), "U10 Boys record",
                      AND(E97="U12B",G97&gt;=Data!$M$11), "U12 Boys record",
                      AND(E97="U10G",G97&gt;=Data!$M$17), "U10 Girls record",
                      AND(E97="U12G",G97&gt;=Data!$M$24), "U12 Girls record"
                       ),""), "")</f>
        <v/>
      </c>
      <c r="M97" s="19" cm="1">
        <f t="array" ref="M97">_xlfn.IFS($G97="",0,AND(NOT(ISNUMBER($G97)),LOWER(LEFT($G97,1))&lt;&gt;"n"),"Not a valid distance",OR(LOWER(LEFT($G97,1))="n",$G97&lt;ScoringTable!$P$161),1,RIGHT($E97,1)="B",_xlfn.XLOOKUP($G97,ScoringTable!$P$2:$P$161,ScoringTable!$L$2:$L$161,,-1),TRUE,_xlfn.XLOOKUP($G97,ScoringTable!$V$2:$V$161,ScoringTable!$R$2:$R$161,,-1))</f>
        <v>0</v>
      </c>
    </row>
    <row r="98" spans="1:13" ht="16" customHeight="1">
      <c r="A98" s="82" t="s">
        <v>27</v>
      </c>
      <c r="B98" s="81" t="str">
        <f>IF(ISNA(VLOOKUP($F98,Declarations!B$6:C$293,2,FALSE)),"",IF(VLOOKUP($F98,Declarations!B$6:C$293,2,FALSE)="","NOT DECLARED",IF(ISNA(_xlfn.TEXTBEFORE(VLOOKUP($F98,Declarations!B$6:C$293,2,FALSE)," ")),VLOOKUP($F98,Declarations!B$6:C$293,2,FALSE),_xlfn.TEXTBEFORE(VLOOKUP($F98,Declarations!B$6:C$293,2,FALSE)," "))))</f>
        <v/>
      </c>
      <c r="C98" s="81" t="str">
        <f>IF(ISNA(VLOOKUP($F98,Declarations!B$6:C$293,2,FALSE)),"",IF(VLOOKUP($F98,Declarations!B$6:C$293,2,FALSE)="","NOT DECLARED",IF(ISNA(_xlfn.TEXTAFTER(VLOOKUP($F98,Declarations!B$6:C$293,2,FALSE)," ")),VLOOKUP($F98,Declarations!B$6:C$293,2,FALSE),_xlfn.TEXTAFTER(VLOOKUP($F98,Declarations!B$6:C$293,2,FALSE)," "))))</f>
        <v/>
      </c>
      <c r="D98" s="81" t="str">
        <f>IF(ISNA(VLOOKUP($F98,Declarations!$B$6:$F$293,5,FALSE)),"",IF(VLOOKUP($F98,Declarations!$B$6:$F$293,5,FALSE)="","NOT DECLARED",VLOOKUP($F98,Declarations!$B$6:$F$293,5,FALSE)))</f>
        <v/>
      </c>
      <c r="E98" s="120" t="str">
        <f>IF(ISNA(VLOOKUP($F98,Declarations!$B$6:$D$293,3,FALSE)),"",IF(VLOOKUP($F98,Declarations!$B$6:$D$293,3,FALSE)="","NOT DECLARED",VLOOKUP($F98,Declarations!$B$6:$D$293,3,FALSE)&amp;LEFT(VLOOKUP($F98,Declarations!$B$6:$E$293,4,FALSE))))</f>
        <v/>
      </c>
      <c r="F98" s="21"/>
      <c r="G98" s="22"/>
      <c r="H98" s="322"/>
      <c r="I98" s="8" t="str">
        <f>IF(ISNA(VLOOKUP(F98,Declarations!B$6:C$293,2,FALSE)),"",IF(VLOOKUP(F98,Declarations!B$6:C$293,2,FALSE)="","NOT DECLARED",VLOOKUP(F98,Declarations!B$6:C$293,2,FALSE)))</f>
        <v/>
      </c>
      <c r="J98" s="2">
        <f>IF(LOWER(LEFT(G98,1))="n",1,VLOOKUP(G98,ScoringTable!E$2:I$95,5))</f>
        <v>0</v>
      </c>
      <c r="K98" s="120" t="str" cm="1">
        <f t="array" ref="K98">IF(OR(E98="",G98=""),"",_xlfn.IFS(E98="U10B",_xlfn.XLOOKUP(G98,Data!$D$4:$L$4,Data!$D$1:$L$1,"",-1,1),E98="U12B",_xlfn.XLOOKUP(G98,Data!$D$11:$L$11,Data!$D$1:$L$1,"",-1,1),E98="U10G",_xlfn.XLOOKUP(G98,Data!$D$17:$L$17,Data!$D$1:$L$1,"",-1,1),E98="U12G",_xlfn.XLOOKUP(G98,Data!$D$24:$L$24,Data!$D$1:$L$1,"",-1,1)))</f>
        <v/>
      </c>
      <c r="L98" s="184" t="str" cm="1">
        <f t="array" ref="L98">IFERROR(_xlfn.IFNA(
                      _xlfn.IFS(
                      F98="", "",
                      AND(E98="U10B",G98&gt;=Data!$M$4), "U10 Boys record",
                      AND(E98="U12B",G98&gt;=Data!$M$11), "U12 Boys record",
                      AND(E98="U10G",G98&gt;=Data!$M$17), "U10 Girls record",
                      AND(E98="U12G",G98&gt;=Data!$M$24), "U12 Girls record"
                       ),""), "")</f>
        <v/>
      </c>
      <c r="M98" s="19" cm="1">
        <f t="array" ref="M98">_xlfn.IFS($G98="",0,AND(NOT(ISNUMBER($G98)),LOWER(LEFT($G98,1))&lt;&gt;"n"),"Not a valid distance",OR(LOWER(LEFT($G98,1))="n",$G98&lt;ScoringTable!$P$161),1,RIGHT($E98,1)="B",_xlfn.XLOOKUP($G98,ScoringTable!$P$2:$P$161,ScoringTable!$L$2:$L$161,,-1),TRUE,_xlfn.XLOOKUP($G98,ScoringTable!$V$2:$V$161,ScoringTable!$R$2:$R$161,,-1))</f>
        <v>0</v>
      </c>
    </row>
    <row r="99" spans="1:13" ht="16" customHeight="1">
      <c r="A99" s="82" t="s">
        <v>27</v>
      </c>
      <c r="B99" s="81" t="str">
        <f>IF(ISNA(VLOOKUP($F99,Declarations!B$6:C$293,2,FALSE)),"",IF(VLOOKUP($F99,Declarations!B$6:C$293,2,FALSE)="","NOT DECLARED",IF(ISNA(_xlfn.TEXTBEFORE(VLOOKUP($F99,Declarations!B$6:C$293,2,FALSE)," ")),VLOOKUP($F99,Declarations!B$6:C$293,2,FALSE),_xlfn.TEXTBEFORE(VLOOKUP($F99,Declarations!B$6:C$293,2,FALSE)," "))))</f>
        <v/>
      </c>
      <c r="C99" s="81" t="str">
        <f>IF(ISNA(VLOOKUP($F99,Declarations!B$6:C$293,2,FALSE)),"",IF(VLOOKUP($F99,Declarations!B$6:C$293,2,FALSE)="","NOT DECLARED",IF(ISNA(_xlfn.TEXTAFTER(VLOOKUP($F99,Declarations!B$6:C$293,2,FALSE)," ")),VLOOKUP($F99,Declarations!B$6:C$293,2,FALSE),_xlfn.TEXTAFTER(VLOOKUP($F99,Declarations!B$6:C$293,2,FALSE)," "))))</f>
        <v/>
      </c>
      <c r="D99" s="81" t="str">
        <f>IF(ISNA(VLOOKUP($F99,Declarations!$B$6:$F$293,5,FALSE)),"",IF(VLOOKUP($F99,Declarations!$B$6:$F$293,5,FALSE)="","NOT DECLARED",VLOOKUP($F99,Declarations!$B$6:$F$293,5,FALSE)))</f>
        <v/>
      </c>
      <c r="E99" s="120" t="str">
        <f>IF(ISNA(VLOOKUP($F99,Declarations!$B$6:$D$293,3,FALSE)),"",IF(VLOOKUP($F99,Declarations!$B$6:$D$293,3,FALSE)="","NOT DECLARED",VLOOKUP($F99,Declarations!$B$6:$D$293,3,FALSE)&amp;LEFT(VLOOKUP($F99,Declarations!$B$6:$E$293,4,FALSE))))</f>
        <v/>
      </c>
      <c r="F99" s="21"/>
      <c r="G99" s="22"/>
      <c r="H99" s="322"/>
      <c r="I99" s="8" t="str">
        <f>IF(ISNA(VLOOKUP(F99,Declarations!B$6:C$293,2,FALSE)),"",IF(VLOOKUP(F99,Declarations!B$6:C$293,2,FALSE)="","NOT DECLARED",VLOOKUP(F99,Declarations!B$6:C$293,2,FALSE)))</f>
        <v/>
      </c>
      <c r="J99" s="2">
        <f>IF(LOWER(LEFT(G99,1))="n",1,VLOOKUP(G99,ScoringTable!E$2:I$95,5))</f>
        <v>0</v>
      </c>
      <c r="K99" s="120" t="str" cm="1">
        <f t="array" ref="K99">IF(OR(E99="",G99=""),"",_xlfn.IFS(E99="U10B",_xlfn.XLOOKUP(G99,Data!$D$4:$L$4,Data!$D$1:$L$1,"",-1,1),E99="U12B",_xlfn.XLOOKUP(G99,Data!$D$11:$L$11,Data!$D$1:$L$1,"",-1,1),E99="U10G",_xlfn.XLOOKUP(G99,Data!$D$17:$L$17,Data!$D$1:$L$1,"",-1,1),E99="U12G",_xlfn.XLOOKUP(G99,Data!$D$24:$L$24,Data!$D$1:$L$1,"",-1,1)))</f>
        <v/>
      </c>
      <c r="L99" s="184" t="str" cm="1">
        <f t="array" ref="L99">IFERROR(_xlfn.IFNA(
                      _xlfn.IFS(
                      F99="", "",
                      AND(E99="U10B",G99&gt;=Data!$M$4), "U10 Boys record",
                      AND(E99="U12B",G99&gt;=Data!$M$11), "U12 Boys record",
                      AND(E99="U10G",G99&gt;=Data!$M$17), "U10 Girls record",
                      AND(E99="U12G",G99&gt;=Data!$M$24), "U12 Girls record"
                       ),""), "")</f>
        <v/>
      </c>
      <c r="M99" s="19" cm="1">
        <f t="array" ref="M99">_xlfn.IFS($G99="",0,AND(NOT(ISNUMBER($G99)),LOWER(LEFT($G99,1))&lt;&gt;"n"),"Not a valid distance",OR(LOWER(LEFT($G99,1))="n",$G99&lt;ScoringTable!$P$161),1,RIGHT($E99,1)="B",_xlfn.XLOOKUP($G99,ScoringTable!$P$2:$P$161,ScoringTable!$L$2:$L$161,,-1),TRUE,_xlfn.XLOOKUP($G99,ScoringTable!$V$2:$V$161,ScoringTable!$R$2:$R$161,,-1))</f>
        <v>0</v>
      </c>
    </row>
    <row r="100" spans="1:13" ht="16" customHeight="1">
      <c r="A100" s="82" t="s">
        <v>27</v>
      </c>
      <c r="B100" s="81" t="str">
        <f>IF(ISNA(VLOOKUP($F100,Declarations!B$6:C$293,2,FALSE)),"",IF(VLOOKUP($F100,Declarations!B$6:C$293,2,FALSE)="","NOT DECLARED",IF(ISNA(_xlfn.TEXTBEFORE(VLOOKUP($F100,Declarations!B$6:C$293,2,FALSE)," ")),VLOOKUP($F100,Declarations!B$6:C$293,2,FALSE),_xlfn.TEXTBEFORE(VLOOKUP($F100,Declarations!B$6:C$293,2,FALSE)," "))))</f>
        <v/>
      </c>
      <c r="C100" s="81" t="str">
        <f>IF(ISNA(VLOOKUP($F100,Declarations!B$6:C$293,2,FALSE)),"",IF(VLOOKUP($F100,Declarations!B$6:C$293,2,FALSE)="","NOT DECLARED",IF(ISNA(_xlfn.TEXTAFTER(VLOOKUP($F100,Declarations!B$6:C$293,2,FALSE)," ")),VLOOKUP($F100,Declarations!B$6:C$293,2,FALSE),_xlfn.TEXTAFTER(VLOOKUP($F100,Declarations!B$6:C$293,2,FALSE)," "))))</f>
        <v/>
      </c>
      <c r="D100" s="81" t="str">
        <f>IF(ISNA(VLOOKUP($F100,Declarations!$B$6:$F$293,5,FALSE)),"",IF(VLOOKUP($F100,Declarations!$B$6:$F$293,5,FALSE)="","NOT DECLARED",VLOOKUP($F100,Declarations!$B$6:$F$293,5,FALSE)))</f>
        <v/>
      </c>
      <c r="E100" s="120" t="str">
        <f>IF(ISNA(VLOOKUP($F100,Declarations!$B$6:$D$293,3,FALSE)),"",IF(VLOOKUP($F100,Declarations!$B$6:$D$293,3,FALSE)="","NOT DECLARED",VLOOKUP($F100,Declarations!$B$6:$D$293,3,FALSE)&amp;LEFT(VLOOKUP($F100,Declarations!$B$6:$E$293,4,FALSE))))</f>
        <v/>
      </c>
      <c r="F100" s="21"/>
      <c r="G100" s="22"/>
      <c r="H100" s="322"/>
      <c r="I100" s="8" t="str">
        <f>IF(ISNA(VLOOKUP(F100,Declarations!B$6:C$293,2,FALSE)),"",IF(VLOOKUP(F100,Declarations!B$6:C$293,2,FALSE)="","NOT DECLARED",VLOOKUP(F100,Declarations!B$6:C$293,2,FALSE)))</f>
        <v/>
      </c>
      <c r="J100" s="2">
        <f>IF(LOWER(LEFT(G100,1))="n",1,VLOOKUP(G100,ScoringTable!E$2:I$95,5))</f>
        <v>0</v>
      </c>
      <c r="K100" s="120" t="str" cm="1">
        <f t="array" ref="K100">IF(OR(E100="",G100=""),"",_xlfn.IFS(E100="U10B",_xlfn.XLOOKUP(G100,Data!$D$4:$L$4,Data!$D$1:$L$1,"",-1,1),E100="U12B",_xlfn.XLOOKUP(G100,Data!$D$11:$L$11,Data!$D$1:$L$1,"",-1,1),E100="U10G",_xlfn.XLOOKUP(G100,Data!$D$17:$L$17,Data!$D$1:$L$1,"",-1,1),E100="U12G",_xlfn.XLOOKUP(G100,Data!$D$24:$L$24,Data!$D$1:$L$1,"",-1,1)))</f>
        <v/>
      </c>
      <c r="L100" s="184" t="str" cm="1">
        <f t="array" ref="L100">IFERROR(_xlfn.IFNA(
                      _xlfn.IFS(
                      F100="", "",
                      AND(E100="U10B",G100&gt;=Data!$M$4), "U10 Boys record",
                      AND(E100="U12B",G100&gt;=Data!$M$11), "U12 Boys record",
                      AND(E100="U10G",G100&gt;=Data!$M$17), "U10 Girls record",
                      AND(E100="U12G",G100&gt;=Data!$M$24), "U12 Girls record"
                       ),""), "")</f>
        <v/>
      </c>
      <c r="M100" s="19" cm="1">
        <f t="array" ref="M100">_xlfn.IFS($G100="",0,AND(NOT(ISNUMBER($G100)),LOWER(LEFT($G100,1))&lt;&gt;"n"),"Not a valid distance",OR(LOWER(LEFT($G100,1))="n",$G100&lt;ScoringTable!$P$161),1,RIGHT($E100,1)="B",_xlfn.XLOOKUP($G100,ScoringTable!$P$2:$P$161,ScoringTable!$L$2:$L$161,,-1),TRUE,_xlfn.XLOOKUP($G100,ScoringTable!$V$2:$V$161,ScoringTable!$R$2:$R$161,,-1))</f>
        <v>0</v>
      </c>
    </row>
    <row r="101" spans="1:13" ht="16" customHeight="1">
      <c r="A101" s="82" t="s">
        <v>27</v>
      </c>
      <c r="B101" s="81" t="str">
        <f>IF(ISNA(VLOOKUP($F101,Declarations!B$6:C$293,2,FALSE)),"",IF(VLOOKUP($F101,Declarations!B$6:C$293,2,FALSE)="","NOT DECLARED",IF(ISNA(_xlfn.TEXTBEFORE(VLOOKUP($F101,Declarations!B$6:C$293,2,FALSE)," ")),VLOOKUP($F101,Declarations!B$6:C$293,2,FALSE),_xlfn.TEXTBEFORE(VLOOKUP($F101,Declarations!B$6:C$293,2,FALSE)," "))))</f>
        <v/>
      </c>
      <c r="C101" s="81" t="str">
        <f>IF(ISNA(VLOOKUP($F101,Declarations!B$6:C$293,2,FALSE)),"",IF(VLOOKUP($F101,Declarations!B$6:C$293,2,FALSE)="","NOT DECLARED",IF(ISNA(_xlfn.TEXTAFTER(VLOOKUP($F101,Declarations!B$6:C$293,2,FALSE)," ")),VLOOKUP($F101,Declarations!B$6:C$293,2,FALSE),_xlfn.TEXTAFTER(VLOOKUP($F101,Declarations!B$6:C$293,2,FALSE)," "))))</f>
        <v/>
      </c>
      <c r="D101" s="81" t="str">
        <f>IF(ISNA(VLOOKUP($F101,Declarations!$B$6:$F$293,5,FALSE)),"",IF(VLOOKUP($F101,Declarations!$B$6:$F$293,5,FALSE)="","NOT DECLARED",VLOOKUP($F101,Declarations!$B$6:$F$293,5,FALSE)))</f>
        <v/>
      </c>
      <c r="E101" s="120" t="str">
        <f>IF(ISNA(VLOOKUP($F101,Declarations!$B$6:$D$293,3,FALSE)),"",IF(VLOOKUP($F101,Declarations!$B$6:$D$293,3,FALSE)="","NOT DECLARED",VLOOKUP($F101,Declarations!$B$6:$D$293,3,FALSE)&amp;LEFT(VLOOKUP($F101,Declarations!$B$6:$E$293,4,FALSE))))</f>
        <v/>
      </c>
      <c r="F101" s="21"/>
      <c r="G101" s="22"/>
      <c r="H101" s="322"/>
      <c r="I101" s="8" t="str">
        <f>IF(ISNA(VLOOKUP(F101,Declarations!B$6:C$293,2,FALSE)),"",IF(VLOOKUP(F101,Declarations!B$6:C$293,2,FALSE)="","NOT DECLARED",VLOOKUP(F101,Declarations!B$6:C$293,2,FALSE)))</f>
        <v/>
      </c>
      <c r="J101" s="2">
        <f>IF(LOWER(LEFT(G101,1))="n",1,VLOOKUP(G101,ScoringTable!E$2:I$95,5))</f>
        <v>0</v>
      </c>
      <c r="K101" s="120" t="str" cm="1">
        <f t="array" ref="K101">IF(OR(E101="",G101=""),"",_xlfn.IFS(E101="U10B",_xlfn.XLOOKUP(G101,Data!$D$4:$L$4,Data!$D$1:$L$1,"",-1,1),E101="U12B",_xlfn.XLOOKUP(G101,Data!$D$11:$L$11,Data!$D$1:$L$1,"",-1,1),E101="U10G",_xlfn.XLOOKUP(G101,Data!$D$17:$L$17,Data!$D$1:$L$1,"",-1,1),E101="U12G",_xlfn.XLOOKUP(G101,Data!$D$24:$L$24,Data!$D$1:$L$1,"",-1,1)))</f>
        <v/>
      </c>
      <c r="L101" s="184" t="str" cm="1">
        <f t="array" ref="L101">IFERROR(_xlfn.IFNA(
                      _xlfn.IFS(
                      F101="", "",
                      AND(E101="U10B",G101&gt;=Data!$M$4), "U10 Boys record",
                      AND(E101="U12B",G101&gt;=Data!$M$11), "U12 Boys record",
                      AND(E101="U10G",G101&gt;=Data!$M$17), "U10 Girls record",
                      AND(E101="U12G",G101&gt;=Data!$M$24), "U12 Girls record"
                       ),""), "")</f>
        <v/>
      </c>
      <c r="M101" s="19" cm="1">
        <f t="array" ref="M101">_xlfn.IFS($G101="",0,AND(NOT(ISNUMBER($G101)),LOWER(LEFT($G101,1))&lt;&gt;"n"),"Not a valid distance",OR(LOWER(LEFT($G101,1))="n",$G101&lt;ScoringTable!$P$161),1,RIGHT($E101,1)="B",_xlfn.XLOOKUP($G101,ScoringTable!$P$2:$P$161,ScoringTable!$L$2:$L$161,,-1),TRUE,_xlfn.XLOOKUP($G101,ScoringTable!$V$2:$V$161,ScoringTable!$R$2:$R$161,,-1))</f>
        <v>0</v>
      </c>
    </row>
    <row r="102" spans="1:13" ht="16" customHeight="1">
      <c r="A102" s="82" t="s">
        <v>27</v>
      </c>
      <c r="B102" s="81" t="str">
        <f>IF(ISNA(VLOOKUP($F102,Declarations!B$6:C$293,2,FALSE)),"",IF(VLOOKUP($F102,Declarations!B$6:C$293,2,FALSE)="","NOT DECLARED",IF(ISNA(_xlfn.TEXTBEFORE(VLOOKUP($F102,Declarations!B$6:C$293,2,FALSE)," ")),VLOOKUP($F102,Declarations!B$6:C$293,2,FALSE),_xlfn.TEXTBEFORE(VLOOKUP($F102,Declarations!B$6:C$293,2,FALSE)," "))))</f>
        <v/>
      </c>
      <c r="C102" s="81" t="str">
        <f>IF(ISNA(VLOOKUP($F102,Declarations!B$6:C$293,2,FALSE)),"",IF(VLOOKUP($F102,Declarations!B$6:C$293,2,FALSE)="","NOT DECLARED",IF(ISNA(_xlfn.TEXTAFTER(VLOOKUP($F102,Declarations!B$6:C$293,2,FALSE)," ")),VLOOKUP($F102,Declarations!B$6:C$293,2,FALSE),_xlfn.TEXTAFTER(VLOOKUP($F102,Declarations!B$6:C$293,2,FALSE)," "))))</f>
        <v/>
      </c>
      <c r="D102" s="81" t="str">
        <f>IF(ISNA(VLOOKUP($F102,Declarations!$B$6:$F$293,5,FALSE)),"",IF(VLOOKUP($F102,Declarations!$B$6:$F$293,5,FALSE)="","NOT DECLARED",VLOOKUP($F102,Declarations!$B$6:$F$293,5,FALSE)))</f>
        <v/>
      </c>
      <c r="E102" s="120" t="str">
        <f>IF(ISNA(VLOOKUP($F102,Declarations!$B$6:$D$293,3,FALSE)),"",IF(VLOOKUP($F102,Declarations!$B$6:$D$293,3,FALSE)="","NOT DECLARED",VLOOKUP($F102,Declarations!$B$6:$D$293,3,FALSE)&amp;LEFT(VLOOKUP($F102,Declarations!$B$6:$E$293,4,FALSE))))</f>
        <v/>
      </c>
      <c r="F102" s="21"/>
      <c r="G102" s="22"/>
      <c r="H102" s="322"/>
      <c r="I102" s="8" t="str">
        <f>IF(ISNA(VLOOKUP(F102,Declarations!B$6:C$293,2,FALSE)),"",IF(VLOOKUP(F102,Declarations!B$6:C$293,2,FALSE)="","NOT DECLARED",VLOOKUP(F102,Declarations!B$6:C$293,2,FALSE)))</f>
        <v/>
      </c>
      <c r="J102" s="2">
        <f>IF(LOWER(LEFT(G102,1))="n",1,VLOOKUP(G102,ScoringTable!E$2:I$95,5))</f>
        <v>0</v>
      </c>
      <c r="K102" s="120" t="str" cm="1">
        <f t="array" ref="K102">IF(OR(E102="",G102=""),"",_xlfn.IFS(E102="U10B",_xlfn.XLOOKUP(G102,Data!$D$4:$L$4,Data!$D$1:$L$1,"",-1,1),E102="U12B",_xlfn.XLOOKUP(G102,Data!$D$11:$L$11,Data!$D$1:$L$1,"",-1,1),E102="U10G",_xlfn.XLOOKUP(G102,Data!$D$17:$L$17,Data!$D$1:$L$1,"",-1,1),E102="U12G",_xlfn.XLOOKUP(G102,Data!$D$24:$L$24,Data!$D$1:$L$1,"",-1,1)))</f>
        <v/>
      </c>
      <c r="L102" s="184" t="str" cm="1">
        <f t="array" ref="L102">IFERROR(_xlfn.IFNA(
                      _xlfn.IFS(
                      F102="", "",
                      AND(E102="U10B",G102&gt;=Data!$M$4), "U10 Boys record",
                      AND(E102="U12B",G102&gt;=Data!$M$11), "U12 Boys record",
                      AND(E102="U10G",G102&gt;=Data!$M$17), "U10 Girls record",
                      AND(E102="U12G",G102&gt;=Data!$M$24), "U12 Girls record"
                       ),""), "")</f>
        <v/>
      </c>
      <c r="M102" s="19" cm="1">
        <f t="array" ref="M102">_xlfn.IFS($G102="",0,AND(NOT(ISNUMBER($G102)),LOWER(LEFT($G102,1))&lt;&gt;"n"),"Not a valid distance",OR(LOWER(LEFT($G102,1))="n",$G102&lt;ScoringTable!$P$161),1,RIGHT($E102,1)="B",_xlfn.XLOOKUP($G102,ScoringTable!$P$2:$P$161,ScoringTable!$L$2:$L$161,,-1),TRUE,_xlfn.XLOOKUP($G102,ScoringTable!$V$2:$V$161,ScoringTable!$R$2:$R$161,,-1))</f>
        <v>0</v>
      </c>
    </row>
    <row r="103" spans="1:13" ht="16" customHeight="1">
      <c r="A103" s="82" t="s">
        <v>27</v>
      </c>
      <c r="B103" s="81" t="str">
        <f>IF(ISNA(VLOOKUP($F103,Declarations!B$6:C$293,2,FALSE)),"",IF(VLOOKUP($F103,Declarations!B$6:C$293,2,FALSE)="","NOT DECLARED",IF(ISNA(_xlfn.TEXTBEFORE(VLOOKUP($F103,Declarations!B$6:C$293,2,FALSE)," ")),VLOOKUP($F103,Declarations!B$6:C$293,2,FALSE),_xlfn.TEXTBEFORE(VLOOKUP($F103,Declarations!B$6:C$293,2,FALSE)," "))))</f>
        <v/>
      </c>
      <c r="C103" s="81" t="str">
        <f>IF(ISNA(VLOOKUP($F103,Declarations!B$6:C$293,2,FALSE)),"",IF(VLOOKUP($F103,Declarations!B$6:C$293,2,FALSE)="","NOT DECLARED",IF(ISNA(_xlfn.TEXTAFTER(VLOOKUP($F103,Declarations!B$6:C$293,2,FALSE)," ")),VLOOKUP($F103,Declarations!B$6:C$293,2,FALSE),_xlfn.TEXTAFTER(VLOOKUP($F103,Declarations!B$6:C$293,2,FALSE)," "))))</f>
        <v/>
      </c>
      <c r="D103" s="81" t="str">
        <f>IF(ISNA(VLOOKUP($F103,Declarations!$B$6:$F$293,5,FALSE)),"",IF(VLOOKUP($F103,Declarations!$B$6:$F$293,5,FALSE)="","NOT DECLARED",VLOOKUP($F103,Declarations!$B$6:$F$293,5,FALSE)))</f>
        <v/>
      </c>
      <c r="E103" s="120" t="str">
        <f>IF(ISNA(VLOOKUP($F103,Declarations!$B$6:$D$293,3,FALSE)),"",IF(VLOOKUP($F103,Declarations!$B$6:$D$293,3,FALSE)="","NOT DECLARED",VLOOKUP($F103,Declarations!$B$6:$D$293,3,FALSE)&amp;LEFT(VLOOKUP($F103,Declarations!$B$6:$E$293,4,FALSE))))</f>
        <v/>
      </c>
      <c r="F103" s="21"/>
      <c r="G103" s="22"/>
      <c r="H103" s="322"/>
      <c r="I103" s="8" t="str">
        <f>IF(ISNA(VLOOKUP(F103,Declarations!B$6:C$293,2,FALSE)),"",IF(VLOOKUP(F103,Declarations!B$6:C$293,2,FALSE)="","NOT DECLARED",VLOOKUP(F103,Declarations!B$6:C$293,2,FALSE)))</f>
        <v/>
      </c>
      <c r="J103" s="2">
        <f>IF(LOWER(LEFT(G103,1))="n",1,VLOOKUP(G103,ScoringTable!E$2:I$95,5))</f>
        <v>0</v>
      </c>
      <c r="K103" s="120" t="str" cm="1">
        <f t="array" ref="K103">IF(OR(E103="",G103=""),"",_xlfn.IFS(E103="U10B",_xlfn.XLOOKUP(G103,Data!$D$4:$L$4,Data!$D$1:$L$1,"",-1,1),E103="U12B",_xlfn.XLOOKUP(G103,Data!$D$11:$L$11,Data!$D$1:$L$1,"",-1,1),E103="U10G",_xlfn.XLOOKUP(G103,Data!$D$17:$L$17,Data!$D$1:$L$1,"",-1,1),E103="U12G",_xlfn.XLOOKUP(G103,Data!$D$24:$L$24,Data!$D$1:$L$1,"",-1,1)))</f>
        <v/>
      </c>
      <c r="L103" s="184" t="str" cm="1">
        <f t="array" ref="L103">IFERROR(_xlfn.IFNA(
                      _xlfn.IFS(
                      F103="", "",
                      AND(E103="U10B",G103&gt;=Data!$M$4), "U10 Boys record",
                      AND(E103="U12B",G103&gt;=Data!$M$11), "U12 Boys record",
                      AND(E103="U10G",G103&gt;=Data!$M$17), "U10 Girls record",
                      AND(E103="U12G",G103&gt;=Data!$M$24), "U12 Girls record"
                       ),""), "")</f>
        <v/>
      </c>
      <c r="M103" s="19" cm="1">
        <f t="array" ref="M103">_xlfn.IFS($G103="",0,AND(NOT(ISNUMBER($G103)),LOWER(LEFT($G103,1))&lt;&gt;"n"),"Not a valid distance",OR(LOWER(LEFT($G103,1))="n",$G103&lt;ScoringTable!$P$161),1,RIGHT($E103,1)="B",_xlfn.XLOOKUP($G103,ScoringTable!$P$2:$P$161,ScoringTable!$L$2:$L$161,,-1),TRUE,_xlfn.XLOOKUP($G103,ScoringTable!$V$2:$V$161,ScoringTable!$R$2:$R$161,,-1))</f>
        <v>0</v>
      </c>
    </row>
    <row r="104" spans="1:13" ht="16" customHeight="1">
      <c r="A104" s="82" t="s">
        <v>27</v>
      </c>
      <c r="B104" s="81" t="str">
        <f>IF(ISNA(VLOOKUP($F104,Declarations!B$6:C$293,2,FALSE)),"",IF(VLOOKUP($F104,Declarations!B$6:C$293,2,FALSE)="","NOT DECLARED",IF(ISNA(_xlfn.TEXTBEFORE(VLOOKUP($F104,Declarations!B$6:C$293,2,FALSE)," ")),VLOOKUP($F104,Declarations!B$6:C$293,2,FALSE),_xlfn.TEXTBEFORE(VLOOKUP($F104,Declarations!B$6:C$293,2,FALSE)," "))))</f>
        <v/>
      </c>
      <c r="C104" s="81" t="str">
        <f>IF(ISNA(VLOOKUP($F104,Declarations!B$6:C$293,2,FALSE)),"",IF(VLOOKUP($F104,Declarations!B$6:C$293,2,FALSE)="","NOT DECLARED",IF(ISNA(_xlfn.TEXTAFTER(VLOOKUP($F104,Declarations!B$6:C$293,2,FALSE)," ")),VLOOKUP($F104,Declarations!B$6:C$293,2,FALSE),_xlfn.TEXTAFTER(VLOOKUP($F104,Declarations!B$6:C$293,2,FALSE)," "))))</f>
        <v/>
      </c>
      <c r="D104" s="81" t="str">
        <f>IF(ISNA(VLOOKUP($F104,Declarations!$B$6:$F$293,5,FALSE)),"",IF(VLOOKUP($F104,Declarations!$B$6:$F$293,5,FALSE)="","NOT DECLARED",VLOOKUP($F104,Declarations!$B$6:$F$293,5,FALSE)))</f>
        <v/>
      </c>
      <c r="E104" s="120" t="str">
        <f>IF(ISNA(VLOOKUP($F104,Declarations!$B$6:$D$293,3,FALSE)),"",IF(VLOOKUP($F104,Declarations!$B$6:$D$293,3,FALSE)="","NOT DECLARED",VLOOKUP($F104,Declarations!$B$6:$D$293,3,FALSE)&amp;LEFT(VLOOKUP($F104,Declarations!$B$6:$E$293,4,FALSE))))</f>
        <v/>
      </c>
      <c r="F104" s="21"/>
      <c r="G104" s="22"/>
      <c r="H104" s="322"/>
      <c r="I104" s="8" t="str">
        <f>IF(ISNA(VLOOKUP(F104,Declarations!B$6:C$293,2,FALSE)),"",IF(VLOOKUP(F104,Declarations!B$6:C$293,2,FALSE)="","NOT DECLARED",VLOOKUP(F104,Declarations!B$6:C$293,2,FALSE)))</f>
        <v/>
      </c>
      <c r="J104" s="2">
        <f>IF(LOWER(LEFT(G104,1))="n",1,VLOOKUP(G104,ScoringTable!E$2:I$95,5))</f>
        <v>0</v>
      </c>
      <c r="K104" s="120" t="str" cm="1">
        <f t="array" ref="K104">IF(OR(E104="",G104=""),"",_xlfn.IFS(E104="U10B",_xlfn.XLOOKUP(G104,Data!$D$4:$L$4,Data!$D$1:$L$1,"",-1,1),E104="U12B",_xlfn.XLOOKUP(G104,Data!$D$11:$L$11,Data!$D$1:$L$1,"",-1,1),E104="U10G",_xlfn.XLOOKUP(G104,Data!$D$17:$L$17,Data!$D$1:$L$1,"",-1,1),E104="U12G",_xlfn.XLOOKUP(G104,Data!$D$24:$L$24,Data!$D$1:$L$1,"",-1,1)))</f>
        <v/>
      </c>
      <c r="L104" s="184" t="str" cm="1">
        <f t="array" ref="L104">IFERROR(_xlfn.IFNA(
                      _xlfn.IFS(
                      F104="", "",
                      AND(E104="U10B",G104&gt;=Data!$M$4), "U10 Boys record",
                      AND(E104="U12B",G104&gt;=Data!$M$11), "U12 Boys record",
                      AND(E104="U10G",G104&gt;=Data!$M$17), "U10 Girls record",
                      AND(E104="U12G",G104&gt;=Data!$M$24), "U12 Girls record"
                       ),""), "")</f>
        <v/>
      </c>
      <c r="M104" s="19" cm="1">
        <f t="array" ref="M104">_xlfn.IFS($G104="",0,AND(NOT(ISNUMBER($G104)),LOWER(LEFT($G104,1))&lt;&gt;"n"),"Not a valid distance",OR(LOWER(LEFT($G104,1))="n",$G104&lt;ScoringTable!$P$161),1,RIGHT($E104,1)="B",_xlfn.XLOOKUP($G104,ScoringTable!$P$2:$P$161,ScoringTable!$L$2:$L$161,,-1),TRUE,_xlfn.XLOOKUP($G104,ScoringTable!$V$2:$V$161,ScoringTable!$R$2:$R$161,,-1))</f>
        <v>0</v>
      </c>
    </row>
    <row r="105" spans="1:13" ht="16" customHeight="1">
      <c r="A105" s="82" t="s">
        <v>27</v>
      </c>
      <c r="B105" s="81" t="str">
        <f>IF(ISNA(VLOOKUP($F105,Declarations!B$6:C$293,2,FALSE)),"",IF(VLOOKUP($F105,Declarations!B$6:C$293,2,FALSE)="","NOT DECLARED",IF(ISNA(_xlfn.TEXTBEFORE(VLOOKUP($F105,Declarations!B$6:C$293,2,FALSE)," ")),VLOOKUP($F105,Declarations!B$6:C$293,2,FALSE),_xlfn.TEXTBEFORE(VLOOKUP($F105,Declarations!B$6:C$293,2,FALSE)," "))))</f>
        <v/>
      </c>
      <c r="C105" s="81" t="str">
        <f>IF(ISNA(VLOOKUP($F105,Declarations!B$6:C$293,2,FALSE)),"",IF(VLOOKUP($F105,Declarations!B$6:C$293,2,FALSE)="","NOT DECLARED",IF(ISNA(_xlfn.TEXTAFTER(VLOOKUP($F105,Declarations!B$6:C$293,2,FALSE)," ")),VLOOKUP($F105,Declarations!B$6:C$293,2,FALSE),_xlfn.TEXTAFTER(VLOOKUP($F105,Declarations!B$6:C$293,2,FALSE)," "))))</f>
        <v/>
      </c>
      <c r="D105" s="81" t="str">
        <f>IF(ISNA(VLOOKUP($F105,Declarations!$B$6:$F$293,5,FALSE)),"",IF(VLOOKUP($F105,Declarations!$B$6:$F$293,5,FALSE)="","NOT DECLARED",VLOOKUP($F105,Declarations!$B$6:$F$293,5,FALSE)))</f>
        <v/>
      </c>
      <c r="E105" s="120" t="str">
        <f>IF(ISNA(VLOOKUP($F105,Declarations!$B$6:$D$293,3,FALSE)),"",IF(VLOOKUP($F105,Declarations!$B$6:$D$293,3,FALSE)="","NOT DECLARED",VLOOKUP($F105,Declarations!$B$6:$D$293,3,FALSE)&amp;LEFT(VLOOKUP($F105,Declarations!$B$6:$E$293,4,FALSE))))</f>
        <v/>
      </c>
      <c r="F105" s="21"/>
      <c r="G105" s="22"/>
      <c r="H105" s="322"/>
      <c r="I105" s="8" t="str">
        <f>IF(ISNA(VLOOKUP(F105,Declarations!B$6:C$293,2,FALSE)),"",IF(VLOOKUP(F105,Declarations!B$6:C$293,2,FALSE)="","NOT DECLARED",VLOOKUP(F105,Declarations!B$6:C$293,2,FALSE)))</f>
        <v/>
      </c>
      <c r="J105" s="2">
        <f>IF(LOWER(LEFT(G105,1))="n",1,VLOOKUP(G105,ScoringTable!E$2:I$95,5))</f>
        <v>0</v>
      </c>
      <c r="K105" s="120" t="str" cm="1">
        <f t="array" ref="K105">IF(OR(E105="",G105=""),"",_xlfn.IFS(E105="U10B",_xlfn.XLOOKUP(G105,Data!$D$4:$L$4,Data!$D$1:$L$1,"",-1,1),E105="U12B",_xlfn.XLOOKUP(G105,Data!$D$11:$L$11,Data!$D$1:$L$1,"",-1,1),E105="U10G",_xlfn.XLOOKUP(G105,Data!$D$17:$L$17,Data!$D$1:$L$1,"",-1,1),E105="U12G",_xlfn.XLOOKUP(G105,Data!$D$24:$L$24,Data!$D$1:$L$1,"",-1,1)))</f>
        <v/>
      </c>
      <c r="L105" s="184" t="str" cm="1">
        <f t="array" ref="L105">IFERROR(_xlfn.IFNA(
                      _xlfn.IFS(
                      F105="", "",
                      AND(E105="U10B",G105&gt;=Data!$M$4), "U10 Boys record",
                      AND(E105="U12B",G105&gt;=Data!$M$11), "U12 Boys record",
                      AND(E105="U10G",G105&gt;=Data!$M$17), "U10 Girls record",
                      AND(E105="U12G",G105&gt;=Data!$M$24), "U12 Girls record"
                       ),""), "")</f>
        <v/>
      </c>
      <c r="M105" s="19" cm="1">
        <f t="array" ref="M105">_xlfn.IFS($G105="",0,AND(NOT(ISNUMBER($G105)),LOWER(LEFT($G105,1))&lt;&gt;"n"),"Not a valid distance",OR(LOWER(LEFT($G105,1))="n",$G105&lt;ScoringTable!$P$161),1,RIGHT($E105,1)="B",_xlfn.XLOOKUP($G105,ScoringTable!$P$2:$P$161,ScoringTable!$L$2:$L$161,,-1),TRUE,_xlfn.XLOOKUP($G105,ScoringTable!$V$2:$V$161,ScoringTable!$R$2:$R$161,,-1))</f>
        <v>0</v>
      </c>
    </row>
    <row r="106" spans="1:13" ht="16" customHeight="1">
      <c r="A106" s="82" t="s">
        <v>27</v>
      </c>
      <c r="B106" s="81" t="str">
        <f>IF(ISNA(VLOOKUP($F106,Declarations!B$6:C$293,2,FALSE)),"",IF(VLOOKUP($F106,Declarations!B$6:C$293,2,FALSE)="","NOT DECLARED",IF(ISNA(_xlfn.TEXTBEFORE(VLOOKUP($F106,Declarations!B$6:C$293,2,FALSE)," ")),VLOOKUP($F106,Declarations!B$6:C$293,2,FALSE),_xlfn.TEXTBEFORE(VLOOKUP($F106,Declarations!B$6:C$293,2,FALSE)," "))))</f>
        <v/>
      </c>
      <c r="C106" s="81" t="str">
        <f>IF(ISNA(VLOOKUP($F106,Declarations!B$6:C$293,2,FALSE)),"",IF(VLOOKUP($F106,Declarations!B$6:C$293,2,FALSE)="","NOT DECLARED",IF(ISNA(_xlfn.TEXTAFTER(VLOOKUP($F106,Declarations!B$6:C$293,2,FALSE)," ")),VLOOKUP($F106,Declarations!B$6:C$293,2,FALSE),_xlfn.TEXTAFTER(VLOOKUP($F106,Declarations!B$6:C$293,2,FALSE)," "))))</f>
        <v/>
      </c>
      <c r="D106" s="81" t="str">
        <f>IF(ISNA(VLOOKUP($F106,Declarations!$B$6:$F$293,5,FALSE)),"",IF(VLOOKUP($F106,Declarations!$B$6:$F$293,5,FALSE)="","NOT DECLARED",VLOOKUP($F106,Declarations!$B$6:$F$293,5,FALSE)))</f>
        <v/>
      </c>
      <c r="E106" s="120" t="str">
        <f>IF(ISNA(VLOOKUP($F106,Declarations!$B$6:$D$293,3,FALSE)),"",IF(VLOOKUP($F106,Declarations!$B$6:$D$293,3,FALSE)="","NOT DECLARED",VLOOKUP($F106,Declarations!$B$6:$D$293,3,FALSE)&amp;LEFT(VLOOKUP($F106,Declarations!$B$6:$E$293,4,FALSE))))</f>
        <v/>
      </c>
      <c r="F106" s="21"/>
      <c r="G106" s="22"/>
      <c r="H106" s="322"/>
      <c r="I106" s="8" t="str">
        <f>IF(ISNA(VLOOKUP(F106,Declarations!B$6:C$293,2,FALSE)),"",IF(VLOOKUP(F106,Declarations!B$6:C$293,2,FALSE)="","NOT DECLARED",VLOOKUP(F106,Declarations!B$6:C$293,2,FALSE)))</f>
        <v/>
      </c>
      <c r="J106" s="2">
        <f>IF(LOWER(LEFT(G106,1))="n",1,VLOOKUP(G106,ScoringTable!E$2:I$95,5))</f>
        <v>0</v>
      </c>
      <c r="K106" s="120" t="str" cm="1">
        <f t="array" ref="K106">IF(OR(E106="",G106=""),"",_xlfn.IFS(E106="U10B",_xlfn.XLOOKUP(G106,Data!$D$4:$L$4,Data!$D$1:$L$1,"",-1,1),E106="U12B",_xlfn.XLOOKUP(G106,Data!$D$11:$L$11,Data!$D$1:$L$1,"",-1,1),E106="U10G",_xlfn.XLOOKUP(G106,Data!$D$17:$L$17,Data!$D$1:$L$1,"",-1,1),E106="U12G",_xlfn.XLOOKUP(G106,Data!$D$24:$L$24,Data!$D$1:$L$1,"",-1,1)))</f>
        <v/>
      </c>
      <c r="L106" s="184" t="str" cm="1">
        <f t="array" ref="L106">IFERROR(_xlfn.IFNA(
                      _xlfn.IFS(
                      F106="", "",
                      AND(E106="U10B",G106&gt;=Data!$M$4), "U10 Boys record",
                      AND(E106="U12B",G106&gt;=Data!$M$11), "U12 Boys record",
                      AND(E106="U10G",G106&gt;=Data!$M$17), "U10 Girls record",
                      AND(E106="U12G",G106&gt;=Data!$M$24), "U12 Girls record"
                       ),""), "")</f>
        <v/>
      </c>
      <c r="M106" s="19" cm="1">
        <f t="array" ref="M106">_xlfn.IFS($G106="",0,AND(NOT(ISNUMBER($G106)),LOWER(LEFT($G106,1))&lt;&gt;"n"),"Not a valid distance",OR(LOWER(LEFT($G106,1))="n",$G106&lt;ScoringTable!$P$161),1,RIGHT($E106,1)="B",_xlfn.XLOOKUP($G106,ScoringTable!$P$2:$P$161,ScoringTable!$L$2:$L$161,,-1),TRUE,_xlfn.XLOOKUP($G106,ScoringTable!$V$2:$V$161,ScoringTable!$R$2:$R$161,,-1))</f>
        <v>0</v>
      </c>
    </row>
    <row r="107" spans="1:13" ht="16" customHeight="1">
      <c r="A107" s="82" t="s">
        <v>27</v>
      </c>
      <c r="B107" s="81" t="str">
        <f>IF(ISNA(VLOOKUP($F107,Declarations!B$6:C$293,2,FALSE)),"",IF(VLOOKUP($F107,Declarations!B$6:C$293,2,FALSE)="","NOT DECLARED",IF(ISNA(_xlfn.TEXTBEFORE(VLOOKUP($F107,Declarations!B$6:C$293,2,FALSE)," ")),VLOOKUP($F107,Declarations!B$6:C$293,2,FALSE),_xlfn.TEXTBEFORE(VLOOKUP($F107,Declarations!B$6:C$293,2,FALSE)," "))))</f>
        <v/>
      </c>
      <c r="C107" s="81" t="str">
        <f>IF(ISNA(VLOOKUP($F107,Declarations!B$6:C$293,2,FALSE)),"",IF(VLOOKUP($F107,Declarations!B$6:C$293,2,FALSE)="","NOT DECLARED",IF(ISNA(_xlfn.TEXTAFTER(VLOOKUP($F107,Declarations!B$6:C$293,2,FALSE)," ")),VLOOKUP($F107,Declarations!B$6:C$293,2,FALSE),_xlfn.TEXTAFTER(VLOOKUP($F107,Declarations!B$6:C$293,2,FALSE)," "))))</f>
        <v/>
      </c>
      <c r="D107" s="81" t="str">
        <f>IF(ISNA(VLOOKUP($F107,Declarations!$B$6:$F$293,5,FALSE)),"",IF(VLOOKUP($F107,Declarations!$B$6:$F$293,5,FALSE)="","NOT DECLARED",VLOOKUP($F107,Declarations!$B$6:$F$293,5,FALSE)))</f>
        <v/>
      </c>
      <c r="E107" s="120" t="str">
        <f>IF(ISNA(VLOOKUP($F107,Declarations!$B$6:$D$293,3,FALSE)),"",IF(VLOOKUP($F107,Declarations!$B$6:$D$293,3,FALSE)="","NOT DECLARED",VLOOKUP($F107,Declarations!$B$6:$D$293,3,FALSE)&amp;LEFT(VLOOKUP($F107,Declarations!$B$6:$E$293,4,FALSE))))</f>
        <v/>
      </c>
      <c r="F107" s="21"/>
      <c r="G107" s="22"/>
      <c r="H107" s="322"/>
      <c r="I107" s="8" t="str">
        <f>IF(ISNA(VLOOKUP(F107,Declarations!B$6:C$293,2,FALSE)),"",IF(VLOOKUP(F107,Declarations!B$6:C$293,2,FALSE)="","NOT DECLARED",VLOOKUP(F107,Declarations!B$6:C$293,2,FALSE)))</f>
        <v/>
      </c>
      <c r="J107" s="2">
        <f>IF(LOWER(LEFT(G107,1))="n",1,VLOOKUP(G107,ScoringTable!E$2:I$95,5))</f>
        <v>0</v>
      </c>
      <c r="K107" s="120" t="str" cm="1">
        <f t="array" ref="K107">IF(OR(E107="",G107=""),"",_xlfn.IFS(E107="U10B",_xlfn.XLOOKUP(G107,Data!$D$4:$L$4,Data!$D$1:$L$1,"",-1,1),E107="U12B",_xlfn.XLOOKUP(G107,Data!$D$11:$L$11,Data!$D$1:$L$1,"",-1,1),E107="U10G",_xlfn.XLOOKUP(G107,Data!$D$17:$L$17,Data!$D$1:$L$1,"",-1,1),E107="U12G",_xlfn.XLOOKUP(G107,Data!$D$24:$L$24,Data!$D$1:$L$1,"",-1,1)))</f>
        <v/>
      </c>
      <c r="L107" s="184" t="str" cm="1">
        <f t="array" ref="L107">IFERROR(_xlfn.IFNA(
                      _xlfn.IFS(
                      F107="", "",
                      AND(E107="U10B",G107&gt;=Data!$M$4), "U10 Boys record",
                      AND(E107="U12B",G107&gt;=Data!$M$11), "U12 Boys record",
                      AND(E107="U10G",G107&gt;=Data!$M$17), "U10 Girls record",
                      AND(E107="U12G",G107&gt;=Data!$M$24), "U12 Girls record"
                       ),""), "")</f>
        <v/>
      </c>
      <c r="M107" s="19" cm="1">
        <f t="array" ref="M107">_xlfn.IFS($G107="",0,AND(NOT(ISNUMBER($G107)),LOWER(LEFT($G107,1))&lt;&gt;"n"),"Not a valid distance",OR(LOWER(LEFT($G107,1))="n",$G107&lt;ScoringTable!$P$161),1,RIGHT($E107,1)="B",_xlfn.XLOOKUP($G107,ScoringTable!$P$2:$P$161,ScoringTable!$L$2:$L$161,,-1),TRUE,_xlfn.XLOOKUP($G107,ScoringTable!$V$2:$V$161,ScoringTable!$R$2:$R$161,,-1))</f>
        <v>0</v>
      </c>
    </row>
    <row r="108" spans="1:13" ht="16" customHeight="1">
      <c r="A108" s="82" t="s">
        <v>27</v>
      </c>
      <c r="B108" s="81" t="str">
        <f>IF(ISNA(VLOOKUP($F108,Declarations!B$6:C$293,2,FALSE)),"",IF(VLOOKUP($F108,Declarations!B$6:C$293,2,FALSE)="","NOT DECLARED",IF(ISNA(_xlfn.TEXTBEFORE(VLOOKUP($F108,Declarations!B$6:C$293,2,FALSE)," ")),VLOOKUP($F108,Declarations!B$6:C$293,2,FALSE),_xlfn.TEXTBEFORE(VLOOKUP($F108,Declarations!B$6:C$293,2,FALSE)," "))))</f>
        <v/>
      </c>
      <c r="C108" s="81" t="str">
        <f>IF(ISNA(VLOOKUP($F108,Declarations!B$6:C$293,2,FALSE)),"",IF(VLOOKUP($F108,Declarations!B$6:C$293,2,FALSE)="","NOT DECLARED",IF(ISNA(_xlfn.TEXTAFTER(VLOOKUP($F108,Declarations!B$6:C$293,2,FALSE)," ")),VLOOKUP($F108,Declarations!B$6:C$293,2,FALSE),_xlfn.TEXTAFTER(VLOOKUP($F108,Declarations!B$6:C$293,2,FALSE)," "))))</f>
        <v/>
      </c>
      <c r="D108" s="81" t="str">
        <f>IF(ISNA(VLOOKUP($F108,Declarations!$B$6:$F$293,5,FALSE)),"",IF(VLOOKUP($F108,Declarations!$B$6:$F$293,5,FALSE)="","NOT DECLARED",VLOOKUP($F108,Declarations!$B$6:$F$293,5,FALSE)))</f>
        <v/>
      </c>
      <c r="E108" s="120" t="str">
        <f>IF(ISNA(VLOOKUP($F108,Declarations!$B$6:$D$293,3,FALSE)),"",IF(VLOOKUP($F108,Declarations!$B$6:$D$293,3,FALSE)="","NOT DECLARED",VLOOKUP($F108,Declarations!$B$6:$D$293,3,FALSE)&amp;LEFT(VLOOKUP($F108,Declarations!$B$6:$E$293,4,FALSE))))</f>
        <v/>
      </c>
      <c r="F108" s="21"/>
      <c r="G108" s="22"/>
      <c r="H108" s="322"/>
      <c r="I108" s="8" t="str">
        <f>IF(ISNA(VLOOKUP(F108,Declarations!B$6:C$293,2,FALSE)),"",IF(VLOOKUP(F108,Declarations!B$6:C$293,2,FALSE)="","NOT DECLARED",VLOOKUP(F108,Declarations!B$6:C$293,2,FALSE)))</f>
        <v/>
      </c>
      <c r="J108" s="2">
        <f>IF(LOWER(LEFT(G108,1))="n",1,VLOOKUP(G108,ScoringTable!E$2:I$95,5))</f>
        <v>0</v>
      </c>
      <c r="K108" s="120" t="str" cm="1">
        <f t="array" ref="K108">IF(OR(E108="",G108=""),"",_xlfn.IFS(E108="U10B",_xlfn.XLOOKUP(G108,Data!$D$4:$L$4,Data!$D$1:$L$1,"",-1,1),E108="U12B",_xlfn.XLOOKUP(G108,Data!$D$11:$L$11,Data!$D$1:$L$1,"",-1,1),E108="U10G",_xlfn.XLOOKUP(G108,Data!$D$17:$L$17,Data!$D$1:$L$1,"",-1,1),E108="U12G",_xlfn.XLOOKUP(G108,Data!$D$24:$L$24,Data!$D$1:$L$1,"",-1,1)))</f>
        <v/>
      </c>
      <c r="L108" s="184" t="str" cm="1">
        <f t="array" ref="L108">IFERROR(_xlfn.IFNA(
                      _xlfn.IFS(
                      F108="", "",
                      AND(E108="U10B",G108&gt;=Data!$M$4), "U10 Boys record",
                      AND(E108="U12B",G108&gt;=Data!$M$11), "U12 Boys record",
                      AND(E108="U10G",G108&gt;=Data!$M$17), "U10 Girls record",
                      AND(E108="U12G",G108&gt;=Data!$M$24), "U12 Girls record"
                       ),""), "")</f>
        <v/>
      </c>
      <c r="M108" s="19" cm="1">
        <f t="array" ref="M108">_xlfn.IFS($G108="",0,AND(NOT(ISNUMBER($G108)),LOWER(LEFT($G108,1))&lt;&gt;"n"),"Not a valid distance",OR(LOWER(LEFT($G108,1))="n",$G108&lt;ScoringTable!$P$161),1,RIGHT($E108,1)="B",_xlfn.XLOOKUP($G108,ScoringTable!$P$2:$P$161,ScoringTable!$L$2:$L$161,,-1),TRUE,_xlfn.XLOOKUP($G108,ScoringTable!$V$2:$V$161,ScoringTable!$R$2:$R$161,,-1))</f>
        <v>0</v>
      </c>
    </row>
    <row r="109" spans="1:13" ht="16" customHeight="1">
      <c r="A109" s="82" t="s">
        <v>27</v>
      </c>
      <c r="B109" s="81" t="str">
        <f>IF(ISNA(VLOOKUP($F109,Declarations!B$6:C$293,2,FALSE)),"",IF(VLOOKUP($F109,Declarations!B$6:C$293,2,FALSE)="","NOT DECLARED",IF(ISNA(_xlfn.TEXTBEFORE(VLOOKUP($F109,Declarations!B$6:C$293,2,FALSE)," ")),VLOOKUP($F109,Declarations!B$6:C$293,2,FALSE),_xlfn.TEXTBEFORE(VLOOKUP($F109,Declarations!B$6:C$293,2,FALSE)," "))))</f>
        <v/>
      </c>
      <c r="C109" s="81" t="str">
        <f>IF(ISNA(VLOOKUP($F109,Declarations!B$6:C$293,2,FALSE)),"",IF(VLOOKUP($F109,Declarations!B$6:C$293,2,FALSE)="","NOT DECLARED",IF(ISNA(_xlfn.TEXTAFTER(VLOOKUP($F109,Declarations!B$6:C$293,2,FALSE)," ")),VLOOKUP($F109,Declarations!B$6:C$293,2,FALSE),_xlfn.TEXTAFTER(VLOOKUP($F109,Declarations!B$6:C$293,2,FALSE)," "))))</f>
        <v/>
      </c>
      <c r="D109" s="81" t="str">
        <f>IF(ISNA(VLOOKUP($F109,Declarations!$B$6:$F$293,5,FALSE)),"",IF(VLOOKUP($F109,Declarations!$B$6:$F$293,5,FALSE)="","NOT DECLARED",VLOOKUP($F109,Declarations!$B$6:$F$293,5,FALSE)))</f>
        <v/>
      </c>
      <c r="E109" s="120" t="str">
        <f>IF(ISNA(VLOOKUP($F109,Declarations!$B$6:$D$293,3,FALSE)),"",IF(VLOOKUP($F109,Declarations!$B$6:$D$293,3,FALSE)="","NOT DECLARED",VLOOKUP($F109,Declarations!$B$6:$D$293,3,FALSE)&amp;LEFT(VLOOKUP($F109,Declarations!$B$6:$E$293,4,FALSE))))</f>
        <v/>
      </c>
      <c r="F109" s="21"/>
      <c r="G109" s="22"/>
      <c r="H109" s="322"/>
      <c r="I109" s="8" t="str">
        <f>IF(ISNA(VLOOKUP(F109,Declarations!B$6:C$293,2,FALSE)),"",IF(VLOOKUP(F109,Declarations!B$6:C$293,2,FALSE)="","NOT DECLARED",VLOOKUP(F109,Declarations!B$6:C$293,2,FALSE)))</f>
        <v/>
      </c>
      <c r="J109" s="2">
        <f>IF(LOWER(LEFT(G109,1))="n",1,VLOOKUP(G109,ScoringTable!E$2:I$95,5))</f>
        <v>0</v>
      </c>
      <c r="K109" s="120" t="str" cm="1">
        <f t="array" ref="K109">IF(OR(E109="",G109=""),"",_xlfn.IFS(E109="U10B",_xlfn.XLOOKUP(G109,Data!$D$4:$L$4,Data!$D$1:$L$1,"",-1,1),E109="U12B",_xlfn.XLOOKUP(G109,Data!$D$11:$L$11,Data!$D$1:$L$1,"",-1,1),E109="U10G",_xlfn.XLOOKUP(G109,Data!$D$17:$L$17,Data!$D$1:$L$1,"",-1,1),E109="U12G",_xlfn.XLOOKUP(G109,Data!$D$24:$L$24,Data!$D$1:$L$1,"",-1,1)))</f>
        <v/>
      </c>
      <c r="L109" s="184" t="str" cm="1">
        <f t="array" ref="L109">IFERROR(_xlfn.IFNA(
                      _xlfn.IFS(
                      F109="", "",
                      AND(E109="U10B",G109&gt;=Data!$M$4), "U10 Boys record",
                      AND(E109="U12B",G109&gt;=Data!$M$11), "U12 Boys record",
                      AND(E109="U10G",G109&gt;=Data!$M$17), "U10 Girls record",
                      AND(E109="U12G",G109&gt;=Data!$M$24), "U12 Girls record"
                       ),""), "")</f>
        <v/>
      </c>
      <c r="M109" s="19" cm="1">
        <f t="array" ref="M109">_xlfn.IFS($G109="",0,AND(NOT(ISNUMBER($G109)),LOWER(LEFT($G109,1))&lt;&gt;"n"),"Not a valid distance",OR(LOWER(LEFT($G109,1))="n",$G109&lt;ScoringTable!$P$161),1,RIGHT($E109,1)="B",_xlfn.XLOOKUP($G109,ScoringTable!$P$2:$P$161,ScoringTable!$L$2:$L$161,,-1),TRUE,_xlfn.XLOOKUP($G109,ScoringTable!$V$2:$V$161,ScoringTable!$R$2:$R$161,,-1))</f>
        <v>0</v>
      </c>
    </row>
    <row r="110" spans="1:13" ht="16" customHeight="1">
      <c r="A110" s="82" t="s">
        <v>27</v>
      </c>
      <c r="B110" s="81" t="str">
        <f>IF(ISNA(VLOOKUP($F110,Declarations!B$6:C$293,2,FALSE)),"",IF(VLOOKUP($F110,Declarations!B$6:C$293,2,FALSE)="","NOT DECLARED",IF(ISNA(_xlfn.TEXTBEFORE(VLOOKUP($F110,Declarations!B$6:C$293,2,FALSE)," ")),VLOOKUP($F110,Declarations!B$6:C$293,2,FALSE),_xlfn.TEXTBEFORE(VLOOKUP($F110,Declarations!B$6:C$293,2,FALSE)," "))))</f>
        <v/>
      </c>
      <c r="C110" s="81" t="str">
        <f>IF(ISNA(VLOOKUP($F110,Declarations!B$6:C$293,2,FALSE)),"",IF(VLOOKUP($F110,Declarations!B$6:C$293,2,FALSE)="","NOT DECLARED",IF(ISNA(_xlfn.TEXTAFTER(VLOOKUP($F110,Declarations!B$6:C$293,2,FALSE)," ")),VLOOKUP($F110,Declarations!B$6:C$293,2,FALSE),_xlfn.TEXTAFTER(VLOOKUP($F110,Declarations!B$6:C$293,2,FALSE)," "))))</f>
        <v/>
      </c>
      <c r="D110" s="81" t="str">
        <f>IF(ISNA(VLOOKUP($F110,Declarations!$B$6:$F$293,5,FALSE)),"",IF(VLOOKUP($F110,Declarations!$B$6:$F$293,5,FALSE)="","NOT DECLARED",VLOOKUP($F110,Declarations!$B$6:$F$293,5,FALSE)))</f>
        <v/>
      </c>
      <c r="E110" s="120" t="str">
        <f>IF(ISNA(VLOOKUP($F110,Declarations!$B$6:$D$293,3,FALSE)),"",IF(VLOOKUP($F110,Declarations!$B$6:$D$293,3,FALSE)="","NOT DECLARED",VLOOKUP($F110,Declarations!$B$6:$D$293,3,FALSE)&amp;LEFT(VLOOKUP($F110,Declarations!$B$6:$E$293,4,FALSE))))</f>
        <v/>
      </c>
      <c r="F110" s="21"/>
      <c r="G110" s="22"/>
      <c r="H110" s="322"/>
      <c r="I110" s="8" t="str">
        <f>IF(ISNA(VLOOKUP(F110,Declarations!B$6:C$293,2,FALSE)),"",IF(VLOOKUP(F110,Declarations!B$6:C$293,2,FALSE)="","NOT DECLARED",VLOOKUP(F110,Declarations!B$6:C$293,2,FALSE)))</f>
        <v/>
      </c>
      <c r="J110" s="2">
        <f>IF(LOWER(LEFT(G110,1))="n",1,VLOOKUP(G110,ScoringTable!E$2:I$95,5))</f>
        <v>0</v>
      </c>
      <c r="K110" s="120" t="str" cm="1">
        <f t="array" ref="K110">IF(OR(E110="",G110=""),"",_xlfn.IFS(E110="U10B",_xlfn.XLOOKUP(G110,Data!$D$4:$L$4,Data!$D$1:$L$1,"",-1,1),E110="U12B",_xlfn.XLOOKUP(G110,Data!$D$11:$L$11,Data!$D$1:$L$1,"",-1,1),E110="U10G",_xlfn.XLOOKUP(G110,Data!$D$17:$L$17,Data!$D$1:$L$1,"",-1,1),E110="U12G",_xlfn.XLOOKUP(G110,Data!$D$24:$L$24,Data!$D$1:$L$1,"",-1,1)))</f>
        <v/>
      </c>
      <c r="L110" s="184" t="str" cm="1">
        <f t="array" ref="L110">IFERROR(_xlfn.IFNA(
                      _xlfn.IFS(
                      F110="", "",
                      AND(E110="U10B",G110&gt;=Data!$M$4), "U10 Boys record",
                      AND(E110="U12B",G110&gt;=Data!$M$11), "U12 Boys record",
                      AND(E110="U10G",G110&gt;=Data!$M$17), "U10 Girls record",
                      AND(E110="U12G",G110&gt;=Data!$M$24), "U12 Girls record"
                       ),""), "")</f>
        <v/>
      </c>
      <c r="M110" s="19" cm="1">
        <f t="array" ref="M110">_xlfn.IFS($G110="",0,AND(NOT(ISNUMBER($G110)),LOWER(LEFT($G110,1))&lt;&gt;"n"),"Not a valid distance",OR(LOWER(LEFT($G110,1))="n",$G110&lt;ScoringTable!$P$161),1,RIGHT($E110,1)="B",_xlfn.XLOOKUP($G110,ScoringTable!$P$2:$P$161,ScoringTable!$L$2:$L$161,,-1),TRUE,_xlfn.XLOOKUP($G110,ScoringTable!$V$2:$V$161,ScoringTable!$R$2:$R$161,,-1))</f>
        <v>0</v>
      </c>
    </row>
    <row r="111" spans="1:13" ht="16" customHeight="1">
      <c r="A111" s="82" t="s">
        <v>27</v>
      </c>
      <c r="B111" s="81" t="str">
        <f>IF(ISNA(VLOOKUP($F111,Declarations!B$6:C$293,2,FALSE)),"",IF(VLOOKUP($F111,Declarations!B$6:C$293,2,FALSE)="","NOT DECLARED",IF(ISNA(_xlfn.TEXTBEFORE(VLOOKUP($F111,Declarations!B$6:C$293,2,FALSE)," ")),VLOOKUP($F111,Declarations!B$6:C$293,2,FALSE),_xlfn.TEXTBEFORE(VLOOKUP($F111,Declarations!B$6:C$293,2,FALSE)," "))))</f>
        <v/>
      </c>
      <c r="C111" s="81" t="str">
        <f>IF(ISNA(VLOOKUP($F111,Declarations!B$6:C$293,2,FALSE)),"",IF(VLOOKUP($F111,Declarations!B$6:C$293,2,FALSE)="","NOT DECLARED",IF(ISNA(_xlfn.TEXTAFTER(VLOOKUP($F111,Declarations!B$6:C$293,2,FALSE)," ")),VLOOKUP($F111,Declarations!B$6:C$293,2,FALSE),_xlfn.TEXTAFTER(VLOOKUP($F111,Declarations!B$6:C$293,2,FALSE)," "))))</f>
        <v/>
      </c>
      <c r="D111" s="81" t="str">
        <f>IF(ISNA(VLOOKUP($F111,Declarations!$B$6:$F$293,5,FALSE)),"",IF(VLOOKUP($F111,Declarations!$B$6:$F$293,5,FALSE)="","NOT DECLARED",VLOOKUP($F111,Declarations!$B$6:$F$293,5,FALSE)))</f>
        <v/>
      </c>
      <c r="E111" s="120" t="str">
        <f>IF(ISNA(VLOOKUP($F111,Declarations!$B$6:$D$293,3,FALSE)),"",IF(VLOOKUP($F111,Declarations!$B$6:$D$293,3,FALSE)="","NOT DECLARED",VLOOKUP($F111,Declarations!$B$6:$D$293,3,FALSE)&amp;LEFT(VLOOKUP($F111,Declarations!$B$6:$E$293,4,FALSE))))</f>
        <v/>
      </c>
      <c r="F111" s="21"/>
      <c r="G111" s="22"/>
      <c r="H111" s="322"/>
      <c r="I111" s="8" t="str">
        <f>IF(ISNA(VLOOKUP(F111,Declarations!B$6:C$293,2,FALSE)),"",IF(VLOOKUP(F111,Declarations!B$6:C$293,2,FALSE)="","NOT DECLARED",VLOOKUP(F111,Declarations!B$6:C$293,2,FALSE)))</f>
        <v/>
      </c>
      <c r="J111" s="2">
        <f>IF(LOWER(LEFT(G111,1))="n",1,VLOOKUP(G111,ScoringTable!E$2:I$95,5))</f>
        <v>0</v>
      </c>
      <c r="K111" s="120" t="str" cm="1">
        <f t="array" ref="K111">IF(OR(E111="",G111=""),"",_xlfn.IFS(E111="U10B",_xlfn.XLOOKUP(G111,Data!$D$4:$L$4,Data!$D$1:$L$1,"",-1,1),E111="U12B",_xlfn.XLOOKUP(G111,Data!$D$11:$L$11,Data!$D$1:$L$1,"",-1,1),E111="U10G",_xlfn.XLOOKUP(G111,Data!$D$17:$L$17,Data!$D$1:$L$1,"",-1,1),E111="U12G",_xlfn.XLOOKUP(G111,Data!$D$24:$L$24,Data!$D$1:$L$1,"",-1,1)))</f>
        <v/>
      </c>
      <c r="L111" s="184" t="str" cm="1">
        <f t="array" ref="L111">IFERROR(_xlfn.IFNA(
                      _xlfn.IFS(
                      F111="", "",
                      AND(E111="U10B",G111&gt;=Data!$M$4), "U10 Boys record",
                      AND(E111="U12B",G111&gt;=Data!$M$11), "U12 Boys record",
                      AND(E111="U10G",G111&gt;=Data!$M$17), "U10 Girls record",
                      AND(E111="U12G",G111&gt;=Data!$M$24), "U12 Girls record"
                       ),""), "")</f>
        <v/>
      </c>
      <c r="M111" s="19" cm="1">
        <f t="array" ref="M111">_xlfn.IFS($G111="",0,AND(NOT(ISNUMBER($G111)),LOWER(LEFT($G111,1))&lt;&gt;"n"),"Not a valid distance",OR(LOWER(LEFT($G111,1))="n",$G111&lt;ScoringTable!$P$161),1,RIGHT($E111,1)="B",_xlfn.XLOOKUP($G111,ScoringTable!$P$2:$P$161,ScoringTable!$L$2:$L$161,,-1),TRUE,_xlfn.XLOOKUP($G111,ScoringTable!$V$2:$V$161,ScoringTable!$R$2:$R$161,,-1))</f>
        <v>0</v>
      </c>
    </row>
    <row r="112" spans="1:13" ht="16" customHeight="1">
      <c r="A112" s="82" t="s">
        <v>27</v>
      </c>
      <c r="B112" s="81" t="str">
        <f>IF(ISNA(VLOOKUP($F112,Declarations!B$6:C$293,2,FALSE)),"",IF(VLOOKUP($F112,Declarations!B$6:C$293,2,FALSE)="","NOT DECLARED",IF(ISNA(_xlfn.TEXTBEFORE(VLOOKUP($F112,Declarations!B$6:C$293,2,FALSE)," ")),VLOOKUP($F112,Declarations!B$6:C$293,2,FALSE),_xlfn.TEXTBEFORE(VLOOKUP($F112,Declarations!B$6:C$293,2,FALSE)," "))))</f>
        <v/>
      </c>
      <c r="C112" s="81" t="str">
        <f>IF(ISNA(VLOOKUP($F112,Declarations!B$6:C$293,2,FALSE)),"",IF(VLOOKUP($F112,Declarations!B$6:C$293,2,FALSE)="","NOT DECLARED",IF(ISNA(_xlfn.TEXTAFTER(VLOOKUP($F112,Declarations!B$6:C$293,2,FALSE)," ")),VLOOKUP($F112,Declarations!B$6:C$293,2,FALSE),_xlfn.TEXTAFTER(VLOOKUP($F112,Declarations!B$6:C$293,2,FALSE)," "))))</f>
        <v/>
      </c>
      <c r="D112" s="81" t="str">
        <f>IF(ISNA(VLOOKUP($F112,Declarations!$B$6:$F$293,5,FALSE)),"",IF(VLOOKUP($F112,Declarations!$B$6:$F$293,5,FALSE)="","NOT DECLARED",VLOOKUP($F112,Declarations!$B$6:$F$293,5,FALSE)))</f>
        <v/>
      </c>
      <c r="E112" s="120" t="str">
        <f>IF(ISNA(VLOOKUP($F112,Declarations!$B$6:$D$293,3,FALSE)),"",IF(VLOOKUP($F112,Declarations!$B$6:$D$293,3,FALSE)="","NOT DECLARED",VLOOKUP($F112,Declarations!$B$6:$D$293,3,FALSE)&amp;LEFT(VLOOKUP($F112,Declarations!$B$6:$E$293,4,FALSE))))</f>
        <v/>
      </c>
      <c r="F112" s="21"/>
      <c r="G112" s="22"/>
      <c r="H112" s="322"/>
      <c r="I112" s="8" t="str">
        <f>IF(ISNA(VLOOKUP(F112,Declarations!B$6:C$293,2,FALSE)),"",IF(VLOOKUP(F112,Declarations!B$6:C$293,2,FALSE)="","NOT DECLARED",VLOOKUP(F112,Declarations!B$6:C$293,2,FALSE)))</f>
        <v/>
      </c>
      <c r="J112" s="2">
        <f>IF(LOWER(LEFT(G112,1))="n",1,VLOOKUP(G112,ScoringTable!E$2:I$95,5))</f>
        <v>0</v>
      </c>
      <c r="K112" s="120" t="str" cm="1">
        <f t="array" ref="K112">IF(OR(E112="",G112=""),"",_xlfn.IFS(E112="U10B",_xlfn.XLOOKUP(G112,Data!$D$4:$L$4,Data!$D$1:$L$1,"",-1,1),E112="U12B",_xlfn.XLOOKUP(G112,Data!$D$11:$L$11,Data!$D$1:$L$1,"",-1,1),E112="U10G",_xlfn.XLOOKUP(G112,Data!$D$17:$L$17,Data!$D$1:$L$1,"",-1,1),E112="U12G",_xlfn.XLOOKUP(G112,Data!$D$24:$L$24,Data!$D$1:$L$1,"",-1,1)))</f>
        <v/>
      </c>
      <c r="L112" s="184" t="str" cm="1">
        <f t="array" ref="L112">IFERROR(_xlfn.IFNA(
                      _xlfn.IFS(
                      F112="", "",
                      AND(E112="U10B",G112&gt;=Data!$M$4), "U10 Boys record",
                      AND(E112="U12B",G112&gt;=Data!$M$11), "U12 Boys record",
                      AND(E112="U10G",G112&gt;=Data!$M$17), "U10 Girls record",
                      AND(E112="U12G",G112&gt;=Data!$M$24), "U12 Girls record"
                       ),""), "")</f>
        <v/>
      </c>
      <c r="M112" s="19" cm="1">
        <f t="array" ref="M112">_xlfn.IFS($G112="",0,AND(NOT(ISNUMBER($G112)),LOWER(LEFT($G112,1))&lt;&gt;"n"),"Not a valid distance",OR(LOWER(LEFT($G112,1))="n",$G112&lt;ScoringTable!$P$161),1,RIGHT($E112,1)="B",_xlfn.XLOOKUP($G112,ScoringTable!$P$2:$P$161,ScoringTable!$L$2:$L$161,,-1),TRUE,_xlfn.XLOOKUP($G112,ScoringTable!$V$2:$V$161,ScoringTable!$R$2:$R$161,,-1))</f>
        <v>0</v>
      </c>
    </row>
    <row r="113" spans="1:13" ht="16" customHeight="1">
      <c r="A113" s="82" t="s">
        <v>27</v>
      </c>
      <c r="B113" s="81" t="str">
        <f>IF(ISNA(VLOOKUP($F113,Declarations!B$6:C$293,2,FALSE)),"",IF(VLOOKUP($F113,Declarations!B$6:C$293,2,FALSE)="","NOT DECLARED",IF(ISNA(_xlfn.TEXTBEFORE(VLOOKUP($F113,Declarations!B$6:C$293,2,FALSE)," ")),VLOOKUP($F113,Declarations!B$6:C$293,2,FALSE),_xlfn.TEXTBEFORE(VLOOKUP($F113,Declarations!B$6:C$293,2,FALSE)," "))))</f>
        <v/>
      </c>
      <c r="C113" s="81" t="str">
        <f>IF(ISNA(VLOOKUP($F113,Declarations!B$6:C$293,2,FALSE)),"",IF(VLOOKUP($F113,Declarations!B$6:C$293,2,FALSE)="","NOT DECLARED",IF(ISNA(_xlfn.TEXTAFTER(VLOOKUP($F113,Declarations!B$6:C$293,2,FALSE)," ")),VLOOKUP($F113,Declarations!B$6:C$293,2,FALSE),_xlfn.TEXTAFTER(VLOOKUP($F113,Declarations!B$6:C$293,2,FALSE)," "))))</f>
        <v/>
      </c>
      <c r="D113" s="81" t="str">
        <f>IF(ISNA(VLOOKUP($F113,Declarations!$B$6:$F$293,5,FALSE)),"",IF(VLOOKUP($F113,Declarations!$B$6:$F$293,5,FALSE)="","NOT DECLARED",VLOOKUP($F113,Declarations!$B$6:$F$293,5,FALSE)))</f>
        <v/>
      </c>
      <c r="E113" s="120" t="str">
        <f>IF(ISNA(VLOOKUP($F113,Declarations!$B$6:$D$293,3,FALSE)),"",IF(VLOOKUP($F113,Declarations!$B$6:$D$293,3,FALSE)="","NOT DECLARED",VLOOKUP($F113,Declarations!$B$6:$D$293,3,FALSE)&amp;LEFT(VLOOKUP($F113,Declarations!$B$6:$E$293,4,FALSE))))</f>
        <v/>
      </c>
      <c r="F113" s="21"/>
      <c r="G113" s="22"/>
      <c r="H113" s="322"/>
      <c r="I113" s="8" t="str">
        <f>IF(ISNA(VLOOKUP(F113,Declarations!B$6:C$293,2,FALSE)),"",IF(VLOOKUP(F113,Declarations!B$6:C$293,2,FALSE)="","NOT DECLARED",VLOOKUP(F113,Declarations!B$6:C$293,2,FALSE)))</f>
        <v/>
      </c>
      <c r="J113" s="2">
        <f>IF(LOWER(LEFT(G113,1))="n",1,VLOOKUP(G113,ScoringTable!E$2:I$95,5))</f>
        <v>0</v>
      </c>
      <c r="K113" s="120" t="str" cm="1">
        <f t="array" ref="K113">IF(OR(E113="",G113=""),"",_xlfn.IFS(E113="U10B",_xlfn.XLOOKUP(G113,Data!$D$4:$L$4,Data!$D$1:$L$1,"",-1,1),E113="U12B",_xlfn.XLOOKUP(G113,Data!$D$11:$L$11,Data!$D$1:$L$1,"",-1,1),E113="U10G",_xlfn.XLOOKUP(G113,Data!$D$17:$L$17,Data!$D$1:$L$1,"",-1,1),E113="U12G",_xlfn.XLOOKUP(G113,Data!$D$24:$L$24,Data!$D$1:$L$1,"",-1,1)))</f>
        <v/>
      </c>
      <c r="L113" s="184" t="str" cm="1">
        <f t="array" ref="L113">IFERROR(_xlfn.IFNA(
                      _xlfn.IFS(
                      F113="", "",
                      AND(E113="U10B",G113&gt;=Data!$M$4), "U10 Boys record",
                      AND(E113="U12B",G113&gt;=Data!$M$11), "U12 Boys record",
                      AND(E113="U10G",G113&gt;=Data!$M$17), "U10 Girls record",
                      AND(E113="U12G",G113&gt;=Data!$M$24), "U12 Girls record"
                       ),""), "")</f>
        <v/>
      </c>
      <c r="M113" s="19" cm="1">
        <f t="array" ref="M113">_xlfn.IFS($G113="",0,AND(NOT(ISNUMBER($G113)),LOWER(LEFT($G113,1))&lt;&gt;"n"),"Not a valid distance",OR(LOWER(LEFT($G113,1))="n",$G113&lt;ScoringTable!$P$161),1,RIGHT($E113,1)="B",_xlfn.XLOOKUP($G113,ScoringTable!$P$2:$P$161,ScoringTable!$L$2:$L$161,,-1),TRUE,_xlfn.XLOOKUP($G113,ScoringTable!$V$2:$V$161,ScoringTable!$R$2:$R$161,,-1))</f>
        <v>0</v>
      </c>
    </row>
    <row r="114" spans="1:13" ht="16" customHeight="1">
      <c r="A114" s="82" t="s">
        <v>27</v>
      </c>
      <c r="B114" s="81" t="str">
        <f>IF(ISNA(VLOOKUP($F114,Declarations!B$6:C$293,2,FALSE)),"",IF(VLOOKUP($F114,Declarations!B$6:C$293,2,FALSE)="","NOT DECLARED",IF(ISNA(_xlfn.TEXTBEFORE(VLOOKUP($F114,Declarations!B$6:C$293,2,FALSE)," ")),VLOOKUP($F114,Declarations!B$6:C$293,2,FALSE),_xlfn.TEXTBEFORE(VLOOKUP($F114,Declarations!B$6:C$293,2,FALSE)," "))))</f>
        <v/>
      </c>
      <c r="C114" s="81" t="str">
        <f>IF(ISNA(VLOOKUP($F114,Declarations!B$6:C$293,2,FALSE)),"",IF(VLOOKUP($F114,Declarations!B$6:C$293,2,FALSE)="","NOT DECLARED",IF(ISNA(_xlfn.TEXTAFTER(VLOOKUP($F114,Declarations!B$6:C$293,2,FALSE)," ")),VLOOKUP($F114,Declarations!B$6:C$293,2,FALSE),_xlfn.TEXTAFTER(VLOOKUP($F114,Declarations!B$6:C$293,2,FALSE)," "))))</f>
        <v/>
      </c>
      <c r="D114" s="81" t="str">
        <f>IF(ISNA(VLOOKUP($F114,Declarations!$B$6:$F$293,5,FALSE)),"",IF(VLOOKUP($F114,Declarations!$B$6:$F$293,5,FALSE)="","NOT DECLARED",VLOOKUP($F114,Declarations!$B$6:$F$293,5,FALSE)))</f>
        <v/>
      </c>
      <c r="E114" s="120" t="str">
        <f>IF(ISNA(VLOOKUP($F114,Declarations!$B$6:$D$293,3,FALSE)),"",IF(VLOOKUP($F114,Declarations!$B$6:$D$293,3,FALSE)="","NOT DECLARED",VLOOKUP($F114,Declarations!$B$6:$D$293,3,FALSE)&amp;LEFT(VLOOKUP($F114,Declarations!$B$6:$E$293,4,FALSE))))</f>
        <v/>
      </c>
      <c r="F114" s="21"/>
      <c r="G114" s="22"/>
      <c r="H114" s="322"/>
      <c r="I114" s="8" t="str">
        <f>IF(ISNA(VLOOKUP(F114,Declarations!B$6:C$293,2,FALSE)),"",IF(VLOOKUP(F114,Declarations!B$6:C$293,2,FALSE)="","NOT DECLARED",VLOOKUP(F114,Declarations!B$6:C$293,2,FALSE)))</f>
        <v/>
      </c>
      <c r="J114" s="2">
        <f>IF(LOWER(LEFT(G114,1))="n",1,VLOOKUP(G114,ScoringTable!E$2:I$95,5))</f>
        <v>0</v>
      </c>
      <c r="K114" s="120" t="str" cm="1">
        <f t="array" ref="K114">IF(OR(E114="",G114=""),"",_xlfn.IFS(E114="U10B",_xlfn.XLOOKUP(G114,Data!$D$4:$L$4,Data!$D$1:$L$1,"",-1,1),E114="U12B",_xlfn.XLOOKUP(G114,Data!$D$11:$L$11,Data!$D$1:$L$1,"",-1,1),E114="U10G",_xlfn.XLOOKUP(G114,Data!$D$17:$L$17,Data!$D$1:$L$1,"",-1,1),E114="U12G",_xlfn.XLOOKUP(G114,Data!$D$24:$L$24,Data!$D$1:$L$1,"",-1,1)))</f>
        <v/>
      </c>
      <c r="L114" s="184" t="str" cm="1">
        <f t="array" ref="L114">IFERROR(_xlfn.IFNA(
                      _xlfn.IFS(
                      F114="", "",
                      AND(E114="U10B",G114&gt;=Data!$M$4), "U10 Boys record",
                      AND(E114="U12B",G114&gt;=Data!$M$11), "U12 Boys record",
                      AND(E114="U10G",G114&gt;=Data!$M$17), "U10 Girls record",
                      AND(E114="U12G",G114&gt;=Data!$M$24), "U12 Girls record"
                       ),""), "")</f>
        <v/>
      </c>
      <c r="M114" s="19" cm="1">
        <f t="array" ref="M114">_xlfn.IFS($G114="",0,AND(NOT(ISNUMBER($G114)),LOWER(LEFT($G114,1))&lt;&gt;"n"),"Not a valid distance",OR(LOWER(LEFT($G114,1))="n",$G114&lt;ScoringTable!$P$161),1,RIGHT($E114,1)="B",_xlfn.XLOOKUP($G114,ScoringTable!$P$2:$P$161,ScoringTable!$L$2:$L$161,,-1),TRUE,_xlfn.XLOOKUP($G114,ScoringTable!$V$2:$V$161,ScoringTable!$R$2:$R$161,,-1))</f>
        <v>0</v>
      </c>
    </row>
    <row r="115" spans="1:13" ht="16" customHeight="1">
      <c r="A115" s="82" t="s">
        <v>27</v>
      </c>
      <c r="B115" s="81" t="str">
        <f>IF(ISNA(VLOOKUP($F115,Declarations!B$6:C$293,2,FALSE)),"",IF(VLOOKUP($F115,Declarations!B$6:C$293,2,FALSE)="","NOT DECLARED",IF(ISNA(_xlfn.TEXTBEFORE(VLOOKUP($F115,Declarations!B$6:C$293,2,FALSE)," ")),VLOOKUP($F115,Declarations!B$6:C$293,2,FALSE),_xlfn.TEXTBEFORE(VLOOKUP($F115,Declarations!B$6:C$293,2,FALSE)," "))))</f>
        <v/>
      </c>
      <c r="C115" s="81" t="str">
        <f>IF(ISNA(VLOOKUP($F115,Declarations!B$6:C$293,2,FALSE)),"",IF(VLOOKUP($F115,Declarations!B$6:C$293,2,FALSE)="","NOT DECLARED",IF(ISNA(_xlfn.TEXTAFTER(VLOOKUP($F115,Declarations!B$6:C$293,2,FALSE)," ")),VLOOKUP($F115,Declarations!B$6:C$293,2,FALSE),_xlfn.TEXTAFTER(VLOOKUP($F115,Declarations!B$6:C$293,2,FALSE)," "))))</f>
        <v/>
      </c>
      <c r="D115" s="81" t="str">
        <f>IF(ISNA(VLOOKUP($F115,Declarations!$B$6:$F$293,5,FALSE)),"",IF(VLOOKUP($F115,Declarations!$B$6:$F$293,5,FALSE)="","NOT DECLARED",VLOOKUP($F115,Declarations!$B$6:$F$293,5,FALSE)))</f>
        <v/>
      </c>
      <c r="E115" s="120" t="str">
        <f>IF(ISNA(VLOOKUP($F115,Declarations!$B$6:$D$293,3,FALSE)),"",IF(VLOOKUP($F115,Declarations!$B$6:$D$293,3,FALSE)="","NOT DECLARED",VLOOKUP($F115,Declarations!$B$6:$D$293,3,FALSE)&amp;LEFT(VLOOKUP($F115,Declarations!$B$6:$E$293,4,FALSE))))</f>
        <v/>
      </c>
      <c r="F115" s="21"/>
      <c r="G115" s="22"/>
      <c r="H115" s="322"/>
      <c r="I115" s="8" t="str">
        <f>IF(ISNA(VLOOKUP(F115,Declarations!B$6:C$293,2,FALSE)),"",IF(VLOOKUP(F115,Declarations!B$6:C$293,2,FALSE)="","NOT DECLARED",VLOOKUP(F115,Declarations!B$6:C$293,2,FALSE)))</f>
        <v/>
      </c>
      <c r="J115" s="2">
        <f>IF(LOWER(LEFT(G115,1))="n",1,VLOOKUP(G115,ScoringTable!E$2:I$95,5))</f>
        <v>0</v>
      </c>
      <c r="K115" s="120" t="str" cm="1">
        <f t="array" ref="K115">IF(OR(E115="",G115=""),"",_xlfn.IFS(E115="U10B",_xlfn.XLOOKUP(G115,Data!$D$4:$L$4,Data!$D$1:$L$1,"",-1,1),E115="U12B",_xlfn.XLOOKUP(G115,Data!$D$11:$L$11,Data!$D$1:$L$1,"",-1,1),E115="U10G",_xlfn.XLOOKUP(G115,Data!$D$17:$L$17,Data!$D$1:$L$1,"",-1,1),E115="U12G",_xlfn.XLOOKUP(G115,Data!$D$24:$L$24,Data!$D$1:$L$1,"",-1,1)))</f>
        <v/>
      </c>
      <c r="L115" s="184" t="str" cm="1">
        <f t="array" ref="L115">IFERROR(_xlfn.IFNA(
                      _xlfn.IFS(
                      F115="", "",
                      AND(E115="U10B",G115&gt;=Data!$M$4), "U10 Boys record",
                      AND(E115="U12B",G115&gt;=Data!$M$11), "U12 Boys record",
                      AND(E115="U10G",G115&gt;=Data!$M$17), "U10 Girls record",
                      AND(E115="U12G",G115&gt;=Data!$M$24), "U12 Girls record"
                       ),""), "")</f>
        <v/>
      </c>
      <c r="M115" s="19" cm="1">
        <f t="array" ref="M115">_xlfn.IFS($G115="",0,AND(NOT(ISNUMBER($G115)),LOWER(LEFT($G115,1))&lt;&gt;"n"),"Not a valid distance",OR(LOWER(LEFT($G115,1))="n",$G115&lt;ScoringTable!$P$161),1,RIGHT($E115,1)="B",_xlfn.XLOOKUP($G115,ScoringTable!$P$2:$P$161,ScoringTable!$L$2:$L$161,,-1),TRUE,_xlfn.XLOOKUP($G115,ScoringTable!$V$2:$V$161,ScoringTable!$R$2:$R$161,,-1))</f>
        <v>0</v>
      </c>
    </row>
    <row r="116" spans="1:13" ht="16" customHeight="1">
      <c r="A116" s="82" t="s">
        <v>27</v>
      </c>
      <c r="B116" s="81" t="str">
        <f>IF(ISNA(VLOOKUP($F116,Declarations!B$6:C$293,2,FALSE)),"",IF(VLOOKUP($F116,Declarations!B$6:C$293,2,FALSE)="","NOT DECLARED",IF(ISNA(_xlfn.TEXTBEFORE(VLOOKUP($F116,Declarations!B$6:C$293,2,FALSE)," ")),VLOOKUP($F116,Declarations!B$6:C$293,2,FALSE),_xlfn.TEXTBEFORE(VLOOKUP($F116,Declarations!B$6:C$293,2,FALSE)," "))))</f>
        <v/>
      </c>
      <c r="C116" s="81" t="str">
        <f>IF(ISNA(VLOOKUP($F116,Declarations!B$6:C$293,2,FALSE)),"",IF(VLOOKUP($F116,Declarations!B$6:C$293,2,FALSE)="","NOT DECLARED",IF(ISNA(_xlfn.TEXTAFTER(VLOOKUP($F116,Declarations!B$6:C$293,2,FALSE)," ")),VLOOKUP($F116,Declarations!B$6:C$293,2,FALSE),_xlfn.TEXTAFTER(VLOOKUP($F116,Declarations!B$6:C$293,2,FALSE)," "))))</f>
        <v/>
      </c>
      <c r="D116" s="81" t="str">
        <f>IF(ISNA(VLOOKUP($F116,Declarations!$B$6:$F$293,5,FALSE)),"",IF(VLOOKUP($F116,Declarations!$B$6:$F$293,5,FALSE)="","NOT DECLARED",VLOOKUP($F116,Declarations!$B$6:$F$293,5,FALSE)))</f>
        <v/>
      </c>
      <c r="E116" s="120" t="str">
        <f>IF(ISNA(VLOOKUP($F116,Declarations!$B$6:$D$293,3,FALSE)),"",IF(VLOOKUP($F116,Declarations!$B$6:$D$293,3,FALSE)="","NOT DECLARED",VLOOKUP($F116,Declarations!$B$6:$D$293,3,FALSE)&amp;LEFT(VLOOKUP($F116,Declarations!$B$6:$E$293,4,FALSE))))</f>
        <v/>
      </c>
      <c r="F116" s="21"/>
      <c r="G116" s="22"/>
      <c r="H116" s="322"/>
      <c r="I116" s="8" t="str">
        <f>IF(ISNA(VLOOKUP(F116,Declarations!B$6:C$293,2,FALSE)),"",IF(VLOOKUP(F116,Declarations!B$6:C$293,2,FALSE)="","NOT DECLARED",VLOOKUP(F116,Declarations!B$6:C$293,2,FALSE)))</f>
        <v/>
      </c>
      <c r="J116" s="2">
        <f>IF(LOWER(LEFT(G116,1))="n",1,VLOOKUP(G116,ScoringTable!E$2:I$95,5))</f>
        <v>0</v>
      </c>
      <c r="K116" s="120" t="str" cm="1">
        <f t="array" ref="K116">IF(OR(E116="",G116=""),"",_xlfn.IFS(E116="U10B",_xlfn.XLOOKUP(G116,Data!$D$4:$L$4,Data!$D$1:$L$1,"",-1,1),E116="U12B",_xlfn.XLOOKUP(G116,Data!$D$11:$L$11,Data!$D$1:$L$1,"",-1,1),E116="U10G",_xlfn.XLOOKUP(G116,Data!$D$17:$L$17,Data!$D$1:$L$1,"",-1,1),E116="U12G",_xlfn.XLOOKUP(G116,Data!$D$24:$L$24,Data!$D$1:$L$1,"",-1,1)))</f>
        <v/>
      </c>
      <c r="L116" s="184" t="str" cm="1">
        <f t="array" ref="L116">IFERROR(_xlfn.IFNA(
                      _xlfn.IFS(
                      F116="", "",
                      AND(E116="U10B",G116&gt;=Data!$M$4), "U10 Boys record",
                      AND(E116="U12B",G116&gt;=Data!$M$11), "U12 Boys record",
                      AND(E116="U10G",G116&gt;=Data!$M$17), "U10 Girls record",
                      AND(E116="U12G",G116&gt;=Data!$M$24), "U12 Girls record"
                       ),""), "")</f>
        <v/>
      </c>
      <c r="M116" s="19" cm="1">
        <f t="array" ref="M116">_xlfn.IFS($G116="",0,AND(NOT(ISNUMBER($G116)),LOWER(LEFT($G116,1))&lt;&gt;"n"),"Not a valid distance",OR(LOWER(LEFT($G116,1))="n",$G116&lt;ScoringTable!$P$161),1,RIGHT($E116,1)="B",_xlfn.XLOOKUP($G116,ScoringTable!$P$2:$P$161,ScoringTable!$L$2:$L$161,,-1),TRUE,_xlfn.XLOOKUP($G116,ScoringTable!$V$2:$V$161,ScoringTable!$R$2:$R$161,,-1))</f>
        <v>0</v>
      </c>
    </row>
    <row r="117" spans="1:13" ht="16" customHeight="1">
      <c r="A117" s="82" t="s">
        <v>27</v>
      </c>
      <c r="B117" s="81" t="str">
        <f>IF(ISNA(VLOOKUP($F117,Declarations!B$6:C$293,2,FALSE)),"",IF(VLOOKUP($F117,Declarations!B$6:C$293,2,FALSE)="","NOT DECLARED",IF(ISNA(_xlfn.TEXTBEFORE(VLOOKUP($F117,Declarations!B$6:C$293,2,FALSE)," ")),VLOOKUP($F117,Declarations!B$6:C$293,2,FALSE),_xlfn.TEXTBEFORE(VLOOKUP($F117,Declarations!B$6:C$293,2,FALSE)," "))))</f>
        <v/>
      </c>
      <c r="C117" s="81" t="str">
        <f>IF(ISNA(VLOOKUP($F117,Declarations!B$6:C$293,2,FALSE)),"",IF(VLOOKUP($F117,Declarations!B$6:C$293,2,FALSE)="","NOT DECLARED",IF(ISNA(_xlfn.TEXTAFTER(VLOOKUP($F117,Declarations!B$6:C$293,2,FALSE)," ")),VLOOKUP($F117,Declarations!B$6:C$293,2,FALSE),_xlfn.TEXTAFTER(VLOOKUP($F117,Declarations!B$6:C$293,2,FALSE)," "))))</f>
        <v/>
      </c>
      <c r="D117" s="81" t="str">
        <f>IF(ISNA(VLOOKUP($F117,Declarations!$B$6:$F$293,5,FALSE)),"",IF(VLOOKUP($F117,Declarations!$B$6:$F$293,5,FALSE)="","NOT DECLARED",VLOOKUP($F117,Declarations!$B$6:$F$293,5,FALSE)))</f>
        <v/>
      </c>
      <c r="E117" s="120" t="str">
        <f>IF(ISNA(VLOOKUP($F117,Declarations!$B$6:$D$293,3,FALSE)),"",IF(VLOOKUP($F117,Declarations!$B$6:$D$293,3,FALSE)="","NOT DECLARED",VLOOKUP($F117,Declarations!$B$6:$D$293,3,FALSE)&amp;LEFT(VLOOKUP($F117,Declarations!$B$6:$E$293,4,FALSE))))</f>
        <v/>
      </c>
      <c r="F117" s="21"/>
      <c r="G117" s="22"/>
      <c r="H117" s="322"/>
      <c r="I117" s="8" t="str">
        <f>IF(ISNA(VLOOKUP(F117,Declarations!B$6:C$293,2,FALSE)),"",IF(VLOOKUP(F117,Declarations!B$6:C$293,2,FALSE)="","NOT DECLARED",VLOOKUP(F117,Declarations!B$6:C$293,2,FALSE)))</f>
        <v/>
      </c>
      <c r="J117" s="2">
        <f>IF(LOWER(LEFT(G117,1))="n",1,VLOOKUP(G117,ScoringTable!E$2:I$95,5))</f>
        <v>0</v>
      </c>
      <c r="K117" s="120" t="str" cm="1">
        <f t="array" ref="K117">IF(OR(E117="",G117=""),"",_xlfn.IFS(E117="U10B",_xlfn.XLOOKUP(G117,Data!$D$4:$L$4,Data!$D$1:$L$1,"",-1,1),E117="U12B",_xlfn.XLOOKUP(G117,Data!$D$11:$L$11,Data!$D$1:$L$1,"",-1,1),E117="U10G",_xlfn.XLOOKUP(G117,Data!$D$17:$L$17,Data!$D$1:$L$1,"",-1,1),E117="U12G",_xlfn.XLOOKUP(G117,Data!$D$24:$L$24,Data!$D$1:$L$1,"",-1,1)))</f>
        <v/>
      </c>
      <c r="L117" s="184" t="str" cm="1">
        <f t="array" ref="L117">IFERROR(_xlfn.IFNA(
                      _xlfn.IFS(
                      F117="", "",
                      AND(E117="U10B",G117&gt;=Data!$M$4), "U10 Boys record",
                      AND(E117="U12B",G117&gt;=Data!$M$11), "U12 Boys record",
                      AND(E117="U10G",G117&gt;=Data!$M$17), "U10 Girls record",
                      AND(E117="U12G",G117&gt;=Data!$M$24), "U12 Girls record"
                       ),""), "")</f>
        <v/>
      </c>
      <c r="M117" s="19" cm="1">
        <f t="array" ref="M117">_xlfn.IFS($G117="",0,AND(NOT(ISNUMBER($G117)),LOWER(LEFT($G117,1))&lt;&gt;"n"),"Not a valid distance",OR(LOWER(LEFT($G117,1))="n",$G117&lt;ScoringTable!$P$161),1,RIGHT($E117,1)="B",_xlfn.XLOOKUP($G117,ScoringTable!$P$2:$P$161,ScoringTable!$L$2:$L$161,,-1),TRUE,_xlfn.XLOOKUP($G117,ScoringTable!$V$2:$V$161,ScoringTable!$R$2:$R$161,,-1))</f>
        <v>0</v>
      </c>
    </row>
    <row r="118" spans="1:13" ht="16" customHeight="1">
      <c r="A118" s="82" t="s">
        <v>27</v>
      </c>
      <c r="B118" s="81" t="str">
        <f>IF(ISNA(VLOOKUP($F118,Declarations!B$6:C$293,2,FALSE)),"",IF(VLOOKUP($F118,Declarations!B$6:C$293,2,FALSE)="","NOT DECLARED",IF(ISNA(_xlfn.TEXTBEFORE(VLOOKUP($F118,Declarations!B$6:C$293,2,FALSE)," ")),VLOOKUP($F118,Declarations!B$6:C$293,2,FALSE),_xlfn.TEXTBEFORE(VLOOKUP($F118,Declarations!B$6:C$293,2,FALSE)," "))))</f>
        <v/>
      </c>
      <c r="C118" s="81" t="str">
        <f>IF(ISNA(VLOOKUP($F118,Declarations!B$6:C$293,2,FALSE)),"",IF(VLOOKUP($F118,Declarations!B$6:C$293,2,FALSE)="","NOT DECLARED",IF(ISNA(_xlfn.TEXTAFTER(VLOOKUP($F118,Declarations!B$6:C$293,2,FALSE)," ")),VLOOKUP($F118,Declarations!B$6:C$293,2,FALSE),_xlfn.TEXTAFTER(VLOOKUP($F118,Declarations!B$6:C$293,2,FALSE)," "))))</f>
        <v/>
      </c>
      <c r="D118" s="81" t="str">
        <f>IF(ISNA(VLOOKUP($F118,Declarations!$B$6:$F$293,5,FALSE)),"",IF(VLOOKUP($F118,Declarations!$B$6:$F$293,5,FALSE)="","NOT DECLARED",VLOOKUP($F118,Declarations!$B$6:$F$293,5,FALSE)))</f>
        <v/>
      </c>
      <c r="E118" s="120" t="str">
        <f>IF(ISNA(VLOOKUP($F118,Declarations!$B$6:$D$293,3,FALSE)),"",IF(VLOOKUP($F118,Declarations!$B$6:$D$293,3,FALSE)="","NOT DECLARED",VLOOKUP($F118,Declarations!$B$6:$D$293,3,FALSE)&amp;LEFT(VLOOKUP($F118,Declarations!$B$6:$E$293,4,FALSE))))</f>
        <v/>
      </c>
      <c r="F118" s="21"/>
      <c r="G118" s="22"/>
      <c r="H118" s="322"/>
      <c r="I118" s="8" t="str">
        <f>IF(ISNA(VLOOKUP(F118,Declarations!B$6:C$293,2,FALSE)),"",IF(VLOOKUP(F118,Declarations!B$6:C$293,2,FALSE)="","NOT DECLARED",VLOOKUP(F118,Declarations!B$6:C$293,2,FALSE)))</f>
        <v/>
      </c>
      <c r="J118" s="2">
        <f>IF(LOWER(LEFT(G118,1))="n",1,VLOOKUP(G118,ScoringTable!E$2:I$95,5))</f>
        <v>0</v>
      </c>
      <c r="K118" s="120" t="str" cm="1">
        <f t="array" ref="K118">IF(OR(E118="",G118=""),"",_xlfn.IFS(E118="U10B",_xlfn.XLOOKUP(G118,Data!$D$4:$L$4,Data!$D$1:$L$1,"",-1,1),E118="U12B",_xlfn.XLOOKUP(G118,Data!$D$11:$L$11,Data!$D$1:$L$1,"",-1,1),E118="U10G",_xlfn.XLOOKUP(G118,Data!$D$17:$L$17,Data!$D$1:$L$1,"",-1,1),E118="U12G",_xlfn.XLOOKUP(G118,Data!$D$24:$L$24,Data!$D$1:$L$1,"",-1,1)))</f>
        <v/>
      </c>
      <c r="L118" s="184" t="str" cm="1">
        <f t="array" ref="L118">IFERROR(_xlfn.IFNA(
                      _xlfn.IFS(
                      F118="", "",
                      AND(E118="U10B",G118&gt;=Data!$M$4), "U10 Boys record",
                      AND(E118="U12B",G118&gt;=Data!$M$11), "U12 Boys record",
                      AND(E118="U10G",G118&gt;=Data!$M$17), "U10 Girls record",
                      AND(E118="U12G",G118&gt;=Data!$M$24), "U12 Girls record"
                       ),""), "")</f>
        <v/>
      </c>
      <c r="M118" s="19" cm="1">
        <f t="array" ref="M118">_xlfn.IFS($G118="",0,AND(NOT(ISNUMBER($G118)),LOWER(LEFT($G118,1))&lt;&gt;"n"),"Not a valid distance",OR(LOWER(LEFT($G118,1))="n",$G118&lt;ScoringTable!$P$161),1,RIGHT($E118,1)="B",_xlfn.XLOOKUP($G118,ScoringTable!$P$2:$P$161,ScoringTable!$L$2:$L$161,,-1),TRUE,_xlfn.XLOOKUP($G118,ScoringTable!$V$2:$V$161,ScoringTable!$R$2:$R$161,,-1))</f>
        <v>0</v>
      </c>
    </row>
    <row r="119" spans="1:13" ht="16" customHeight="1">
      <c r="A119" s="82" t="s">
        <v>27</v>
      </c>
      <c r="B119" s="81" t="str">
        <f>IF(ISNA(VLOOKUP($F119,Declarations!B$6:C$293,2,FALSE)),"",IF(VLOOKUP($F119,Declarations!B$6:C$293,2,FALSE)="","NOT DECLARED",IF(ISNA(_xlfn.TEXTBEFORE(VLOOKUP($F119,Declarations!B$6:C$293,2,FALSE)," ")),VLOOKUP($F119,Declarations!B$6:C$293,2,FALSE),_xlfn.TEXTBEFORE(VLOOKUP($F119,Declarations!B$6:C$293,2,FALSE)," "))))</f>
        <v/>
      </c>
      <c r="C119" s="81" t="str">
        <f>IF(ISNA(VLOOKUP($F119,Declarations!B$6:C$293,2,FALSE)),"",IF(VLOOKUP($F119,Declarations!B$6:C$293,2,FALSE)="","NOT DECLARED",IF(ISNA(_xlfn.TEXTAFTER(VLOOKUP($F119,Declarations!B$6:C$293,2,FALSE)," ")),VLOOKUP($F119,Declarations!B$6:C$293,2,FALSE),_xlfn.TEXTAFTER(VLOOKUP($F119,Declarations!B$6:C$293,2,FALSE)," "))))</f>
        <v/>
      </c>
      <c r="D119" s="81" t="str">
        <f>IF(ISNA(VLOOKUP($F119,Declarations!$B$6:$F$293,5,FALSE)),"",IF(VLOOKUP($F119,Declarations!$B$6:$F$293,5,FALSE)="","NOT DECLARED",VLOOKUP($F119,Declarations!$B$6:$F$293,5,FALSE)))</f>
        <v/>
      </c>
      <c r="E119" s="120" t="str">
        <f>IF(ISNA(VLOOKUP($F119,Declarations!$B$6:$D$293,3,FALSE)),"",IF(VLOOKUP($F119,Declarations!$B$6:$D$293,3,FALSE)="","NOT DECLARED",VLOOKUP($F119,Declarations!$B$6:$D$293,3,FALSE)&amp;LEFT(VLOOKUP($F119,Declarations!$B$6:$E$293,4,FALSE))))</f>
        <v/>
      </c>
      <c r="F119" s="21"/>
      <c r="G119" s="22"/>
      <c r="H119" s="322"/>
      <c r="I119" s="8" t="str">
        <f>IF(ISNA(VLOOKUP(F119,Declarations!B$6:C$293,2,FALSE)),"",IF(VLOOKUP(F119,Declarations!B$6:C$293,2,FALSE)="","NOT DECLARED",VLOOKUP(F119,Declarations!B$6:C$293,2,FALSE)))</f>
        <v/>
      </c>
      <c r="J119" s="2">
        <f>IF(LOWER(LEFT(G119,1))="n",1,VLOOKUP(G119,ScoringTable!E$2:I$95,5))</f>
        <v>0</v>
      </c>
      <c r="K119" s="120" t="str" cm="1">
        <f t="array" ref="K119">IF(OR(E119="",G119=""),"",_xlfn.IFS(E119="U10B",_xlfn.XLOOKUP(G119,Data!$D$4:$L$4,Data!$D$1:$L$1,"",-1,1),E119="U12B",_xlfn.XLOOKUP(G119,Data!$D$11:$L$11,Data!$D$1:$L$1,"",-1,1),E119="U10G",_xlfn.XLOOKUP(G119,Data!$D$17:$L$17,Data!$D$1:$L$1,"",-1,1),E119="U12G",_xlfn.XLOOKUP(G119,Data!$D$24:$L$24,Data!$D$1:$L$1,"",-1,1)))</f>
        <v/>
      </c>
      <c r="L119" s="184" t="str" cm="1">
        <f t="array" ref="L119">IFERROR(_xlfn.IFNA(
                      _xlfn.IFS(
                      F119="", "",
                      AND(E119="U10B",G119&gt;=Data!$M$4), "U10 Boys record",
                      AND(E119="U12B",G119&gt;=Data!$M$11), "U12 Boys record",
                      AND(E119="U10G",G119&gt;=Data!$M$17), "U10 Girls record",
                      AND(E119="U12G",G119&gt;=Data!$M$24), "U12 Girls record"
                       ),""), "")</f>
        <v/>
      </c>
      <c r="M119" s="19" cm="1">
        <f t="array" ref="M119">_xlfn.IFS($G119="",0,AND(NOT(ISNUMBER($G119)),LOWER(LEFT($G119,1))&lt;&gt;"n"),"Not a valid distance",OR(LOWER(LEFT($G119,1))="n",$G119&lt;ScoringTable!$P$161),1,RIGHT($E119,1)="B",_xlfn.XLOOKUP($G119,ScoringTable!$P$2:$P$161,ScoringTable!$L$2:$L$161,,-1),TRUE,_xlfn.XLOOKUP($G119,ScoringTable!$V$2:$V$161,ScoringTable!$R$2:$R$161,,-1))</f>
        <v>0</v>
      </c>
    </row>
    <row r="120" spans="1:13" ht="16" customHeight="1">
      <c r="A120" s="82" t="s">
        <v>27</v>
      </c>
      <c r="B120" s="81" t="str">
        <f>IF(ISNA(VLOOKUP($F120,Declarations!B$6:C$293,2,FALSE)),"",IF(VLOOKUP($F120,Declarations!B$6:C$293,2,FALSE)="","NOT DECLARED",IF(ISNA(_xlfn.TEXTBEFORE(VLOOKUP($F120,Declarations!B$6:C$293,2,FALSE)," ")),VLOOKUP($F120,Declarations!B$6:C$293,2,FALSE),_xlfn.TEXTBEFORE(VLOOKUP($F120,Declarations!B$6:C$293,2,FALSE)," "))))</f>
        <v/>
      </c>
      <c r="C120" s="81" t="str">
        <f>IF(ISNA(VLOOKUP($F120,Declarations!B$6:C$293,2,FALSE)),"",IF(VLOOKUP($F120,Declarations!B$6:C$293,2,FALSE)="","NOT DECLARED",IF(ISNA(_xlfn.TEXTAFTER(VLOOKUP($F120,Declarations!B$6:C$293,2,FALSE)," ")),VLOOKUP($F120,Declarations!B$6:C$293,2,FALSE),_xlfn.TEXTAFTER(VLOOKUP($F120,Declarations!B$6:C$293,2,FALSE)," "))))</f>
        <v/>
      </c>
      <c r="D120" s="81" t="str">
        <f>IF(ISNA(VLOOKUP($F120,Declarations!$B$6:$F$293,5,FALSE)),"",IF(VLOOKUP($F120,Declarations!$B$6:$F$293,5,FALSE)="","NOT DECLARED",VLOOKUP($F120,Declarations!$B$6:$F$293,5,FALSE)))</f>
        <v/>
      </c>
      <c r="E120" s="120" t="str">
        <f>IF(ISNA(VLOOKUP($F120,Declarations!$B$6:$D$293,3,FALSE)),"",IF(VLOOKUP($F120,Declarations!$B$6:$D$293,3,FALSE)="","NOT DECLARED",VLOOKUP($F120,Declarations!$B$6:$D$293,3,FALSE)&amp;LEFT(VLOOKUP($F120,Declarations!$B$6:$E$293,4,FALSE))))</f>
        <v/>
      </c>
      <c r="F120" s="21"/>
      <c r="G120" s="22"/>
      <c r="H120" s="322"/>
      <c r="I120" s="8" t="str">
        <f>IF(ISNA(VLOOKUP(F120,Declarations!B$6:C$293,2,FALSE)),"",IF(VLOOKUP(F120,Declarations!B$6:C$293,2,FALSE)="","NOT DECLARED",VLOOKUP(F120,Declarations!B$6:C$293,2,FALSE)))</f>
        <v/>
      </c>
      <c r="J120" s="2">
        <f>IF(LOWER(LEFT(G120,1))="n",1,VLOOKUP(G120,ScoringTable!E$2:I$95,5))</f>
        <v>0</v>
      </c>
      <c r="K120" s="120" t="str" cm="1">
        <f t="array" ref="K120">IF(OR(E120="",G120=""),"",_xlfn.IFS(E120="U10B",_xlfn.XLOOKUP(G120,Data!$D$4:$L$4,Data!$D$1:$L$1,"",-1,1),E120="U12B",_xlfn.XLOOKUP(G120,Data!$D$11:$L$11,Data!$D$1:$L$1,"",-1,1),E120="U10G",_xlfn.XLOOKUP(G120,Data!$D$17:$L$17,Data!$D$1:$L$1,"",-1,1),E120="U12G",_xlfn.XLOOKUP(G120,Data!$D$24:$L$24,Data!$D$1:$L$1,"",-1,1)))</f>
        <v/>
      </c>
      <c r="L120" s="184" t="str" cm="1">
        <f t="array" ref="L120">IFERROR(_xlfn.IFNA(
                      _xlfn.IFS(
                      F120="", "",
                      AND(E120="U10B",G120&gt;=Data!$M$4), "U10 Boys record",
                      AND(E120="U12B",G120&gt;=Data!$M$11), "U12 Boys record",
                      AND(E120="U10G",G120&gt;=Data!$M$17), "U10 Girls record",
                      AND(E120="U12G",G120&gt;=Data!$M$24), "U12 Girls record"
                       ),""), "")</f>
        <v/>
      </c>
      <c r="M120" s="19" cm="1">
        <f t="array" ref="M120">_xlfn.IFS($G120="",0,AND(NOT(ISNUMBER($G120)),LOWER(LEFT($G120,1))&lt;&gt;"n"),"Not a valid distance",OR(LOWER(LEFT($G120,1))="n",$G120&lt;ScoringTable!$P$161),1,RIGHT($E120,1)="B",_xlfn.XLOOKUP($G120,ScoringTable!$P$2:$P$161,ScoringTable!$L$2:$L$161,,-1),TRUE,_xlfn.XLOOKUP($G120,ScoringTable!$V$2:$V$161,ScoringTable!$R$2:$R$161,,-1))</f>
        <v>0</v>
      </c>
    </row>
    <row r="121" spans="1:13" ht="16" customHeight="1">
      <c r="A121" s="82" t="s">
        <v>27</v>
      </c>
      <c r="B121" s="81" t="str">
        <f>IF(ISNA(VLOOKUP($F121,Declarations!B$6:C$293,2,FALSE)),"",IF(VLOOKUP($F121,Declarations!B$6:C$293,2,FALSE)="","NOT DECLARED",IF(ISNA(_xlfn.TEXTBEFORE(VLOOKUP($F121,Declarations!B$6:C$293,2,FALSE)," ")),VLOOKUP($F121,Declarations!B$6:C$293,2,FALSE),_xlfn.TEXTBEFORE(VLOOKUP($F121,Declarations!B$6:C$293,2,FALSE)," "))))</f>
        <v/>
      </c>
      <c r="C121" s="81" t="str">
        <f>IF(ISNA(VLOOKUP($F121,Declarations!B$6:C$293,2,FALSE)),"",IF(VLOOKUP($F121,Declarations!B$6:C$293,2,FALSE)="","NOT DECLARED",IF(ISNA(_xlfn.TEXTAFTER(VLOOKUP($F121,Declarations!B$6:C$293,2,FALSE)," ")),VLOOKUP($F121,Declarations!B$6:C$293,2,FALSE),_xlfn.TEXTAFTER(VLOOKUP($F121,Declarations!B$6:C$293,2,FALSE)," "))))</f>
        <v/>
      </c>
      <c r="D121" s="81" t="str">
        <f>IF(ISNA(VLOOKUP($F121,Declarations!$B$6:$F$293,5,FALSE)),"",IF(VLOOKUP($F121,Declarations!$B$6:$F$293,5,FALSE)="","NOT DECLARED",VLOOKUP($F121,Declarations!$B$6:$F$293,5,FALSE)))</f>
        <v/>
      </c>
      <c r="E121" s="120" t="str">
        <f>IF(ISNA(VLOOKUP($F121,Declarations!$B$6:$D$293,3,FALSE)),"",IF(VLOOKUP($F121,Declarations!$B$6:$D$293,3,FALSE)="","NOT DECLARED",VLOOKUP($F121,Declarations!$B$6:$D$293,3,FALSE)&amp;LEFT(VLOOKUP($F121,Declarations!$B$6:$E$293,4,FALSE))))</f>
        <v/>
      </c>
      <c r="F121" s="21"/>
      <c r="G121" s="22"/>
      <c r="H121" s="322"/>
      <c r="I121" s="8" t="str">
        <f>IF(ISNA(VLOOKUP(F121,Declarations!B$6:C$293,2,FALSE)),"",IF(VLOOKUP(F121,Declarations!B$6:C$293,2,FALSE)="","NOT DECLARED",VLOOKUP(F121,Declarations!B$6:C$293,2,FALSE)))</f>
        <v/>
      </c>
      <c r="J121" s="2">
        <f>IF(LOWER(LEFT(G121,1))="n",1,VLOOKUP(G121,ScoringTable!E$2:I$95,5))</f>
        <v>0</v>
      </c>
      <c r="K121" s="120" t="str" cm="1">
        <f t="array" ref="K121">IF(OR(E121="",G121=""),"",_xlfn.IFS(E121="U10B",_xlfn.XLOOKUP(G121,Data!$D$4:$L$4,Data!$D$1:$L$1,"",-1,1),E121="U12B",_xlfn.XLOOKUP(G121,Data!$D$11:$L$11,Data!$D$1:$L$1,"",-1,1),E121="U10G",_xlfn.XLOOKUP(G121,Data!$D$17:$L$17,Data!$D$1:$L$1,"",-1,1),E121="U12G",_xlfn.XLOOKUP(G121,Data!$D$24:$L$24,Data!$D$1:$L$1,"",-1,1)))</f>
        <v/>
      </c>
      <c r="L121" s="184" t="str" cm="1">
        <f t="array" ref="L121">IFERROR(_xlfn.IFNA(
                      _xlfn.IFS(
                      F121="", "",
                      AND(E121="U10B",G121&gt;=Data!$M$4), "U10 Boys record",
                      AND(E121="U12B",G121&gt;=Data!$M$11), "U12 Boys record",
                      AND(E121="U10G",G121&gt;=Data!$M$17), "U10 Girls record",
                      AND(E121="U12G",G121&gt;=Data!$M$24), "U12 Girls record"
                       ),""), "")</f>
        <v/>
      </c>
      <c r="M121" s="19" cm="1">
        <f t="array" ref="M121">_xlfn.IFS($G121="",0,AND(NOT(ISNUMBER($G121)),LOWER(LEFT($G121,1))&lt;&gt;"n"),"Not a valid distance",OR(LOWER(LEFT($G121,1))="n",$G121&lt;ScoringTable!$P$161),1,RIGHT($E121,1)="B",_xlfn.XLOOKUP($G121,ScoringTable!$P$2:$P$161,ScoringTable!$L$2:$L$161,,-1),TRUE,_xlfn.XLOOKUP($G121,ScoringTable!$V$2:$V$161,ScoringTable!$R$2:$R$161,,-1))</f>
        <v>0</v>
      </c>
    </row>
    <row r="122" spans="1:13" ht="16" customHeight="1">
      <c r="A122" s="82" t="s">
        <v>27</v>
      </c>
      <c r="B122" s="81" t="str">
        <f>IF(ISNA(VLOOKUP($F122,Declarations!B$6:C$293,2,FALSE)),"",IF(VLOOKUP($F122,Declarations!B$6:C$293,2,FALSE)="","NOT DECLARED",IF(ISNA(_xlfn.TEXTBEFORE(VLOOKUP($F122,Declarations!B$6:C$293,2,FALSE)," ")),VLOOKUP($F122,Declarations!B$6:C$293,2,FALSE),_xlfn.TEXTBEFORE(VLOOKUP($F122,Declarations!B$6:C$293,2,FALSE)," "))))</f>
        <v/>
      </c>
      <c r="C122" s="81" t="str">
        <f>IF(ISNA(VLOOKUP($F122,Declarations!B$6:C$293,2,FALSE)),"",IF(VLOOKUP($F122,Declarations!B$6:C$293,2,FALSE)="","NOT DECLARED",IF(ISNA(_xlfn.TEXTAFTER(VLOOKUP($F122,Declarations!B$6:C$293,2,FALSE)," ")),VLOOKUP($F122,Declarations!B$6:C$293,2,FALSE),_xlfn.TEXTAFTER(VLOOKUP($F122,Declarations!B$6:C$293,2,FALSE)," "))))</f>
        <v/>
      </c>
      <c r="D122" s="81" t="str">
        <f>IF(ISNA(VLOOKUP($F122,Declarations!$B$6:$F$293,5,FALSE)),"",IF(VLOOKUP($F122,Declarations!$B$6:$F$293,5,FALSE)="","NOT DECLARED",VLOOKUP($F122,Declarations!$B$6:$F$293,5,FALSE)))</f>
        <v/>
      </c>
      <c r="E122" s="120" t="str">
        <f>IF(ISNA(VLOOKUP($F122,Declarations!$B$6:$D$293,3,FALSE)),"",IF(VLOOKUP($F122,Declarations!$B$6:$D$293,3,FALSE)="","NOT DECLARED",VLOOKUP($F122,Declarations!$B$6:$D$293,3,FALSE)&amp;LEFT(VLOOKUP($F122,Declarations!$B$6:$E$293,4,FALSE))))</f>
        <v/>
      </c>
      <c r="F122" s="21"/>
      <c r="G122" s="22"/>
      <c r="H122" s="322"/>
      <c r="I122" s="8" t="str">
        <f>IF(ISNA(VLOOKUP(F122,Declarations!B$6:C$293,2,FALSE)),"",IF(VLOOKUP(F122,Declarations!B$6:C$293,2,FALSE)="","NOT DECLARED",VLOOKUP(F122,Declarations!B$6:C$293,2,FALSE)))</f>
        <v/>
      </c>
      <c r="J122" s="2">
        <f>IF(LOWER(LEFT(G122,1))="n",1,VLOOKUP(G122,ScoringTable!E$2:I$95,5))</f>
        <v>0</v>
      </c>
      <c r="K122" s="120" t="str" cm="1">
        <f t="array" ref="K122">IF(OR(E122="",G122=""),"",_xlfn.IFS(E122="U10B",_xlfn.XLOOKUP(G122,Data!$D$4:$L$4,Data!$D$1:$L$1,"",-1,1),E122="U12B",_xlfn.XLOOKUP(G122,Data!$D$11:$L$11,Data!$D$1:$L$1,"",-1,1),E122="U10G",_xlfn.XLOOKUP(G122,Data!$D$17:$L$17,Data!$D$1:$L$1,"",-1,1),E122="U12G",_xlfn.XLOOKUP(G122,Data!$D$24:$L$24,Data!$D$1:$L$1,"",-1,1)))</f>
        <v/>
      </c>
      <c r="L122" s="184" t="str" cm="1">
        <f t="array" ref="L122">IFERROR(_xlfn.IFNA(
                      _xlfn.IFS(
                      F122="", "",
                      AND(E122="U10B",G122&gt;=Data!$M$4), "U10 Boys record",
                      AND(E122="U12B",G122&gt;=Data!$M$11), "U12 Boys record",
                      AND(E122="U10G",G122&gt;=Data!$M$17), "U10 Girls record",
                      AND(E122="U12G",G122&gt;=Data!$M$24), "U12 Girls record"
                       ),""), "")</f>
        <v/>
      </c>
      <c r="M122" s="19" cm="1">
        <f t="array" ref="M122">_xlfn.IFS($G122="",0,AND(NOT(ISNUMBER($G122)),LOWER(LEFT($G122,1))&lt;&gt;"n"),"Not a valid distance",OR(LOWER(LEFT($G122,1))="n",$G122&lt;ScoringTable!$P$161),1,RIGHT($E122,1)="B",_xlfn.XLOOKUP($G122,ScoringTable!$P$2:$P$161,ScoringTable!$L$2:$L$161,,-1),TRUE,_xlfn.XLOOKUP($G122,ScoringTable!$V$2:$V$161,ScoringTable!$R$2:$R$161,,-1))</f>
        <v>0</v>
      </c>
    </row>
    <row r="123" spans="1:13" ht="16" customHeight="1">
      <c r="A123" s="82" t="s">
        <v>27</v>
      </c>
      <c r="B123" s="81" t="str">
        <f>IF(ISNA(VLOOKUP($F123,Declarations!B$6:C$293,2,FALSE)),"",IF(VLOOKUP($F123,Declarations!B$6:C$293,2,FALSE)="","NOT DECLARED",IF(ISNA(_xlfn.TEXTBEFORE(VLOOKUP($F123,Declarations!B$6:C$293,2,FALSE)," ")),VLOOKUP($F123,Declarations!B$6:C$293,2,FALSE),_xlfn.TEXTBEFORE(VLOOKUP($F123,Declarations!B$6:C$293,2,FALSE)," "))))</f>
        <v/>
      </c>
      <c r="C123" s="81" t="str">
        <f>IF(ISNA(VLOOKUP($F123,Declarations!B$6:C$293,2,FALSE)),"",IF(VLOOKUP($F123,Declarations!B$6:C$293,2,FALSE)="","NOT DECLARED",IF(ISNA(_xlfn.TEXTAFTER(VLOOKUP($F123,Declarations!B$6:C$293,2,FALSE)," ")),VLOOKUP($F123,Declarations!B$6:C$293,2,FALSE),_xlfn.TEXTAFTER(VLOOKUP($F123,Declarations!B$6:C$293,2,FALSE)," "))))</f>
        <v/>
      </c>
      <c r="D123" s="81" t="str">
        <f>IF(ISNA(VLOOKUP($F123,Declarations!$B$6:$F$293,5,FALSE)),"",IF(VLOOKUP($F123,Declarations!$B$6:$F$293,5,FALSE)="","NOT DECLARED",VLOOKUP($F123,Declarations!$B$6:$F$293,5,FALSE)))</f>
        <v/>
      </c>
      <c r="E123" s="120" t="str">
        <f>IF(ISNA(VLOOKUP($F123,Declarations!$B$6:$D$293,3,FALSE)),"",IF(VLOOKUP($F123,Declarations!$B$6:$D$293,3,FALSE)="","NOT DECLARED",VLOOKUP($F123,Declarations!$B$6:$D$293,3,FALSE)&amp;LEFT(VLOOKUP($F123,Declarations!$B$6:$E$293,4,FALSE))))</f>
        <v/>
      </c>
      <c r="F123" s="21"/>
      <c r="G123" s="22"/>
      <c r="H123" s="322"/>
      <c r="I123" s="8" t="str">
        <f>IF(ISNA(VLOOKUP(F123,Declarations!B$6:C$293,2,FALSE)),"",IF(VLOOKUP(F123,Declarations!B$6:C$293,2,FALSE)="","NOT DECLARED",VLOOKUP(F123,Declarations!B$6:C$293,2,FALSE)))</f>
        <v/>
      </c>
      <c r="J123" s="2">
        <f>IF(LOWER(LEFT(G123,1))="n",1,VLOOKUP(G123,ScoringTable!E$2:I$95,5))</f>
        <v>0</v>
      </c>
      <c r="K123" s="120" t="str" cm="1">
        <f t="array" ref="K123">IF(OR(E123="",G123=""),"",_xlfn.IFS(E123="U10B",_xlfn.XLOOKUP(G123,Data!$D$4:$L$4,Data!$D$1:$L$1,"",-1,1),E123="U12B",_xlfn.XLOOKUP(G123,Data!$D$11:$L$11,Data!$D$1:$L$1,"",-1,1),E123="U10G",_xlfn.XLOOKUP(G123,Data!$D$17:$L$17,Data!$D$1:$L$1,"",-1,1),E123="U12G",_xlfn.XLOOKUP(G123,Data!$D$24:$L$24,Data!$D$1:$L$1,"",-1,1)))</f>
        <v/>
      </c>
      <c r="L123" s="184" t="str" cm="1">
        <f t="array" ref="L123">IFERROR(_xlfn.IFNA(
                      _xlfn.IFS(
                      F123="", "",
                      AND(E123="U10B",G123&gt;=Data!$M$4), "U10 Boys record",
                      AND(E123="U12B",G123&gt;=Data!$M$11), "U12 Boys record",
                      AND(E123="U10G",G123&gt;=Data!$M$17), "U10 Girls record",
                      AND(E123="U12G",G123&gt;=Data!$M$24), "U12 Girls record"
                       ),""), "")</f>
        <v/>
      </c>
      <c r="M123" s="19" cm="1">
        <f t="array" ref="M123">_xlfn.IFS($G123="",0,AND(NOT(ISNUMBER($G123)),LOWER(LEFT($G123,1))&lt;&gt;"n"),"Not a valid distance",OR(LOWER(LEFT($G123,1))="n",$G123&lt;ScoringTable!$P$161),1,RIGHT($E123,1)="B",_xlfn.XLOOKUP($G123,ScoringTable!$P$2:$P$161,ScoringTable!$L$2:$L$161,,-1),TRUE,_xlfn.XLOOKUP($G123,ScoringTable!$V$2:$V$161,ScoringTable!$R$2:$R$161,,-1))</f>
        <v>0</v>
      </c>
    </row>
    <row r="124" spans="1:13" ht="16" customHeight="1">
      <c r="A124" s="82" t="s">
        <v>27</v>
      </c>
      <c r="B124" s="81" t="str">
        <f>IF(ISNA(VLOOKUP($F124,Declarations!B$6:C$293,2,FALSE)),"",IF(VLOOKUP($F124,Declarations!B$6:C$293,2,FALSE)="","NOT DECLARED",IF(ISNA(_xlfn.TEXTBEFORE(VLOOKUP($F124,Declarations!B$6:C$293,2,FALSE)," ")),VLOOKUP($F124,Declarations!B$6:C$293,2,FALSE),_xlfn.TEXTBEFORE(VLOOKUP($F124,Declarations!B$6:C$293,2,FALSE)," "))))</f>
        <v/>
      </c>
      <c r="C124" s="81" t="str">
        <f>IF(ISNA(VLOOKUP($F124,Declarations!B$6:C$293,2,FALSE)),"",IF(VLOOKUP($F124,Declarations!B$6:C$293,2,FALSE)="","NOT DECLARED",IF(ISNA(_xlfn.TEXTAFTER(VLOOKUP($F124,Declarations!B$6:C$293,2,FALSE)," ")),VLOOKUP($F124,Declarations!B$6:C$293,2,FALSE),_xlfn.TEXTAFTER(VLOOKUP($F124,Declarations!B$6:C$293,2,FALSE)," "))))</f>
        <v/>
      </c>
      <c r="D124" s="81" t="str">
        <f>IF(ISNA(VLOOKUP($F124,Declarations!$B$6:$F$293,5,FALSE)),"",IF(VLOOKUP($F124,Declarations!$B$6:$F$293,5,FALSE)="","NOT DECLARED",VLOOKUP($F124,Declarations!$B$6:$F$293,5,FALSE)))</f>
        <v/>
      </c>
      <c r="E124" s="120" t="str">
        <f>IF(ISNA(VLOOKUP($F124,Declarations!$B$6:$D$293,3,FALSE)),"",IF(VLOOKUP($F124,Declarations!$B$6:$D$293,3,FALSE)="","NOT DECLARED",VLOOKUP($F124,Declarations!$B$6:$D$293,3,FALSE)&amp;LEFT(VLOOKUP($F124,Declarations!$B$6:$E$293,4,FALSE))))</f>
        <v/>
      </c>
      <c r="F124" s="21"/>
      <c r="G124" s="22"/>
      <c r="H124" s="322"/>
      <c r="I124" s="8" t="str">
        <f>IF(ISNA(VLOOKUP(F124,Declarations!B$6:C$293,2,FALSE)),"",IF(VLOOKUP(F124,Declarations!B$6:C$293,2,FALSE)="","NOT DECLARED",VLOOKUP(F124,Declarations!B$6:C$293,2,FALSE)))</f>
        <v/>
      </c>
      <c r="J124" s="2">
        <f>IF(LOWER(LEFT(G124,1))="n",1,VLOOKUP(G124,ScoringTable!E$2:I$95,5))</f>
        <v>0</v>
      </c>
      <c r="K124" s="120" t="str" cm="1">
        <f t="array" ref="K124">IF(OR(E124="",G124=""),"",_xlfn.IFS(E124="U10B",_xlfn.XLOOKUP(G124,Data!$D$4:$L$4,Data!$D$1:$L$1,"",-1,1),E124="U12B",_xlfn.XLOOKUP(G124,Data!$D$11:$L$11,Data!$D$1:$L$1,"",-1,1),E124="U10G",_xlfn.XLOOKUP(G124,Data!$D$17:$L$17,Data!$D$1:$L$1,"",-1,1),E124="U12G",_xlfn.XLOOKUP(G124,Data!$D$24:$L$24,Data!$D$1:$L$1,"",-1,1)))</f>
        <v/>
      </c>
      <c r="L124" s="184" t="str" cm="1">
        <f t="array" ref="L124">IFERROR(_xlfn.IFNA(
                      _xlfn.IFS(
                      F124="", "",
                      AND(E124="U10B",G124&gt;=Data!$M$4), "U10 Boys record",
                      AND(E124="U12B",G124&gt;=Data!$M$11), "U12 Boys record",
                      AND(E124="U10G",G124&gt;=Data!$M$17), "U10 Girls record",
                      AND(E124="U12G",G124&gt;=Data!$M$24), "U12 Girls record"
                       ),""), "")</f>
        <v/>
      </c>
      <c r="M124" s="19" cm="1">
        <f t="array" ref="M124">_xlfn.IFS($G124="",0,AND(NOT(ISNUMBER($G124)),LOWER(LEFT($G124,1))&lt;&gt;"n"),"Not a valid distance",OR(LOWER(LEFT($G124,1))="n",$G124&lt;ScoringTable!$P$161),1,RIGHT($E124,1)="B",_xlfn.XLOOKUP($G124,ScoringTable!$P$2:$P$161,ScoringTable!$L$2:$L$161,,-1),TRUE,_xlfn.XLOOKUP($G124,ScoringTable!$V$2:$V$161,ScoringTable!$R$2:$R$161,,-1))</f>
        <v>0</v>
      </c>
    </row>
    <row r="125" spans="1:13" ht="16" customHeight="1">
      <c r="A125" s="82" t="s">
        <v>27</v>
      </c>
      <c r="B125" s="81" t="str">
        <f>IF(ISNA(VLOOKUP($F125,Declarations!B$6:C$293,2,FALSE)),"",IF(VLOOKUP($F125,Declarations!B$6:C$293,2,FALSE)="","NOT DECLARED",IF(ISNA(_xlfn.TEXTBEFORE(VLOOKUP($F125,Declarations!B$6:C$293,2,FALSE)," ")),VLOOKUP($F125,Declarations!B$6:C$293,2,FALSE),_xlfn.TEXTBEFORE(VLOOKUP($F125,Declarations!B$6:C$293,2,FALSE)," "))))</f>
        <v/>
      </c>
      <c r="C125" s="81" t="str">
        <f>IF(ISNA(VLOOKUP($F125,Declarations!B$6:C$293,2,FALSE)),"",IF(VLOOKUP($F125,Declarations!B$6:C$293,2,FALSE)="","NOT DECLARED",IF(ISNA(_xlfn.TEXTAFTER(VLOOKUP($F125,Declarations!B$6:C$293,2,FALSE)," ")),VLOOKUP($F125,Declarations!B$6:C$293,2,FALSE),_xlfn.TEXTAFTER(VLOOKUP($F125,Declarations!B$6:C$293,2,FALSE)," "))))</f>
        <v/>
      </c>
      <c r="D125" s="81" t="str">
        <f>IF(ISNA(VLOOKUP($F125,Declarations!$B$6:$F$293,5,FALSE)),"",IF(VLOOKUP($F125,Declarations!$B$6:$F$293,5,FALSE)="","NOT DECLARED",VLOOKUP($F125,Declarations!$B$6:$F$293,5,FALSE)))</f>
        <v/>
      </c>
      <c r="E125" s="120" t="str">
        <f>IF(ISNA(VLOOKUP($F125,Declarations!$B$6:$D$293,3,FALSE)),"",IF(VLOOKUP($F125,Declarations!$B$6:$D$293,3,FALSE)="","NOT DECLARED",VLOOKUP($F125,Declarations!$B$6:$D$293,3,FALSE)&amp;LEFT(VLOOKUP($F125,Declarations!$B$6:$E$293,4,FALSE))))</f>
        <v/>
      </c>
      <c r="F125" s="21"/>
      <c r="G125" s="22"/>
      <c r="H125" s="322"/>
      <c r="I125" s="8" t="str">
        <f>IF(ISNA(VLOOKUP(F125,Declarations!B$6:C$293,2,FALSE)),"",IF(VLOOKUP(F125,Declarations!B$6:C$293,2,FALSE)="","NOT DECLARED",VLOOKUP(F125,Declarations!B$6:C$293,2,FALSE)))</f>
        <v/>
      </c>
      <c r="J125" s="2">
        <f>IF(LOWER(LEFT(G125,1))="n",1,VLOOKUP(G125,ScoringTable!E$2:I$95,5))</f>
        <v>0</v>
      </c>
      <c r="K125" s="120" t="str" cm="1">
        <f t="array" ref="K125">IF(OR(E125="",G125=""),"",_xlfn.IFS(E125="U10B",_xlfn.XLOOKUP(G125,Data!$D$4:$L$4,Data!$D$1:$L$1,"",-1,1),E125="U12B",_xlfn.XLOOKUP(G125,Data!$D$11:$L$11,Data!$D$1:$L$1,"",-1,1),E125="U10G",_xlfn.XLOOKUP(G125,Data!$D$17:$L$17,Data!$D$1:$L$1,"",-1,1),E125="U12G",_xlfn.XLOOKUP(G125,Data!$D$24:$L$24,Data!$D$1:$L$1,"",-1,1)))</f>
        <v/>
      </c>
      <c r="L125" s="184" t="str" cm="1">
        <f t="array" ref="L125">IFERROR(_xlfn.IFNA(
                      _xlfn.IFS(
                      F125="", "",
                      AND(E125="U10B",G125&gt;=Data!$M$4), "U10 Boys record",
                      AND(E125="U12B",G125&gt;=Data!$M$11), "U12 Boys record",
                      AND(E125="U10G",G125&gt;=Data!$M$17), "U10 Girls record",
                      AND(E125="U12G",G125&gt;=Data!$M$24), "U12 Girls record"
                       ),""), "")</f>
        <v/>
      </c>
      <c r="M125" s="19" cm="1">
        <f t="array" ref="M125">_xlfn.IFS($G125="",0,AND(NOT(ISNUMBER($G125)),LOWER(LEFT($G125,1))&lt;&gt;"n"),"Not a valid distance",OR(LOWER(LEFT($G125,1))="n",$G125&lt;ScoringTable!$P$161),1,RIGHT($E125,1)="B",_xlfn.XLOOKUP($G125,ScoringTable!$P$2:$P$161,ScoringTable!$L$2:$L$161,,-1),TRUE,_xlfn.XLOOKUP($G125,ScoringTable!$V$2:$V$161,ScoringTable!$R$2:$R$161,,-1))</f>
        <v>0</v>
      </c>
    </row>
    <row r="126" spans="1:13" ht="16" customHeight="1">
      <c r="A126" s="82" t="s">
        <v>27</v>
      </c>
      <c r="B126" s="81" t="str">
        <f>IF(ISNA(VLOOKUP($F126,Declarations!B$6:C$293,2,FALSE)),"",IF(VLOOKUP($F126,Declarations!B$6:C$293,2,FALSE)="","NOT DECLARED",IF(ISNA(_xlfn.TEXTBEFORE(VLOOKUP($F126,Declarations!B$6:C$293,2,FALSE)," ")),VLOOKUP($F126,Declarations!B$6:C$293,2,FALSE),_xlfn.TEXTBEFORE(VLOOKUP($F126,Declarations!B$6:C$293,2,FALSE)," "))))</f>
        <v/>
      </c>
      <c r="C126" s="81" t="str">
        <f>IF(ISNA(VLOOKUP($F126,Declarations!B$6:C$293,2,FALSE)),"",IF(VLOOKUP($F126,Declarations!B$6:C$293,2,FALSE)="","NOT DECLARED",IF(ISNA(_xlfn.TEXTAFTER(VLOOKUP($F126,Declarations!B$6:C$293,2,FALSE)," ")),VLOOKUP($F126,Declarations!B$6:C$293,2,FALSE),_xlfn.TEXTAFTER(VLOOKUP($F126,Declarations!B$6:C$293,2,FALSE)," "))))</f>
        <v/>
      </c>
      <c r="D126" s="81" t="str">
        <f>IF(ISNA(VLOOKUP($F126,Declarations!$B$6:$F$293,5,FALSE)),"",IF(VLOOKUP($F126,Declarations!$B$6:$F$293,5,FALSE)="","NOT DECLARED",VLOOKUP($F126,Declarations!$B$6:$F$293,5,FALSE)))</f>
        <v/>
      </c>
      <c r="E126" s="120" t="str">
        <f>IF(ISNA(VLOOKUP($F126,Declarations!$B$6:$D$293,3,FALSE)),"",IF(VLOOKUP($F126,Declarations!$B$6:$D$293,3,FALSE)="","NOT DECLARED",VLOOKUP($F126,Declarations!$B$6:$D$293,3,FALSE)&amp;LEFT(VLOOKUP($F126,Declarations!$B$6:$E$293,4,FALSE))))</f>
        <v/>
      </c>
      <c r="F126" s="21"/>
      <c r="G126" s="22"/>
      <c r="H126" s="322"/>
      <c r="I126" s="8" t="str">
        <f>IF(ISNA(VLOOKUP(F126,Declarations!B$6:C$293,2,FALSE)),"",IF(VLOOKUP(F126,Declarations!B$6:C$293,2,FALSE)="","NOT DECLARED",VLOOKUP(F126,Declarations!B$6:C$293,2,FALSE)))</f>
        <v/>
      </c>
      <c r="J126" s="2">
        <f>IF(LOWER(LEFT(G126,1))="n",1,VLOOKUP(G126,ScoringTable!E$2:I$95,5))</f>
        <v>0</v>
      </c>
      <c r="K126" s="120" t="str" cm="1">
        <f t="array" ref="K126">IF(OR(E126="",G126=""),"",_xlfn.IFS(E126="U10B",_xlfn.XLOOKUP(G126,Data!$D$4:$L$4,Data!$D$1:$L$1,"",-1,1),E126="U12B",_xlfn.XLOOKUP(G126,Data!$D$11:$L$11,Data!$D$1:$L$1,"",-1,1),E126="U10G",_xlfn.XLOOKUP(G126,Data!$D$17:$L$17,Data!$D$1:$L$1,"",-1,1),E126="U12G",_xlfn.XLOOKUP(G126,Data!$D$24:$L$24,Data!$D$1:$L$1,"",-1,1)))</f>
        <v/>
      </c>
      <c r="L126" s="184" t="str" cm="1">
        <f t="array" ref="L126">IFERROR(_xlfn.IFNA(
                      _xlfn.IFS(
                      F126="", "",
                      AND(E126="U10B",G126&gt;=Data!$M$4), "U10 Boys record",
                      AND(E126="U12B",G126&gt;=Data!$M$11), "U12 Boys record",
                      AND(E126="U10G",G126&gt;=Data!$M$17), "U10 Girls record",
                      AND(E126="U12G",G126&gt;=Data!$M$24), "U12 Girls record"
                       ),""), "")</f>
        <v/>
      </c>
      <c r="M126" s="19" cm="1">
        <f t="array" ref="M126">_xlfn.IFS($G126="",0,AND(NOT(ISNUMBER($G126)),LOWER(LEFT($G126,1))&lt;&gt;"n"),"Not a valid distance",OR(LOWER(LEFT($G126,1))="n",$G126&lt;ScoringTable!$P$161),1,RIGHT($E126,1)="B",_xlfn.XLOOKUP($G126,ScoringTable!$P$2:$P$161,ScoringTable!$L$2:$L$161,,-1),TRUE,_xlfn.XLOOKUP($G126,ScoringTable!$V$2:$V$161,ScoringTable!$R$2:$R$161,,-1))</f>
        <v>0</v>
      </c>
    </row>
    <row r="127" spans="1:13" ht="16" customHeight="1">
      <c r="A127" s="82" t="s">
        <v>27</v>
      </c>
      <c r="B127" s="81" t="str">
        <f>IF(ISNA(VLOOKUP($F127,Declarations!B$6:C$293,2,FALSE)),"",IF(VLOOKUP($F127,Declarations!B$6:C$293,2,FALSE)="","NOT DECLARED",IF(ISNA(_xlfn.TEXTBEFORE(VLOOKUP($F127,Declarations!B$6:C$293,2,FALSE)," ")),VLOOKUP($F127,Declarations!B$6:C$293,2,FALSE),_xlfn.TEXTBEFORE(VLOOKUP($F127,Declarations!B$6:C$293,2,FALSE)," "))))</f>
        <v/>
      </c>
      <c r="C127" s="81" t="str">
        <f>IF(ISNA(VLOOKUP($F127,Declarations!B$6:C$293,2,FALSE)),"",IF(VLOOKUP($F127,Declarations!B$6:C$293,2,FALSE)="","NOT DECLARED",IF(ISNA(_xlfn.TEXTAFTER(VLOOKUP($F127,Declarations!B$6:C$293,2,FALSE)," ")),VLOOKUP($F127,Declarations!B$6:C$293,2,FALSE),_xlfn.TEXTAFTER(VLOOKUP($F127,Declarations!B$6:C$293,2,FALSE)," "))))</f>
        <v/>
      </c>
      <c r="D127" s="81" t="str">
        <f>IF(ISNA(VLOOKUP($F127,Declarations!$B$6:$F$293,5,FALSE)),"",IF(VLOOKUP($F127,Declarations!$B$6:$F$293,5,FALSE)="","NOT DECLARED",VLOOKUP($F127,Declarations!$B$6:$F$293,5,FALSE)))</f>
        <v/>
      </c>
      <c r="E127" s="120" t="str">
        <f>IF(ISNA(VLOOKUP($F127,Declarations!$B$6:$D$293,3,FALSE)),"",IF(VLOOKUP($F127,Declarations!$B$6:$D$293,3,FALSE)="","NOT DECLARED",VLOOKUP($F127,Declarations!$B$6:$D$293,3,FALSE)&amp;LEFT(VLOOKUP($F127,Declarations!$B$6:$E$293,4,FALSE))))</f>
        <v/>
      </c>
      <c r="F127" s="21"/>
      <c r="G127" s="22"/>
      <c r="H127" s="322"/>
      <c r="I127" s="8" t="str">
        <f>IF(ISNA(VLOOKUP(F127,Declarations!B$6:C$293,2,FALSE)),"",IF(VLOOKUP(F127,Declarations!B$6:C$293,2,FALSE)="","NOT DECLARED",VLOOKUP(F127,Declarations!B$6:C$293,2,FALSE)))</f>
        <v/>
      </c>
      <c r="J127" s="2">
        <f>IF(LOWER(LEFT(G127,1))="n",1,VLOOKUP(G127,ScoringTable!E$2:I$95,5))</f>
        <v>0</v>
      </c>
      <c r="K127" s="120" t="str" cm="1">
        <f t="array" ref="K127">IF(OR(E127="",G127=""),"",_xlfn.IFS(E127="U10B",_xlfn.XLOOKUP(G127,Data!$D$4:$L$4,Data!$D$1:$L$1,"",-1,1),E127="U12B",_xlfn.XLOOKUP(G127,Data!$D$11:$L$11,Data!$D$1:$L$1,"",-1,1),E127="U10G",_xlfn.XLOOKUP(G127,Data!$D$17:$L$17,Data!$D$1:$L$1,"",-1,1),E127="U12G",_xlfn.XLOOKUP(G127,Data!$D$24:$L$24,Data!$D$1:$L$1,"",-1,1)))</f>
        <v/>
      </c>
      <c r="L127" s="184" t="str" cm="1">
        <f t="array" ref="L127">IFERROR(_xlfn.IFNA(
                      _xlfn.IFS(
                      F127="", "",
                      AND(E127="U10B",G127&gt;=Data!$M$4), "U10 Boys record",
                      AND(E127="U12B",G127&gt;=Data!$M$11), "U12 Boys record",
                      AND(E127="U10G",G127&gt;=Data!$M$17), "U10 Girls record",
                      AND(E127="U12G",G127&gt;=Data!$M$24), "U12 Girls record"
                       ),""), "")</f>
        <v/>
      </c>
      <c r="M127" s="19" cm="1">
        <f t="array" ref="M127">_xlfn.IFS($G127="",0,AND(NOT(ISNUMBER($G127)),LOWER(LEFT($G127,1))&lt;&gt;"n"),"Not a valid distance",OR(LOWER(LEFT($G127,1))="n",$G127&lt;ScoringTable!$P$161),1,RIGHT($E127,1)="B",_xlfn.XLOOKUP($G127,ScoringTable!$P$2:$P$161,ScoringTable!$L$2:$L$161,,-1),TRUE,_xlfn.XLOOKUP($G127,ScoringTable!$V$2:$V$161,ScoringTable!$R$2:$R$161,,-1))</f>
        <v>0</v>
      </c>
    </row>
    <row r="128" spans="1:13" ht="16" customHeight="1">
      <c r="A128" s="82" t="s">
        <v>27</v>
      </c>
      <c r="B128" s="81" t="str">
        <f>IF(ISNA(VLOOKUP($F128,Declarations!B$6:C$293,2,FALSE)),"",IF(VLOOKUP($F128,Declarations!B$6:C$293,2,FALSE)="","NOT DECLARED",IF(ISNA(_xlfn.TEXTBEFORE(VLOOKUP($F128,Declarations!B$6:C$293,2,FALSE)," ")),VLOOKUP($F128,Declarations!B$6:C$293,2,FALSE),_xlfn.TEXTBEFORE(VLOOKUP($F128,Declarations!B$6:C$293,2,FALSE)," "))))</f>
        <v/>
      </c>
      <c r="C128" s="81" t="str">
        <f>IF(ISNA(VLOOKUP($F128,Declarations!B$6:C$293,2,FALSE)),"",IF(VLOOKUP($F128,Declarations!B$6:C$293,2,FALSE)="","NOT DECLARED",IF(ISNA(_xlfn.TEXTAFTER(VLOOKUP($F128,Declarations!B$6:C$293,2,FALSE)," ")),VLOOKUP($F128,Declarations!B$6:C$293,2,FALSE),_xlfn.TEXTAFTER(VLOOKUP($F128,Declarations!B$6:C$293,2,FALSE)," "))))</f>
        <v/>
      </c>
      <c r="D128" s="81" t="str">
        <f>IF(ISNA(VLOOKUP($F128,Declarations!$B$6:$F$293,5,FALSE)),"",IF(VLOOKUP($F128,Declarations!$B$6:$F$293,5,FALSE)="","NOT DECLARED",VLOOKUP($F128,Declarations!$B$6:$F$293,5,FALSE)))</f>
        <v/>
      </c>
      <c r="E128" s="120" t="str">
        <f>IF(ISNA(VLOOKUP($F128,Declarations!$B$6:$D$293,3,FALSE)),"",IF(VLOOKUP($F128,Declarations!$B$6:$D$293,3,FALSE)="","NOT DECLARED",VLOOKUP($F128,Declarations!$B$6:$D$293,3,FALSE)&amp;LEFT(VLOOKUP($F128,Declarations!$B$6:$E$293,4,FALSE))))</f>
        <v/>
      </c>
      <c r="F128" s="21"/>
      <c r="G128" s="22"/>
      <c r="H128" s="322"/>
      <c r="I128" s="8" t="str">
        <f>IF(ISNA(VLOOKUP(F128,Declarations!B$6:C$293,2,FALSE)),"",IF(VLOOKUP(F128,Declarations!B$6:C$293,2,FALSE)="","NOT DECLARED",VLOOKUP(F128,Declarations!B$6:C$293,2,FALSE)))</f>
        <v/>
      </c>
      <c r="J128" s="2">
        <f>IF(LOWER(LEFT(G128,1))="n",1,VLOOKUP(G128,ScoringTable!E$2:I$95,5))</f>
        <v>0</v>
      </c>
      <c r="K128" s="120" t="str" cm="1">
        <f t="array" ref="K128">IF(OR(E128="",G128=""),"",_xlfn.IFS(E128="U10B",_xlfn.XLOOKUP(G128,Data!$D$4:$L$4,Data!$D$1:$L$1,"",-1,1),E128="U12B",_xlfn.XLOOKUP(G128,Data!$D$11:$L$11,Data!$D$1:$L$1,"",-1,1),E128="U10G",_xlfn.XLOOKUP(G128,Data!$D$17:$L$17,Data!$D$1:$L$1,"",-1,1),E128="U12G",_xlfn.XLOOKUP(G128,Data!$D$24:$L$24,Data!$D$1:$L$1,"",-1,1)))</f>
        <v/>
      </c>
      <c r="L128" s="184" t="str" cm="1">
        <f t="array" ref="L128">IFERROR(_xlfn.IFNA(
                      _xlfn.IFS(
                      F128="", "",
                      AND(E128="U10B",G128&gt;=Data!$M$4), "U10 Boys record",
                      AND(E128="U12B",G128&gt;=Data!$M$11), "U12 Boys record",
                      AND(E128="U10G",G128&gt;=Data!$M$17), "U10 Girls record",
                      AND(E128="U12G",G128&gt;=Data!$M$24), "U12 Girls record"
                       ),""), "")</f>
        <v/>
      </c>
      <c r="M128" s="19" cm="1">
        <f t="array" ref="M128">_xlfn.IFS($G128="",0,AND(NOT(ISNUMBER($G128)),LOWER(LEFT($G128,1))&lt;&gt;"n"),"Not a valid distance",OR(LOWER(LEFT($G128,1))="n",$G128&lt;ScoringTable!$P$161),1,RIGHT($E128,1)="B",_xlfn.XLOOKUP($G128,ScoringTable!$P$2:$P$161,ScoringTable!$L$2:$L$161,,-1),TRUE,_xlfn.XLOOKUP($G128,ScoringTable!$V$2:$V$161,ScoringTable!$R$2:$R$161,,-1))</f>
        <v>0</v>
      </c>
    </row>
    <row r="129" spans="1:13" ht="16" customHeight="1">
      <c r="A129" s="82" t="s">
        <v>27</v>
      </c>
      <c r="B129" s="81" t="str">
        <f>IF(ISNA(VLOOKUP($F129,Declarations!B$6:C$293,2,FALSE)),"",IF(VLOOKUP($F129,Declarations!B$6:C$293,2,FALSE)="","NOT DECLARED",IF(ISNA(_xlfn.TEXTBEFORE(VLOOKUP($F129,Declarations!B$6:C$293,2,FALSE)," ")),VLOOKUP($F129,Declarations!B$6:C$293,2,FALSE),_xlfn.TEXTBEFORE(VLOOKUP($F129,Declarations!B$6:C$293,2,FALSE)," "))))</f>
        <v/>
      </c>
      <c r="C129" s="81" t="str">
        <f>IF(ISNA(VLOOKUP($F129,Declarations!B$6:C$293,2,FALSE)),"",IF(VLOOKUP($F129,Declarations!B$6:C$293,2,FALSE)="","NOT DECLARED",IF(ISNA(_xlfn.TEXTAFTER(VLOOKUP($F129,Declarations!B$6:C$293,2,FALSE)," ")),VLOOKUP($F129,Declarations!B$6:C$293,2,FALSE),_xlfn.TEXTAFTER(VLOOKUP($F129,Declarations!B$6:C$293,2,FALSE)," "))))</f>
        <v/>
      </c>
      <c r="D129" s="81" t="str">
        <f>IF(ISNA(VLOOKUP($F129,Declarations!$B$6:$F$293,5,FALSE)),"",IF(VLOOKUP($F129,Declarations!$B$6:$F$293,5,FALSE)="","NOT DECLARED",VLOOKUP($F129,Declarations!$B$6:$F$293,5,FALSE)))</f>
        <v/>
      </c>
      <c r="E129" s="120" t="str">
        <f>IF(ISNA(VLOOKUP($F129,Declarations!$B$6:$D$293,3,FALSE)),"",IF(VLOOKUP($F129,Declarations!$B$6:$D$293,3,FALSE)="","NOT DECLARED",VLOOKUP($F129,Declarations!$B$6:$D$293,3,FALSE)&amp;LEFT(VLOOKUP($F129,Declarations!$B$6:$E$293,4,FALSE))))</f>
        <v/>
      </c>
      <c r="F129" s="21"/>
      <c r="G129" s="22"/>
      <c r="H129" s="322"/>
      <c r="I129" s="8" t="str">
        <f>IF(ISNA(VLOOKUP(F129,Declarations!B$6:C$293,2,FALSE)),"",IF(VLOOKUP(F129,Declarations!B$6:C$293,2,FALSE)="","NOT DECLARED",VLOOKUP(F129,Declarations!B$6:C$293,2,FALSE)))</f>
        <v/>
      </c>
      <c r="J129" s="2">
        <f>IF(LOWER(LEFT(G129,1))="n",1,VLOOKUP(G129,ScoringTable!E$2:I$95,5))</f>
        <v>0</v>
      </c>
      <c r="K129" s="120" t="str" cm="1">
        <f t="array" ref="K129">IF(OR(E129="",G129=""),"",_xlfn.IFS(E129="U10B",_xlfn.XLOOKUP(G129,Data!$D$4:$L$4,Data!$D$1:$L$1,"",-1,1),E129="U12B",_xlfn.XLOOKUP(G129,Data!$D$11:$L$11,Data!$D$1:$L$1,"",-1,1),E129="U10G",_xlfn.XLOOKUP(G129,Data!$D$17:$L$17,Data!$D$1:$L$1,"",-1,1),E129="U12G",_xlfn.XLOOKUP(G129,Data!$D$24:$L$24,Data!$D$1:$L$1,"",-1,1)))</f>
        <v/>
      </c>
      <c r="L129" s="184" t="str" cm="1">
        <f t="array" ref="L129">IFERROR(_xlfn.IFNA(
                      _xlfn.IFS(
                      F129="", "",
                      AND(E129="U10B",G129&gt;=Data!$M$4), "U10 Boys record",
                      AND(E129="U12B",G129&gt;=Data!$M$11), "U12 Boys record",
                      AND(E129="U10G",G129&gt;=Data!$M$17), "U10 Girls record",
                      AND(E129="U12G",G129&gt;=Data!$M$24), "U12 Girls record"
                       ),""), "")</f>
        <v/>
      </c>
      <c r="M129" s="19" cm="1">
        <f t="array" ref="M129">_xlfn.IFS($G129="",0,AND(NOT(ISNUMBER($G129)),LOWER(LEFT($G129,1))&lt;&gt;"n"),"Not a valid distance",OR(LOWER(LEFT($G129,1))="n",$G129&lt;ScoringTable!$P$161),1,RIGHT($E129,1)="B",_xlfn.XLOOKUP($G129,ScoringTable!$P$2:$P$161,ScoringTable!$L$2:$L$161,,-1),TRUE,_xlfn.XLOOKUP($G129,ScoringTable!$V$2:$V$161,ScoringTable!$R$2:$R$161,,-1))</f>
        <v>0</v>
      </c>
    </row>
    <row r="130" spans="1:13" ht="16" customHeight="1">
      <c r="A130" s="82" t="s">
        <v>27</v>
      </c>
      <c r="B130" s="81" t="str">
        <f>IF(ISNA(VLOOKUP($F130,Declarations!B$6:C$293,2,FALSE)),"",IF(VLOOKUP($F130,Declarations!B$6:C$293,2,FALSE)="","NOT DECLARED",IF(ISNA(_xlfn.TEXTBEFORE(VLOOKUP($F130,Declarations!B$6:C$293,2,FALSE)," ")),VLOOKUP($F130,Declarations!B$6:C$293,2,FALSE),_xlfn.TEXTBEFORE(VLOOKUP($F130,Declarations!B$6:C$293,2,FALSE)," "))))</f>
        <v/>
      </c>
      <c r="C130" s="81" t="str">
        <f>IF(ISNA(VLOOKUP($F130,Declarations!B$6:C$293,2,FALSE)),"",IF(VLOOKUP($F130,Declarations!B$6:C$293,2,FALSE)="","NOT DECLARED",IF(ISNA(_xlfn.TEXTAFTER(VLOOKUP($F130,Declarations!B$6:C$293,2,FALSE)," ")),VLOOKUP($F130,Declarations!B$6:C$293,2,FALSE),_xlfn.TEXTAFTER(VLOOKUP($F130,Declarations!B$6:C$293,2,FALSE)," "))))</f>
        <v/>
      </c>
      <c r="D130" s="81" t="str">
        <f>IF(ISNA(VLOOKUP($F130,Declarations!$B$6:$F$293,5,FALSE)),"",IF(VLOOKUP($F130,Declarations!$B$6:$F$293,5,FALSE)="","NOT DECLARED",VLOOKUP($F130,Declarations!$B$6:$F$293,5,FALSE)))</f>
        <v/>
      </c>
      <c r="E130" s="120" t="str">
        <f>IF(ISNA(VLOOKUP($F130,Declarations!$B$6:$D$293,3,FALSE)),"",IF(VLOOKUP($F130,Declarations!$B$6:$D$293,3,FALSE)="","NOT DECLARED",VLOOKUP($F130,Declarations!$B$6:$D$293,3,FALSE)&amp;LEFT(VLOOKUP($F130,Declarations!$B$6:$E$293,4,FALSE))))</f>
        <v/>
      </c>
      <c r="F130" s="21"/>
      <c r="G130" s="22"/>
      <c r="H130" s="322"/>
      <c r="I130" s="8" t="str">
        <f>IF(ISNA(VLOOKUP(F130,Declarations!B$6:C$293,2,FALSE)),"",IF(VLOOKUP(F130,Declarations!B$6:C$293,2,FALSE)="","NOT DECLARED",VLOOKUP(F130,Declarations!B$6:C$293,2,FALSE)))</f>
        <v/>
      </c>
      <c r="J130" s="2">
        <f>IF(LOWER(LEFT(G130,1))="n",1,VLOOKUP(G130,ScoringTable!E$2:I$95,5))</f>
        <v>0</v>
      </c>
      <c r="K130" s="120" t="str" cm="1">
        <f t="array" ref="K130">IF(OR(E130="",G130=""),"",_xlfn.IFS(E130="U10B",_xlfn.XLOOKUP(G130,Data!$D$4:$L$4,Data!$D$1:$L$1,"",-1,1),E130="U12B",_xlfn.XLOOKUP(G130,Data!$D$11:$L$11,Data!$D$1:$L$1,"",-1,1),E130="U10G",_xlfn.XLOOKUP(G130,Data!$D$17:$L$17,Data!$D$1:$L$1,"",-1,1),E130="U12G",_xlfn.XLOOKUP(G130,Data!$D$24:$L$24,Data!$D$1:$L$1,"",-1,1)))</f>
        <v/>
      </c>
      <c r="L130" s="184" t="str" cm="1">
        <f t="array" ref="L130">IFERROR(_xlfn.IFNA(
                      _xlfn.IFS(
                      F130="", "",
                      AND(E130="U10B",G130&gt;=Data!$M$4), "U10 Boys record",
                      AND(E130="U12B",G130&gt;=Data!$M$11), "U12 Boys record",
                      AND(E130="U10G",G130&gt;=Data!$M$17), "U10 Girls record",
                      AND(E130="U12G",G130&gt;=Data!$M$24), "U12 Girls record"
                       ),""), "")</f>
        <v/>
      </c>
      <c r="M130" s="19" cm="1">
        <f t="array" ref="M130">_xlfn.IFS($G130="",0,AND(NOT(ISNUMBER($G130)),LOWER(LEFT($G130,1))&lt;&gt;"n"),"Not a valid distance",OR(LOWER(LEFT($G130,1))="n",$G130&lt;ScoringTable!$P$161),1,RIGHT($E130,1)="B",_xlfn.XLOOKUP($G130,ScoringTable!$P$2:$P$161,ScoringTable!$L$2:$L$161,,-1),TRUE,_xlfn.XLOOKUP($G130,ScoringTable!$V$2:$V$161,ScoringTable!$R$2:$R$161,,-1))</f>
        <v>0</v>
      </c>
    </row>
    <row r="131" spans="1:13" ht="16" customHeight="1">
      <c r="A131" s="82" t="s">
        <v>27</v>
      </c>
      <c r="B131" s="81" t="str">
        <f>IF(ISNA(VLOOKUP($F131,Declarations!B$6:C$293,2,FALSE)),"",IF(VLOOKUP($F131,Declarations!B$6:C$293,2,FALSE)="","NOT DECLARED",IF(ISNA(_xlfn.TEXTBEFORE(VLOOKUP($F131,Declarations!B$6:C$293,2,FALSE)," ")),VLOOKUP($F131,Declarations!B$6:C$293,2,FALSE),_xlfn.TEXTBEFORE(VLOOKUP($F131,Declarations!B$6:C$293,2,FALSE)," "))))</f>
        <v/>
      </c>
      <c r="C131" s="81" t="str">
        <f>IF(ISNA(VLOOKUP($F131,Declarations!B$6:C$293,2,FALSE)),"",IF(VLOOKUP($F131,Declarations!B$6:C$293,2,FALSE)="","NOT DECLARED",IF(ISNA(_xlfn.TEXTAFTER(VLOOKUP($F131,Declarations!B$6:C$293,2,FALSE)," ")),VLOOKUP($F131,Declarations!B$6:C$293,2,FALSE),_xlfn.TEXTAFTER(VLOOKUP($F131,Declarations!B$6:C$293,2,FALSE)," "))))</f>
        <v/>
      </c>
      <c r="D131" s="81" t="str">
        <f>IF(ISNA(VLOOKUP($F131,Declarations!$B$6:$F$293,5,FALSE)),"",IF(VLOOKUP($F131,Declarations!$B$6:$F$293,5,FALSE)="","NOT DECLARED",VLOOKUP($F131,Declarations!$B$6:$F$293,5,FALSE)))</f>
        <v/>
      </c>
      <c r="E131" s="120" t="str">
        <f>IF(ISNA(VLOOKUP($F131,Declarations!$B$6:$D$293,3,FALSE)),"",IF(VLOOKUP($F131,Declarations!$B$6:$D$293,3,FALSE)="","NOT DECLARED",VLOOKUP($F131,Declarations!$B$6:$D$293,3,FALSE)&amp;LEFT(VLOOKUP($F131,Declarations!$B$6:$E$293,4,FALSE))))</f>
        <v/>
      </c>
      <c r="F131" s="21"/>
      <c r="G131" s="22"/>
      <c r="H131" s="322"/>
      <c r="I131" s="8" t="str">
        <f>IF(ISNA(VLOOKUP(F131,Declarations!B$6:C$293,2,FALSE)),"",IF(VLOOKUP(F131,Declarations!B$6:C$293,2,FALSE)="","NOT DECLARED",VLOOKUP(F131,Declarations!B$6:C$293,2,FALSE)))</f>
        <v/>
      </c>
      <c r="J131" s="2">
        <f>IF(LOWER(LEFT(G131,1))="n",1,VLOOKUP(G131,ScoringTable!E$2:I$95,5))</f>
        <v>0</v>
      </c>
      <c r="K131" s="120" t="str" cm="1">
        <f t="array" ref="K131">IF(OR(E131="",G131=""),"",_xlfn.IFS(E131="U10B",_xlfn.XLOOKUP(G131,Data!$D$4:$L$4,Data!$D$1:$L$1,"",-1,1),E131="U12B",_xlfn.XLOOKUP(G131,Data!$D$11:$L$11,Data!$D$1:$L$1,"",-1,1),E131="U10G",_xlfn.XLOOKUP(G131,Data!$D$17:$L$17,Data!$D$1:$L$1,"",-1,1),E131="U12G",_xlfn.XLOOKUP(G131,Data!$D$24:$L$24,Data!$D$1:$L$1,"",-1,1)))</f>
        <v/>
      </c>
      <c r="L131" s="184" t="str" cm="1">
        <f t="array" ref="L131">IFERROR(_xlfn.IFNA(
                      _xlfn.IFS(
                      F131="", "",
                      AND(E131="U10B",G131&gt;=Data!$M$4), "U10 Boys record",
                      AND(E131="U12B",G131&gt;=Data!$M$11), "U12 Boys record",
                      AND(E131="U10G",G131&gt;=Data!$M$17), "U10 Girls record",
                      AND(E131="U12G",G131&gt;=Data!$M$24), "U12 Girls record"
                       ),""), "")</f>
        <v/>
      </c>
      <c r="M131" s="19" cm="1">
        <f t="array" ref="M131">_xlfn.IFS($G131="",0,AND(NOT(ISNUMBER($G131)),LOWER(LEFT($G131,1))&lt;&gt;"n"),"Not a valid distance",OR(LOWER(LEFT($G131,1))="n",$G131&lt;ScoringTable!$P$161),1,RIGHT($E131,1)="B",_xlfn.XLOOKUP($G131,ScoringTable!$P$2:$P$161,ScoringTable!$L$2:$L$161,,-1),TRUE,_xlfn.XLOOKUP($G131,ScoringTable!$V$2:$V$161,ScoringTable!$R$2:$R$161,,-1))</f>
        <v>0</v>
      </c>
    </row>
    <row r="132" spans="1:13" ht="16" customHeight="1">
      <c r="A132" s="82" t="s">
        <v>27</v>
      </c>
      <c r="B132" s="81" t="str">
        <f>IF(ISNA(VLOOKUP($F132,Declarations!B$6:C$293,2,FALSE)),"",IF(VLOOKUP($F132,Declarations!B$6:C$293,2,FALSE)="","NOT DECLARED",IF(ISNA(_xlfn.TEXTBEFORE(VLOOKUP($F132,Declarations!B$6:C$293,2,FALSE)," ")),VLOOKUP($F132,Declarations!B$6:C$293,2,FALSE),_xlfn.TEXTBEFORE(VLOOKUP($F132,Declarations!B$6:C$293,2,FALSE)," "))))</f>
        <v/>
      </c>
      <c r="C132" s="81" t="str">
        <f>IF(ISNA(VLOOKUP($F132,Declarations!B$6:C$293,2,FALSE)),"",IF(VLOOKUP($F132,Declarations!B$6:C$293,2,FALSE)="","NOT DECLARED",IF(ISNA(_xlfn.TEXTAFTER(VLOOKUP($F132,Declarations!B$6:C$293,2,FALSE)," ")),VLOOKUP($F132,Declarations!B$6:C$293,2,FALSE),_xlfn.TEXTAFTER(VLOOKUP($F132,Declarations!B$6:C$293,2,FALSE)," "))))</f>
        <v/>
      </c>
      <c r="D132" s="81" t="str">
        <f>IF(ISNA(VLOOKUP($F132,Declarations!$B$6:$F$293,5,FALSE)),"",IF(VLOOKUP($F132,Declarations!$B$6:$F$293,5,FALSE)="","NOT DECLARED",VLOOKUP($F132,Declarations!$B$6:$F$293,5,FALSE)))</f>
        <v/>
      </c>
      <c r="E132" s="120" t="str">
        <f>IF(ISNA(VLOOKUP($F132,Declarations!$B$6:$D$293,3,FALSE)),"",IF(VLOOKUP($F132,Declarations!$B$6:$D$293,3,FALSE)="","NOT DECLARED",VLOOKUP($F132,Declarations!$B$6:$D$293,3,FALSE)&amp;LEFT(VLOOKUP($F132,Declarations!$B$6:$E$293,4,FALSE))))</f>
        <v/>
      </c>
      <c r="F132" s="21"/>
      <c r="G132" s="22"/>
      <c r="H132" s="322"/>
      <c r="I132" s="8" t="str">
        <f>IF(ISNA(VLOOKUP(F132,Declarations!B$6:C$293,2,FALSE)),"",IF(VLOOKUP(F132,Declarations!B$6:C$293,2,FALSE)="","NOT DECLARED",VLOOKUP(F132,Declarations!B$6:C$293,2,FALSE)))</f>
        <v/>
      </c>
      <c r="J132" s="2">
        <f>IF(LOWER(LEFT(G132,1))="n",1,VLOOKUP(G132,ScoringTable!E$2:I$95,5))</f>
        <v>0</v>
      </c>
      <c r="K132" s="120" t="str" cm="1">
        <f t="array" ref="K132">IF(OR(E132="",G132=""),"",_xlfn.IFS(E132="U10B",_xlfn.XLOOKUP(G132,Data!$D$4:$L$4,Data!$D$1:$L$1,"",-1,1),E132="U12B",_xlfn.XLOOKUP(G132,Data!$D$11:$L$11,Data!$D$1:$L$1,"",-1,1),E132="U10G",_xlfn.XLOOKUP(G132,Data!$D$17:$L$17,Data!$D$1:$L$1,"",-1,1),E132="U12G",_xlfn.XLOOKUP(G132,Data!$D$24:$L$24,Data!$D$1:$L$1,"",-1,1)))</f>
        <v/>
      </c>
      <c r="L132" s="184" t="str" cm="1">
        <f t="array" ref="L132">IFERROR(_xlfn.IFNA(
                      _xlfn.IFS(
                      F132="", "",
                      AND(E132="U10B",G132&gt;=Data!$M$4), "U10 Boys record",
                      AND(E132="U12B",G132&gt;=Data!$M$11), "U12 Boys record",
                      AND(E132="U10G",G132&gt;=Data!$M$17), "U10 Girls record",
                      AND(E132="U12G",G132&gt;=Data!$M$24), "U12 Girls record"
                       ),""), "")</f>
        <v/>
      </c>
      <c r="M132" s="19" cm="1">
        <f t="array" ref="M132">_xlfn.IFS($G132="",0,AND(NOT(ISNUMBER($G132)),LOWER(LEFT($G132,1))&lt;&gt;"n"),"Not a valid distance",OR(LOWER(LEFT($G132,1))="n",$G132&lt;ScoringTable!$P$161),1,RIGHT($E132,1)="B",_xlfn.XLOOKUP($G132,ScoringTable!$P$2:$P$161,ScoringTable!$L$2:$L$161,,-1),TRUE,_xlfn.XLOOKUP($G132,ScoringTable!$V$2:$V$161,ScoringTable!$R$2:$R$161,,-1))</f>
        <v>0</v>
      </c>
    </row>
    <row r="133" spans="1:13" ht="16" customHeight="1">
      <c r="A133" s="82" t="s">
        <v>27</v>
      </c>
      <c r="B133" s="81" t="str">
        <f>IF(ISNA(VLOOKUP($F133,Declarations!B$6:C$293,2,FALSE)),"",IF(VLOOKUP($F133,Declarations!B$6:C$293,2,FALSE)="","NOT DECLARED",IF(ISNA(_xlfn.TEXTBEFORE(VLOOKUP($F133,Declarations!B$6:C$293,2,FALSE)," ")),VLOOKUP($F133,Declarations!B$6:C$293,2,FALSE),_xlfn.TEXTBEFORE(VLOOKUP($F133,Declarations!B$6:C$293,2,FALSE)," "))))</f>
        <v/>
      </c>
      <c r="C133" s="81" t="str">
        <f>IF(ISNA(VLOOKUP($F133,Declarations!B$6:C$293,2,FALSE)),"",IF(VLOOKUP($F133,Declarations!B$6:C$293,2,FALSE)="","NOT DECLARED",IF(ISNA(_xlfn.TEXTAFTER(VLOOKUP($F133,Declarations!B$6:C$293,2,FALSE)," ")),VLOOKUP($F133,Declarations!B$6:C$293,2,FALSE),_xlfn.TEXTAFTER(VLOOKUP($F133,Declarations!B$6:C$293,2,FALSE)," "))))</f>
        <v/>
      </c>
      <c r="D133" s="81" t="str">
        <f>IF(ISNA(VLOOKUP($F133,Declarations!$B$6:$F$293,5,FALSE)),"",IF(VLOOKUP($F133,Declarations!$B$6:$F$293,5,FALSE)="","NOT DECLARED",VLOOKUP($F133,Declarations!$B$6:$F$293,5,FALSE)))</f>
        <v/>
      </c>
      <c r="E133" s="120" t="str">
        <f>IF(ISNA(VLOOKUP($F133,Declarations!$B$6:$D$293,3,FALSE)),"",IF(VLOOKUP($F133,Declarations!$B$6:$D$293,3,FALSE)="","NOT DECLARED",VLOOKUP($F133,Declarations!$B$6:$D$293,3,FALSE)&amp;LEFT(VLOOKUP($F133,Declarations!$B$6:$E$293,4,FALSE))))</f>
        <v/>
      </c>
      <c r="F133" s="21"/>
      <c r="G133" s="22"/>
      <c r="H133" s="322"/>
      <c r="I133" s="8" t="str">
        <f>IF(ISNA(VLOOKUP(F133,Declarations!B$6:C$293,2,FALSE)),"",IF(VLOOKUP(F133,Declarations!B$6:C$293,2,FALSE)="","NOT DECLARED",VLOOKUP(F133,Declarations!B$6:C$293,2,FALSE)))</f>
        <v/>
      </c>
      <c r="J133" s="2">
        <f>IF(LOWER(LEFT(G133,1))="n",1,VLOOKUP(G133,ScoringTable!E$2:I$95,5))</f>
        <v>0</v>
      </c>
      <c r="K133" s="120" t="str" cm="1">
        <f t="array" ref="K133">IF(OR(E133="",G133=""),"",_xlfn.IFS(E133="U10B",_xlfn.XLOOKUP(G133,Data!$D$4:$L$4,Data!$D$1:$L$1,"",-1,1),E133="U12B",_xlfn.XLOOKUP(G133,Data!$D$11:$L$11,Data!$D$1:$L$1,"",-1,1),E133="U10G",_xlfn.XLOOKUP(G133,Data!$D$17:$L$17,Data!$D$1:$L$1,"",-1,1),E133="U12G",_xlfn.XLOOKUP(G133,Data!$D$24:$L$24,Data!$D$1:$L$1,"",-1,1)))</f>
        <v/>
      </c>
      <c r="L133" s="184" t="str" cm="1">
        <f t="array" ref="L133">IFERROR(_xlfn.IFNA(
                      _xlfn.IFS(
                      F133="", "",
                      AND(E133="U10B",G133&gt;=Data!$M$4), "U10 Boys record",
                      AND(E133="U12B",G133&gt;=Data!$M$11), "U12 Boys record",
                      AND(E133="U10G",G133&gt;=Data!$M$17), "U10 Girls record",
                      AND(E133="U12G",G133&gt;=Data!$M$24), "U12 Girls record"
                       ),""), "")</f>
        <v/>
      </c>
      <c r="M133" s="19" cm="1">
        <f t="array" ref="M133">_xlfn.IFS($G133="",0,AND(NOT(ISNUMBER($G133)),LOWER(LEFT($G133,1))&lt;&gt;"n"),"Not a valid distance",OR(LOWER(LEFT($G133,1))="n",$G133&lt;ScoringTable!$P$161),1,RIGHT($E133,1)="B",_xlfn.XLOOKUP($G133,ScoringTable!$P$2:$P$161,ScoringTable!$L$2:$L$161,,-1),TRUE,_xlfn.XLOOKUP($G133,ScoringTable!$V$2:$V$161,ScoringTable!$R$2:$R$161,,-1))</f>
        <v>0</v>
      </c>
    </row>
    <row r="134" spans="1:13" ht="16" customHeight="1">
      <c r="A134" s="82" t="s">
        <v>27</v>
      </c>
      <c r="B134" s="81" t="str">
        <f>IF(ISNA(VLOOKUP($F134,Declarations!B$6:C$293,2,FALSE)),"",IF(VLOOKUP($F134,Declarations!B$6:C$293,2,FALSE)="","NOT DECLARED",IF(ISNA(_xlfn.TEXTBEFORE(VLOOKUP($F134,Declarations!B$6:C$293,2,FALSE)," ")),VLOOKUP($F134,Declarations!B$6:C$293,2,FALSE),_xlfn.TEXTBEFORE(VLOOKUP($F134,Declarations!B$6:C$293,2,FALSE)," "))))</f>
        <v/>
      </c>
      <c r="C134" s="81" t="str">
        <f>IF(ISNA(VLOOKUP($F134,Declarations!B$6:C$293,2,FALSE)),"",IF(VLOOKUP($F134,Declarations!B$6:C$293,2,FALSE)="","NOT DECLARED",IF(ISNA(_xlfn.TEXTAFTER(VLOOKUP($F134,Declarations!B$6:C$293,2,FALSE)," ")),VLOOKUP($F134,Declarations!B$6:C$293,2,FALSE),_xlfn.TEXTAFTER(VLOOKUP($F134,Declarations!B$6:C$293,2,FALSE)," "))))</f>
        <v/>
      </c>
      <c r="D134" s="81" t="str">
        <f>IF(ISNA(VLOOKUP($F134,Declarations!$B$6:$F$293,5,FALSE)),"",IF(VLOOKUP($F134,Declarations!$B$6:$F$293,5,FALSE)="","NOT DECLARED",VLOOKUP($F134,Declarations!$B$6:$F$293,5,FALSE)))</f>
        <v/>
      </c>
      <c r="E134" s="120" t="str">
        <f>IF(ISNA(VLOOKUP($F134,Declarations!$B$6:$D$293,3,FALSE)),"",IF(VLOOKUP($F134,Declarations!$B$6:$D$293,3,FALSE)="","NOT DECLARED",VLOOKUP($F134,Declarations!$B$6:$D$293,3,FALSE)&amp;LEFT(VLOOKUP($F134,Declarations!$B$6:$E$293,4,FALSE))))</f>
        <v/>
      </c>
      <c r="F134" s="21"/>
      <c r="G134" s="22"/>
      <c r="H134" s="322"/>
      <c r="I134" s="8" t="str">
        <f>IF(ISNA(VLOOKUP(F134,Declarations!B$6:C$293,2,FALSE)),"",IF(VLOOKUP(F134,Declarations!B$6:C$293,2,FALSE)="","NOT DECLARED",VLOOKUP(F134,Declarations!B$6:C$293,2,FALSE)))</f>
        <v/>
      </c>
      <c r="J134" s="2">
        <f>IF(LOWER(LEFT(G134,1))="n",1,VLOOKUP(G134,ScoringTable!E$2:I$95,5))</f>
        <v>0</v>
      </c>
      <c r="K134" s="120" t="str" cm="1">
        <f t="array" ref="K134">IF(OR(E134="",G134=""),"",_xlfn.IFS(E134="U10B",_xlfn.XLOOKUP(G134,Data!$D$4:$L$4,Data!$D$1:$L$1,"",-1,1),E134="U12B",_xlfn.XLOOKUP(G134,Data!$D$11:$L$11,Data!$D$1:$L$1,"",-1,1),E134="U10G",_xlfn.XLOOKUP(G134,Data!$D$17:$L$17,Data!$D$1:$L$1,"",-1,1),E134="U12G",_xlfn.XLOOKUP(G134,Data!$D$24:$L$24,Data!$D$1:$L$1,"",-1,1)))</f>
        <v/>
      </c>
      <c r="L134" s="184" t="str" cm="1">
        <f t="array" ref="L134">IFERROR(_xlfn.IFNA(
                      _xlfn.IFS(
                      F134="", "",
                      AND(E134="U10B",G134&gt;=Data!$M$4), "U10 Boys record",
                      AND(E134="U12B",G134&gt;=Data!$M$11), "U12 Boys record",
                      AND(E134="U10G",G134&gt;=Data!$M$17), "U10 Girls record",
                      AND(E134="U12G",G134&gt;=Data!$M$24), "U12 Girls record"
                       ),""), "")</f>
        <v/>
      </c>
      <c r="M134" s="19" cm="1">
        <f t="array" ref="M134">_xlfn.IFS($G134="",0,AND(NOT(ISNUMBER($G134)),LOWER(LEFT($G134,1))&lt;&gt;"n"),"Not a valid distance",OR(LOWER(LEFT($G134,1))="n",$G134&lt;ScoringTable!$P$161),1,RIGHT($E134,1)="B",_xlfn.XLOOKUP($G134,ScoringTable!$P$2:$P$161,ScoringTable!$L$2:$L$161,,-1),TRUE,_xlfn.XLOOKUP($G134,ScoringTable!$V$2:$V$161,ScoringTable!$R$2:$R$161,,-1))</f>
        <v>0</v>
      </c>
    </row>
    <row r="135" spans="1:13" ht="16" customHeight="1">
      <c r="A135" s="82" t="s">
        <v>27</v>
      </c>
      <c r="B135" s="81" t="str">
        <f>IF(ISNA(VLOOKUP($F135,Declarations!B$6:C$293,2,FALSE)),"",IF(VLOOKUP($F135,Declarations!B$6:C$293,2,FALSE)="","NOT DECLARED",IF(ISNA(_xlfn.TEXTBEFORE(VLOOKUP($F135,Declarations!B$6:C$293,2,FALSE)," ")),VLOOKUP($F135,Declarations!B$6:C$293,2,FALSE),_xlfn.TEXTBEFORE(VLOOKUP($F135,Declarations!B$6:C$293,2,FALSE)," "))))</f>
        <v/>
      </c>
      <c r="C135" s="81" t="str">
        <f>IF(ISNA(VLOOKUP($F135,Declarations!B$6:C$293,2,FALSE)),"",IF(VLOOKUP($F135,Declarations!B$6:C$293,2,FALSE)="","NOT DECLARED",IF(ISNA(_xlfn.TEXTAFTER(VLOOKUP($F135,Declarations!B$6:C$293,2,FALSE)," ")),VLOOKUP($F135,Declarations!B$6:C$293,2,FALSE),_xlfn.TEXTAFTER(VLOOKUP($F135,Declarations!B$6:C$293,2,FALSE)," "))))</f>
        <v/>
      </c>
      <c r="D135" s="81" t="str">
        <f>IF(ISNA(VLOOKUP($F135,Declarations!$B$6:$F$293,5,FALSE)),"",IF(VLOOKUP($F135,Declarations!$B$6:$F$293,5,FALSE)="","NOT DECLARED",VLOOKUP($F135,Declarations!$B$6:$F$293,5,FALSE)))</f>
        <v/>
      </c>
      <c r="E135" s="120" t="str">
        <f>IF(ISNA(VLOOKUP($F135,Declarations!$B$6:$D$293,3,FALSE)),"",IF(VLOOKUP($F135,Declarations!$B$6:$D$293,3,FALSE)="","NOT DECLARED",VLOOKUP($F135,Declarations!$B$6:$D$293,3,FALSE)&amp;LEFT(VLOOKUP($F135,Declarations!$B$6:$E$293,4,FALSE))))</f>
        <v/>
      </c>
      <c r="F135" s="21"/>
      <c r="G135" s="22"/>
      <c r="H135" s="322"/>
      <c r="I135" s="8" t="str">
        <f>IF(ISNA(VLOOKUP(F135,Declarations!B$6:C$293,2,FALSE)),"",IF(VLOOKUP(F135,Declarations!B$6:C$293,2,FALSE)="","NOT DECLARED",VLOOKUP(F135,Declarations!B$6:C$293,2,FALSE)))</f>
        <v/>
      </c>
      <c r="J135" s="2">
        <f>IF(LOWER(LEFT(G135,1))="n",1,VLOOKUP(G135,ScoringTable!E$2:I$95,5))</f>
        <v>0</v>
      </c>
      <c r="K135" s="120" t="str" cm="1">
        <f t="array" ref="K135">IF(OR(E135="",G135=""),"",_xlfn.IFS(E135="U10B",_xlfn.XLOOKUP(G135,Data!$D$4:$L$4,Data!$D$1:$L$1,"",-1,1),E135="U12B",_xlfn.XLOOKUP(G135,Data!$D$11:$L$11,Data!$D$1:$L$1,"",-1,1),E135="U10G",_xlfn.XLOOKUP(G135,Data!$D$17:$L$17,Data!$D$1:$L$1,"",-1,1),E135="U12G",_xlfn.XLOOKUP(G135,Data!$D$24:$L$24,Data!$D$1:$L$1,"",-1,1)))</f>
        <v/>
      </c>
      <c r="L135" s="184" t="str" cm="1">
        <f t="array" ref="L135">IFERROR(_xlfn.IFNA(
                      _xlfn.IFS(
                      F135="", "",
                      AND(E135="U10B",G135&gt;=Data!$M$4), "U10 Boys record",
                      AND(E135="U12B",G135&gt;=Data!$M$11), "U12 Boys record",
                      AND(E135="U10G",G135&gt;=Data!$M$17), "U10 Girls record",
                      AND(E135="U12G",G135&gt;=Data!$M$24), "U12 Girls record"
                       ),""), "")</f>
        <v/>
      </c>
      <c r="M135" s="19" cm="1">
        <f t="array" ref="M135">_xlfn.IFS($G135="",0,AND(NOT(ISNUMBER($G135)),LOWER(LEFT($G135,1))&lt;&gt;"n"),"Not a valid distance",OR(LOWER(LEFT($G135,1))="n",$G135&lt;ScoringTable!$P$161),1,RIGHT($E135,1)="B",_xlfn.XLOOKUP($G135,ScoringTable!$P$2:$P$161,ScoringTable!$L$2:$L$161,,-1),TRUE,_xlfn.XLOOKUP($G135,ScoringTable!$V$2:$V$161,ScoringTable!$R$2:$R$161,,-1))</f>
        <v>0</v>
      </c>
    </row>
    <row r="136" spans="1:13" ht="16" customHeight="1">
      <c r="A136" s="82" t="s">
        <v>27</v>
      </c>
      <c r="B136" s="81" t="str">
        <f>IF(ISNA(VLOOKUP($F136,Declarations!B$6:C$293,2,FALSE)),"",IF(VLOOKUP($F136,Declarations!B$6:C$293,2,FALSE)="","NOT DECLARED",IF(ISNA(_xlfn.TEXTBEFORE(VLOOKUP($F136,Declarations!B$6:C$293,2,FALSE)," ")),VLOOKUP($F136,Declarations!B$6:C$293,2,FALSE),_xlfn.TEXTBEFORE(VLOOKUP($F136,Declarations!B$6:C$293,2,FALSE)," "))))</f>
        <v/>
      </c>
      <c r="C136" s="81" t="str">
        <f>IF(ISNA(VLOOKUP($F136,Declarations!B$6:C$293,2,FALSE)),"",IF(VLOOKUP($F136,Declarations!B$6:C$293,2,FALSE)="","NOT DECLARED",IF(ISNA(_xlfn.TEXTAFTER(VLOOKUP($F136,Declarations!B$6:C$293,2,FALSE)," ")),VLOOKUP($F136,Declarations!B$6:C$293,2,FALSE),_xlfn.TEXTAFTER(VLOOKUP($F136,Declarations!B$6:C$293,2,FALSE)," "))))</f>
        <v/>
      </c>
      <c r="D136" s="81" t="str">
        <f>IF(ISNA(VLOOKUP($F136,Declarations!$B$6:$F$293,5,FALSE)),"",IF(VLOOKUP($F136,Declarations!$B$6:$F$293,5,FALSE)="","NOT DECLARED",VLOOKUP($F136,Declarations!$B$6:$F$293,5,FALSE)))</f>
        <v/>
      </c>
      <c r="E136" s="120" t="str">
        <f>IF(ISNA(VLOOKUP($F136,Declarations!$B$6:$D$293,3,FALSE)),"",IF(VLOOKUP($F136,Declarations!$B$6:$D$293,3,FALSE)="","NOT DECLARED",VLOOKUP($F136,Declarations!$B$6:$D$293,3,FALSE)&amp;LEFT(VLOOKUP($F136,Declarations!$B$6:$E$293,4,FALSE))))</f>
        <v/>
      </c>
      <c r="F136" s="21"/>
      <c r="G136" s="22"/>
      <c r="H136" s="322"/>
      <c r="I136" s="8" t="str">
        <f>IF(ISNA(VLOOKUP(F136,Declarations!B$6:C$293,2,FALSE)),"",IF(VLOOKUP(F136,Declarations!B$6:C$293,2,FALSE)="","NOT DECLARED",VLOOKUP(F136,Declarations!B$6:C$293,2,FALSE)))</f>
        <v/>
      </c>
      <c r="J136" s="2">
        <f>IF(LOWER(LEFT(G136,1))="n",1,VLOOKUP(G136,ScoringTable!E$2:I$95,5))</f>
        <v>0</v>
      </c>
      <c r="K136" s="120" t="str" cm="1">
        <f t="array" ref="K136">IF(OR(E136="",G136=""),"",_xlfn.IFS(E136="U10B",_xlfn.XLOOKUP(G136,Data!$D$4:$L$4,Data!$D$1:$L$1,"",-1,1),E136="U12B",_xlfn.XLOOKUP(G136,Data!$D$11:$L$11,Data!$D$1:$L$1,"",-1,1),E136="U10G",_xlfn.XLOOKUP(G136,Data!$D$17:$L$17,Data!$D$1:$L$1,"",-1,1),E136="U12G",_xlfn.XLOOKUP(G136,Data!$D$24:$L$24,Data!$D$1:$L$1,"",-1,1)))</f>
        <v/>
      </c>
      <c r="L136" s="184" t="str" cm="1">
        <f t="array" ref="L136">IFERROR(_xlfn.IFNA(
                      _xlfn.IFS(
                      F136="", "",
                      AND(E136="U10B",G136&gt;=Data!$M$4), "U10 Boys record",
                      AND(E136="U12B",G136&gt;=Data!$M$11), "U12 Boys record",
                      AND(E136="U10G",G136&gt;=Data!$M$17), "U10 Girls record",
                      AND(E136="U12G",G136&gt;=Data!$M$24), "U12 Girls record"
                       ),""), "")</f>
        <v/>
      </c>
      <c r="M136" s="19" cm="1">
        <f t="array" ref="M136">_xlfn.IFS($G136="",0,AND(NOT(ISNUMBER($G136)),LOWER(LEFT($G136,1))&lt;&gt;"n"),"Not a valid distance",OR(LOWER(LEFT($G136,1))="n",$G136&lt;ScoringTable!$P$161),1,RIGHT($E136,1)="B",_xlfn.XLOOKUP($G136,ScoringTable!$P$2:$P$161,ScoringTable!$L$2:$L$161,,-1),TRUE,_xlfn.XLOOKUP($G136,ScoringTable!$V$2:$V$161,ScoringTable!$R$2:$R$161,,-1))</f>
        <v>0</v>
      </c>
    </row>
    <row r="137" spans="1:13" ht="16" customHeight="1">
      <c r="A137" s="82" t="s">
        <v>27</v>
      </c>
      <c r="B137" s="81" t="str">
        <f>IF(ISNA(VLOOKUP($F137,Declarations!B$6:C$293,2,FALSE)),"",IF(VLOOKUP($F137,Declarations!B$6:C$293,2,FALSE)="","NOT DECLARED",IF(ISNA(_xlfn.TEXTBEFORE(VLOOKUP($F137,Declarations!B$6:C$293,2,FALSE)," ")),VLOOKUP($F137,Declarations!B$6:C$293,2,FALSE),_xlfn.TEXTBEFORE(VLOOKUP($F137,Declarations!B$6:C$293,2,FALSE)," "))))</f>
        <v/>
      </c>
      <c r="C137" s="81" t="str">
        <f>IF(ISNA(VLOOKUP($F137,Declarations!B$6:C$293,2,FALSE)),"",IF(VLOOKUP($F137,Declarations!B$6:C$293,2,FALSE)="","NOT DECLARED",IF(ISNA(_xlfn.TEXTAFTER(VLOOKUP($F137,Declarations!B$6:C$293,2,FALSE)," ")),VLOOKUP($F137,Declarations!B$6:C$293,2,FALSE),_xlfn.TEXTAFTER(VLOOKUP($F137,Declarations!B$6:C$293,2,FALSE)," "))))</f>
        <v/>
      </c>
      <c r="D137" s="81" t="str">
        <f>IF(ISNA(VLOOKUP($F137,Declarations!$B$6:$F$293,5,FALSE)),"",IF(VLOOKUP($F137,Declarations!$B$6:$F$293,5,FALSE)="","NOT DECLARED",VLOOKUP($F137,Declarations!$B$6:$F$293,5,FALSE)))</f>
        <v/>
      </c>
      <c r="E137" s="120" t="str">
        <f>IF(ISNA(VLOOKUP($F137,Declarations!$B$6:$D$293,3,FALSE)),"",IF(VLOOKUP($F137,Declarations!$B$6:$D$293,3,FALSE)="","NOT DECLARED",VLOOKUP($F137,Declarations!$B$6:$D$293,3,FALSE)&amp;LEFT(VLOOKUP($F137,Declarations!$B$6:$E$293,4,FALSE))))</f>
        <v/>
      </c>
      <c r="F137" s="21"/>
      <c r="G137" s="22"/>
      <c r="H137" s="322"/>
      <c r="I137" s="8" t="str">
        <f>IF(ISNA(VLOOKUP(F137,Declarations!B$6:C$293,2,FALSE)),"",IF(VLOOKUP(F137,Declarations!B$6:C$293,2,FALSE)="","NOT DECLARED",VLOOKUP(F137,Declarations!B$6:C$293,2,FALSE)))</f>
        <v/>
      </c>
      <c r="J137" s="2">
        <f>IF(LOWER(LEFT(G137,1))="n",1,VLOOKUP(G137,ScoringTable!E$2:I$95,5))</f>
        <v>0</v>
      </c>
      <c r="K137" s="120" t="str" cm="1">
        <f t="array" ref="K137">IF(OR(E137="",G137=""),"",_xlfn.IFS(E137="U10B",_xlfn.XLOOKUP(G137,Data!$D$4:$L$4,Data!$D$1:$L$1,"",-1,1),E137="U12B",_xlfn.XLOOKUP(G137,Data!$D$11:$L$11,Data!$D$1:$L$1,"",-1,1),E137="U10G",_xlfn.XLOOKUP(G137,Data!$D$17:$L$17,Data!$D$1:$L$1,"",-1,1),E137="U12G",_xlfn.XLOOKUP(G137,Data!$D$24:$L$24,Data!$D$1:$L$1,"",-1,1)))</f>
        <v/>
      </c>
      <c r="L137" s="184" t="str" cm="1">
        <f t="array" ref="L137">IFERROR(_xlfn.IFNA(
                      _xlfn.IFS(
                      F137="", "",
                      AND(E137="U10B",G137&gt;=Data!$M$4), "U10 Boys record",
                      AND(E137="U12B",G137&gt;=Data!$M$11), "U12 Boys record",
                      AND(E137="U10G",G137&gt;=Data!$M$17), "U10 Girls record",
                      AND(E137="U12G",G137&gt;=Data!$M$24), "U12 Girls record"
                       ),""), "")</f>
        <v/>
      </c>
      <c r="M137" s="19" cm="1">
        <f t="array" ref="M137">_xlfn.IFS($G137="",0,AND(NOT(ISNUMBER($G137)),LOWER(LEFT($G137,1))&lt;&gt;"n"),"Not a valid distance",OR(LOWER(LEFT($G137,1))="n",$G137&lt;ScoringTable!$P$161),1,RIGHT($E137,1)="B",_xlfn.XLOOKUP($G137,ScoringTable!$P$2:$P$161,ScoringTable!$L$2:$L$161,,-1),TRUE,_xlfn.XLOOKUP($G137,ScoringTable!$V$2:$V$161,ScoringTable!$R$2:$R$161,,-1))</f>
        <v>0</v>
      </c>
    </row>
    <row r="138" spans="1:13" ht="16" customHeight="1">
      <c r="A138" s="82" t="s">
        <v>27</v>
      </c>
      <c r="B138" s="81" t="str">
        <f>IF(ISNA(VLOOKUP($F138,Declarations!B$6:C$293,2,FALSE)),"",IF(VLOOKUP($F138,Declarations!B$6:C$293,2,FALSE)="","NOT DECLARED",IF(ISNA(_xlfn.TEXTBEFORE(VLOOKUP($F138,Declarations!B$6:C$293,2,FALSE)," ")),VLOOKUP($F138,Declarations!B$6:C$293,2,FALSE),_xlfn.TEXTBEFORE(VLOOKUP($F138,Declarations!B$6:C$293,2,FALSE)," "))))</f>
        <v/>
      </c>
      <c r="C138" s="81" t="str">
        <f>IF(ISNA(VLOOKUP($F138,Declarations!B$6:C$293,2,FALSE)),"",IF(VLOOKUP($F138,Declarations!B$6:C$293,2,FALSE)="","NOT DECLARED",IF(ISNA(_xlfn.TEXTAFTER(VLOOKUP($F138,Declarations!B$6:C$293,2,FALSE)," ")),VLOOKUP($F138,Declarations!B$6:C$293,2,FALSE),_xlfn.TEXTAFTER(VLOOKUP($F138,Declarations!B$6:C$293,2,FALSE)," "))))</f>
        <v/>
      </c>
      <c r="D138" s="81" t="str">
        <f>IF(ISNA(VLOOKUP($F138,Declarations!$B$6:$F$293,5,FALSE)),"",IF(VLOOKUP($F138,Declarations!$B$6:$F$293,5,FALSE)="","NOT DECLARED",VLOOKUP($F138,Declarations!$B$6:$F$293,5,FALSE)))</f>
        <v/>
      </c>
      <c r="E138" s="120" t="str">
        <f>IF(ISNA(VLOOKUP($F138,Declarations!$B$6:$D$293,3,FALSE)),"",IF(VLOOKUP($F138,Declarations!$B$6:$D$293,3,FALSE)="","NOT DECLARED",VLOOKUP($F138,Declarations!$B$6:$D$293,3,FALSE)&amp;LEFT(VLOOKUP($F138,Declarations!$B$6:$E$293,4,FALSE))))</f>
        <v/>
      </c>
      <c r="F138" s="21"/>
      <c r="G138" s="22"/>
      <c r="H138" s="322"/>
      <c r="I138" s="8" t="str">
        <f>IF(ISNA(VLOOKUP(F138,Declarations!B$6:C$293,2,FALSE)),"",IF(VLOOKUP(F138,Declarations!B$6:C$293,2,FALSE)="","NOT DECLARED",VLOOKUP(F138,Declarations!B$6:C$293,2,FALSE)))</f>
        <v/>
      </c>
      <c r="J138" s="2">
        <f>IF(LOWER(LEFT(G138,1))="n",1,VLOOKUP(G138,ScoringTable!E$2:I$95,5))</f>
        <v>0</v>
      </c>
      <c r="K138" s="120" t="str" cm="1">
        <f t="array" ref="K138">IF(OR(E138="",G138=""),"",_xlfn.IFS(E138="U10B",_xlfn.XLOOKUP(G138,Data!$D$4:$L$4,Data!$D$1:$L$1,"",-1,1),E138="U12B",_xlfn.XLOOKUP(G138,Data!$D$11:$L$11,Data!$D$1:$L$1,"",-1,1),E138="U10G",_xlfn.XLOOKUP(G138,Data!$D$17:$L$17,Data!$D$1:$L$1,"",-1,1),E138="U12G",_xlfn.XLOOKUP(G138,Data!$D$24:$L$24,Data!$D$1:$L$1,"",-1,1)))</f>
        <v/>
      </c>
      <c r="L138" s="184" t="str" cm="1">
        <f t="array" ref="L138">IFERROR(_xlfn.IFNA(
                      _xlfn.IFS(
                      F138="", "",
                      AND(E138="U10B",G138&gt;=Data!$M$4), "U10 Boys record",
                      AND(E138="U12B",G138&gt;=Data!$M$11), "U12 Boys record",
                      AND(E138="U10G",G138&gt;=Data!$M$17), "U10 Girls record",
                      AND(E138="U12G",G138&gt;=Data!$M$24), "U12 Girls record"
                       ),""), "")</f>
        <v/>
      </c>
      <c r="M138" s="19" cm="1">
        <f t="array" ref="M138">_xlfn.IFS($G138="",0,AND(NOT(ISNUMBER($G138)),LOWER(LEFT($G138,1))&lt;&gt;"n"),"Not a valid distance",OR(LOWER(LEFT($G138,1))="n",$G138&lt;ScoringTable!$P$161),1,RIGHT($E138,1)="B",_xlfn.XLOOKUP($G138,ScoringTable!$P$2:$P$161,ScoringTable!$L$2:$L$161,,-1),TRUE,_xlfn.XLOOKUP($G138,ScoringTable!$V$2:$V$161,ScoringTable!$R$2:$R$161,,-1))</f>
        <v>0</v>
      </c>
    </row>
    <row r="139" spans="1:13" ht="16" customHeight="1">
      <c r="A139" s="82" t="s">
        <v>27</v>
      </c>
      <c r="B139" s="81" t="str">
        <f>IF(ISNA(VLOOKUP($F139,Declarations!B$6:C$293,2,FALSE)),"",IF(VLOOKUP($F139,Declarations!B$6:C$293,2,FALSE)="","NOT DECLARED",IF(ISNA(_xlfn.TEXTBEFORE(VLOOKUP($F139,Declarations!B$6:C$293,2,FALSE)," ")),VLOOKUP($F139,Declarations!B$6:C$293,2,FALSE),_xlfn.TEXTBEFORE(VLOOKUP($F139,Declarations!B$6:C$293,2,FALSE)," "))))</f>
        <v/>
      </c>
      <c r="C139" s="81" t="str">
        <f>IF(ISNA(VLOOKUP($F139,Declarations!B$6:C$293,2,FALSE)),"",IF(VLOOKUP($F139,Declarations!B$6:C$293,2,FALSE)="","NOT DECLARED",IF(ISNA(_xlfn.TEXTAFTER(VLOOKUP($F139,Declarations!B$6:C$293,2,FALSE)," ")),VLOOKUP($F139,Declarations!B$6:C$293,2,FALSE),_xlfn.TEXTAFTER(VLOOKUP($F139,Declarations!B$6:C$293,2,FALSE)," "))))</f>
        <v/>
      </c>
      <c r="D139" s="81" t="str">
        <f>IF(ISNA(VLOOKUP($F139,Declarations!$B$6:$F$293,5,FALSE)),"",IF(VLOOKUP($F139,Declarations!$B$6:$F$293,5,FALSE)="","NOT DECLARED",VLOOKUP($F139,Declarations!$B$6:$F$293,5,FALSE)))</f>
        <v/>
      </c>
      <c r="E139" s="120" t="str">
        <f>IF(ISNA(VLOOKUP($F139,Declarations!$B$6:$D$293,3,FALSE)),"",IF(VLOOKUP($F139,Declarations!$B$6:$D$293,3,FALSE)="","NOT DECLARED",VLOOKUP($F139,Declarations!$B$6:$D$293,3,FALSE)&amp;LEFT(VLOOKUP($F139,Declarations!$B$6:$E$293,4,FALSE))))</f>
        <v/>
      </c>
      <c r="F139" s="21"/>
      <c r="G139" s="22"/>
      <c r="H139" s="322"/>
      <c r="I139" s="8" t="str">
        <f>IF(ISNA(VLOOKUP(F139,Declarations!B$6:C$293,2,FALSE)),"",IF(VLOOKUP(F139,Declarations!B$6:C$293,2,FALSE)="","NOT DECLARED",VLOOKUP(F139,Declarations!B$6:C$293,2,FALSE)))</f>
        <v/>
      </c>
      <c r="J139" s="2">
        <f>IF(LOWER(LEFT(G139,1))="n",1,VLOOKUP(G139,ScoringTable!E$2:I$95,5))</f>
        <v>0</v>
      </c>
      <c r="K139" s="120" t="str" cm="1">
        <f t="array" ref="K139">IF(OR(E139="",G139=""),"",_xlfn.IFS(E139="U10B",_xlfn.XLOOKUP(G139,Data!$D$4:$L$4,Data!$D$1:$L$1,"",-1,1),E139="U12B",_xlfn.XLOOKUP(G139,Data!$D$11:$L$11,Data!$D$1:$L$1,"",-1,1),E139="U10G",_xlfn.XLOOKUP(G139,Data!$D$17:$L$17,Data!$D$1:$L$1,"",-1,1),E139="U12G",_xlfn.XLOOKUP(G139,Data!$D$24:$L$24,Data!$D$1:$L$1,"",-1,1)))</f>
        <v/>
      </c>
      <c r="L139" s="184" t="str" cm="1">
        <f t="array" ref="L139">IFERROR(_xlfn.IFNA(
                      _xlfn.IFS(
                      F139="", "",
                      AND(E139="U10B",G139&gt;=Data!$M$4), "U10 Boys record",
                      AND(E139="U12B",G139&gt;=Data!$M$11), "U12 Boys record",
                      AND(E139="U10G",G139&gt;=Data!$M$17), "U10 Girls record",
                      AND(E139="U12G",G139&gt;=Data!$M$24), "U12 Girls record"
                       ),""), "")</f>
        <v/>
      </c>
      <c r="M139" s="19" cm="1">
        <f t="array" ref="M139">_xlfn.IFS($G139="",0,AND(NOT(ISNUMBER($G139)),LOWER(LEFT($G139,1))&lt;&gt;"n"),"Not a valid distance",OR(LOWER(LEFT($G139,1))="n",$G139&lt;ScoringTable!$P$161),1,RIGHT($E139,1)="B",_xlfn.XLOOKUP($G139,ScoringTable!$P$2:$P$161,ScoringTable!$L$2:$L$161,,-1),TRUE,_xlfn.XLOOKUP($G139,ScoringTable!$V$2:$V$161,ScoringTable!$R$2:$R$161,,-1))</f>
        <v>0</v>
      </c>
    </row>
    <row r="140" spans="1:13" ht="16" customHeight="1">
      <c r="A140" s="82" t="s">
        <v>27</v>
      </c>
      <c r="B140" s="81" t="str">
        <f>IF(ISNA(VLOOKUP($F140,Declarations!B$6:C$293,2,FALSE)),"",IF(VLOOKUP($F140,Declarations!B$6:C$293,2,FALSE)="","NOT DECLARED",IF(ISNA(_xlfn.TEXTBEFORE(VLOOKUP($F140,Declarations!B$6:C$293,2,FALSE)," ")),VLOOKUP($F140,Declarations!B$6:C$293,2,FALSE),_xlfn.TEXTBEFORE(VLOOKUP($F140,Declarations!B$6:C$293,2,FALSE)," "))))</f>
        <v/>
      </c>
      <c r="C140" s="81" t="str">
        <f>IF(ISNA(VLOOKUP($F140,Declarations!B$6:C$293,2,FALSE)),"",IF(VLOOKUP($F140,Declarations!B$6:C$293,2,FALSE)="","NOT DECLARED",IF(ISNA(_xlfn.TEXTAFTER(VLOOKUP($F140,Declarations!B$6:C$293,2,FALSE)," ")),VLOOKUP($F140,Declarations!B$6:C$293,2,FALSE),_xlfn.TEXTAFTER(VLOOKUP($F140,Declarations!B$6:C$293,2,FALSE)," "))))</f>
        <v/>
      </c>
      <c r="D140" s="81" t="str">
        <f>IF(ISNA(VLOOKUP($F140,Declarations!$B$6:$F$293,5,FALSE)),"",IF(VLOOKUP($F140,Declarations!$B$6:$F$293,5,FALSE)="","NOT DECLARED",VLOOKUP($F140,Declarations!$B$6:$F$293,5,FALSE)))</f>
        <v/>
      </c>
      <c r="E140" s="120" t="str">
        <f>IF(ISNA(VLOOKUP($F140,Declarations!$B$6:$D$293,3,FALSE)),"",IF(VLOOKUP($F140,Declarations!$B$6:$D$293,3,FALSE)="","NOT DECLARED",VLOOKUP($F140,Declarations!$B$6:$D$293,3,FALSE)&amp;LEFT(VLOOKUP($F140,Declarations!$B$6:$E$293,4,FALSE))))</f>
        <v/>
      </c>
      <c r="F140" s="21"/>
      <c r="G140" s="22"/>
      <c r="H140" s="322"/>
      <c r="I140" s="8" t="str">
        <f>IF(ISNA(VLOOKUP(F140,Declarations!B$6:C$293,2,FALSE)),"",IF(VLOOKUP(F140,Declarations!B$6:C$293,2,FALSE)="","NOT DECLARED",VLOOKUP(F140,Declarations!B$6:C$293,2,FALSE)))</f>
        <v/>
      </c>
      <c r="J140" s="2">
        <f>IF(LOWER(LEFT(G140,1))="n",1,VLOOKUP(G140,ScoringTable!E$2:I$95,5))</f>
        <v>0</v>
      </c>
      <c r="K140" s="120" t="str" cm="1">
        <f t="array" ref="K140">IF(OR(E140="",G140=""),"",_xlfn.IFS(E140="U10B",_xlfn.XLOOKUP(G140,Data!$D$4:$L$4,Data!$D$1:$L$1,"",-1,1),E140="U12B",_xlfn.XLOOKUP(G140,Data!$D$11:$L$11,Data!$D$1:$L$1,"",-1,1),E140="U10G",_xlfn.XLOOKUP(G140,Data!$D$17:$L$17,Data!$D$1:$L$1,"",-1,1),E140="U12G",_xlfn.XLOOKUP(G140,Data!$D$24:$L$24,Data!$D$1:$L$1,"",-1,1)))</f>
        <v/>
      </c>
      <c r="L140" s="184" t="str" cm="1">
        <f t="array" ref="L140">IFERROR(_xlfn.IFNA(
                      _xlfn.IFS(
                      F140="", "",
                      AND(E140="U10B",G140&gt;=Data!$M$4), "U10 Boys record",
                      AND(E140="U12B",G140&gt;=Data!$M$11), "U12 Boys record",
                      AND(E140="U10G",G140&gt;=Data!$M$17), "U10 Girls record",
                      AND(E140="U12G",G140&gt;=Data!$M$24), "U12 Girls record"
                       ),""), "")</f>
        <v/>
      </c>
      <c r="M140" s="19" cm="1">
        <f t="array" ref="M140">_xlfn.IFS($G140="",0,AND(NOT(ISNUMBER($G140)),LOWER(LEFT($G140,1))&lt;&gt;"n"),"Not a valid distance",OR(LOWER(LEFT($G140,1))="n",$G140&lt;ScoringTable!$P$161),1,RIGHT($E140,1)="B",_xlfn.XLOOKUP($G140,ScoringTable!$P$2:$P$161,ScoringTable!$L$2:$L$161,,-1),TRUE,_xlfn.XLOOKUP($G140,ScoringTable!$V$2:$V$161,ScoringTable!$R$2:$R$161,,-1))</f>
        <v>0</v>
      </c>
    </row>
    <row r="141" spans="1:13" ht="16" customHeight="1">
      <c r="A141" s="82" t="s">
        <v>27</v>
      </c>
      <c r="B141" s="81" t="str">
        <f>IF(ISNA(VLOOKUP($F141,Declarations!B$6:C$293,2,FALSE)),"",IF(VLOOKUP($F141,Declarations!B$6:C$293,2,FALSE)="","NOT DECLARED",IF(ISNA(_xlfn.TEXTBEFORE(VLOOKUP($F141,Declarations!B$6:C$293,2,FALSE)," ")),VLOOKUP($F141,Declarations!B$6:C$293,2,FALSE),_xlfn.TEXTBEFORE(VLOOKUP($F141,Declarations!B$6:C$293,2,FALSE)," "))))</f>
        <v/>
      </c>
      <c r="C141" s="81" t="str">
        <f>IF(ISNA(VLOOKUP($F141,Declarations!B$6:C$293,2,FALSE)),"",IF(VLOOKUP($F141,Declarations!B$6:C$293,2,FALSE)="","NOT DECLARED",IF(ISNA(_xlfn.TEXTAFTER(VLOOKUP($F141,Declarations!B$6:C$293,2,FALSE)," ")),VLOOKUP($F141,Declarations!B$6:C$293,2,FALSE),_xlfn.TEXTAFTER(VLOOKUP($F141,Declarations!B$6:C$293,2,FALSE)," "))))</f>
        <v/>
      </c>
      <c r="D141" s="81" t="str">
        <f>IF(ISNA(VLOOKUP($F141,Declarations!$B$6:$F$293,5,FALSE)),"",IF(VLOOKUP($F141,Declarations!$B$6:$F$293,5,FALSE)="","NOT DECLARED",VLOOKUP($F141,Declarations!$B$6:$F$293,5,FALSE)))</f>
        <v/>
      </c>
      <c r="E141" s="120" t="str">
        <f>IF(ISNA(VLOOKUP($F141,Declarations!$B$6:$D$293,3,FALSE)),"",IF(VLOOKUP($F141,Declarations!$B$6:$D$293,3,FALSE)="","NOT DECLARED",VLOOKUP($F141,Declarations!$B$6:$D$293,3,FALSE)&amp;LEFT(VLOOKUP($F141,Declarations!$B$6:$E$293,4,FALSE))))</f>
        <v/>
      </c>
      <c r="F141" s="21"/>
      <c r="G141" s="22"/>
      <c r="H141" s="322"/>
      <c r="I141" s="8" t="str">
        <f>IF(ISNA(VLOOKUP(F141,Declarations!B$6:C$293,2,FALSE)),"",IF(VLOOKUP(F141,Declarations!B$6:C$293,2,FALSE)="","NOT DECLARED",VLOOKUP(F141,Declarations!B$6:C$293,2,FALSE)))</f>
        <v/>
      </c>
      <c r="J141" s="2">
        <f>IF(LOWER(LEFT(G141,1))="n",1,VLOOKUP(G141,ScoringTable!E$2:I$95,5))</f>
        <v>0</v>
      </c>
      <c r="K141" s="120" t="str" cm="1">
        <f t="array" ref="K141">IF(OR(E141="",G141=""),"",_xlfn.IFS(E141="U10B",_xlfn.XLOOKUP(G141,Data!$D$4:$L$4,Data!$D$1:$L$1,"",-1,1),E141="U12B",_xlfn.XLOOKUP(G141,Data!$D$11:$L$11,Data!$D$1:$L$1,"",-1,1),E141="U10G",_xlfn.XLOOKUP(G141,Data!$D$17:$L$17,Data!$D$1:$L$1,"",-1,1),E141="U12G",_xlfn.XLOOKUP(G141,Data!$D$24:$L$24,Data!$D$1:$L$1,"",-1,1)))</f>
        <v/>
      </c>
      <c r="L141" s="184" t="str" cm="1">
        <f t="array" ref="L141">IFERROR(_xlfn.IFNA(
                      _xlfn.IFS(
                      F141="", "",
                      AND(E141="U10B",G141&gt;=Data!$M$4), "U10 Boys record",
                      AND(E141="U12B",G141&gt;=Data!$M$11), "U12 Boys record",
                      AND(E141="U10G",G141&gt;=Data!$M$17), "U10 Girls record",
                      AND(E141="U12G",G141&gt;=Data!$M$24), "U12 Girls record"
                       ),""), "")</f>
        <v/>
      </c>
      <c r="M141" s="19" cm="1">
        <f t="array" ref="M141">_xlfn.IFS($G141="",0,AND(NOT(ISNUMBER($G141)),LOWER(LEFT($G141,1))&lt;&gt;"n"),"Not a valid distance",OR(LOWER(LEFT($G141,1))="n",$G141&lt;ScoringTable!$P$161),1,RIGHT($E141,1)="B",_xlfn.XLOOKUP($G141,ScoringTable!$P$2:$P$161,ScoringTable!$L$2:$L$161,,-1),TRUE,_xlfn.XLOOKUP($G141,ScoringTable!$V$2:$V$161,ScoringTable!$R$2:$R$161,,-1))</f>
        <v>0</v>
      </c>
    </row>
    <row r="142" spans="1:13" ht="16" customHeight="1">
      <c r="A142" s="82" t="s">
        <v>27</v>
      </c>
      <c r="B142" s="81" t="str">
        <f>IF(ISNA(VLOOKUP($F142,Declarations!B$6:C$293,2,FALSE)),"",IF(VLOOKUP($F142,Declarations!B$6:C$293,2,FALSE)="","NOT DECLARED",IF(ISNA(_xlfn.TEXTBEFORE(VLOOKUP($F142,Declarations!B$6:C$293,2,FALSE)," ")),VLOOKUP($F142,Declarations!B$6:C$293,2,FALSE),_xlfn.TEXTBEFORE(VLOOKUP($F142,Declarations!B$6:C$293,2,FALSE)," "))))</f>
        <v/>
      </c>
      <c r="C142" s="81" t="str">
        <f>IF(ISNA(VLOOKUP($F142,Declarations!B$6:C$293,2,FALSE)),"",IF(VLOOKUP($F142,Declarations!B$6:C$293,2,FALSE)="","NOT DECLARED",IF(ISNA(_xlfn.TEXTAFTER(VLOOKUP($F142,Declarations!B$6:C$293,2,FALSE)," ")),VLOOKUP($F142,Declarations!B$6:C$293,2,FALSE),_xlfn.TEXTAFTER(VLOOKUP($F142,Declarations!B$6:C$293,2,FALSE)," "))))</f>
        <v/>
      </c>
      <c r="D142" s="81" t="str">
        <f>IF(ISNA(VLOOKUP($F142,Declarations!$B$6:$F$293,5,FALSE)),"",IF(VLOOKUP($F142,Declarations!$B$6:$F$293,5,FALSE)="","NOT DECLARED",VLOOKUP($F142,Declarations!$B$6:$F$293,5,FALSE)))</f>
        <v/>
      </c>
      <c r="E142" s="120" t="str">
        <f>IF(ISNA(VLOOKUP($F142,Declarations!$B$6:$D$293,3,FALSE)),"",IF(VLOOKUP($F142,Declarations!$B$6:$D$293,3,FALSE)="","NOT DECLARED",VLOOKUP($F142,Declarations!$B$6:$D$293,3,FALSE)&amp;LEFT(VLOOKUP($F142,Declarations!$B$6:$E$293,4,FALSE))))</f>
        <v/>
      </c>
      <c r="F142" s="21"/>
      <c r="G142" s="22"/>
      <c r="H142" s="322"/>
      <c r="I142" s="8" t="str">
        <f>IF(ISNA(VLOOKUP(F142,Declarations!B$6:C$293,2,FALSE)),"",IF(VLOOKUP(F142,Declarations!B$6:C$293,2,FALSE)="","NOT DECLARED",VLOOKUP(F142,Declarations!B$6:C$293,2,FALSE)))</f>
        <v/>
      </c>
      <c r="J142" s="2">
        <f>IF(LOWER(LEFT(G142,1))="n",1,VLOOKUP(G142,ScoringTable!E$2:I$95,5))</f>
        <v>0</v>
      </c>
      <c r="K142" s="120" t="str" cm="1">
        <f t="array" ref="K142">IF(OR(E142="",G142=""),"",_xlfn.IFS(E142="U10B",_xlfn.XLOOKUP(G142,Data!$D$4:$L$4,Data!$D$1:$L$1,"",-1,1),E142="U12B",_xlfn.XLOOKUP(G142,Data!$D$11:$L$11,Data!$D$1:$L$1,"",-1,1),E142="U10G",_xlfn.XLOOKUP(G142,Data!$D$17:$L$17,Data!$D$1:$L$1,"",-1,1),E142="U12G",_xlfn.XLOOKUP(G142,Data!$D$24:$L$24,Data!$D$1:$L$1,"",-1,1)))</f>
        <v/>
      </c>
      <c r="L142" s="184" t="str" cm="1">
        <f t="array" ref="L142">IFERROR(_xlfn.IFNA(
                      _xlfn.IFS(
                      F142="", "",
                      AND(E142="U10B",G142&gt;=Data!$M$4), "U10 Boys record",
                      AND(E142="U12B",G142&gt;=Data!$M$11), "U12 Boys record",
                      AND(E142="U10G",G142&gt;=Data!$M$17), "U10 Girls record",
                      AND(E142="U12G",G142&gt;=Data!$M$24), "U12 Girls record"
                       ),""), "")</f>
        <v/>
      </c>
      <c r="M142" s="19" cm="1">
        <f t="array" ref="M142">_xlfn.IFS($G142="",0,AND(NOT(ISNUMBER($G142)),LOWER(LEFT($G142,1))&lt;&gt;"n"),"Not a valid distance",OR(LOWER(LEFT($G142,1))="n",$G142&lt;ScoringTable!$P$161),1,RIGHT($E142,1)="B",_xlfn.XLOOKUP($G142,ScoringTable!$P$2:$P$161,ScoringTable!$L$2:$L$161,,-1),TRUE,_xlfn.XLOOKUP($G142,ScoringTable!$V$2:$V$161,ScoringTable!$R$2:$R$161,,-1))</f>
        <v>0</v>
      </c>
    </row>
    <row r="143" spans="1:13" ht="16" customHeight="1">
      <c r="A143" s="82" t="s">
        <v>27</v>
      </c>
      <c r="B143" s="81" t="str">
        <f>IF(ISNA(VLOOKUP($F143,Declarations!B$6:C$293,2,FALSE)),"",IF(VLOOKUP($F143,Declarations!B$6:C$293,2,FALSE)="","NOT DECLARED",IF(ISNA(_xlfn.TEXTBEFORE(VLOOKUP($F143,Declarations!B$6:C$293,2,FALSE)," ")),VLOOKUP($F143,Declarations!B$6:C$293,2,FALSE),_xlfn.TEXTBEFORE(VLOOKUP($F143,Declarations!B$6:C$293,2,FALSE)," "))))</f>
        <v/>
      </c>
      <c r="C143" s="81" t="str">
        <f>IF(ISNA(VLOOKUP($F143,Declarations!B$6:C$293,2,FALSE)),"",IF(VLOOKUP($F143,Declarations!B$6:C$293,2,FALSE)="","NOT DECLARED",IF(ISNA(_xlfn.TEXTAFTER(VLOOKUP($F143,Declarations!B$6:C$293,2,FALSE)," ")),VLOOKUP($F143,Declarations!B$6:C$293,2,FALSE),_xlfn.TEXTAFTER(VLOOKUP($F143,Declarations!B$6:C$293,2,FALSE)," "))))</f>
        <v/>
      </c>
      <c r="D143" s="81" t="str">
        <f>IF(ISNA(VLOOKUP($F143,Declarations!$B$6:$F$293,5,FALSE)),"",IF(VLOOKUP($F143,Declarations!$B$6:$F$293,5,FALSE)="","NOT DECLARED",VLOOKUP($F143,Declarations!$B$6:$F$293,5,FALSE)))</f>
        <v/>
      </c>
      <c r="E143" s="120" t="str">
        <f>IF(ISNA(VLOOKUP($F143,Declarations!$B$6:$D$293,3,FALSE)),"",IF(VLOOKUP($F143,Declarations!$B$6:$D$293,3,FALSE)="","NOT DECLARED",VLOOKUP($F143,Declarations!$B$6:$D$293,3,FALSE)&amp;LEFT(VLOOKUP($F143,Declarations!$B$6:$E$293,4,FALSE))))</f>
        <v/>
      </c>
      <c r="F143" s="21"/>
      <c r="G143" s="22"/>
      <c r="H143" s="322"/>
      <c r="I143" s="8" t="str">
        <f>IF(ISNA(VLOOKUP(F143,Declarations!B$6:C$293,2,FALSE)),"",IF(VLOOKUP(F143,Declarations!B$6:C$293,2,FALSE)="","NOT DECLARED",VLOOKUP(F143,Declarations!B$6:C$293,2,FALSE)))</f>
        <v/>
      </c>
      <c r="J143" s="2">
        <f>IF(LOWER(LEFT(G143,1))="n",1,VLOOKUP(G143,ScoringTable!E$2:I$95,5))</f>
        <v>0</v>
      </c>
      <c r="K143" s="120" t="str" cm="1">
        <f t="array" ref="K143">IF(OR(E143="",G143=""),"",_xlfn.IFS(E143="U10B",_xlfn.XLOOKUP(G143,Data!$D$4:$L$4,Data!$D$1:$L$1,"",-1,1),E143="U12B",_xlfn.XLOOKUP(G143,Data!$D$11:$L$11,Data!$D$1:$L$1,"",-1,1),E143="U10G",_xlfn.XLOOKUP(G143,Data!$D$17:$L$17,Data!$D$1:$L$1,"",-1,1),E143="U12G",_xlfn.XLOOKUP(G143,Data!$D$24:$L$24,Data!$D$1:$L$1,"",-1,1)))</f>
        <v/>
      </c>
      <c r="L143" s="184" t="str" cm="1">
        <f t="array" ref="L143">IFERROR(_xlfn.IFNA(
                      _xlfn.IFS(
                      F143="", "",
                      AND(E143="U10B",G143&gt;=Data!$M$4), "U10 Boys record",
                      AND(E143="U12B",G143&gt;=Data!$M$11), "U12 Boys record",
                      AND(E143="U10G",G143&gt;=Data!$M$17), "U10 Girls record",
                      AND(E143="U12G",G143&gt;=Data!$M$24), "U12 Girls record"
                       ),""), "")</f>
        <v/>
      </c>
      <c r="M143" s="19" cm="1">
        <f t="array" ref="M143">_xlfn.IFS($G143="",0,AND(NOT(ISNUMBER($G143)),LOWER(LEFT($G143,1))&lt;&gt;"n"),"Not a valid distance",OR(LOWER(LEFT($G143,1))="n",$G143&lt;ScoringTable!$P$161),1,RIGHT($E143,1)="B",_xlfn.XLOOKUP($G143,ScoringTable!$P$2:$P$161,ScoringTable!$L$2:$L$161,,-1),TRUE,_xlfn.XLOOKUP($G143,ScoringTable!$V$2:$V$161,ScoringTable!$R$2:$R$161,,-1))</f>
        <v>0</v>
      </c>
    </row>
    <row r="144" spans="1:13" ht="16" customHeight="1">
      <c r="A144" s="82" t="s">
        <v>27</v>
      </c>
      <c r="B144" s="81" t="str">
        <f>IF(ISNA(VLOOKUP($F144,Declarations!B$6:C$293,2,FALSE)),"",IF(VLOOKUP($F144,Declarations!B$6:C$293,2,FALSE)="","NOT DECLARED",IF(ISNA(_xlfn.TEXTBEFORE(VLOOKUP($F144,Declarations!B$6:C$293,2,FALSE)," ")),VLOOKUP($F144,Declarations!B$6:C$293,2,FALSE),_xlfn.TEXTBEFORE(VLOOKUP($F144,Declarations!B$6:C$293,2,FALSE)," "))))</f>
        <v/>
      </c>
      <c r="C144" s="81" t="str">
        <f>IF(ISNA(VLOOKUP($F144,Declarations!B$6:C$293,2,FALSE)),"",IF(VLOOKUP($F144,Declarations!B$6:C$293,2,FALSE)="","NOT DECLARED",IF(ISNA(_xlfn.TEXTAFTER(VLOOKUP($F144,Declarations!B$6:C$293,2,FALSE)," ")),VLOOKUP($F144,Declarations!B$6:C$293,2,FALSE),_xlfn.TEXTAFTER(VLOOKUP($F144,Declarations!B$6:C$293,2,FALSE)," "))))</f>
        <v/>
      </c>
      <c r="D144" s="81" t="str">
        <f>IF(ISNA(VLOOKUP($F144,Declarations!$B$6:$F$293,5,FALSE)),"",IF(VLOOKUP($F144,Declarations!$B$6:$F$293,5,FALSE)="","NOT DECLARED",VLOOKUP($F144,Declarations!$B$6:$F$293,5,FALSE)))</f>
        <v/>
      </c>
      <c r="E144" s="120" t="str">
        <f>IF(ISNA(VLOOKUP($F144,Declarations!$B$6:$D$293,3,FALSE)),"",IF(VLOOKUP($F144,Declarations!$B$6:$D$293,3,FALSE)="","NOT DECLARED",VLOOKUP($F144,Declarations!$B$6:$D$293,3,FALSE)&amp;LEFT(VLOOKUP($F144,Declarations!$B$6:$E$293,4,FALSE))))</f>
        <v/>
      </c>
      <c r="F144" s="21"/>
      <c r="G144" s="22"/>
      <c r="H144" s="322"/>
      <c r="I144" s="8" t="str">
        <f>IF(ISNA(VLOOKUP(F144,Declarations!B$6:C$293,2,FALSE)),"",IF(VLOOKUP(F144,Declarations!B$6:C$293,2,FALSE)="","NOT DECLARED",VLOOKUP(F144,Declarations!B$6:C$293,2,FALSE)))</f>
        <v/>
      </c>
      <c r="J144" s="2">
        <f>IF(LOWER(LEFT(G144,1))="n",1,VLOOKUP(G144,ScoringTable!E$2:I$95,5))</f>
        <v>0</v>
      </c>
      <c r="K144" s="120" t="str" cm="1">
        <f t="array" ref="K144">IF(OR(E144="",G144=""),"",_xlfn.IFS(E144="U10B",_xlfn.XLOOKUP(G144,Data!$D$4:$L$4,Data!$D$1:$L$1,"",-1,1),E144="U12B",_xlfn.XLOOKUP(G144,Data!$D$11:$L$11,Data!$D$1:$L$1,"",-1,1),E144="U10G",_xlfn.XLOOKUP(G144,Data!$D$17:$L$17,Data!$D$1:$L$1,"",-1,1),E144="U12G",_xlfn.XLOOKUP(G144,Data!$D$24:$L$24,Data!$D$1:$L$1,"",-1,1)))</f>
        <v/>
      </c>
      <c r="L144" s="184" t="str" cm="1">
        <f t="array" ref="L144">IFERROR(_xlfn.IFNA(
                      _xlfn.IFS(
                      F144="", "",
                      AND(E144="U10B",G144&gt;=Data!$M$4), "U10 Boys record",
                      AND(E144="U12B",G144&gt;=Data!$M$11), "U12 Boys record",
                      AND(E144="U10G",G144&gt;=Data!$M$17), "U10 Girls record",
                      AND(E144="U12G",G144&gt;=Data!$M$24), "U12 Girls record"
                       ),""), "")</f>
        <v/>
      </c>
      <c r="M144" s="19" cm="1">
        <f t="array" ref="M144">_xlfn.IFS($G144="",0,AND(NOT(ISNUMBER($G144)),LOWER(LEFT($G144,1))&lt;&gt;"n"),"Not a valid distance",OR(LOWER(LEFT($G144,1))="n",$G144&lt;ScoringTable!$P$161),1,RIGHT($E144,1)="B",_xlfn.XLOOKUP($G144,ScoringTable!$P$2:$P$161,ScoringTable!$L$2:$L$161,,-1),TRUE,_xlfn.XLOOKUP($G144,ScoringTable!$V$2:$V$161,ScoringTable!$R$2:$R$161,,-1))</f>
        <v>0</v>
      </c>
    </row>
    <row r="145" spans="1:13" ht="16" customHeight="1">
      <c r="A145" s="82" t="s">
        <v>27</v>
      </c>
      <c r="B145" s="81" t="str">
        <f>IF(ISNA(VLOOKUP($F145,Declarations!B$6:C$293,2,FALSE)),"",IF(VLOOKUP($F145,Declarations!B$6:C$293,2,FALSE)="","NOT DECLARED",IF(ISNA(_xlfn.TEXTBEFORE(VLOOKUP($F145,Declarations!B$6:C$293,2,FALSE)," ")),VLOOKUP($F145,Declarations!B$6:C$293,2,FALSE),_xlfn.TEXTBEFORE(VLOOKUP($F145,Declarations!B$6:C$293,2,FALSE)," "))))</f>
        <v/>
      </c>
      <c r="C145" s="81" t="str">
        <f>IF(ISNA(VLOOKUP($F145,Declarations!B$6:C$293,2,FALSE)),"",IF(VLOOKUP($F145,Declarations!B$6:C$293,2,FALSE)="","NOT DECLARED",IF(ISNA(_xlfn.TEXTAFTER(VLOOKUP($F145,Declarations!B$6:C$293,2,FALSE)," ")),VLOOKUP($F145,Declarations!B$6:C$293,2,FALSE),_xlfn.TEXTAFTER(VLOOKUP($F145,Declarations!B$6:C$293,2,FALSE)," "))))</f>
        <v/>
      </c>
      <c r="D145" s="81" t="str">
        <f>IF(ISNA(VLOOKUP($F145,Declarations!$B$6:$F$293,5,FALSE)),"",IF(VLOOKUP($F145,Declarations!$B$6:$F$293,5,FALSE)="","NOT DECLARED",VLOOKUP($F145,Declarations!$B$6:$F$293,5,FALSE)))</f>
        <v/>
      </c>
      <c r="E145" s="120" t="str">
        <f>IF(ISNA(VLOOKUP($F145,Declarations!$B$6:$D$293,3,FALSE)),"",IF(VLOOKUP($F145,Declarations!$B$6:$D$293,3,FALSE)="","NOT DECLARED",VLOOKUP($F145,Declarations!$B$6:$D$293,3,FALSE)&amp;LEFT(VLOOKUP($F145,Declarations!$B$6:$E$293,4,FALSE))))</f>
        <v/>
      </c>
      <c r="F145" s="21"/>
      <c r="G145" s="22"/>
      <c r="H145" s="322"/>
      <c r="I145" s="8" t="str">
        <f>IF(ISNA(VLOOKUP(F145,Declarations!B$6:C$293,2,FALSE)),"",IF(VLOOKUP(F145,Declarations!B$6:C$293,2,FALSE)="","NOT DECLARED",VLOOKUP(F145,Declarations!B$6:C$293,2,FALSE)))</f>
        <v/>
      </c>
      <c r="J145" s="2">
        <f>IF(LOWER(LEFT(G145,1))="n",1,VLOOKUP(G145,ScoringTable!E$2:I$95,5))</f>
        <v>0</v>
      </c>
      <c r="K145" s="120" t="str" cm="1">
        <f t="array" ref="K145">IF(OR(E145="",G145=""),"",_xlfn.IFS(E145="U10B",_xlfn.XLOOKUP(G145,Data!$D$4:$L$4,Data!$D$1:$L$1,"",-1,1),E145="U12B",_xlfn.XLOOKUP(G145,Data!$D$11:$L$11,Data!$D$1:$L$1,"",-1,1),E145="U10G",_xlfn.XLOOKUP(G145,Data!$D$17:$L$17,Data!$D$1:$L$1,"",-1,1),E145="U12G",_xlfn.XLOOKUP(G145,Data!$D$24:$L$24,Data!$D$1:$L$1,"",-1,1)))</f>
        <v/>
      </c>
      <c r="L145" s="184" t="str" cm="1">
        <f t="array" ref="L145">IFERROR(_xlfn.IFNA(
                      _xlfn.IFS(
                      F145="", "",
                      AND(E145="U10B",G145&gt;=Data!$M$4), "U10 Boys record",
                      AND(E145="U12B",G145&gt;=Data!$M$11), "U12 Boys record",
                      AND(E145="U10G",G145&gt;=Data!$M$17), "U10 Girls record",
                      AND(E145="U12G",G145&gt;=Data!$M$24), "U12 Girls record"
                       ),""), "")</f>
        <v/>
      </c>
      <c r="M145" s="19" cm="1">
        <f t="array" ref="M145">_xlfn.IFS($G145="",0,AND(NOT(ISNUMBER($G145)),LOWER(LEFT($G145,1))&lt;&gt;"n"),"Not a valid distance",OR(LOWER(LEFT($G145,1))="n",$G145&lt;ScoringTable!$P$161),1,RIGHT($E145,1)="B",_xlfn.XLOOKUP($G145,ScoringTable!$P$2:$P$161,ScoringTable!$L$2:$L$161,,-1),TRUE,_xlfn.XLOOKUP($G145,ScoringTable!$V$2:$V$161,ScoringTable!$R$2:$R$161,,-1))</f>
        <v>0</v>
      </c>
    </row>
    <row r="146" spans="1:13" ht="16" customHeight="1">
      <c r="A146" s="82" t="s">
        <v>27</v>
      </c>
      <c r="B146" s="81" t="str">
        <f>IF(ISNA(VLOOKUP($F146,Declarations!B$6:C$293,2,FALSE)),"",IF(VLOOKUP($F146,Declarations!B$6:C$293,2,FALSE)="","NOT DECLARED",IF(ISNA(_xlfn.TEXTBEFORE(VLOOKUP($F146,Declarations!B$6:C$293,2,FALSE)," ")),VLOOKUP($F146,Declarations!B$6:C$293,2,FALSE),_xlfn.TEXTBEFORE(VLOOKUP($F146,Declarations!B$6:C$293,2,FALSE)," "))))</f>
        <v/>
      </c>
      <c r="C146" s="81" t="str">
        <f>IF(ISNA(VLOOKUP($F146,Declarations!B$6:C$293,2,FALSE)),"",IF(VLOOKUP($F146,Declarations!B$6:C$293,2,FALSE)="","NOT DECLARED",IF(ISNA(_xlfn.TEXTAFTER(VLOOKUP($F146,Declarations!B$6:C$293,2,FALSE)," ")),VLOOKUP($F146,Declarations!B$6:C$293,2,FALSE),_xlfn.TEXTAFTER(VLOOKUP($F146,Declarations!B$6:C$293,2,FALSE)," "))))</f>
        <v/>
      </c>
      <c r="D146" s="81" t="str">
        <f>IF(ISNA(VLOOKUP($F146,Declarations!$B$6:$F$293,5,FALSE)),"",IF(VLOOKUP($F146,Declarations!$B$6:$F$293,5,FALSE)="","NOT DECLARED",VLOOKUP($F146,Declarations!$B$6:$F$293,5,FALSE)))</f>
        <v/>
      </c>
      <c r="E146" s="120" t="str">
        <f>IF(ISNA(VLOOKUP($F146,Declarations!$B$6:$D$293,3,FALSE)),"",IF(VLOOKUP($F146,Declarations!$B$6:$D$293,3,FALSE)="","NOT DECLARED",VLOOKUP($F146,Declarations!$B$6:$D$293,3,FALSE)&amp;LEFT(VLOOKUP($F146,Declarations!$B$6:$E$293,4,FALSE))))</f>
        <v/>
      </c>
      <c r="F146" s="21"/>
      <c r="G146" s="22"/>
      <c r="H146" s="322"/>
      <c r="I146" s="8" t="str">
        <f>IF(ISNA(VLOOKUP(F146,Declarations!B$6:C$293,2,FALSE)),"",IF(VLOOKUP(F146,Declarations!B$6:C$293,2,FALSE)="","NOT DECLARED",VLOOKUP(F146,Declarations!B$6:C$293,2,FALSE)))</f>
        <v/>
      </c>
      <c r="J146" s="2">
        <f>IF(LOWER(LEFT(G146,1))="n",1,VLOOKUP(G146,ScoringTable!E$2:I$95,5))</f>
        <v>0</v>
      </c>
      <c r="K146" s="120" t="str" cm="1">
        <f t="array" ref="K146">IF(OR(E146="",G146=""),"",_xlfn.IFS(E146="U10B",_xlfn.XLOOKUP(G146,Data!$D$4:$L$4,Data!$D$1:$L$1,"",-1,1),E146="U12B",_xlfn.XLOOKUP(G146,Data!$D$11:$L$11,Data!$D$1:$L$1,"",-1,1),E146="U10G",_xlfn.XLOOKUP(G146,Data!$D$17:$L$17,Data!$D$1:$L$1,"",-1,1),E146="U12G",_xlfn.XLOOKUP(G146,Data!$D$24:$L$24,Data!$D$1:$L$1,"",-1,1)))</f>
        <v/>
      </c>
      <c r="L146" s="184" t="str" cm="1">
        <f t="array" ref="L146">IFERROR(_xlfn.IFNA(
                      _xlfn.IFS(
                      F146="", "",
                      AND(E146="U10B",G146&gt;=Data!$M$4), "U10 Boys record",
                      AND(E146="U12B",G146&gt;=Data!$M$11), "U12 Boys record",
                      AND(E146="U10G",G146&gt;=Data!$M$17), "U10 Girls record",
                      AND(E146="U12G",G146&gt;=Data!$M$24), "U12 Girls record"
                       ),""), "")</f>
        <v/>
      </c>
      <c r="M146" s="19" cm="1">
        <f t="array" ref="M146">_xlfn.IFS($G146="",0,AND(NOT(ISNUMBER($G146)),LOWER(LEFT($G146,1))&lt;&gt;"n"),"Not a valid distance",OR(LOWER(LEFT($G146,1))="n",$G146&lt;ScoringTable!$P$161),1,RIGHT($E146,1)="B",_xlfn.XLOOKUP($G146,ScoringTable!$P$2:$P$161,ScoringTable!$L$2:$L$161,,-1),TRUE,_xlfn.XLOOKUP($G146,ScoringTable!$V$2:$V$161,ScoringTable!$R$2:$R$161,,-1))</f>
        <v>0</v>
      </c>
    </row>
    <row r="147" spans="1:13" ht="16" customHeight="1">
      <c r="A147" s="82" t="s">
        <v>27</v>
      </c>
      <c r="B147" s="81" t="str">
        <f>IF(ISNA(VLOOKUP($F147,Declarations!B$6:C$293,2,FALSE)),"",IF(VLOOKUP($F147,Declarations!B$6:C$293,2,FALSE)="","NOT DECLARED",IF(ISNA(_xlfn.TEXTBEFORE(VLOOKUP($F147,Declarations!B$6:C$293,2,FALSE)," ")),VLOOKUP($F147,Declarations!B$6:C$293,2,FALSE),_xlfn.TEXTBEFORE(VLOOKUP($F147,Declarations!B$6:C$293,2,FALSE)," "))))</f>
        <v/>
      </c>
      <c r="C147" s="81" t="str">
        <f>IF(ISNA(VLOOKUP($F147,Declarations!B$6:C$293,2,FALSE)),"",IF(VLOOKUP($F147,Declarations!B$6:C$293,2,FALSE)="","NOT DECLARED",IF(ISNA(_xlfn.TEXTAFTER(VLOOKUP($F147,Declarations!B$6:C$293,2,FALSE)," ")),VLOOKUP($F147,Declarations!B$6:C$293,2,FALSE),_xlfn.TEXTAFTER(VLOOKUP($F147,Declarations!B$6:C$293,2,FALSE)," "))))</f>
        <v/>
      </c>
      <c r="D147" s="81" t="str">
        <f>IF(ISNA(VLOOKUP($F147,Declarations!$B$6:$F$293,5,FALSE)),"",IF(VLOOKUP($F147,Declarations!$B$6:$F$293,5,FALSE)="","NOT DECLARED",VLOOKUP($F147,Declarations!$B$6:$F$293,5,FALSE)))</f>
        <v/>
      </c>
      <c r="E147" s="120" t="str">
        <f>IF(ISNA(VLOOKUP($F147,Declarations!$B$6:$D$293,3,FALSE)),"",IF(VLOOKUP($F147,Declarations!$B$6:$D$293,3,FALSE)="","NOT DECLARED",VLOOKUP($F147,Declarations!$B$6:$D$293,3,FALSE)&amp;LEFT(VLOOKUP($F147,Declarations!$B$6:$E$293,4,FALSE))))</f>
        <v/>
      </c>
      <c r="F147" s="21"/>
      <c r="G147" s="22"/>
      <c r="H147" s="322"/>
      <c r="I147" s="8" t="str">
        <f>IF(ISNA(VLOOKUP(F147,Declarations!B$6:C$293,2,FALSE)),"",IF(VLOOKUP(F147,Declarations!B$6:C$293,2,FALSE)="","NOT DECLARED",VLOOKUP(F147,Declarations!B$6:C$293,2,FALSE)))</f>
        <v/>
      </c>
      <c r="J147" s="2">
        <f>IF(LOWER(LEFT(G147,1))="n",1,VLOOKUP(G147,ScoringTable!E$2:I$95,5))</f>
        <v>0</v>
      </c>
      <c r="K147" s="120" t="str" cm="1">
        <f t="array" ref="K147">IF(OR(E147="",G147=""),"",_xlfn.IFS(E147="U10B",_xlfn.XLOOKUP(G147,Data!$D$4:$L$4,Data!$D$1:$L$1,"",-1,1),E147="U12B",_xlfn.XLOOKUP(G147,Data!$D$11:$L$11,Data!$D$1:$L$1,"",-1,1),E147="U10G",_xlfn.XLOOKUP(G147,Data!$D$17:$L$17,Data!$D$1:$L$1,"",-1,1),E147="U12G",_xlfn.XLOOKUP(G147,Data!$D$24:$L$24,Data!$D$1:$L$1,"",-1,1)))</f>
        <v/>
      </c>
      <c r="L147" s="184" t="str" cm="1">
        <f t="array" ref="L147">IFERROR(_xlfn.IFNA(
                      _xlfn.IFS(
                      F147="", "",
                      AND(E147="U10B",G147&gt;=Data!$M$4), "U10 Boys record",
                      AND(E147="U12B",G147&gt;=Data!$M$11), "U12 Boys record",
                      AND(E147="U10G",G147&gt;=Data!$M$17), "U10 Girls record",
                      AND(E147="U12G",G147&gt;=Data!$M$24), "U12 Girls record"
                       ),""), "")</f>
        <v/>
      </c>
      <c r="M147" s="19" cm="1">
        <f t="array" ref="M147">_xlfn.IFS($G147="",0,AND(NOT(ISNUMBER($G147)),LOWER(LEFT($G147,1))&lt;&gt;"n"),"Not a valid distance",OR(LOWER(LEFT($G147,1))="n",$G147&lt;ScoringTable!$P$161),1,RIGHT($E147,1)="B",_xlfn.XLOOKUP($G147,ScoringTable!$P$2:$P$161,ScoringTable!$L$2:$L$161,,-1),TRUE,_xlfn.XLOOKUP($G147,ScoringTable!$V$2:$V$161,ScoringTable!$R$2:$R$161,,-1))</f>
        <v>0</v>
      </c>
    </row>
    <row r="148" spans="1:13" ht="16" customHeight="1">
      <c r="A148" s="82" t="s">
        <v>27</v>
      </c>
      <c r="B148" s="81" t="str">
        <f>IF(ISNA(VLOOKUP($F148,Declarations!B$6:C$293,2,FALSE)),"",IF(VLOOKUP($F148,Declarations!B$6:C$293,2,FALSE)="","NOT DECLARED",IF(ISNA(_xlfn.TEXTBEFORE(VLOOKUP($F148,Declarations!B$6:C$293,2,FALSE)," ")),VLOOKUP($F148,Declarations!B$6:C$293,2,FALSE),_xlfn.TEXTBEFORE(VLOOKUP($F148,Declarations!B$6:C$293,2,FALSE)," "))))</f>
        <v/>
      </c>
      <c r="C148" s="81" t="str">
        <f>IF(ISNA(VLOOKUP($F148,Declarations!B$6:C$293,2,FALSE)),"",IF(VLOOKUP($F148,Declarations!B$6:C$293,2,FALSE)="","NOT DECLARED",IF(ISNA(_xlfn.TEXTAFTER(VLOOKUP($F148,Declarations!B$6:C$293,2,FALSE)," ")),VLOOKUP($F148,Declarations!B$6:C$293,2,FALSE),_xlfn.TEXTAFTER(VLOOKUP($F148,Declarations!B$6:C$293,2,FALSE)," "))))</f>
        <v/>
      </c>
      <c r="D148" s="81" t="str">
        <f>IF(ISNA(VLOOKUP($F148,Declarations!$B$6:$F$293,5,FALSE)),"",IF(VLOOKUP($F148,Declarations!$B$6:$F$293,5,FALSE)="","NOT DECLARED",VLOOKUP($F148,Declarations!$B$6:$F$293,5,FALSE)))</f>
        <v/>
      </c>
      <c r="E148" s="120" t="str">
        <f>IF(ISNA(VLOOKUP($F148,Declarations!$B$6:$D$293,3,FALSE)),"",IF(VLOOKUP($F148,Declarations!$B$6:$D$293,3,FALSE)="","NOT DECLARED",VLOOKUP($F148,Declarations!$B$6:$D$293,3,FALSE)&amp;LEFT(VLOOKUP($F148,Declarations!$B$6:$E$293,4,FALSE))))</f>
        <v/>
      </c>
      <c r="F148" s="21"/>
      <c r="G148" s="22"/>
      <c r="H148" s="322"/>
      <c r="I148" s="8" t="str">
        <f>IF(ISNA(VLOOKUP(F148,Declarations!B$6:C$293,2,FALSE)),"",IF(VLOOKUP(F148,Declarations!B$6:C$293,2,FALSE)="","NOT DECLARED",VLOOKUP(F148,Declarations!B$6:C$293,2,FALSE)))</f>
        <v/>
      </c>
      <c r="J148" s="2">
        <f>IF(LOWER(LEFT(G148,1))="n",1,VLOOKUP(G148,ScoringTable!E$2:I$95,5))</f>
        <v>0</v>
      </c>
      <c r="K148" s="120" t="str" cm="1">
        <f t="array" ref="K148">IF(OR(E148="",G148=""),"",_xlfn.IFS(E148="U10B",_xlfn.XLOOKUP(G148,Data!$D$4:$L$4,Data!$D$1:$L$1,"",-1,1),E148="U12B",_xlfn.XLOOKUP(G148,Data!$D$11:$L$11,Data!$D$1:$L$1,"",-1,1),E148="U10G",_xlfn.XLOOKUP(G148,Data!$D$17:$L$17,Data!$D$1:$L$1,"",-1,1),E148="U12G",_xlfn.XLOOKUP(G148,Data!$D$24:$L$24,Data!$D$1:$L$1,"",-1,1)))</f>
        <v/>
      </c>
      <c r="L148" s="184" t="str" cm="1">
        <f t="array" ref="L148">IFERROR(_xlfn.IFNA(
                      _xlfn.IFS(
                      F148="", "",
                      AND(E148="U10B",G148&gt;=Data!$M$4), "U10 Boys record",
                      AND(E148="U12B",G148&gt;=Data!$M$11), "U12 Boys record",
                      AND(E148="U10G",G148&gt;=Data!$M$17), "U10 Girls record",
                      AND(E148="U12G",G148&gt;=Data!$M$24), "U12 Girls record"
                       ),""), "")</f>
        <v/>
      </c>
      <c r="M148" s="19" cm="1">
        <f t="array" ref="M148">_xlfn.IFS($G148="",0,AND(NOT(ISNUMBER($G148)),LOWER(LEFT($G148,1))&lt;&gt;"n"),"Not a valid distance",OR(LOWER(LEFT($G148,1))="n",$G148&lt;ScoringTable!$P$161),1,RIGHT($E148,1)="B",_xlfn.XLOOKUP($G148,ScoringTable!$P$2:$P$161,ScoringTable!$L$2:$L$161,,-1),TRUE,_xlfn.XLOOKUP($G148,ScoringTable!$V$2:$V$161,ScoringTable!$R$2:$R$161,,-1))</f>
        <v>0</v>
      </c>
    </row>
    <row r="149" spans="1:13" ht="16" customHeight="1">
      <c r="A149" s="82" t="s">
        <v>27</v>
      </c>
      <c r="B149" s="81" t="str">
        <f>IF(ISNA(VLOOKUP($F149,Declarations!B$6:C$293,2,FALSE)),"",IF(VLOOKUP($F149,Declarations!B$6:C$293,2,FALSE)="","NOT DECLARED",IF(ISNA(_xlfn.TEXTBEFORE(VLOOKUP($F149,Declarations!B$6:C$293,2,FALSE)," ")),VLOOKUP($F149,Declarations!B$6:C$293,2,FALSE),_xlfn.TEXTBEFORE(VLOOKUP($F149,Declarations!B$6:C$293,2,FALSE)," "))))</f>
        <v/>
      </c>
      <c r="C149" s="81" t="str">
        <f>IF(ISNA(VLOOKUP($F149,Declarations!B$6:C$293,2,FALSE)),"",IF(VLOOKUP($F149,Declarations!B$6:C$293,2,FALSE)="","NOT DECLARED",IF(ISNA(_xlfn.TEXTAFTER(VLOOKUP($F149,Declarations!B$6:C$293,2,FALSE)," ")),VLOOKUP($F149,Declarations!B$6:C$293,2,FALSE),_xlfn.TEXTAFTER(VLOOKUP($F149,Declarations!B$6:C$293,2,FALSE)," "))))</f>
        <v/>
      </c>
      <c r="D149" s="81" t="str">
        <f>IF(ISNA(VLOOKUP($F149,Declarations!$B$6:$F$293,5,FALSE)),"",IF(VLOOKUP($F149,Declarations!$B$6:$F$293,5,FALSE)="","NOT DECLARED",VLOOKUP($F149,Declarations!$B$6:$F$293,5,FALSE)))</f>
        <v/>
      </c>
      <c r="E149" s="120" t="str">
        <f>IF(ISNA(VLOOKUP($F149,Declarations!$B$6:$D$293,3,FALSE)),"",IF(VLOOKUP($F149,Declarations!$B$6:$D$293,3,FALSE)="","NOT DECLARED",VLOOKUP($F149,Declarations!$B$6:$D$293,3,FALSE)&amp;LEFT(VLOOKUP($F149,Declarations!$B$6:$E$293,4,FALSE))))</f>
        <v/>
      </c>
      <c r="F149" s="21"/>
      <c r="G149" s="22"/>
      <c r="H149" s="322"/>
      <c r="I149" s="8" t="str">
        <f>IF(ISNA(VLOOKUP(F149,Declarations!B$6:C$293,2,FALSE)),"",IF(VLOOKUP(F149,Declarations!B$6:C$293,2,FALSE)="","NOT DECLARED",VLOOKUP(F149,Declarations!B$6:C$293,2,FALSE)))</f>
        <v/>
      </c>
      <c r="J149" s="2">
        <f>IF(LOWER(LEFT(G149,1))="n",1,VLOOKUP(G149,ScoringTable!E$2:I$95,5))</f>
        <v>0</v>
      </c>
      <c r="K149" s="120" t="str" cm="1">
        <f t="array" ref="K149">IF(OR(E149="",G149=""),"",_xlfn.IFS(E149="U10B",_xlfn.XLOOKUP(G149,Data!$D$4:$L$4,Data!$D$1:$L$1,"",-1,1),E149="U12B",_xlfn.XLOOKUP(G149,Data!$D$11:$L$11,Data!$D$1:$L$1,"",-1,1),E149="U10G",_xlfn.XLOOKUP(G149,Data!$D$17:$L$17,Data!$D$1:$L$1,"",-1,1),E149="U12G",_xlfn.XLOOKUP(G149,Data!$D$24:$L$24,Data!$D$1:$L$1,"",-1,1)))</f>
        <v/>
      </c>
      <c r="L149" s="184" t="str" cm="1">
        <f t="array" ref="L149">IFERROR(_xlfn.IFNA(
                      _xlfn.IFS(
                      F149="", "",
                      AND(E149="U10B",G149&gt;=Data!$M$4), "U10 Boys record",
                      AND(E149="U12B",G149&gt;=Data!$M$11), "U12 Boys record",
                      AND(E149="U10G",G149&gt;=Data!$M$17), "U10 Girls record",
                      AND(E149="U12G",G149&gt;=Data!$M$24), "U12 Girls record"
                       ),""), "")</f>
        <v/>
      </c>
      <c r="M149" s="19" cm="1">
        <f t="array" ref="M149">_xlfn.IFS($G149="",0,AND(NOT(ISNUMBER($G149)),LOWER(LEFT($G149,1))&lt;&gt;"n"),"Not a valid distance",OR(LOWER(LEFT($G149,1))="n",$G149&lt;ScoringTable!$P$161),1,RIGHT($E149,1)="B",_xlfn.XLOOKUP($G149,ScoringTable!$P$2:$P$161,ScoringTable!$L$2:$L$161,,-1),TRUE,_xlfn.XLOOKUP($G149,ScoringTable!$V$2:$V$161,ScoringTable!$R$2:$R$161,,-1))</f>
        <v>0</v>
      </c>
    </row>
    <row r="150" spans="1:13" ht="16" customHeight="1">
      <c r="A150" s="82" t="s">
        <v>27</v>
      </c>
      <c r="B150" s="81" t="str">
        <f>IF(ISNA(VLOOKUP($F150,Declarations!B$6:C$293,2,FALSE)),"",IF(VLOOKUP($F150,Declarations!B$6:C$293,2,FALSE)="","NOT DECLARED",IF(ISNA(_xlfn.TEXTBEFORE(VLOOKUP($F150,Declarations!B$6:C$293,2,FALSE)," ")),VLOOKUP($F150,Declarations!B$6:C$293,2,FALSE),_xlfn.TEXTBEFORE(VLOOKUP($F150,Declarations!B$6:C$293,2,FALSE)," "))))</f>
        <v/>
      </c>
      <c r="C150" s="81" t="str">
        <f>IF(ISNA(VLOOKUP($F150,Declarations!B$6:C$293,2,FALSE)),"",IF(VLOOKUP($F150,Declarations!B$6:C$293,2,FALSE)="","NOT DECLARED",IF(ISNA(_xlfn.TEXTAFTER(VLOOKUP($F150,Declarations!B$6:C$293,2,FALSE)," ")),VLOOKUP($F150,Declarations!B$6:C$293,2,FALSE),_xlfn.TEXTAFTER(VLOOKUP($F150,Declarations!B$6:C$293,2,FALSE)," "))))</f>
        <v/>
      </c>
      <c r="D150" s="81" t="str">
        <f>IF(ISNA(VLOOKUP($F150,Declarations!$B$6:$F$293,5,FALSE)),"",IF(VLOOKUP($F150,Declarations!$B$6:$F$293,5,FALSE)="","NOT DECLARED",VLOOKUP($F150,Declarations!$B$6:$F$293,5,FALSE)))</f>
        <v/>
      </c>
      <c r="E150" s="120" t="str">
        <f>IF(ISNA(VLOOKUP($F150,Declarations!$B$6:$D$293,3,FALSE)),"",IF(VLOOKUP($F150,Declarations!$B$6:$D$293,3,FALSE)="","NOT DECLARED",VLOOKUP($F150,Declarations!$B$6:$D$293,3,FALSE)&amp;LEFT(VLOOKUP($F150,Declarations!$B$6:$E$293,4,FALSE))))</f>
        <v/>
      </c>
      <c r="F150" s="21"/>
      <c r="G150" s="22"/>
      <c r="H150" s="322"/>
      <c r="I150" s="8" t="str">
        <f>IF(ISNA(VLOOKUP(F150,Declarations!B$6:C$293,2,FALSE)),"",IF(VLOOKUP(F150,Declarations!B$6:C$293,2,FALSE)="","NOT DECLARED",VLOOKUP(F150,Declarations!B$6:C$293,2,FALSE)))</f>
        <v/>
      </c>
      <c r="J150" s="2">
        <f>IF(LOWER(LEFT(G150,1))="n",1,VLOOKUP(G150,ScoringTable!E$2:I$95,5))</f>
        <v>0</v>
      </c>
      <c r="K150" s="120" t="str" cm="1">
        <f t="array" ref="K150">IF(OR(E150="",G150=""),"",_xlfn.IFS(E150="U10B",_xlfn.XLOOKUP(G150,Data!$D$4:$L$4,Data!$D$1:$L$1,"",-1,1),E150="U12B",_xlfn.XLOOKUP(G150,Data!$D$11:$L$11,Data!$D$1:$L$1,"",-1,1),E150="U10G",_xlfn.XLOOKUP(G150,Data!$D$17:$L$17,Data!$D$1:$L$1,"",-1,1),E150="U12G",_xlfn.XLOOKUP(G150,Data!$D$24:$L$24,Data!$D$1:$L$1,"",-1,1)))</f>
        <v/>
      </c>
      <c r="L150" s="184" t="str" cm="1">
        <f t="array" ref="L150">IFERROR(_xlfn.IFNA(
                      _xlfn.IFS(
                      F150="", "",
                      AND(E150="U10B",G150&gt;=Data!$M$4), "U10 Boys record",
                      AND(E150="U12B",G150&gt;=Data!$M$11), "U12 Boys record",
                      AND(E150="U10G",G150&gt;=Data!$M$17), "U10 Girls record",
                      AND(E150="U12G",G150&gt;=Data!$M$24), "U12 Girls record"
                       ),""), "")</f>
        <v/>
      </c>
      <c r="M150" s="19" cm="1">
        <f t="array" ref="M150">_xlfn.IFS($G150="",0,AND(NOT(ISNUMBER($G150)),LOWER(LEFT($G150,1))&lt;&gt;"n"),"Not a valid distance",OR(LOWER(LEFT($G150,1))="n",$G150&lt;ScoringTable!$P$161),1,RIGHT($E150,1)="B",_xlfn.XLOOKUP($G150,ScoringTable!$P$2:$P$161,ScoringTable!$L$2:$L$161,,-1),TRUE,_xlfn.XLOOKUP($G150,ScoringTable!$V$2:$V$161,ScoringTable!$R$2:$R$161,,-1))</f>
        <v>0</v>
      </c>
    </row>
    <row r="151" spans="1:13" ht="16" customHeight="1">
      <c r="A151" s="82" t="s">
        <v>27</v>
      </c>
      <c r="B151" s="81" t="str">
        <f>IF(ISNA(VLOOKUP($F151,Declarations!B$6:C$293,2,FALSE)),"",IF(VLOOKUP($F151,Declarations!B$6:C$293,2,FALSE)="","NOT DECLARED",IF(ISNA(_xlfn.TEXTBEFORE(VLOOKUP($F151,Declarations!B$6:C$293,2,FALSE)," ")),VLOOKUP($F151,Declarations!B$6:C$293,2,FALSE),_xlfn.TEXTBEFORE(VLOOKUP($F151,Declarations!B$6:C$293,2,FALSE)," "))))</f>
        <v/>
      </c>
      <c r="C151" s="81" t="str">
        <f>IF(ISNA(VLOOKUP($F151,Declarations!B$6:C$293,2,FALSE)),"",IF(VLOOKUP($F151,Declarations!B$6:C$293,2,FALSE)="","NOT DECLARED",IF(ISNA(_xlfn.TEXTAFTER(VLOOKUP($F151,Declarations!B$6:C$293,2,FALSE)," ")),VLOOKUP($F151,Declarations!B$6:C$293,2,FALSE),_xlfn.TEXTAFTER(VLOOKUP($F151,Declarations!B$6:C$293,2,FALSE)," "))))</f>
        <v/>
      </c>
      <c r="D151" s="81" t="str">
        <f>IF(ISNA(VLOOKUP($F151,Declarations!$B$6:$F$293,5,FALSE)),"",IF(VLOOKUP($F151,Declarations!$B$6:$F$293,5,FALSE)="","NOT DECLARED",VLOOKUP($F151,Declarations!$B$6:$F$293,5,FALSE)))</f>
        <v/>
      </c>
      <c r="E151" s="120" t="str">
        <f>IF(ISNA(VLOOKUP($F151,Declarations!$B$6:$D$293,3,FALSE)),"",IF(VLOOKUP($F151,Declarations!$B$6:$D$293,3,FALSE)="","NOT DECLARED",VLOOKUP($F151,Declarations!$B$6:$D$293,3,FALSE)&amp;LEFT(VLOOKUP($F151,Declarations!$B$6:$E$293,4,FALSE))))</f>
        <v/>
      </c>
      <c r="F151" s="21"/>
      <c r="G151" s="22"/>
      <c r="H151" s="322"/>
      <c r="I151" s="8" t="str">
        <f>IF(ISNA(VLOOKUP(F151,Declarations!B$6:C$293,2,FALSE)),"",IF(VLOOKUP(F151,Declarations!B$6:C$293,2,FALSE)="","NOT DECLARED",VLOOKUP(F151,Declarations!B$6:C$293,2,FALSE)))</f>
        <v/>
      </c>
      <c r="J151" s="2">
        <f>IF(LOWER(LEFT(G151,1))="n",1,VLOOKUP(G151,ScoringTable!E$2:I$95,5))</f>
        <v>0</v>
      </c>
      <c r="K151" s="120" t="str" cm="1">
        <f t="array" ref="K151">IF(OR(E151="",G151=""),"",_xlfn.IFS(E151="U10B",_xlfn.XLOOKUP(G151,Data!$D$4:$L$4,Data!$D$1:$L$1,"",-1,1),E151="U12B",_xlfn.XLOOKUP(G151,Data!$D$11:$L$11,Data!$D$1:$L$1,"",-1,1),E151="U10G",_xlfn.XLOOKUP(G151,Data!$D$17:$L$17,Data!$D$1:$L$1,"",-1,1),E151="U12G",_xlfn.XLOOKUP(G151,Data!$D$24:$L$24,Data!$D$1:$L$1,"",-1,1)))</f>
        <v/>
      </c>
      <c r="L151" s="184" t="str" cm="1">
        <f t="array" ref="L151">IFERROR(_xlfn.IFNA(
                      _xlfn.IFS(
                      F151="", "",
                      AND(E151="U10B",G151&gt;=Data!$M$4), "U10 Boys record",
                      AND(E151="U12B",G151&gt;=Data!$M$11), "U12 Boys record",
                      AND(E151="U10G",G151&gt;=Data!$M$17), "U10 Girls record",
                      AND(E151="U12G",G151&gt;=Data!$M$24), "U12 Girls record"
                       ),""), "")</f>
        <v/>
      </c>
      <c r="M151" s="19" cm="1">
        <f t="array" ref="M151">_xlfn.IFS($G151="",0,AND(NOT(ISNUMBER($G151)),LOWER(LEFT($G151,1))&lt;&gt;"n"),"Not a valid distance",OR(LOWER(LEFT($G151,1))="n",$G151&lt;ScoringTable!$P$161),1,RIGHT($E151,1)="B",_xlfn.XLOOKUP($G151,ScoringTable!$P$2:$P$161,ScoringTable!$L$2:$L$161,,-1),TRUE,_xlfn.XLOOKUP($G151,ScoringTable!$V$2:$V$161,ScoringTable!$R$2:$R$161,,-1))</f>
        <v>0</v>
      </c>
    </row>
    <row r="152" spans="1:13" ht="16" customHeight="1">
      <c r="A152" s="82" t="s">
        <v>27</v>
      </c>
      <c r="B152" s="81" t="str">
        <f>IF(ISNA(VLOOKUP($F152,Declarations!B$6:C$293,2,FALSE)),"",IF(VLOOKUP($F152,Declarations!B$6:C$293,2,FALSE)="","NOT DECLARED",IF(ISNA(_xlfn.TEXTBEFORE(VLOOKUP($F152,Declarations!B$6:C$293,2,FALSE)," ")),VLOOKUP($F152,Declarations!B$6:C$293,2,FALSE),_xlfn.TEXTBEFORE(VLOOKUP($F152,Declarations!B$6:C$293,2,FALSE)," "))))</f>
        <v/>
      </c>
      <c r="C152" s="81" t="str">
        <f>IF(ISNA(VLOOKUP($F152,Declarations!B$6:C$293,2,FALSE)),"",IF(VLOOKUP($F152,Declarations!B$6:C$293,2,FALSE)="","NOT DECLARED",IF(ISNA(_xlfn.TEXTAFTER(VLOOKUP($F152,Declarations!B$6:C$293,2,FALSE)," ")),VLOOKUP($F152,Declarations!B$6:C$293,2,FALSE),_xlfn.TEXTAFTER(VLOOKUP($F152,Declarations!B$6:C$293,2,FALSE)," "))))</f>
        <v/>
      </c>
      <c r="D152" s="81" t="str">
        <f>IF(ISNA(VLOOKUP($F152,Declarations!$B$6:$F$293,5,FALSE)),"",IF(VLOOKUP($F152,Declarations!$B$6:$F$293,5,FALSE)="","NOT DECLARED",VLOOKUP($F152,Declarations!$B$6:$F$293,5,FALSE)))</f>
        <v/>
      </c>
      <c r="E152" s="120" t="str">
        <f>IF(ISNA(VLOOKUP($F152,Declarations!$B$6:$D$293,3,FALSE)),"",IF(VLOOKUP($F152,Declarations!$B$6:$D$293,3,FALSE)="","NOT DECLARED",VLOOKUP($F152,Declarations!$B$6:$D$293,3,FALSE)&amp;LEFT(VLOOKUP($F152,Declarations!$B$6:$E$293,4,FALSE))))</f>
        <v/>
      </c>
      <c r="F152" s="21"/>
      <c r="G152" s="22"/>
      <c r="H152" s="322"/>
      <c r="I152" s="8" t="str">
        <f>IF(ISNA(VLOOKUP(F152,Declarations!B$6:C$293,2,FALSE)),"",IF(VLOOKUP(F152,Declarations!B$6:C$293,2,FALSE)="","NOT DECLARED",VLOOKUP(F152,Declarations!B$6:C$293,2,FALSE)))</f>
        <v/>
      </c>
      <c r="J152" s="2">
        <f>IF(LOWER(LEFT(G152,1))="n",1,VLOOKUP(G152,ScoringTable!E$2:I$95,5))</f>
        <v>0</v>
      </c>
      <c r="K152" s="120" t="str" cm="1">
        <f t="array" ref="K152">IF(OR(E152="",G152=""),"",_xlfn.IFS(E152="U10B",_xlfn.XLOOKUP(G152,Data!$D$4:$L$4,Data!$D$1:$L$1,"",-1,1),E152="U12B",_xlfn.XLOOKUP(G152,Data!$D$11:$L$11,Data!$D$1:$L$1,"",-1,1),E152="U10G",_xlfn.XLOOKUP(G152,Data!$D$17:$L$17,Data!$D$1:$L$1,"",-1,1),E152="U12G",_xlfn.XLOOKUP(G152,Data!$D$24:$L$24,Data!$D$1:$L$1,"",-1,1)))</f>
        <v/>
      </c>
      <c r="L152" s="184" t="str" cm="1">
        <f t="array" ref="L152">IFERROR(_xlfn.IFNA(
                      _xlfn.IFS(
                      F152="", "",
                      AND(E152="U10B",G152&gt;=Data!$M$4), "U10 Boys record",
                      AND(E152="U12B",G152&gt;=Data!$M$11), "U12 Boys record",
                      AND(E152="U10G",G152&gt;=Data!$M$17), "U10 Girls record",
                      AND(E152="U12G",G152&gt;=Data!$M$24), "U12 Girls record"
                       ),""), "")</f>
        <v/>
      </c>
      <c r="M152" s="19" cm="1">
        <f t="array" ref="M152">_xlfn.IFS($G152="",0,AND(NOT(ISNUMBER($G152)),LOWER(LEFT($G152,1))&lt;&gt;"n"),"Not a valid distance",OR(LOWER(LEFT($G152,1))="n",$G152&lt;ScoringTable!$P$161),1,RIGHT($E152,1)="B",_xlfn.XLOOKUP($G152,ScoringTable!$P$2:$P$161,ScoringTable!$L$2:$L$161,,-1),TRUE,_xlfn.XLOOKUP($G152,ScoringTable!$V$2:$V$161,ScoringTable!$R$2:$R$161,,-1))</f>
        <v>0</v>
      </c>
    </row>
    <row r="153" spans="1:13" ht="16" customHeight="1">
      <c r="A153" s="82" t="s">
        <v>27</v>
      </c>
      <c r="B153" s="81" t="str">
        <f>IF(ISNA(VLOOKUP($F153,Declarations!B$6:C$293,2,FALSE)),"",IF(VLOOKUP($F153,Declarations!B$6:C$293,2,FALSE)="","NOT DECLARED",IF(ISNA(_xlfn.TEXTBEFORE(VLOOKUP($F153,Declarations!B$6:C$293,2,FALSE)," ")),VLOOKUP($F153,Declarations!B$6:C$293,2,FALSE),_xlfn.TEXTBEFORE(VLOOKUP($F153,Declarations!B$6:C$293,2,FALSE)," "))))</f>
        <v/>
      </c>
      <c r="C153" s="81" t="str">
        <f>IF(ISNA(VLOOKUP($F153,Declarations!B$6:C$293,2,FALSE)),"",IF(VLOOKUP($F153,Declarations!B$6:C$293,2,FALSE)="","NOT DECLARED",IF(ISNA(_xlfn.TEXTAFTER(VLOOKUP($F153,Declarations!B$6:C$293,2,FALSE)," ")),VLOOKUP($F153,Declarations!B$6:C$293,2,FALSE),_xlfn.TEXTAFTER(VLOOKUP($F153,Declarations!B$6:C$293,2,FALSE)," "))))</f>
        <v/>
      </c>
      <c r="D153" s="81" t="str">
        <f>IF(ISNA(VLOOKUP($F153,Declarations!$B$6:$F$293,5,FALSE)),"",IF(VLOOKUP($F153,Declarations!$B$6:$F$293,5,FALSE)="","NOT DECLARED",VLOOKUP($F153,Declarations!$B$6:$F$293,5,FALSE)))</f>
        <v/>
      </c>
      <c r="E153" s="120" t="str">
        <f>IF(ISNA(VLOOKUP($F153,Declarations!$B$6:$D$293,3,FALSE)),"",IF(VLOOKUP($F153,Declarations!$B$6:$D$293,3,FALSE)="","NOT DECLARED",VLOOKUP($F153,Declarations!$B$6:$D$293,3,FALSE)&amp;LEFT(VLOOKUP($F153,Declarations!$B$6:$E$293,4,FALSE))))</f>
        <v/>
      </c>
      <c r="F153" s="21"/>
      <c r="G153" s="22"/>
      <c r="H153" s="322"/>
      <c r="I153" s="8" t="str">
        <f>IF(ISNA(VLOOKUP(F153,Declarations!B$6:C$293,2,FALSE)),"",IF(VLOOKUP(F153,Declarations!B$6:C$293,2,FALSE)="","NOT DECLARED",VLOOKUP(F153,Declarations!B$6:C$293,2,FALSE)))</f>
        <v/>
      </c>
      <c r="J153" s="2">
        <f>IF(LOWER(LEFT(G153,1))="n",1,VLOOKUP(G153,ScoringTable!E$2:I$95,5))</f>
        <v>0</v>
      </c>
      <c r="K153" s="120" t="str" cm="1">
        <f t="array" ref="K153">IF(OR(E153="",G153=""),"",_xlfn.IFS(E153="U10B",_xlfn.XLOOKUP(G153,Data!$D$4:$L$4,Data!$D$1:$L$1,"",-1,1),E153="U12B",_xlfn.XLOOKUP(G153,Data!$D$11:$L$11,Data!$D$1:$L$1,"",-1,1),E153="U10G",_xlfn.XLOOKUP(G153,Data!$D$17:$L$17,Data!$D$1:$L$1,"",-1,1),E153="U12G",_xlfn.XLOOKUP(G153,Data!$D$24:$L$24,Data!$D$1:$L$1,"",-1,1)))</f>
        <v/>
      </c>
      <c r="L153" s="184" t="str" cm="1">
        <f t="array" ref="L153">IFERROR(_xlfn.IFNA(
                      _xlfn.IFS(
                      F153="", "",
                      AND(E153="U10B",G153&gt;=Data!$M$4), "U10 Boys record",
                      AND(E153="U12B",G153&gt;=Data!$M$11), "U12 Boys record",
                      AND(E153="U10G",G153&gt;=Data!$M$17), "U10 Girls record",
                      AND(E153="U12G",G153&gt;=Data!$M$24), "U12 Girls record"
                       ),""), "")</f>
        <v/>
      </c>
      <c r="M153" s="19" cm="1">
        <f t="array" ref="M153">_xlfn.IFS($G153="",0,AND(NOT(ISNUMBER($G153)),LOWER(LEFT($G153,1))&lt;&gt;"n"),"Not a valid distance",OR(LOWER(LEFT($G153,1))="n",$G153&lt;ScoringTable!$P$161),1,RIGHT($E153,1)="B",_xlfn.XLOOKUP($G153,ScoringTable!$P$2:$P$161,ScoringTable!$L$2:$L$161,,-1),TRUE,_xlfn.XLOOKUP($G153,ScoringTable!$V$2:$V$161,ScoringTable!$R$2:$R$161,,-1))</f>
        <v>0</v>
      </c>
    </row>
    <row r="154" spans="1:13" ht="16" customHeight="1">
      <c r="A154" s="82" t="s">
        <v>27</v>
      </c>
      <c r="B154" s="81" t="str">
        <f>IF(ISNA(VLOOKUP($F154,Declarations!B$6:C$293,2,FALSE)),"",IF(VLOOKUP($F154,Declarations!B$6:C$293,2,FALSE)="","NOT DECLARED",IF(ISNA(_xlfn.TEXTBEFORE(VLOOKUP($F154,Declarations!B$6:C$293,2,FALSE)," ")),VLOOKUP($F154,Declarations!B$6:C$293,2,FALSE),_xlfn.TEXTBEFORE(VLOOKUP($F154,Declarations!B$6:C$293,2,FALSE)," "))))</f>
        <v/>
      </c>
      <c r="C154" s="81" t="str">
        <f>IF(ISNA(VLOOKUP($F154,Declarations!B$6:C$293,2,FALSE)),"",IF(VLOOKUP($F154,Declarations!B$6:C$293,2,FALSE)="","NOT DECLARED",IF(ISNA(_xlfn.TEXTAFTER(VLOOKUP($F154,Declarations!B$6:C$293,2,FALSE)," ")),VLOOKUP($F154,Declarations!B$6:C$293,2,FALSE),_xlfn.TEXTAFTER(VLOOKUP($F154,Declarations!B$6:C$293,2,FALSE)," "))))</f>
        <v/>
      </c>
      <c r="D154" s="81" t="str">
        <f>IF(ISNA(VLOOKUP($F154,Declarations!$B$6:$F$293,5,FALSE)),"",IF(VLOOKUP($F154,Declarations!$B$6:$F$293,5,FALSE)="","NOT DECLARED",VLOOKUP($F154,Declarations!$B$6:$F$293,5,FALSE)))</f>
        <v/>
      </c>
      <c r="E154" s="120" t="str">
        <f>IF(ISNA(VLOOKUP($F154,Declarations!$B$6:$D$293,3,FALSE)),"",IF(VLOOKUP($F154,Declarations!$B$6:$D$293,3,FALSE)="","NOT DECLARED",VLOOKUP($F154,Declarations!$B$6:$D$293,3,FALSE)&amp;LEFT(VLOOKUP($F154,Declarations!$B$6:$E$293,4,FALSE))))</f>
        <v/>
      </c>
      <c r="F154" s="21"/>
      <c r="G154" s="22"/>
      <c r="H154" s="322"/>
      <c r="I154" s="8" t="str">
        <f>IF(ISNA(VLOOKUP(F154,Declarations!B$6:C$293,2,FALSE)),"",IF(VLOOKUP(F154,Declarations!B$6:C$293,2,FALSE)="","NOT DECLARED",VLOOKUP(F154,Declarations!B$6:C$293,2,FALSE)))</f>
        <v/>
      </c>
      <c r="J154" s="2">
        <f>IF(LOWER(LEFT(G154,1))="n",1,VLOOKUP(G154,ScoringTable!E$2:I$95,5))</f>
        <v>0</v>
      </c>
      <c r="K154" s="120" t="str" cm="1">
        <f t="array" ref="K154">IF(OR(E154="",G154=""),"",_xlfn.IFS(E154="U10B",_xlfn.XLOOKUP(G154,Data!$D$4:$L$4,Data!$D$1:$L$1,"",-1,1),E154="U12B",_xlfn.XLOOKUP(G154,Data!$D$11:$L$11,Data!$D$1:$L$1,"",-1,1),E154="U10G",_xlfn.XLOOKUP(G154,Data!$D$17:$L$17,Data!$D$1:$L$1,"",-1,1),E154="U12G",_xlfn.XLOOKUP(G154,Data!$D$24:$L$24,Data!$D$1:$L$1,"",-1,1)))</f>
        <v/>
      </c>
      <c r="L154" s="184" t="str" cm="1">
        <f t="array" ref="L154">IFERROR(_xlfn.IFNA(
                      _xlfn.IFS(
                      F154="", "",
                      AND(E154="U10B",G154&gt;=Data!$M$4), "U10 Boys record",
                      AND(E154="U12B",G154&gt;=Data!$M$11), "U12 Boys record",
                      AND(E154="U10G",G154&gt;=Data!$M$17), "U10 Girls record",
                      AND(E154="U12G",G154&gt;=Data!$M$24), "U12 Girls record"
                       ),""), "")</f>
        <v/>
      </c>
      <c r="M154" s="19" cm="1">
        <f t="array" ref="M154">_xlfn.IFS($G154="",0,AND(NOT(ISNUMBER($G154)),LOWER(LEFT($G154,1))&lt;&gt;"n"),"Not a valid distance",OR(LOWER(LEFT($G154,1))="n",$G154&lt;ScoringTable!$P$161),1,RIGHT($E154,1)="B",_xlfn.XLOOKUP($G154,ScoringTable!$P$2:$P$161,ScoringTable!$L$2:$L$161,,-1),TRUE,_xlfn.XLOOKUP($G154,ScoringTable!$V$2:$V$161,ScoringTable!$R$2:$R$161,,-1))</f>
        <v>0</v>
      </c>
    </row>
    <row r="155" spans="1:13" ht="16" customHeight="1">
      <c r="A155" s="82" t="s">
        <v>27</v>
      </c>
      <c r="B155" s="81" t="str">
        <f>IF(ISNA(VLOOKUP($F155,Declarations!B$6:C$293,2,FALSE)),"",IF(VLOOKUP($F155,Declarations!B$6:C$293,2,FALSE)="","NOT DECLARED",IF(ISNA(_xlfn.TEXTBEFORE(VLOOKUP($F155,Declarations!B$6:C$293,2,FALSE)," ")),VLOOKUP($F155,Declarations!B$6:C$293,2,FALSE),_xlfn.TEXTBEFORE(VLOOKUP($F155,Declarations!B$6:C$293,2,FALSE)," "))))</f>
        <v/>
      </c>
      <c r="C155" s="81" t="str">
        <f>IF(ISNA(VLOOKUP($F155,Declarations!B$6:C$293,2,FALSE)),"",IF(VLOOKUP($F155,Declarations!B$6:C$293,2,FALSE)="","NOT DECLARED",IF(ISNA(_xlfn.TEXTAFTER(VLOOKUP($F155,Declarations!B$6:C$293,2,FALSE)," ")),VLOOKUP($F155,Declarations!B$6:C$293,2,FALSE),_xlfn.TEXTAFTER(VLOOKUP($F155,Declarations!B$6:C$293,2,FALSE)," "))))</f>
        <v/>
      </c>
      <c r="D155" s="81" t="str">
        <f>IF(ISNA(VLOOKUP($F155,Declarations!$B$6:$F$293,5,FALSE)),"",IF(VLOOKUP($F155,Declarations!$B$6:$F$293,5,FALSE)="","NOT DECLARED",VLOOKUP($F155,Declarations!$B$6:$F$293,5,FALSE)))</f>
        <v/>
      </c>
      <c r="E155" s="120" t="str">
        <f>IF(ISNA(VLOOKUP($F155,Declarations!$B$6:$D$293,3,FALSE)),"",IF(VLOOKUP($F155,Declarations!$B$6:$D$293,3,FALSE)="","NOT DECLARED",VLOOKUP($F155,Declarations!$B$6:$D$293,3,FALSE)&amp;LEFT(VLOOKUP($F155,Declarations!$B$6:$E$293,4,FALSE))))</f>
        <v/>
      </c>
      <c r="F155" s="21"/>
      <c r="G155" s="22"/>
      <c r="H155" s="322"/>
      <c r="I155" s="8" t="str">
        <f>IF(ISNA(VLOOKUP(F155,Declarations!B$6:C$293,2,FALSE)),"",IF(VLOOKUP(F155,Declarations!B$6:C$293,2,FALSE)="","NOT DECLARED",VLOOKUP(F155,Declarations!B$6:C$293,2,FALSE)))</f>
        <v/>
      </c>
      <c r="J155" s="2">
        <f>IF(LOWER(LEFT(G155,1))="n",1,VLOOKUP(G155,ScoringTable!E$2:I$95,5))</f>
        <v>0</v>
      </c>
      <c r="K155" s="120" t="str" cm="1">
        <f t="array" ref="K155">IF(OR(E155="",G155=""),"",_xlfn.IFS(E155="U10B",_xlfn.XLOOKUP(G155,Data!$D$4:$L$4,Data!$D$1:$L$1,"",-1,1),E155="U12B",_xlfn.XLOOKUP(G155,Data!$D$11:$L$11,Data!$D$1:$L$1,"",-1,1),E155="U10G",_xlfn.XLOOKUP(G155,Data!$D$17:$L$17,Data!$D$1:$L$1,"",-1,1),E155="U12G",_xlfn.XLOOKUP(G155,Data!$D$24:$L$24,Data!$D$1:$L$1,"",-1,1)))</f>
        <v/>
      </c>
      <c r="L155" s="184" t="str" cm="1">
        <f t="array" ref="L155">IFERROR(_xlfn.IFNA(
                      _xlfn.IFS(
                      F155="", "",
                      AND(E155="U10B",G155&gt;=Data!$M$4), "U10 Boys record",
                      AND(E155="U12B",G155&gt;=Data!$M$11), "U12 Boys record",
                      AND(E155="U10G",G155&gt;=Data!$M$17), "U10 Girls record",
                      AND(E155="U12G",G155&gt;=Data!$M$24), "U12 Girls record"
                       ),""), "")</f>
        <v/>
      </c>
      <c r="M155" s="19" cm="1">
        <f t="array" ref="M155">_xlfn.IFS($G155="",0,AND(NOT(ISNUMBER($G155)),LOWER(LEFT($G155,1))&lt;&gt;"n"),"Not a valid distance",OR(LOWER(LEFT($G155,1))="n",$G155&lt;ScoringTable!$P$161),1,RIGHT($E155,1)="B",_xlfn.XLOOKUP($G155,ScoringTable!$P$2:$P$161,ScoringTable!$L$2:$L$161,,-1),TRUE,_xlfn.XLOOKUP($G155,ScoringTable!$V$2:$V$161,ScoringTable!$R$2:$R$161,,-1))</f>
        <v>0</v>
      </c>
    </row>
    <row r="156" spans="1:13" ht="16" customHeight="1">
      <c r="A156" s="82" t="s">
        <v>27</v>
      </c>
      <c r="B156" s="81" t="str">
        <f>IF(ISNA(VLOOKUP($F156,Declarations!B$6:C$293,2,FALSE)),"",IF(VLOOKUP($F156,Declarations!B$6:C$293,2,FALSE)="","NOT DECLARED",IF(ISNA(_xlfn.TEXTBEFORE(VLOOKUP($F156,Declarations!B$6:C$293,2,FALSE)," ")),VLOOKUP($F156,Declarations!B$6:C$293,2,FALSE),_xlfn.TEXTBEFORE(VLOOKUP($F156,Declarations!B$6:C$293,2,FALSE)," "))))</f>
        <v/>
      </c>
      <c r="C156" s="81" t="str">
        <f>IF(ISNA(VLOOKUP($F156,Declarations!B$6:C$293,2,FALSE)),"",IF(VLOOKUP($F156,Declarations!B$6:C$293,2,FALSE)="","NOT DECLARED",IF(ISNA(_xlfn.TEXTAFTER(VLOOKUP($F156,Declarations!B$6:C$293,2,FALSE)," ")),VLOOKUP($F156,Declarations!B$6:C$293,2,FALSE),_xlfn.TEXTAFTER(VLOOKUP($F156,Declarations!B$6:C$293,2,FALSE)," "))))</f>
        <v/>
      </c>
      <c r="D156" s="81" t="str">
        <f>IF(ISNA(VLOOKUP($F156,Declarations!$B$6:$F$293,5,FALSE)),"",IF(VLOOKUP($F156,Declarations!$B$6:$F$293,5,FALSE)="","NOT DECLARED",VLOOKUP($F156,Declarations!$B$6:$F$293,5,FALSE)))</f>
        <v/>
      </c>
      <c r="E156" s="120" t="str">
        <f>IF(ISNA(VLOOKUP($F156,Declarations!$B$6:$D$293,3,FALSE)),"",IF(VLOOKUP($F156,Declarations!$B$6:$D$293,3,FALSE)="","NOT DECLARED",VLOOKUP($F156,Declarations!$B$6:$D$293,3,FALSE)&amp;LEFT(VLOOKUP($F156,Declarations!$B$6:$E$293,4,FALSE))))</f>
        <v/>
      </c>
      <c r="F156" s="21"/>
      <c r="G156" s="22"/>
      <c r="H156" s="322"/>
      <c r="I156" s="8" t="str">
        <f>IF(ISNA(VLOOKUP(F156,Declarations!B$6:C$293,2,FALSE)),"",IF(VLOOKUP(F156,Declarations!B$6:C$293,2,FALSE)="","NOT DECLARED",VLOOKUP(F156,Declarations!B$6:C$293,2,FALSE)))</f>
        <v/>
      </c>
      <c r="J156" s="2">
        <f>IF(LOWER(LEFT(G156,1))="n",1,VLOOKUP(G156,ScoringTable!E$2:I$95,5))</f>
        <v>0</v>
      </c>
      <c r="K156" s="120" t="str" cm="1">
        <f t="array" ref="K156">IF(OR(E156="",G156=""),"",_xlfn.IFS(E156="U10B",_xlfn.XLOOKUP(G156,Data!$D$4:$L$4,Data!$D$1:$L$1,"",-1,1),E156="U12B",_xlfn.XLOOKUP(G156,Data!$D$11:$L$11,Data!$D$1:$L$1,"",-1,1),E156="U10G",_xlfn.XLOOKUP(G156,Data!$D$17:$L$17,Data!$D$1:$L$1,"",-1,1),E156="U12G",_xlfn.XLOOKUP(G156,Data!$D$24:$L$24,Data!$D$1:$L$1,"",-1,1)))</f>
        <v/>
      </c>
      <c r="L156" s="184" t="str" cm="1">
        <f t="array" ref="L156">IFERROR(_xlfn.IFNA(
                      _xlfn.IFS(
                      F156="", "",
                      AND(E156="U10B",G156&gt;=Data!$M$4), "U10 Boys record",
                      AND(E156="U12B",G156&gt;=Data!$M$11), "U12 Boys record",
                      AND(E156="U10G",G156&gt;=Data!$M$17), "U10 Girls record",
                      AND(E156="U12G",G156&gt;=Data!$M$24), "U12 Girls record"
                       ),""), "")</f>
        <v/>
      </c>
      <c r="M156" s="19" cm="1">
        <f t="array" ref="M156">_xlfn.IFS($G156="",0,AND(NOT(ISNUMBER($G156)),LOWER(LEFT($G156,1))&lt;&gt;"n"),"Not a valid distance",OR(LOWER(LEFT($G156,1))="n",$G156&lt;ScoringTable!$P$161),1,RIGHT($E156,1)="B",_xlfn.XLOOKUP($G156,ScoringTable!$P$2:$P$161,ScoringTable!$L$2:$L$161,,-1),TRUE,_xlfn.XLOOKUP($G156,ScoringTable!$V$2:$V$161,ScoringTable!$R$2:$R$161,,-1))</f>
        <v>0</v>
      </c>
    </row>
    <row r="157" spans="1:13" ht="16" customHeight="1">
      <c r="A157" s="82" t="s">
        <v>27</v>
      </c>
      <c r="B157" s="81" t="str">
        <f>IF(ISNA(VLOOKUP($F157,Declarations!B$6:C$293,2,FALSE)),"",IF(VLOOKUP($F157,Declarations!B$6:C$293,2,FALSE)="","NOT DECLARED",IF(ISNA(_xlfn.TEXTBEFORE(VLOOKUP($F157,Declarations!B$6:C$293,2,FALSE)," ")),VLOOKUP($F157,Declarations!B$6:C$293,2,FALSE),_xlfn.TEXTBEFORE(VLOOKUP($F157,Declarations!B$6:C$293,2,FALSE)," "))))</f>
        <v/>
      </c>
      <c r="C157" s="81" t="str">
        <f>IF(ISNA(VLOOKUP($F157,Declarations!B$6:C$293,2,FALSE)),"",IF(VLOOKUP($F157,Declarations!B$6:C$293,2,FALSE)="","NOT DECLARED",IF(ISNA(_xlfn.TEXTAFTER(VLOOKUP($F157,Declarations!B$6:C$293,2,FALSE)," ")),VLOOKUP($F157,Declarations!B$6:C$293,2,FALSE),_xlfn.TEXTAFTER(VLOOKUP($F157,Declarations!B$6:C$293,2,FALSE)," "))))</f>
        <v/>
      </c>
      <c r="D157" s="81" t="str">
        <f>IF(ISNA(VLOOKUP($F157,Declarations!$B$6:$F$293,5,FALSE)),"",IF(VLOOKUP($F157,Declarations!$B$6:$F$293,5,FALSE)="","NOT DECLARED",VLOOKUP($F157,Declarations!$B$6:$F$293,5,FALSE)))</f>
        <v/>
      </c>
      <c r="E157" s="120" t="str">
        <f>IF(ISNA(VLOOKUP($F157,Declarations!$B$6:$D$293,3,FALSE)),"",IF(VLOOKUP($F157,Declarations!$B$6:$D$293,3,FALSE)="","NOT DECLARED",VLOOKUP($F157,Declarations!$B$6:$D$293,3,FALSE)&amp;LEFT(VLOOKUP($F157,Declarations!$B$6:$E$293,4,FALSE))))</f>
        <v/>
      </c>
      <c r="F157" s="21"/>
      <c r="G157" s="22"/>
      <c r="H157" s="322"/>
      <c r="I157" s="8" t="str">
        <f>IF(ISNA(VLOOKUP(F157,Declarations!B$6:C$293,2,FALSE)),"",IF(VLOOKUP(F157,Declarations!B$6:C$293,2,FALSE)="","NOT DECLARED",VLOOKUP(F157,Declarations!B$6:C$293,2,FALSE)))</f>
        <v/>
      </c>
      <c r="J157" s="2">
        <f>IF(LOWER(LEFT(G157,1))="n",1,VLOOKUP(G157,ScoringTable!E$2:I$95,5))</f>
        <v>0</v>
      </c>
      <c r="K157" s="120" t="str" cm="1">
        <f t="array" ref="K157">IF(OR(E157="",G157=""),"",_xlfn.IFS(E157="U10B",_xlfn.XLOOKUP(G157,Data!$D$4:$L$4,Data!$D$1:$L$1,"",-1,1),E157="U12B",_xlfn.XLOOKUP(G157,Data!$D$11:$L$11,Data!$D$1:$L$1,"",-1,1),E157="U10G",_xlfn.XLOOKUP(G157,Data!$D$17:$L$17,Data!$D$1:$L$1,"",-1,1),E157="U12G",_xlfn.XLOOKUP(G157,Data!$D$24:$L$24,Data!$D$1:$L$1,"",-1,1)))</f>
        <v/>
      </c>
      <c r="L157" s="184" t="str" cm="1">
        <f t="array" ref="L157">IFERROR(_xlfn.IFNA(
                      _xlfn.IFS(
                      F157="", "",
                      AND(E157="U10B",G157&gt;=Data!$M$4), "U10 Boys record",
                      AND(E157="U12B",G157&gt;=Data!$M$11), "U12 Boys record",
                      AND(E157="U10G",G157&gt;=Data!$M$17), "U10 Girls record",
                      AND(E157="U12G",G157&gt;=Data!$M$24), "U12 Girls record"
                       ),""), "")</f>
        <v/>
      </c>
      <c r="M157" s="19" cm="1">
        <f t="array" ref="M157">_xlfn.IFS($G157="",0,AND(NOT(ISNUMBER($G157)),LOWER(LEFT($G157,1))&lt;&gt;"n"),"Not a valid distance",OR(LOWER(LEFT($G157,1))="n",$G157&lt;ScoringTable!$P$161),1,RIGHT($E157,1)="B",_xlfn.XLOOKUP($G157,ScoringTable!$P$2:$P$161,ScoringTable!$L$2:$L$161,,-1),TRUE,_xlfn.XLOOKUP($G157,ScoringTable!$V$2:$V$161,ScoringTable!$R$2:$R$161,,-1))</f>
        <v>0</v>
      </c>
    </row>
    <row r="158" spans="1:13" ht="16" customHeight="1">
      <c r="A158" s="82" t="s">
        <v>27</v>
      </c>
      <c r="B158" s="81" t="str">
        <f>IF(ISNA(VLOOKUP($F158,Declarations!B$6:C$293,2,FALSE)),"",IF(VLOOKUP($F158,Declarations!B$6:C$293,2,FALSE)="","NOT DECLARED",IF(ISNA(_xlfn.TEXTBEFORE(VLOOKUP($F158,Declarations!B$6:C$293,2,FALSE)," ")),VLOOKUP($F158,Declarations!B$6:C$293,2,FALSE),_xlfn.TEXTBEFORE(VLOOKUP($F158,Declarations!B$6:C$293,2,FALSE)," "))))</f>
        <v/>
      </c>
      <c r="C158" s="81" t="str">
        <f>IF(ISNA(VLOOKUP($F158,Declarations!B$6:C$293,2,FALSE)),"",IF(VLOOKUP($F158,Declarations!B$6:C$293,2,FALSE)="","NOT DECLARED",IF(ISNA(_xlfn.TEXTAFTER(VLOOKUP($F158,Declarations!B$6:C$293,2,FALSE)," ")),VLOOKUP($F158,Declarations!B$6:C$293,2,FALSE),_xlfn.TEXTAFTER(VLOOKUP($F158,Declarations!B$6:C$293,2,FALSE)," "))))</f>
        <v/>
      </c>
      <c r="D158" s="81" t="str">
        <f>IF(ISNA(VLOOKUP($F158,Declarations!$B$6:$F$293,5,FALSE)),"",IF(VLOOKUP($F158,Declarations!$B$6:$F$293,5,FALSE)="","NOT DECLARED",VLOOKUP($F158,Declarations!$B$6:$F$293,5,FALSE)))</f>
        <v/>
      </c>
      <c r="E158" s="120" t="str">
        <f>IF(ISNA(VLOOKUP($F158,Declarations!$B$6:$D$293,3,FALSE)),"",IF(VLOOKUP($F158,Declarations!$B$6:$D$293,3,FALSE)="","NOT DECLARED",VLOOKUP($F158,Declarations!$B$6:$D$293,3,FALSE)&amp;LEFT(VLOOKUP($F158,Declarations!$B$6:$E$293,4,FALSE))))</f>
        <v/>
      </c>
      <c r="F158" s="21"/>
      <c r="G158" s="22"/>
      <c r="H158" s="322"/>
      <c r="I158" s="8" t="str">
        <f>IF(ISNA(VLOOKUP(F158,Declarations!B$6:C$293,2,FALSE)),"",IF(VLOOKUP(F158,Declarations!B$6:C$293,2,FALSE)="","NOT DECLARED",VLOOKUP(F158,Declarations!B$6:C$293,2,FALSE)))</f>
        <v/>
      </c>
      <c r="J158" s="2">
        <f>IF(LOWER(LEFT(G158,1))="n",1,VLOOKUP(G158,ScoringTable!E$2:I$95,5))</f>
        <v>0</v>
      </c>
      <c r="K158" s="120" t="str" cm="1">
        <f t="array" ref="K158">IF(OR(E158="",G158=""),"",_xlfn.IFS(E158="U10B",_xlfn.XLOOKUP(G158,Data!$D$4:$L$4,Data!$D$1:$L$1,"",-1,1),E158="U12B",_xlfn.XLOOKUP(G158,Data!$D$11:$L$11,Data!$D$1:$L$1,"",-1,1),E158="U10G",_xlfn.XLOOKUP(G158,Data!$D$17:$L$17,Data!$D$1:$L$1,"",-1,1),E158="U12G",_xlfn.XLOOKUP(G158,Data!$D$24:$L$24,Data!$D$1:$L$1,"",-1,1)))</f>
        <v/>
      </c>
      <c r="L158" s="184" t="str" cm="1">
        <f t="array" ref="L158">IFERROR(_xlfn.IFNA(
                      _xlfn.IFS(
                      F158="", "",
                      AND(E158="U10B",G158&gt;=Data!$M$4), "U10 Boys record",
                      AND(E158="U12B",G158&gt;=Data!$M$11), "U12 Boys record",
                      AND(E158="U10G",G158&gt;=Data!$M$17), "U10 Girls record",
                      AND(E158="U12G",G158&gt;=Data!$M$24), "U12 Girls record"
                       ),""), "")</f>
        <v/>
      </c>
      <c r="M158" s="19" cm="1">
        <f t="array" ref="M158">_xlfn.IFS($G158="",0,AND(NOT(ISNUMBER($G158)),LOWER(LEFT($G158,1))&lt;&gt;"n"),"Not a valid distance",OR(LOWER(LEFT($G158,1))="n",$G158&lt;ScoringTable!$P$161),1,RIGHT($E158,1)="B",_xlfn.XLOOKUP($G158,ScoringTable!$P$2:$P$161,ScoringTable!$L$2:$L$161,,-1),TRUE,_xlfn.XLOOKUP($G158,ScoringTable!$V$2:$V$161,ScoringTable!$R$2:$R$161,,-1))</f>
        <v>0</v>
      </c>
    </row>
    <row r="159" spans="1:13" ht="16" customHeight="1">
      <c r="A159" s="82" t="s">
        <v>27</v>
      </c>
      <c r="B159" s="81" t="str">
        <f>IF(ISNA(VLOOKUP($F159,Declarations!B$6:C$293,2,FALSE)),"",IF(VLOOKUP($F159,Declarations!B$6:C$293,2,FALSE)="","NOT DECLARED",IF(ISNA(_xlfn.TEXTBEFORE(VLOOKUP($F159,Declarations!B$6:C$293,2,FALSE)," ")),VLOOKUP($F159,Declarations!B$6:C$293,2,FALSE),_xlfn.TEXTBEFORE(VLOOKUP($F159,Declarations!B$6:C$293,2,FALSE)," "))))</f>
        <v/>
      </c>
      <c r="C159" s="81" t="str">
        <f>IF(ISNA(VLOOKUP($F159,Declarations!B$6:C$293,2,FALSE)),"",IF(VLOOKUP($F159,Declarations!B$6:C$293,2,FALSE)="","NOT DECLARED",IF(ISNA(_xlfn.TEXTAFTER(VLOOKUP($F159,Declarations!B$6:C$293,2,FALSE)," ")),VLOOKUP($F159,Declarations!B$6:C$293,2,FALSE),_xlfn.TEXTAFTER(VLOOKUP($F159,Declarations!B$6:C$293,2,FALSE)," "))))</f>
        <v/>
      </c>
      <c r="D159" s="81" t="str">
        <f>IF(ISNA(VLOOKUP($F159,Declarations!$B$6:$F$293,5,FALSE)),"",IF(VLOOKUP($F159,Declarations!$B$6:$F$293,5,FALSE)="","NOT DECLARED",VLOOKUP($F159,Declarations!$B$6:$F$293,5,FALSE)))</f>
        <v/>
      </c>
      <c r="E159" s="120" t="str">
        <f>IF(ISNA(VLOOKUP($F159,Declarations!$B$6:$D$293,3,FALSE)),"",IF(VLOOKUP($F159,Declarations!$B$6:$D$293,3,FALSE)="","NOT DECLARED",VLOOKUP($F159,Declarations!$B$6:$D$293,3,FALSE)&amp;LEFT(VLOOKUP($F159,Declarations!$B$6:$E$293,4,FALSE))))</f>
        <v/>
      </c>
      <c r="F159" s="21"/>
      <c r="G159" s="22"/>
      <c r="H159" s="322"/>
      <c r="I159" s="8" t="str">
        <f>IF(ISNA(VLOOKUP(F159,Declarations!B$6:C$293,2,FALSE)),"",IF(VLOOKUP(F159,Declarations!B$6:C$293,2,FALSE)="","NOT DECLARED",VLOOKUP(F159,Declarations!B$6:C$293,2,FALSE)))</f>
        <v/>
      </c>
      <c r="J159" s="2">
        <f>IF(LOWER(LEFT(G159,1))="n",1,VLOOKUP(G159,ScoringTable!E$2:I$95,5))</f>
        <v>0</v>
      </c>
      <c r="K159" s="120" t="str" cm="1">
        <f t="array" ref="K159">IF(OR(E159="",G159=""),"",_xlfn.IFS(E159="U10B",_xlfn.XLOOKUP(G159,Data!$D$4:$L$4,Data!$D$1:$L$1,"",-1,1),E159="U12B",_xlfn.XLOOKUP(G159,Data!$D$11:$L$11,Data!$D$1:$L$1,"",-1,1),E159="U10G",_xlfn.XLOOKUP(G159,Data!$D$17:$L$17,Data!$D$1:$L$1,"",-1,1),E159="U12G",_xlfn.XLOOKUP(G159,Data!$D$24:$L$24,Data!$D$1:$L$1,"",-1,1)))</f>
        <v/>
      </c>
      <c r="L159" s="184" t="str" cm="1">
        <f t="array" ref="L159">IFERROR(_xlfn.IFNA(
                      _xlfn.IFS(
                      F159="", "",
                      AND(E159="U10B",G159&gt;=Data!$M$4), "U10 Boys record",
                      AND(E159="U12B",G159&gt;=Data!$M$11), "U12 Boys record",
                      AND(E159="U10G",G159&gt;=Data!$M$17), "U10 Girls record",
                      AND(E159="U12G",G159&gt;=Data!$M$24), "U12 Girls record"
                       ),""), "")</f>
        <v/>
      </c>
      <c r="M159" s="19" cm="1">
        <f t="array" ref="M159">_xlfn.IFS($G159="",0,AND(NOT(ISNUMBER($G159)),LOWER(LEFT($G159,1))&lt;&gt;"n"),"Not a valid distance",OR(LOWER(LEFT($G159,1))="n",$G159&lt;ScoringTable!$P$161),1,RIGHT($E159,1)="B",_xlfn.XLOOKUP($G159,ScoringTable!$P$2:$P$161,ScoringTable!$L$2:$L$161,,-1),TRUE,_xlfn.XLOOKUP($G159,ScoringTable!$V$2:$V$161,ScoringTable!$R$2:$R$161,,-1))</f>
        <v>0</v>
      </c>
    </row>
    <row r="160" spans="1:13" ht="16" customHeight="1">
      <c r="A160" s="82" t="s">
        <v>27</v>
      </c>
      <c r="B160" s="81" t="str">
        <f>IF(ISNA(VLOOKUP($F160,Declarations!B$6:C$293,2,FALSE)),"",IF(VLOOKUP($F160,Declarations!B$6:C$293,2,FALSE)="","NOT DECLARED",IF(ISNA(_xlfn.TEXTBEFORE(VLOOKUP($F160,Declarations!B$6:C$293,2,FALSE)," ")),VLOOKUP($F160,Declarations!B$6:C$293,2,FALSE),_xlfn.TEXTBEFORE(VLOOKUP($F160,Declarations!B$6:C$293,2,FALSE)," "))))</f>
        <v/>
      </c>
      <c r="C160" s="81" t="str">
        <f>IF(ISNA(VLOOKUP($F160,Declarations!B$6:C$293,2,FALSE)),"",IF(VLOOKUP($F160,Declarations!B$6:C$293,2,FALSE)="","NOT DECLARED",IF(ISNA(_xlfn.TEXTAFTER(VLOOKUP($F160,Declarations!B$6:C$293,2,FALSE)," ")),VLOOKUP($F160,Declarations!B$6:C$293,2,FALSE),_xlfn.TEXTAFTER(VLOOKUP($F160,Declarations!B$6:C$293,2,FALSE)," "))))</f>
        <v/>
      </c>
      <c r="D160" s="81" t="str">
        <f>IF(ISNA(VLOOKUP($F160,Declarations!$B$6:$F$293,5,FALSE)),"",IF(VLOOKUP($F160,Declarations!$B$6:$F$293,5,FALSE)="","NOT DECLARED",VLOOKUP($F160,Declarations!$B$6:$F$293,5,FALSE)))</f>
        <v/>
      </c>
      <c r="E160" s="120" t="str">
        <f>IF(ISNA(VLOOKUP($F160,Declarations!$B$6:$D$293,3,FALSE)),"",IF(VLOOKUP($F160,Declarations!$B$6:$D$293,3,FALSE)="","NOT DECLARED",VLOOKUP($F160,Declarations!$B$6:$D$293,3,FALSE)&amp;LEFT(VLOOKUP($F160,Declarations!$B$6:$E$293,4,FALSE))))</f>
        <v/>
      </c>
      <c r="F160" s="21"/>
      <c r="G160" s="22"/>
      <c r="H160" s="322"/>
      <c r="I160" s="8" t="str">
        <f>IF(ISNA(VLOOKUP(F160,Declarations!B$6:C$293,2,FALSE)),"",IF(VLOOKUP(F160,Declarations!B$6:C$293,2,FALSE)="","NOT DECLARED",VLOOKUP(F160,Declarations!B$6:C$293,2,FALSE)))</f>
        <v/>
      </c>
      <c r="J160" s="2">
        <f>IF(LOWER(LEFT(G160,1))="n",1,VLOOKUP(G160,ScoringTable!E$2:I$95,5))</f>
        <v>0</v>
      </c>
      <c r="K160" s="120" t="str" cm="1">
        <f t="array" ref="K160">IF(OR(E160="",G160=""),"",_xlfn.IFS(E160="U10B",_xlfn.XLOOKUP(G160,Data!$D$4:$L$4,Data!$D$1:$L$1,"",-1,1),E160="U12B",_xlfn.XLOOKUP(G160,Data!$D$11:$L$11,Data!$D$1:$L$1,"",-1,1),E160="U10G",_xlfn.XLOOKUP(G160,Data!$D$17:$L$17,Data!$D$1:$L$1,"",-1,1),E160="U12G",_xlfn.XLOOKUP(G160,Data!$D$24:$L$24,Data!$D$1:$L$1,"",-1,1)))</f>
        <v/>
      </c>
      <c r="L160" s="184" t="str" cm="1">
        <f t="array" ref="L160">IFERROR(_xlfn.IFNA(
                      _xlfn.IFS(
                      F160="", "",
                      AND(E160="U10B",G160&gt;=Data!$M$4), "U10 Boys record",
                      AND(E160="U12B",G160&gt;=Data!$M$11), "U12 Boys record",
                      AND(E160="U10G",G160&gt;=Data!$M$17), "U10 Girls record",
                      AND(E160="U12G",G160&gt;=Data!$M$24), "U12 Girls record"
                       ),""), "")</f>
        <v/>
      </c>
      <c r="M160" s="19" cm="1">
        <f t="array" ref="M160">_xlfn.IFS($G160="",0,AND(NOT(ISNUMBER($G160)),LOWER(LEFT($G160,1))&lt;&gt;"n"),"Not a valid distance",OR(LOWER(LEFT($G160,1))="n",$G160&lt;ScoringTable!$P$161),1,RIGHT($E160,1)="B",_xlfn.XLOOKUP($G160,ScoringTable!$P$2:$P$161,ScoringTable!$L$2:$L$161,,-1),TRUE,_xlfn.XLOOKUP($G160,ScoringTable!$V$2:$V$161,ScoringTable!$R$2:$R$161,,-1))</f>
        <v>0</v>
      </c>
    </row>
    <row r="161" spans="1:13" ht="16" customHeight="1">
      <c r="A161" s="82" t="s">
        <v>27</v>
      </c>
      <c r="B161" s="81" t="str">
        <f>IF(ISNA(VLOOKUP($F161,Declarations!B$6:C$293,2,FALSE)),"",IF(VLOOKUP($F161,Declarations!B$6:C$293,2,FALSE)="","NOT DECLARED",IF(ISNA(_xlfn.TEXTBEFORE(VLOOKUP($F161,Declarations!B$6:C$293,2,FALSE)," ")),VLOOKUP($F161,Declarations!B$6:C$293,2,FALSE),_xlfn.TEXTBEFORE(VLOOKUP($F161,Declarations!B$6:C$293,2,FALSE)," "))))</f>
        <v/>
      </c>
      <c r="C161" s="81" t="str">
        <f>IF(ISNA(VLOOKUP($F161,Declarations!B$6:C$293,2,FALSE)),"",IF(VLOOKUP($F161,Declarations!B$6:C$293,2,FALSE)="","NOT DECLARED",IF(ISNA(_xlfn.TEXTAFTER(VLOOKUP($F161,Declarations!B$6:C$293,2,FALSE)," ")),VLOOKUP($F161,Declarations!B$6:C$293,2,FALSE),_xlfn.TEXTAFTER(VLOOKUP($F161,Declarations!B$6:C$293,2,FALSE)," "))))</f>
        <v/>
      </c>
      <c r="D161" s="81" t="str">
        <f>IF(ISNA(VLOOKUP($F161,Declarations!$B$6:$F$293,5,FALSE)),"",IF(VLOOKUP($F161,Declarations!$B$6:$F$293,5,FALSE)="","NOT DECLARED",VLOOKUP($F161,Declarations!$B$6:$F$293,5,FALSE)))</f>
        <v/>
      </c>
      <c r="E161" s="120" t="str">
        <f>IF(ISNA(VLOOKUP($F161,Declarations!$B$6:$D$293,3,FALSE)),"",IF(VLOOKUP($F161,Declarations!$B$6:$D$293,3,FALSE)="","NOT DECLARED",VLOOKUP($F161,Declarations!$B$6:$D$293,3,FALSE)&amp;LEFT(VLOOKUP($F161,Declarations!$B$6:$E$293,4,FALSE))))</f>
        <v/>
      </c>
      <c r="F161" s="21"/>
      <c r="G161" s="22"/>
      <c r="H161" s="322"/>
      <c r="I161" s="8" t="str">
        <f>IF(ISNA(VLOOKUP(F161,Declarations!B$6:C$293,2,FALSE)),"",IF(VLOOKUP(F161,Declarations!B$6:C$293,2,FALSE)="","NOT DECLARED",VLOOKUP(F161,Declarations!B$6:C$293,2,FALSE)))</f>
        <v/>
      </c>
      <c r="J161" s="2">
        <f>IF(LOWER(LEFT(G161,1))="n",1,VLOOKUP(G161,ScoringTable!E$2:I$95,5))</f>
        <v>0</v>
      </c>
      <c r="K161" s="120" t="str" cm="1">
        <f t="array" ref="K161">IF(OR(E161="",G161=""),"",_xlfn.IFS(E161="U10B",_xlfn.XLOOKUP(G161,Data!$D$4:$L$4,Data!$D$1:$L$1,"",-1,1),E161="U12B",_xlfn.XLOOKUP(G161,Data!$D$11:$L$11,Data!$D$1:$L$1,"",-1,1),E161="U10G",_xlfn.XLOOKUP(G161,Data!$D$17:$L$17,Data!$D$1:$L$1,"",-1,1),E161="U12G",_xlfn.XLOOKUP(G161,Data!$D$24:$L$24,Data!$D$1:$L$1,"",-1,1)))</f>
        <v/>
      </c>
      <c r="L161" s="184" t="str" cm="1">
        <f t="array" ref="L161">IFERROR(_xlfn.IFNA(
                      _xlfn.IFS(
                      F161="", "",
                      AND(E161="U10B",G161&gt;=Data!$M$4), "U10 Boys record",
                      AND(E161="U12B",G161&gt;=Data!$M$11), "U12 Boys record",
                      AND(E161="U10G",G161&gt;=Data!$M$17), "U10 Girls record",
                      AND(E161="U12G",G161&gt;=Data!$M$24), "U12 Girls record"
                       ),""), "")</f>
        <v/>
      </c>
      <c r="M161" s="19" cm="1">
        <f t="array" ref="M161">_xlfn.IFS($G161="",0,AND(NOT(ISNUMBER($G161)),LOWER(LEFT($G161,1))&lt;&gt;"n"),"Not a valid distance",OR(LOWER(LEFT($G161,1))="n",$G161&lt;ScoringTable!$P$161),1,RIGHT($E161,1)="B",_xlfn.XLOOKUP($G161,ScoringTable!$P$2:$P$161,ScoringTable!$L$2:$L$161,,-1),TRUE,_xlfn.XLOOKUP($G161,ScoringTable!$V$2:$V$161,ScoringTable!$R$2:$R$161,,-1))</f>
        <v>0</v>
      </c>
    </row>
    <row r="162" spans="1:13" ht="16" customHeight="1">
      <c r="A162" s="82" t="s">
        <v>27</v>
      </c>
      <c r="B162" s="81" t="str">
        <f>IF(ISNA(VLOOKUP($F162,Declarations!B$6:C$293,2,FALSE)),"",IF(VLOOKUP($F162,Declarations!B$6:C$293,2,FALSE)="","NOT DECLARED",IF(ISNA(_xlfn.TEXTBEFORE(VLOOKUP($F162,Declarations!B$6:C$293,2,FALSE)," ")),VLOOKUP($F162,Declarations!B$6:C$293,2,FALSE),_xlfn.TEXTBEFORE(VLOOKUP($F162,Declarations!B$6:C$293,2,FALSE)," "))))</f>
        <v/>
      </c>
      <c r="C162" s="81" t="str">
        <f>IF(ISNA(VLOOKUP($F162,Declarations!B$6:C$293,2,FALSE)),"",IF(VLOOKUP($F162,Declarations!B$6:C$293,2,FALSE)="","NOT DECLARED",IF(ISNA(_xlfn.TEXTAFTER(VLOOKUP($F162,Declarations!B$6:C$293,2,FALSE)," ")),VLOOKUP($F162,Declarations!B$6:C$293,2,FALSE),_xlfn.TEXTAFTER(VLOOKUP($F162,Declarations!B$6:C$293,2,FALSE)," "))))</f>
        <v/>
      </c>
      <c r="D162" s="81" t="str">
        <f>IF(ISNA(VLOOKUP($F162,Declarations!$B$6:$F$293,5,FALSE)),"",IF(VLOOKUP($F162,Declarations!$B$6:$F$293,5,FALSE)="","NOT DECLARED",VLOOKUP($F162,Declarations!$B$6:$F$293,5,FALSE)))</f>
        <v/>
      </c>
      <c r="E162" s="120" t="str">
        <f>IF(ISNA(VLOOKUP($F162,Declarations!$B$6:$D$293,3,FALSE)),"",IF(VLOOKUP($F162,Declarations!$B$6:$D$293,3,FALSE)="","NOT DECLARED",VLOOKUP($F162,Declarations!$B$6:$D$293,3,FALSE)&amp;LEFT(VLOOKUP($F162,Declarations!$B$6:$E$293,4,FALSE))))</f>
        <v/>
      </c>
      <c r="F162" s="21"/>
      <c r="G162" s="22"/>
      <c r="H162" s="322"/>
      <c r="I162" s="8" t="str">
        <f>IF(ISNA(VLOOKUP(F162,Declarations!B$6:C$293,2,FALSE)),"",IF(VLOOKUP(F162,Declarations!B$6:C$293,2,FALSE)="","NOT DECLARED",VLOOKUP(F162,Declarations!B$6:C$293,2,FALSE)))</f>
        <v/>
      </c>
      <c r="J162" s="2">
        <f>IF(LOWER(LEFT(G162,1))="n",1,VLOOKUP(G162,ScoringTable!E$2:I$95,5))</f>
        <v>0</v>
      </c>
      <c r="K162" s="120" t="str" cm="1">
        <f t="array" ref="K162">IF(OR(E162="",G162=""),"",_xlfn.IFS(E162="U10B",_xlfn.XLOOKUP(G162,Data!$D$4:$L$4,Data!$D$1:$L$1,"",-1,1),E162="U12B",_xlfn.XLOOKUP(G162,Data!$D$11:$L$11,Data!$D$1:$L$1,"",-1,1),E162="U10G",_xlfn.XLOOKUP(G162,Data!$D$17:$L$17,Data!$D$1:$L$1,"",-1,1),E162="U12G",_xlfn.XLOOKUP(G162,Data!$D$24:$L$24,Data!$D$1:$L$1,"",-1,1)))</f>
        <v/>
      </c>
      <c r="L162" s="184" t="str" cm="1">
        <f t="array" ref="L162">IFERROR(_xlfn.IFNA(
                      _xlfn.IFS(
                      F162="", "",
                      AND(E162="U10B",G162&gt;=Data!$M$4), "U10 Boys record",
                      AND(E162="U12B",G162&gt;=Data!$M$11), "U12 Boys record",
                      AND(E162="U10G",G162&gt;=Data!$M$17), "U10 Girls record",
                      AND(E162="U12G",G162&gt;=Data!$M$24), "U12 Girls record"
                       ),""), "")</f>
        <v/>
      </c>
      <c r="M162" s="19" cm="1">
        <f t="array" ref="M162">_xlfn.IFS($G162="",0,AND(NOT(ISNUMBER($G162)),LOWER(LEFT($G162,1))&lt;&gt;"n"),"Not a valid distance",OR(LOWER(LEFT($G162,1))="n",$G162&lt;ScoringTable!$P$161),1,RIGHT($E162,1)="B",_xlfn.XLOOKUP($G162,ScoringTable!$P$2:$P$161,ScoringTable!$L$2:$L$161,,-1),TRUE,_xlfn.XLOOKUP($G162,ScoringTable!$V$2:$V$161,ScoringTable!$R$2:$R$161,,-1))</f>
        <v>0</v>
      </c>
    </row>
    <row r="163" spans="1:13" ht="16" customHeight="1">
      <c r="A163" s="82" t="s">
        <v>27</v>
      </c>
      <c r="B163" s="81" t="str">
        <f>IF(ISNA(VLOOKUP($F163,Declarations!B$6:C$293,2,FALSE)),"",IF(VLOOKUP($F163,Declarations!B$6:C$293,2,FALSE)="","NOT DECLARED",IF(ISNA(_xlfn.TEXTBEFORE(VLOOKUP($F163,Declarations!B$6:C$293,2,FALSE)," ")),VLOOKUP($F163,Declarations!B$6:C$293,2,FALSE),_xlfn.TEXTBEFORE(VLOOKUP($F163,Declarations!B$6:C$293,2,FALSE)," "))))</f>
        <v/>
      </c>
      <c r="C163" s="81" t="str">
        <f>IF(ISNA(VLOOKUP($F163,Declarations!B$6:C$293,2,FALSE)),"",IF(VLOOKUP($F163,Declarations!B$6:C$293,2,FALSE)="","NOT DECLARED",IF(ISNA(_xlfn.TEXTAFTER(VLOOKUP($F163,Declarations!B$6:C$293,2,FALSE)," ")),VLOOKUP($F163,Declarations!B$6:C$293,2,FALSE),_xlfn.TEXTAFTER(VLOOKUP($F163,Declarations!B$6:C$293,2,FALSE)," "))))</f>
        <v/>
      </c>
      <c r="D163" s="81" t="str">
        <f>IF(ISNA(VLOOKUP($F163,Declarations!$B$6:$F$293,5,FALSE)),"",IF(VLOOKUP($F163,Declarations!$B$6:$F$293,5,FALSE)="","NOT DECLARED",VLOOKUP($F163,Declarations!$B$6:$F$293,5,FALSE)))</f>
        <v/>
      </c>
      <c r="E163" s="120" t="str">
        <f>IF(ISNA(VLOOKUP($F163,Declarations!$B$6:$D$293,3,FALSE)),"",IF(VLOOKUP($F163,Declarations!$B$6:$D$293,3,FALSE)="","NOT DECLARED",VLOOKUP($F163,Declarations!$B$6:$D$293,3,FALSE)&amp;LEFT(VLOOKUP($F163,Declarations!$B$6:$E$293,4,FALSE))))</f>
        <v/>
      </c>
      <c r="F163" s="21"/>
      <c r="G163" s="22"/>
      <c r="H163" s="322"/>
      <c r="I163" s="8" t="str">
        <f>IF(ISNA(VLOOKUP(F163,Declarations!B$6:C$293,2,FALSE)),"",IF(VLOOKUP(F163,Declarations!B$6:C$293,2,FALSE)="","NOT DECLARED",VLOOKUP(F163,Declarations!B$6:C$293,2,FALSE)))</f>
        <v/>
      </c>
      <c r="J163" s="2">
        <f>IF(LOWER(LEFT(G163,1))="n",1,VLOOKUP(G163,ScoringTable!E$2:I$95,5))</f>
        <v>0</v>
      </c>
      <c r="K163" s="120" t="str" cm="1">
        <f t="array" ref="K163">IF(OR(E163="",G163=""),"",_xlfn.IFS(E163="U10B",_xlfn.XLOOKUP(G163,Data!$D$4:$L$4,Data!$D$1:$L$1,"",-1,1),E163="U12B",_xlfn.XLOOKUP(G163,Data!$D$11:$L$11,Data!$D$1:$L$1,"",-1,1),E163="U10G",_xlfn.XLOOKUP(G163,Data!$D$17:$L$17,Data!$D$1:$L$1,"",-1,1),E163="U12G",_xlfn.XLOOKUP(G163,Data!$D$24:$L$24,Data!$D$1:$L$1,"",-1,1)))</f>
        <v/>
      </c>
      <c r="L163" s="184" t="str" cm="1">
        <f t="array" ref="L163">IFERROR(_xlfn.IFNA(
                      _xlfn.IFS(
                      F163="", "",
                      AND(E163="U10B",G163&gt;=Data!$M$4), "U10 Boys record",
                      AND(E163="U12B",G163&gt;=Data!$M$11), "U12 Boys record",
                      AND(E163="U10G",G163&gt;=Data!$M$17), "U10 Girls record",
                      AND(E163="U12G",G163&gt;=Data!$M$24), "U12 Girls record"
                       ),""), "")</f>
        <v/>
      </c>
      <c r="M163" s="19" cm="1">
        <f t="array" ref="M163">_xlfn.IFS($G163="",0,AND(NOT(ISNUMBER($G163)),LOWER(LEFT($G163,1))&lt;&gt;"n"),"Not a valid distance",OR(LOWER(LEFT($G163,1))="n",$G163&lt;ScoringTable!$P$161),1,RIGHT($E163,1)="B",_xlfn.XLOOKUP($G163,ScoringTable!$P$2:$P$161,ScoringTable!$L$2:$L$161,,-1),TRUE,_xlfn.XLOOKUP($G163,ScoringTable!$V$2:$V$161,ScoringTable!$R$2:$R$161,,-1))</f>
        <v>0</v>
      </c>
    </row>
    <row r="164" spans="1:13" ht="16" customHeight="1">
      <c r="A164" s="82" t="s">
        <v>27</v>
      </c>
      <c r="B164" s="81" t="str">
        <f>IF(ISNA(VLOOKUP($F164,Declarations!B$6:C$293,2,FALSE)),"",IF(VLOOKUP($F164,Declarations!B$6:C$293,2,FALSE)="","NOT DECLARED",IF(ISNA(_xlfn.TEXTBEFORE(VLOOKUP($F164,Declarations!B$6:C$293,2,FALSE)," ")),VLOOKUP($F164,Declarations!B$6:C$293,2,FALSE),_xlfn.TEXTBEFORE(VLOOKUP($F164,Declarations!B$6:C$293,2,FALSE)," "))))</f>
        <v/>
      </c>
      <c r="C164" s="81" t="str">
        <f>IF(ISNA(VLOOKUP($F164,Declarations!B$6:C$293,2,FALSE)),"",IF(VLOOKUP($F164,Declarations!B$6:C$293,2,FALSE)="","NOT DECLARED",IF(ISNA(_xlfn.TEXTAFTER(VLOOKUP($F164,Declarations!B$6:C$293,2,FALSE)," ")),VLOOKUP($F164,Declarations!B$6:C$293,2,FALSE),_xlfn.TEXTAFTER(VLOOKUP($F164,Declarations!B$6:C$293,2,FALSE)," "))))</f>
        <v/>
      </c>
      <c r="D164" s="81" t="str">
        <f>IF(ISNA(VLOOKUP($F164,Declarations!$B$6:$F$293,5,FALSE)),"",IF(VLOOKUP($F164,Declarations!$B$6:$F$293,5,FALSE)="","NOT DECLARED",VLOOKUP($F164,Declarations!$B$6:$F$293,5,FALSE)))</f>
        <v/>
      </c>
      <c r="E164" s="120" t="str">
        <f>IF(ISNA(VLOOKUP($F164,Declarations!$B$6:$D$293,3,FALSE)),"",IF(VLOOKUP($F164,Declarations!$B$6:$D$293,3,FALSE)="","NOT DECLARED",VLOOKUP($F164,Declarations!$B$6:$D$293,3,FALSE)&amp;LEFT(VLOOKUP($F164,Declarations!$B$6:$E$293,4,FALSE))))</f>
        <v/>
      </c>
      <c r="F164" s="21"/>
      <c r="G164" s="22"/>
      <c r="H164" s="322"/>
      <c r="I164" s="8" t="str">
        <f>IF(ISNA(VLOOKUP(F164,Declarations!B$6:C$293,2,FALSE)),"",IF(VLOOKUP(F164,Declarations!B$6:C$293,2,FALSE)="","NOT DECLARED",VLOOKUP(F164,Declarations!B$6:C$293,2,FALSE)))</f>
        <v/>
      </c>
      <c r="J164" s="2">
        <f>IF(LOWER(LEFT(G164,1))="n",1,VLOOKUP(G164,ScoringTable!E$2:I$95,5))</f>
        <v>0</v>
      </c>
      <c r="K164" s="120" t="str" cm="1">
        <f t="array" ref="K164">IF(OR(E164="",G164=""),"",_xlfn.IFS(E164="U10B",_xlfn.XLOOKUP(G164,Data!$D$4:$L$4,Data!$D$1:$L$1,"",-1,1),E164="U12B",_xlfn.XLOOKUP(G164,Data!$D$11:$L$11,Data!$D$1:$L$1,"",-1,1),E164="U10G",_xlfn.XLOOKUP(G164,Data!$D$17:$L$17,Data!$D$1:$L$1,"",-1,1),E164="U12G",_xlfn.XLOOKUP(G164,Data!$D$24:$L$24,Data!$D$1:$L$1,"",-1,1)))</f>
        <v/>
      </c>
      <c r="L164" s="184" t="str" cm="1">
        <f t="array" ref="L164">IFERROR(_xlfn.IFNA(
                      _xlfn.IFS(
                      F164="", "",
                      AND(E164="U10B",G164&gt;=Data!$M$4), "U10 Boys record",
                      AND(E164="U12B",G164&gt;=Data!$M$11), "U12 Boys record",
                      AND(E164="U10G",G164&gt;=Data!$M$17), "U10 Girls record",
                      AND(E164="U12G",G164&gt;=Data!$M$24), "U12 Girls record"
                       ),""), "")</f>
        <v/>
      </c>
      <c r="M164" s="19" cm="1">
        <f t="array" ref="M164">_xlfn.IFS($G164="",0,AND(NOT(ISNUMBER($G164)),LOWER(LEFT($G164,1))&lt;&gt;"n"),"Not a valid distance",OR(LOWER(LEFT($G164,1))="n",$G164&lt;ScoringTable!$P$161),1,RIGHT($E164,1)="B",_xlfn.XLOOKUP($G164,ScoringTable!$P$2:$P$161,ScoringTable!$L$2:$L$161,,-1),TRUE,_xlfn.XLOOKUP($G164,ScoringTable!$V$2:$V$161,ScoringTable!$R$2:$R$161,,-1))</f>
        <v>0</v>
      </c>
    </row>
    <row r="165" spans="1:13" ht="16" customHeight="1">
      <c r="A165" s="82" t="s">
        <v>27</v>
      </c>
      <c r="B165" s="81" t="str">
        <f>IF(ISNA(VLOOKUP($F165,Declarations!B$6:C$293,2,FALSE)),"",IF(VLOOKUP($F165,Declarations!B$6:C$293,2,FALSE)="","NOT DECLARED",IF(ISNA(_xlfn.TEXTBEFORE(VLOOKUP($F165,Declarations!B$6:C$293,2,FALSE)," ")),VLOOKUP($F165,Declarations!B$6:C$293,2,FALSE),_xlfn.TEXTBEFORE(VLOOKUP($F165,Declarations!B$6:C$293,2,FALSE)," "))))</f>
        <v/>
      </c>
      <c r="C165" s="81" t="str">
        <f>IF(ISNA(VLOOKUP($F165,Declarations!B$6:C$293,2,FALSE)),"",IF(VLOOKUP($F165,Declarations!B$6:C$293,2,FALSE)="","NOT DECLARED",IF(ISNA(_xlfn.TEXTAFTER(VLOOKUP($F165,Declarations!B$6:C$293,2,FALSE)," ")),VLOOKUP($F165,Declarations!B$6:C$293,2,FALSE),_xlfn.TEXTAFTER(VLOOKUP($F165,Declarations!B$6:C$293,2,FALSE)," "))))</f>
        <v/>
      </c>
      <c r="D165" s="81" t="str">
        <f>IF(ISNA(VLOOKUP($F165,Declarations!$B$6:$F$293,5,FALSE)),"",IF(VLOOKUP($F165,Declarations!$B$6:$F$293,5,FALSE)="","NOT DECLARED",VLOOKUP($F165,Declarations!$B$6:$F$293,5,FALSE)))</f>
        <v/>
      </c>
      <c r="E165" s="120" t="str">
        <f>IF(ISNA(VLOOKUP($F165,Declarations!$B$6:$D$293,3,FALSE)),"",IF(VLOOKUP($F165,Declarations!$B$6:$D$293,3,FALSE)="","NOT DECLARED",VLOOKUP($F165,Declarations!$B$6:$D$293,3,FALSE)&amp;LEFT(VLOOKUP($F165,Declarations!$B$6:$E$293,4,FALSE))))</f>
        <v/>
      </c>
      <c r="F165" s="21"/>
      <c r="G165" s="22"/>
      <c r="H165" s="322"/>
      <c r="I165" s="8" t="str">
        <f>IF(ISNA(VLOOKUP(F165,Declarations!B$6:C$293,2,FALSE)),"",IF(VLOOKUP(F165,Declarations!B$6:C$293,2,FALSE)="","NOT DECLARED",VLOOKUP(F165,Declarations!B$6:C$293,2,FALSE)))</f>
        <v/>
      </c>
      <c r="J165" s="2">
        <f>IF(LOWER(LEFT(G165,1))="n",1,VLOOKUP(G165,ScoringTable!E$2:I$95,5))</f>
        <v>0</v>
      </c>
      <c r="K165" s="120" t="str" cm="1">
        <f t="array" ref="K165">IF(OR(E165="",G165=""),"",_xlfn.IFS(E165="U10B",_xlfn.XLOOKUP(G165,Data!$D$4:$L$4,Data!$D$1:$L$1,"",-1,1),E165="U12B",_xlfn.XLOOKUP(G165,Data!$D$11:$L$11,Data!$D$1:$L$1,"",-1,1),E165="U10G",_xlfn.XLOOKUP(G165,Data!$D$17:$L$17,Data!$D$1:$L$1,"",-1,1),E165="U12G",_xlfn.XLOOKUP(G165,Data!$D$24:$L$24,Data!$D$1:$L$1,"",-1,1)))</f>
        <v/>
      </c>
      <c r="L165" s="184" t="str" cm="1">
        <f t="array" ref="L165">IFERROR(_xlfn.IFNA(
                      _xlfn.IFS(
                      F165="", "",
                      AND(E165="U10B",G165&gt;=Data!$M$4), "U10 Boys record",
                      AND(E165="U12B",G165&gt;=Data!$M$11), "U12 Boys record",
                      AND(E165="U10G",G165&gt;=Data!$M$17), "U10 Girls record",
                      AND(E165="U12G",G165&gt;=Data!$M$24), "U12 Girls record"
                       ),""), "")</f>
        <v/>
      </c>
      <c r="M165" s="19" cm="1">
        <f t="array" ref="M165">_xlfn.IFS($G165="",0,AND(NOT(ISNUMBER($G165)),LOWER(LEFT($G165,1))&lt;&gt;"n"),"Not a valid distance",OR(LOWER(LEFT($G165,1))="n",$G165&lt;ScoringTable!$P$161),1,RIGHT($E165,1)="B",_xlfn.XLOOKUP($G165,ScoringTable!$P$2:$P$161,ScoringTable!$L$2:$L$161,,-1),TRUE,_xlfn.XLOOKUP($G165,ScoringTable!$V$2:$V$161,ScoringTable!$R$2:$R$161,,-1))</f>
        <v>0</v>
      </c>
    </row>
    <row r="166" spans="1:13" ht="16" customHeight="1">
      <c r="A166" s="82" t="s">
        <v>27</v>
      </c>
      <c r="B166" s="81" t="str">
        <f>IF(ISNA(VLOOKUP($F166,Declarations!B$6:C$293,2,FALSE)),"",IF(VLOOKUP($F166,Declarations!B$6:C$293,2,FALSE)="","NOT DECLARED",IF(ISNA(_xlfn.TEXTBEFORE(VLOOKUP($F166,Declarations!B$6:C$293,2,FALSE)," ")),VLOOKUP($F166,Declarations!B$6:C$293,2,FALSE),_xlfn.TEXTBEFORE(VLOOKUP($F166,Declarations!B$6:C$293,2,FALSE)," "))))</f>
        <v/>
      </c>
      <c r="C166" s="81" t="str">
        <f>IF(ISNA(VLOOKUP($F166,Declarations!B$6:C$293,2,FALSE)),"",IF(VLOOKUP($F166,Declarations!B$6:C$293,2,FALSE)="","NOT DECLARED",IF(ISNA(_xlfn.TEXTAFTER(VLOOKUP($F166,Declarations!B$6:C$293,2,FALSE)," ")),VLOOKUP($F166,Declarations!B$6:C$293,2,FALSE),_xlfn.TEXTAFTER(VLOOKUP($F166,Declarations!B$6:C$293,2,FALSE)," "))))</f>
        <v/>
      </c>
      <c r="D166" s="81" t="str">
        <f>IF(ISNA(VLOOKUP($F166,Declarations!$B$6:$F$293,5,FALSE)),"",IF(VLOOKUP($F166,Declarations!$B$6:$F$293,5,FALSE)="","NOT DECLARED",VLOOKUP($F166,Declarations!$B$6:$F$293,5,FALSE)))</f>
        <v/>
      </c>
      <c r="E166" s="120" t="str">
        <f>IF(ISNA(VLOOKUP($F166,Declarations!$B$6:$D$293,3,FALSE)),"",IF(VLOOKUP($F166,Declarations!$B$6:$D$293,3,FALSE)="","NOT DECLARED",VLOOKUP($F166,Declarations!$B$6:$D$293,3,FALSE)&amp;LEFT(VLOOKUP($F166,Declarations!$B$6:$E$293,4,FALSE))))</f>
        <v/>
      </c>
      <c r="F166" s="21"/>
      <c r="G166" s="22"/>
      <c r="H166" s="322"/>
      <c r="I166" s="8" t="str">
        <f>IF(ISNA(VLOOKUP(F166,Declarations!B$6:C$293,2,FALSE)),"",IF(VLOOKUP(F166,Declarations!B$6:C$293,2,FALSE)="","NOT DECLARED",VLOOKUP(F166,Declarations!B$6:C$293,2,FALSE)))</f>
        <v/>
      </c>
      <c r="J166" s="2">
        <f>IF(LOWER(LEFT(G166,1))="n",1,VLOOKUP(G166,ScoringTable!E$2:I$95,5))</f>
        <v>0</v>
      </c>
      <c r="K166" s="120" t="str" cm="1">
        <f t="array" ref="K166">IF(OR(E166="",G166=""),"",_xlfn.IFS(E166="U10B",_xlfn.XLOOKUP(G166,Data!$D$4:$L$4,Data!$D$1:$L$1,"",-1,1),E166="U12B",_xlfn.XLOOKUP(G166,Data!$D$11:$L$11,Data!$D$1:$L$1,"",-1,1),E166="U10G",_xlfn.XLOOKUP(G166,Data!$D$17:$L$17,Data!$D$1:$L$1,"",-1,1),E166="U12G",_xlfn.XLOOKUP(G166,Data!$D$24:$L$24,Data!$D$1:$L$1,"",-1,1)))</f>
        <v/>
      </c>
      <c r="L166" s="184" t="str" cm="1">
        <f t="array" ref="L166">IFERROR(_xlfn.IFNA(
                      _xlfn.IFS(
                      F166="", "",
                      AND(E166="U10B",G166&gt;=Data!$M$4), "U10 Boys record",
                      AND(E166="U12B",G166&gt;=Data!$M$11), "U12 Boys record",
                      AND(E166="U10G",G166&gt;=Data!$M$17), "U10 Girls record",
                      AND(E166="U12G",G166&gt;=Data!$M$24), "U12 Girls record"
                       ),""), "")</f>
        <v/>
      </c>
      <c r="M166" s="19" cm="1">
        <f t="array" ref="M166">_xlfn.IFS($G166="",0,AND(NOT(ISNUMBER($G166)),LOWER(LEFT($G166,1))&lt;&gt;"n"),"Not a valid distance",OR(LOWER(LEFT($G166,1))="n",$G166&lt;ScoringTable!$P$161),1,RIGHT($E166,1)="B",_xlfn.XLOOKUP($G166,ScoringTable!$P$2:$P$161,ScoringTable!$L$2:$L$161,,-1),TRUE,_xlfn.XLOOKUP($G166,ScoringTable!$V$2:$V$161,ScoringTable!$R$2:$R$161,,-1))</f>
        <v>0</v>
      </c>
    </row>
    <row r="167" spans="1:13" ht="16" customHeight="1">
      <c r="A167" s="82" t="s">
        <v>27</v>
      </c>
      <c r="B167" s="81" t="str">
        <f>IF(ISNA(VLOOKUP($F167,Declarations!B$6:C$293,2,FALSE)),"",IF(VLOOKUP($F167,Declarations!B$6:C$293,2,FALSE)="","NOT DECLARED",IF(ISNA(_xlfn.TEXTBEFORE(VLOOKUP($F167,Declarations!B$6:C$293,2,FALSE)," ")),VLOOKUP($F167,Declarations!B$6:C$293,2,FALSE),_xlfn.TEXTBEFORE(VLOOKUP($F167,Declarations!B$6:C$293,2,FALSE)," "))))</f>
        <v/>
      </c>
      <c r="C167" s="81" t="str">
        <f>IF(ISNA(VLOOKUP($F167,Declarations!B$6:C$293,2,FALSE)),"",IF(VLOOKUP($F167,Declarations!B$6:C$293,2,FALSE)="","NOT DECLARED",IF(ISNA(_xlfn.TEXTAFTER(VLOOKUP($F167,Declarations!B$6:C$293,2,FALSE)," ")),VLOOKUP($F167,Declarations!B$6:C$293,2,FALSE),_xlfn.TEXTAFTER(VLOOKUP($F167,Declarations!B$6:C$293,2,FALSE)," "))))</f>
        <v/>
      </c>
      <c r="D167" s="81" t="str">
        <f>IF(ISNA(VLOOKUP($F167,Declarations!$B$6:$F$293,5,FALSE)),"",IF(VLOOKUP($F167,Declarations!$B$6:$F$293,5,FALSE)="","NOT DECLARED",VLOOKUP($F167,Declarations!$B$6:$F$293,5,FALSE)))</f>
        <v/>
      </c>
      <c r="E167" s="120" t="str">
        <f>IF(ISNA(VLOOKUP($F167,Declarations!$B$6:$D$293,3,FALSE)),"",IF(VLOOKUP($F167,Declarations!$B$6:$D$293,3,FALSE)="","NOT DECLARED",VLOOKUP($F167,Declarations!$B$6:$D$293,3,FALSE)&amp;LEFT(VLOOKUP($F167,Declarations!$B$6:$E$293,4,FALSE))))</f>
        <v/>
      </c>
      <c r="F167" s="21"/>
      <c r="G167" s="22"/>
      <c r="H167" s="322"/>
      <c r="I167" s="8" t="str">
        <f>IF(ISNA(VLOOKUP(F167,Declarations!B$6:C$293,2,FALSE)),"",IF(VLOOKUP(F167,Declarations!B$6:C$293,2,FALSE)="","NOT DECLARED",VLOOKUP(F167,Declarations!B$6:C$293,2,FALSE)))</f>
        <v/>
      </c>
      <c r="J167" s="2">
        <f>IF(LOWER(LEFT(G167,1))="n",1,VLOOKUP(G167,ScoringTable!E$2:I$95,5))</f>
        <v>0</v>
      </c>
      <c r="K167" s="120" t="str" cm="1">
        <f t="array" ref="K167">IF(OR(E167="",G167=""),"",_xlfn.IFS(E167="U10B",_xlfn.XLOOKUP(G167,Data!$D$4:$L$4,Data!$D$1:$L$1,"",-1,1),E167="U12B",_xlfn.XLOOKUP(G167,Data!$D$11:$L$11,Data!$D$1:$L$1,"",-1,1),E167="U10G",_xlfn.XLOOKUP(G167,Data!$D$17:$L$17,Data!$D$1:$L$1,"",-1,1),E167="U12G",_xlfn.XLOOKUP(G167,Data!$D$24:$L$24,Data!$D$1:$L$1,"",-1,1)))</f>
        <v/>
      </c>
      <c r="L167" s="184" t="str" cm="1">
        <f t="array" ref="L167">IFERROR(_xlfn.IFNA(
                      _xlfn.IFS(
                      F167="", "",
                      AND(E167="U10B",G167&gt;=Data!$M$4), "U10 Boys record",
                      AND(E167="U12B",G167&gt;=Data!$M$11), "U12 Boys record",
                      AND(E167="U10G",G167&gt;=Data!$M$17), "U10 Girls record",
                      AND(E167="U12G",G167&gt;=Data!$M$24), "U12 Girls record"
                       ),""), "")</f>
        <v/>
      </c>
      <c r="M167" s="19" cm="1">
        <f t="array" ref="M167">_xlfn.IFS($G167="",0,AND(NOT(ISNUMBER($G167)),LOWER(LEFT($G167,1))&lt;&gt;"n"),"Not a valid distance",OR(LOWER(LEFT($G167,1))="n",$G167&lt;ScoringTable!$P$161),1,RIGHT($E167,1)="B",_xlfn.XLOOKUP($G167,ScoringTable!$P$2:$P$161,ScoringTable!$L$2:$L$161,,-1),TRUE,_xlfn.XLOOKUP($G167,ScoringTable!$V$2:$V$161,ScoringTable!$R$2:$R$161,,-1))</f>
        <v>0</v>
      </c>
    </row>
    <row r="168" spans="1:13" ht="16" customHeight="1">
      <c r="A168" s="82" t="s">
        <v>27</v>
      </c>
      <c r="B168" s="81" t="str">
        <f>IF(ISNA(VLOOKUP($F168,Declarations!B$6:C$293,2,FALSE)),"",IF(VLOOKUP($F168,Declarations!B$6:C$293,2,FALSE)="","NOT DECLARED",IF(ISNA(_xlfn.TEXTBEFORE(VLOOKUP($F168,Declarations!B$6:C$293,2,FALSE)," ")),VLOOKUP($F168,Declarations!B$6:C$293,2,FALSE),_xlfn.TEXTBEFORE(VLOOKUP($F168,Declarations!B$6:C$293,2,FALSE)," "))))</f>
        <v/>
      </c>
      <c r="C168" s="81" t="str">
        <f>IF(ISNA(VLOOKUP($F168,Declarations!B$6:C$293,2,FALSE)),"",IF(VLOOKUP($F168,Declarations!B$6:C$293,2,FALSE)="","NOT DECLARED",IF(ISNA(_xlfn.TEXTAFTER(VLOOKUP($F168,Declarations!B$6:C$293,2,FALSE)," ")),VLOOKUP($F168,Declarations!B$6:C$293,2,FALSE),_xlfn.TEXTAFTER(VLOOKUP($F168,Declarations!B$6:C$293,2,FALSE)," "))))</f>
        <v/>
      </c>
      <c r="D168" s="81" t="str">
        <f>IF(ISNA(VLOOKUP($F168,Declarations!$B$6:$F$293,5,FALSE)),"",IF(VLOOKUP($F168,Declarations!$B$6:$F$293,5,FALSE)="","NOT DECLARED",VLOOKUP($F168,Declarations!$B$6:$F$293,5,FALSE)))</f>
        <v/>
      </c>
      <c r="E168" s="120" t="str">
        <f>IF(ISNA(VLOOKUP($F168,Declarations!$B$6:$D$293,3,FALSE)),"",IF(VLOOKUP($F168,Declarations!$B$6:$D$293,3,FALSE)="","NOT DECLARED",VLOOKUP($F168,Declarations!$B$6:$D$293,3,FALSE)&amp;LEFT(VLOOKUP($F168,Declarations!$B$6:$E$293,4,FALSE))))</f>
        <v/>
      </c>
      <c r="F168" s="21"/>
      <c r="G168" s="22"/>
      <c r="H168" s="322"/>
      <c r="I168" s="8" t="str">
        <f>IF(ISNA(VLOOKUP(F168,Declarations!B$6:C$293,2,FALSE)),"",IF(VLOOKUP(F168,Declarations!B$6:C$293,2,FALSE)="","NOT DECLARED",VLOOKUP(F168,Declarations!B$6:C$293,2,FALSE)))</f>
        <v/>
      </c>
      <c r="J168" s="2">
        <f>IF(LOWER(LEFT(G168,1))="n",1,VLOOKUP(G168,ScoringTable!E$2:I$95,5))</f>
        <v>0</v>
      </c>
      <c r="K168" s="120" t="str" cm="1">
        <f t="array" ref="K168">IF(OR(E168="",G168=""),"",_xlfn.IFS(E168="U10B",_xlfn.XLOOKUP(G168,Data!$D$4:$L$4,Data!$D$1:$L$1,"",-1,1),E168="U12B",_xlfn.XLOOKUP(G168,Data!$D$11:$L$11,Data!$D$1:$L$1,"",-1,1),E168="U10G",_xlfn.XLOOKUP(G168,Data!$D$17:$L$17,Data!$D$1:$L$1,"",-1,1),E168="U12G",_xlfn.XLOOKUP(G168,Data!$D$24:$L$24,Data!$D$1:$L$1,"",-1,1)))</f>
        <v/>
      </c>
      <c r="L168" s="184" t="str" cm="1">
        <f t="array" ref="L168">IFERROR(_xlfn.IFNA(
                      _xlfn.IFS(
                      F168="", "",
                      AND(E168="U10B",G168&gt;=Data!$M$4), "U10 Boys record",
                      AND(E168="U12B",G168&gt;=Data!$M$11), "U12 Boys record",
                      AND(E168="U10G",G168&gt;=Data!$M$17), "U10 Girls record",
                      AND(E168="U12G",G168&gt;=Data!$M$24), "U12 Girls record"
                       ),""), "")</f>
        <v/>
      </c>
      <c r="M168" s="19" cm="1">
        <f t="array" ref="M168">_xlfn.IFS($G168="",0,AND(NOT(ISNUMBER($G168)),LOWER(LEFT($G168,1))&lt;&gt;"n"),"Not a valid distance",OR(LOWER(LEFT($G168,1))="n",$G168&lt;ScoringTable!$P$161),1,RIGHT($E168,1)="B",_xlfn.XLOOKUP($G168,ScoringTable!$P$2:$P$161,ScoringTable!$L$2:$L$161,,-1),TRUE,_xlfn.XLOOKUP($G168,ScoringTable!$V$2:$V$161,ScoringTable!$R$2:$R$161,,-1))</f>
        <v>0</v>
      </c>
    </row>
    <row r="169" spans="1:13" ht="16" customHeight="1">
      <c r="A169" s="82" t="s">
        <v>27</v>
      </c>
      <c r="B169" s="81" t="str">
        <f>IF(ISNA(VLOOKUP($F169,Declarations!B$6:C$293,2,FALSE)),"",IF(VLOOKUP($F169,Declarations!B$6:C$293,2,FALSE)="","NOT DECLARED",IF(ISNA(_xlfn.TEXTBEFORE(VLOOKUP($F169,Declarations!B$6:C$293,2,FALSE)," ")),VLOOKUP($F169,Declarations!B$6:C$293,2,FALSE),_xlfn.TEXTBEFORE(VLOOKUP($F169,Declarations!B$6:C$293,2,FALSE)," "))))</f>
        <v/>
      </c>
      <c r="C169" s="81" t="str">
        <f>IF(ISNA(VLOOKUP($F169,Declarations!B$6:C$293,2,FALSE)),"",IF(VLOOKUP($F169,Declarations!B$6:C$293,2,FALSE)="","NOT DECLARED",IF(ISNA(_xlfn.TEXTAFTER(VLOOKUP($F169,Declarations!B$6:C$293,2,FALSE)," ")),VLOOKUP($F169,Declarations!B$6:C$293,2,FALSE),_xlfn.TEXTAFTER(VLOOKUP($F169,Declarations!B$6:C$293,2,FALSE)," "))))</f>
        <v/>
      </c>
      <c r="D169" s="81" t="str">
        <f>IF(ISNA(VLOOKUP($F169,Declarations!$B$6:$F$293,5,FALSE)),"",IF(VLOOKUP($F169,Declarations!$B$6:$F$293,5,FALSE)="","NOT DECLARED",VLOOKUP($F169,Declarations!$B$6:$F$293,5,FALSE)))</f>
        <v/>
      </c>
      <c r="E169" s="120" t="str">
        <f>IF(ISNA(VLOOKUP($F169,Declarations!$B$6:$D$293,3,FALSE)),"",IF(VLOOKUP($F169,Declarations!$B$6:$D$293,3,FALSE)="","NOT DECLARED",VLOOKUP($F169,Declarations!$B$6:$D$293,3,FALSE)&amp;LEFT(VLOOKUP($F169,Declarations!$B$6:$E$293,4,FALSE))))</f>
        <v/>
      </c>
      <c r="F169" s="21"/>
      <c r="G169" s="22"/>
      <c r="H169" s="322"/>
      <c r="I169" s="8" t="str">
        <f>IF(ISNA(VLOOKUP(F169,Declarations!B$6:C$293,2,FALSE)),"",IF(VLOOKUP(F169,Declarations!B$6:C$293,2,FALSE)="","NOT DECLARED",VLOOKUP(F169,Declarations!B$6:C$293,2,FALSE)))</f>
        <v/>
      </c>
      <c r="J169" s="2">
        <f>IF(LOWER(LEFT(G169,1))="n",1,VLOOKUP(G169,ScoringTable!E$2:I$95,5))</f>
        <v>0</v>
      </c>
      <c r="K169" s="120" t="str" cm="1">
        <f t="array" ref="K169">IF(OR(E169="",G169=""),"",_xlfn.IFS(E169="U10B",_xlfn.XLOOKUP(G169,Data!$D$4:$L$4,Data!$D$1:$L$1,"",-1,1),E169="U12B",_xlfn.XLOOKUP(G169,Data!$D$11:$L$11,Data!$D$1:$L$1,"",-1,1),E169="U10G",_xlfn.XLOOKUP(G169,Data!$D$17:$L$17,Data!$D$1:$L$1,"",-1,1),E169="U12G",_xlfn.XLOOKUP(G169,Data!$D$24:$L$24,Data!$D$1:$L$1,"",-1,1)))</f>
        <v/>
      </c>
      <c r="L169" s="184" t="str" cm="1">
        <f t="array" ref="L169">IFERROR(_xlfn.IFNA(
                      _xlfn.IFS(
                      F169="", "",
                      AND(E169="U10B",G169&gt;=Data!$M$4), "U10 Boys record",
                      AND(E169="U12B",G169&gt;=Data!$M$11), "U12 Boys record",
                      AND(E169="U10G",G169&gt;=Data!$M$17), "U10 Girls record",
                      AND(E169="U12G",G169&gt;=Data!$M$24), "U12 Girls record"
                       ),""), "")</f>
        <v/>
      </c>
      <c r="M169" s="19" cm="1">
        <f t="array" ref="M169">_xlfn.IFS($G169="",0,AND(NOT(ISNUMBER($G169)),LOWER(LEFT($G169,1))&lt;&gt;"n"),"Not a valid distance",OR(LOWER(LEFT($G169,1))="n",$G169&lt;ScoringTable!$P$161),1,RIGHT($E169,1)="B",_xlfn.XLOOKUP($G169,ScoringTable!$P$2:$P$161,ScoringTable!$L$2:$L$161,,-1),TRUE,_xlfn.XLOOKUP($G169,ScoringTable!$V$2:$V$161,ScoringTable!$R$2:$R$161,,-1))</f>
        <v>0</v>
      </c>
    </row>
    <row r="170" spans="1:13" ht="16" customHeight="1">
      <c r="A170" s="82" t="s">
        <v>27</v>
      </c>
      <c r="B170" s="81" t="str">
        <f>IF(ISNA(VLOOKUP($F170,Declarations!B$6:C$293,2,FALSE)),"",IF(VLOOKUP($F170,Declarations!B$6:C$293,2,FALSE)="","NOT DECLARED",IF(ISNA(_xlfn.TEXTBEFORE(VLOOKUP($F170,Declarations!B$6:C$293,2,FALSE)," ")),VLOOKUP($F170,Declarations!B$6:C$293,2,FALSE),_xlfn.TEXTBEFORE(VLOOKUP($F170,Declarations!B$6:C$293,2,FALSE)," "))))</f>
        <v/>
      </c>
      <c r="C170" s="81" t="str">
        <f>IF(ISNA(VLOOKUP($F170,Declarations!B$6:C$293,2,FALSE)),"",IF(VLOOKUP($F170,Declarations!B$6:C$293,2,FALSE)="","NOT DECLARED",IF(ISNA(_xlfn.TEXTAFTER(VLOOKUP($F170,Declarations!B$6:C$293,2,FALSE)," ")),VLOOKUP($F170,Declarations!B$6:C$293,2,FALSE),_xlfn.TEXTAFTER(VLOOKUP($F170,Declarations!B$6:C$293,2,FALSE)," "))))</f>
        <v/>
      </c>
      <c r="D170" s="81" t="str">
        <f>IF(ISNA(VLOOKUP($F170,Declarations!$B$6:$F$293,5,FALSE)),"",IF(VLOOKUP($F170,Declarations!$B$6:$F$293,5,FALSE)="","NOT DECLARED",VLOOKUP($F170,Declarations!$B$6:$F$293,5,FALSE)))</f>
        <v/>
      </c>
      <c r="E170" s="120" t="str">
        <f>IF(ISNA(VLOOKUP($F170,Declarations!$B$6:$D$293,3,FALSE)),"",IF(VLOOKUP($F170,Declarations!$B$6:$D$293,3,FALSE)="","NOT DECLARED",VLOOKUP($F170,Declarations!$B$6:$D$293,3,FALSE)&amp;LEFT(VLOOKUP($F170,Declarations!$B$6:$E$293,4,FALSE))))</f>
        <v/>
      </c>
      <c r="F170" s="21"/>
      <c r="G170" s="22"/>
      <c r="H170" s="322"/>
      <c r="I170" s="8" t="str">
        <f>IF(ISNA(VLOOKUP(F170,Declarations!B$6:C$293,2,FALSE)),"",IF(VLOOKUP(F170,Declarations!B$6:C$293,2,FALSE)="","NOT DECLARED",VLOOKUP(F170,Declarations!B$6:C$293,2,FALSE)))</f>
        <v/>
      </c>
      <c r="J170" s="2">
        <f>IF(LOWER(LEFT(G170,1))="n",1,VLOOKUP(G170,ScoringTable!E$2:I$95,5))</f>
        <v>0</v>
      </c>
      <c r="K170" s="120" t="str" cm="1">
        <f t="array" ref="K170">IF(OR(E170="",G170=""),"",_xlfn.IFS(E170="U10B",_xlfn.XLOOKUP(G170,Data!$D$4:$L$4,Data!$D$1:$L$1,"",-1,1),E170="U12B",_xlfn.XLOOKUP(G170,Data!$D$11:$L$11,Data!$D$1:$L$1,"",-1,1),E170="U10G",_xlfn.XLOOKUP(G170,Data!$D$17:$L$17,Data!$D$1:$L$1,"",-1,1),E170="U12G",_xlfn.XLOOKUP(G170,Data!$D$24:$L$24,Data!$D$1:$L$1,"",-1,1)))</f>
        <v/>
      </c>
      <c r="L170" s="184" t="str" cm="1">
        <f t="array" ref="L170">IFERROR(_xlfn.IFNA(
                      _xlfn.IFS(
                      F170="", "",
                      AND(E170="U10B",G170&gt;=Data!$M$4), "U10 Boys record",
                      AND(E170="U12B",G170&gt;=Data!$M$11), "U12 Boys record",
                      AND(E170="U10G",G170&gt;=Data!$M$17), "U10 Girls record",
                      AND(E170="U12G",G170&gt;=Data!$M$24), "U12 Girls record"
                       ),""), "")</f>
        <v/>
      </c>
      <c r="M170" s="19" cm="1">
        <f t="array" ref="M170">_xlfn.IFS($G170="",0,AND(NOT(ISNUMBER($G170)),LOWER(LEFT($G170,1))&lt;&gt;"n"),"Not a valid distance",OR(LOWER(LEFT($G170,1))="n",$G170&lt;ScoringTable!$P$161),1,RIGHT($E170,1)="B",_xlfn.XLOOKUP($G170,ScoringTable!$P$2:$P$161,ScoringTable!$L$2:$L$161,,-1),TRUE,_xlfn.XLOOKUP($G170,ScoringTable!$V$2:$V$161,ScoringTable!$R$2:$R$161,,-1))</f>
        <v>0</v>
      </c>
    </row>
    <row r="171" spans="1:13" ht="16" customHeight="1">
      <c r="A171" s="82" t="s">
        <v>27</v>
      </c>
      <c r="B171" s="81" t="str">
        <f>IF(ISNA(VLOOKUP($F171,Declarations!B$6:C$293,2,FALSE)),"",IF(VLOOKUP($F171,Declarations!B$6:C$293,2,FALSE)="","NOT DECLARED",IF(ISNA(_xlfn.TEXTBEFORE(VLOOKUP($F171,Declarations!B$6:C$293,2,FALSE)," ")),VLOOKUP($F171,Declarations!B$6:C$293,2,FALSE),_xlfn.TEXTBEFORE(VLOOKUP($F171,Declarations!B$6:C$293,2,FALSE)," "))))</f>
        <v/>
      </c>
      <c r="C171" s="81" t="str">
        <f>IF(ISNA(VLOOKUP($F171,Declarations!B$6:C$293,2,FALSE)),"",IF(VLOOKUP($F171,Declarations!B$6:C$293,2,FALSE)="","NOT DECLARED",IF(ISNA(_xlfn.TEXTAFTER(VLOOKUP($F171,Declarations!B$6:C$293,2,FALSE)," ")),VLOOKUP($F171,Declarations!B$6:C$293,2,FALSE),_xlfn.TEXTAFTER(VLOOKUP($F171,Declarations!B$6:C$293,2,FALSE)," "))))</f>
        <v/>
      </c>
      <c r="D171" s="81" t="str">
        <f>IF(ISNA(VLOOKUP($F171,Declarations!$B$6:$F$293,5,FALSE)),"",IF(VLOOKUP($F171,Declarations!$B$6:$F$293,5,FALSE)="","NOT DECLARED",VLOOKUP($F171,Declarations!$B$6:$F$293,5,FALSE)))</f>
        <v/>
      </c>
      <c r="E171" s="120" t="str">
        <f>IF(ISNA(VLOOKUP($F171,Declarations!$B$6:$D$293,3,FALSE)),"",IF(VLOOKUP($F171,Declarations!$B$6:$D$293,3,FALSE)="","NOT DECLARED",VLOOKUP($F171,Declarations!$B$6:$D$293,3,FALSE)&amp;LEFT(VLOOKUP($F171,Declarations!$B$6:$E$293,4,FALSE))))</f>
        <v/>
      </c>
      <c r="F171" s="21"/>
      <c r="G171" s="22"/>
      <c r="H171" s="322"/>
      <c r="I171" s="8" t="str">
        <f>IF(ISNA(VLOOKUP(F171,Declarations!B$6:C$293,2,FALSE)),"",IF(VLOOKUP(F171,Declarations!B$6:C$293,2,FALSE)="","NOT DECLARED",VLOOKUP(F171,Declarations!B$6:C$293,2,FALSE)))</f>
        <v/>
      </c>
      <c r="J171" s="2">
        <f>IF(LOWER(LEFT(G171,1))="n",1,VLOOKUP(G171,ScoringTable!E$2:I$95,5))</f>
        <v>0</v>
      </c>
      <c r="K171" s="120" t="str" cm="1">
        <f t="array" ref="K171">IF(OR(E171="",G171=""),"",_xlfn.IFS(E171="U10B",_xlfn.XLOOKUP(G171,Data!$D$4:$L$4,Data!$D$1:$L$1,"",-1,1),E171="U12B",_xlfn.XLOOKUP(G171,Data!$D$11:$L$11,Data!$D$1:$L$1,"",-1,1),E171="U10G",_xlfn.XLOOKUP(G171,Data!$D$17:$L$17,Data!$D$1:$L$1,"",-1,1),E171="U12G",_xlfn.XLOOKUP(G171,Data!$D$24:$L$24,Data!$D$1:$L$1,"",-1,1)))</f>
        <v/>
      </c>
      <c r="L171" s="184" t="str" cm="1">
        <f t="array" ref="L171">IFERROR(_xlfn.IFNA(
                      _xlfn.IFS(
                      F171="", "",
                      AND(E171="U10B",G171&gt;=Data!$M$4), "U10 Boys record",
                      AND(E171="U12B",G171&gt;=Data!$M$11), "U12 Boys record",
                      AND(E171="U10G",G171&gt;=Data!$M$17), "U10 Girls record",
                      AND(E171="U12G",G171&gt;=Data!$M$24), "U12 Girls record"
                       ),""), "")</f>
        <v/>
      </c>
      <c r="M171" s="19" cm="1">
        <f t="array" ref="M171">_xlfn.IFS($G171="",0,AND(NOT(ISNUMBER($G171)),LOWER(LEFT($G171,1))&lt;&gt;"n"),"Not a valid distance",OR(LOWER(LEFT($G171,1))="n",$G171&lt;ScoringTable!$P$161),1,RIGHT($E171,1)="B",_xlfn.XLOOKUP($G171,ScoringTable!$P$2:$P$161,ScoringTable!$L$2:$L$161,,-1),TRUE,_xlfn.XLOOKUP($G171,ScoringTable!$V$2:$V$161,ScoringTable!$R$2:$R$161,,-1))</f>
        <v>0</v>
      </c>
    </row>
    <row r="172" spans="1:13" ht="16" customHeight="1">
      <c r="A172" s="82" t="s">
        <v>27</v>
      </c>
      <c r="B172" s="81" t="str">
        <f>IF(ISNA(VLOOKUP($F172,Declarations!B$6:C$293,2,FALSE)),"",IF(VLOOKUP($F172,Declarations!B$6:C$293,2,FALSE)="","NOT DECLARED",IF(ISNA(_xlfn.TEXTBEFORE(VLOOKUP($F172,Declarations!B$6:C$293,2,FALSE)," ")),VLOOKUP($F172,Declarations!B$6:C$293,2,FALSE),_xlfn.TEXTBEFORE(VLOOKUP($F172,Declarations!B$6:C$293,2,FALSE)," "))))</f>
        <v/>
      </c>
      <c r="C172" s="81" t="str">
        <f>IF(ISNA(VLOOKUP($F172,Declarations!B$6:C$293,2,FALSE)),"",IF(VLOOKUP($F172,Declarations!B$6:C$293,2,FALSE)="","NOT DECLARED",IF(ISNA(_xlfn.TEXTAFTER(VLOOKUP($F172,Declarations!B$6:C$293,2,FALSE)," ")),VLOOKUP($F172,Declarations!B$6:C$293,2,FALSE),_xlfn.TEXTAFTER(VLOOKUP($F172,Declarations!B$6:C$293,2,FALSE)," "))))</f>
        <v/>
      </c>
      <c r="D172" s="81" t="str">
        <f>IF(ISNA(VLOOKUP($F172,Declarations!$B$6:$F$293,5,FALSE)),"",IF(VLOOKUP($F172,Declarations!$B$6:$F$293,5,FALSE)="","NOT DECLARED",VLOOKUP($F172,Declarations!$B$6:$F$293,5,FALSE)))</f>
        <v/>
      </c>
      <c r="E172" s="120" t="str">
        <f>IF(ISNA(VLOOKUP($F172,Declarations!$B$6:$D$293,3,FALSE)),"",IF(VLOOKUP($F172,Declarations!$B$6:$D$293,3,FALSE)="","NOT DECLARED",VLOOKUP($F172,Declarations!$B$6:$D$293,3,FALSE)&amp;LEFT(VLOOKUP($F172,Declarations!$B$6:$E$293,4,FALSE))))</f>
        <v/>
      </c>
      <c r="F172" s="21"/>
      <c r="G172" s="22"/>
      <c r="H172" s="322"/>
      <c r="I172" s="8" t="str">
        <f>IF(ISNA(VLOOKUP(F172,Declarations!B$6:C$293,2,FALSE)),"",IF(VLOOKUP(F172,Declarations!B$6:C$293,2,FALSE)="","NOT DECLARED",VLOOKUP(F172,Declarations!B$6:C$293,2,FALSE)))</f>
        <v/>
      </c>
      <c r="J172" s="2">
        <f>IF(LOWER(LEFT(G172,1))="n",1,VLOOKUP(G172,ScoringTable!E$2:I$95,5))</f>
        <v>0</v>
      </c>
      <c r="K172" s="120" t="str" cm="1">
        <f t="array" ref="K172">IF(OR(E172="",G172=""),"",_xlfn.IFS(E172="U10B",_xlfn.XLOOKUP(G172,Data!$D$4:$L$4,Data!$D$1:$L$1,"",-1,1),E172="U12B",_xlfn.XLOOKUP(G172,Data!$D$11:$L$11,Data!$D$1:$L$1,"",-1,1),E172="U10G",_xlfn.XLOOKUP(G172,Data!$D$17:$L$17,Data!$D$1:$L$1,"",-1,1),E172="U12G",_xlfn.XLOOKUP(G172,Data!$D$24:$L$24,Data!$D$1:$L$1,"",-1,1)))</f>
        <v/>
      </c>
      <c r="L172" s="184" t="str" cm="1">
        <f t="array" ref="L172">IFERROR(_xlfn.IFNA(
                      _xlfn.IFS(
                      F172="", "",
                      AND(E172="U10B",G172&gt;=Data!$M$4), "U10 Boys record",
                      AND(E172="U12B",G172&gt;=Data!$M$11), "U12 Boys record",
                      AND(E172="U10G",G172&gt;=Data!$M$17), "U10 Girls record",
                      AND(E172="U12G",G172&gt;=Data!$M$24), "U12 Girls record"
                       ),""), "")</f>
        <v/>
      </c>
      <c r="M172" s="19" cm="1">
        <f t="array" ref="M172">_xlfn.IFS($G172="",0,AND(NOT(ISNUMBER($G172)),LOWER(LEFT($G172,1))&lt;&gt;"n"),"Not a valid distance",OR(LOWER(LEFT($G172,1))="n",$G172&lt;ScoringTable!$P$161),1,RIGHT($E172,1)="B",_xlfn.XLOOKUP($G172,ScoringTable!$P$2:$P$161,ScoringTable!$L$2:$L$161,,-1),TRUE,_xlfn.XLOOKUP($G172,ScoringTable!$V$2:$V$161,ScoringTable!$R$2:$R$161,,-1))</f>
        <v>0</v>
      </c>
    </row>
    <row r="173" spans="1:13" ht="16" customHeight="1">
      <c r="A173" s="82" t="s">
        <v>27</v>
      </c>
      <c r="B173" s="81" t="str">
        <f>IF(ISNA(VLOOKUP($F173,Declarations!B$6:C$293,2,FALSE)),"",IF(VLOOKUP($F173,Declarations!B$6:C$293,2,FALSE)="","NOT DECLARED",IF(ISNA(_xlfn.TEXTBEFORE(VLOOKUP($F173,Declarations!B$6:C$293,2,FALSE)," ")),VLOOKUP($F173,Declarations!B$6:C$293,2,FALSE),_xlfn.TEXTBEFORE(VLOOKUP($F173,Declarations!B$6:C$293,2,FALSE)," "))))</f>
        <v/>
      </c>
      <c r="C173" s="81" t="str">
        <f>IF(ISNA(VLOOKUP($F173,Declarations!B$6:C$293,2,FALSE)),"",IF(VLOOKUP($F173,Declarations!B$6:C$293,2,FALSE)="","NOT DECLARED",IF(ISNA(_xlfn.TEXTAFTER(VLOOKUP($F173,Declarations!B$6:C$293,2,FALSE)," ")),VLOOKUP($F173,Declarations!B$6:C$293,2,FALSE),_xlfn.TEXTAFTER(VLOOKUP($F173,Declarations!B$6:C$293,2,FALSE)," "))))</f>
        <v/>
      </c>
      <c r="D173" s="81" t="str">
        <f>IF(ISNA(VLOOKUP($F173,Declarations!$B$6:$F$293,5,FALSE)),"",IF(VLOOKUP($F173,Declarations!$B$6:$F$293,5,FALSE)="","NOT DECLARED",VLOOKUP($F173,Declarations!$B$6:$F$293,5,FALSE)))</f>
        <v/>
      </c>
      <c r="E173" s="120" t="str">
        <f>IF(ISNA(VLOOKUP($F173,Declarations!$B$6:$D$293,3,FALSE)),"",IF(VLOOKUP($F173,Declarations!$B$6:$D$293,3,FALSE)="","NOT DECLARED",VLOOKUP($F173,Declarations!$B$6:$D$293,3,FALSE)&amp;LEFT(VLOOKUP($F173,Declarations!$B$6:$E$293,4,FALSE))))</f>
        <v/>
      </c>
      <c r="F173" s="21"/>
      <c r="G173" s="22"/>
      <c r="H173" s="322"/>
      <c r="I173" s="8" t="str">
        <f>IF(ISNA(VLOOKUP(F173,Declarations!B$6:C$293,2,FALSE)),"",IF(VLOOKUP(F173,Declarations!B$6:C$293,2,FALSE)="","NOT DECLARED",VLOOKUP(F173,Declarations!B$6:C$293,2,FALSE)))</f>
        <v/>
      </c>
      <c r="J173" s="2">
        <f>IF(LOWER(LEFT(G173,1))="n",1,VLOOKUP(G173,ScoringTable!E$2:I$95,5))</f>
        <v>0</v>
      </c>
      <c r="K173" s="120" t="str" cm="1">
        <f t="array" ref="K173">IF(OR(E173="",G173=""),"",_xlfn.IFS(E173="U10B",_xlfn.XLOOKUP(G173,Data!$D$4:$L$4,Data!$D$1:$L$1,"",-1,1),E173="U12B",_xlfn.XLOOKUP(G173,Data!$D$11:$L$11,Data!$D$1:$L$1,"",-1,1),E173="U10G",_xlfn.XLOOKUP(G173,Data!$D$17:$L$17,Data!$D$1:$L$1,"",-1,1),E173="U12G",_xlfn.XLOOKUP(G173,Data!$D$24:$L$24,Data!$D$1:$L$1,"",-1,1)))</f>
        <v/>
      </c>
      <c r="L173" s="184" t="str" cm="1">
        <f t="array" ref="L173">IFERROR(_xlfn.IFNA(
                      _xlfn.IFS(
                      F173="", "",
                      AND(E173="U10B",G173&gt;=Data!$M$4), "U10 Boys record",
                      AND(E173="U12B",G173&gt;=Data!$M$11), "U12 Boys record",
                      AND(E173="U10G",G173&gt;=Data!$M$17), "U10 Girls record",
                      AND(E173="U12G",G173&gt;=Data!$M$24), "U12 Girls record"
                       ),""), "")</f>
        <v/>
      </c>
      <c r="M173" s="19" cm="1">
        <f t="array" ref="M173">_xlfn.IFS($G173="",0,AND(NOT(ISNUMBER($G173)),LOWER(LEFT($G173,1))&lt;&gt;"n"),"Not a valid distance",OR(LOWER(LEFT($G173,1))="n",$G173&lt;ScoringTable!$P$161),1,RIGHT($E173,1)="B",_xlfn.XLOOKUP($G173,ScoringTable!$P$2:$P$161,ScoringTable!$L$2:$L$161,,-1),TRUE,_xlfn.XLOOKUP($G173,ScoringTable!$V$2:$V$161,ScoringTable!$R$2:$R$161,,-1))</f>
        <v>0</v>
      </c>
    </row>
    <row r="174" spans="1:13" ht="16" customHeight="1">
      <c r="A174" s="82" t="s">
        <v>27</v>
      </c>
      <c r="B174" s="81" t="str">
        <f>IF(ISNA(VLOOKUP($F174,Declarations!B$6:C$293,2,FALSE)),"",IF(VLOOKUP($F174,Declarations!B$6:C$293,2,FALSE)="","NOT DECLARED",IF(ISNA(_xlfn.TEXTBEFORE(VLOOKUP($F174,Declarations!B$6:C$293,2,FALSE)," ")),VLOOKUP($F174,Declarations!B$6:C$293,2,FALSE),_xlfn.TEXTBEFORE(VLOOKUP($F174,Declarations!B$6:C$293,2,FALSE)," "))))</f>
        <v/>
      </c>
      <c r="C174" s="81" t="str">
        <f>IF(ISNA(VLOOKUP($F174,Declarations!B$6:C$293,2,FALSE)),"",IF(VLOOKUP($F174,Declarations!B$6:C$293,2,FALSE)="","NOT DECLARED",IF(ISNA(_xlfn.TEXTAFTER(VLOOKUP($F174,Declarations!B$6:C$293,2,FALSE)," ")),VLOOKUP($F174,Declarations!B$6:C$293,2,FALSE),_xlfn.TEXTAFTER(VLOOKUP($F174,Declarations!B$6:C$293,2,FALSE)," "))))</f>
        <v/>
      </c>
      <c r="D174" s="81" t="str">
        <f>IF(ISNA(VLOOKUP($F174,Declarations!$B$6:$F$293,5,FALSE)),"",IF(VLOOKUP($F174,Declarations!$B$6:$F$293,5,FALSE)="","NOT DECLARED",VLOOKUP($F174,Declarations!$B$6:$F$293,5,FALSE)))</f>
        <v/>
      </c>
      <c r="E174" s="120" t="str">
        <f>IF(ISNA(VLOOKUP($F174,Declarations!$B$6:$D$293,3,FALSE)),"",IF(VLOOKUP($F174,Declarations!$B$6:$D$293,3,FALSE)="","NOT DECLARED",VLOOKUP($F174,Declarations!$B$6:$D$293,3,FALSE)&amp;LEFT(VLOOKUP($F174,Declarations!$B$6:$E$293,4,FALSE))))</f>
        <v/>
      </c>
      <c r="F174" s="21"/>
      <c r="G174" s="22"/>
      <c r="H174" s="322"/>
      <c r="I174" s="8" t="str">
        <f>IF(ISNA(VLOOKUP(F174,Declarations!B$6:C$293,2,FALSE)),"",IF(VLOOKUP(F174,Declarations!B$6:C$293,2,FALSE)="","NOT DECLARED",VLOOKUP(F174,Declarations!B$6:C$293,2,FALSE)))</f>
        <v/>
      </c>
      <c r="J174" s="2">
        <f>IF(LOWER(LEFT(G174,1))="n",1,VLOOKUP(G174,ScoringTable!E$2:I$95,5))</f>
        <v>0</v>
      </c>
      <c r="K174" s="120" t="str" cm="1">
        <f t="array" ref="K174">IF(OR(E174="",G174=""),"",_xlfn.IFS(E174="U10B",_xlfn.XLOOKUP(G174,Data!$D$4:$L$4,Data!$D$1:$L$1,"",-1,1),E174="U12B",_xlfn.XLOOKUP(G174,Data!$D$11:$L$11,Data!$D$1:$L$1,"",-1,1),E174="U10G",_xlfn.XLOOKUP(G174,Data!$D$17:$L$17,Data!$D$1:$L$1,"",-1,1),E174="U12G",_xlfn.XLOOKUP(G174,Data!$D$24:$L$24,Data!$D$1:$L$1,"",-1,1)))</f>
        <v/>
      </c>
      <c r="L174" s="184" t="str" cm="1">
        <f t="array" ref="L174">IFERROR(_xlfn.IFNA(
                      _xlfn.IFS(
                      F174="", "",
                      AND(E174="U10B",G174&gt;=Data!$M$4), "U10 Boys record",
                      AND(E174="U12B",G174&gt;=Data!$M$11), "U12 Boys record",
                      AND(E174="U10G",G174&gt;=Data!$M$17), "U10 Girls record",
                      AND(E174="U12G",G174&gt;=Data!$M$24), "U12 Girls record"
                       ),""), "")</f>
        <v/>
      </c>
      <c r="M174" s="19" cm="1">
        <f t="array" ref="M174">_xlfn.IFS($G174="",0,AND(NOT(ISNUMBER($G174)),LOWER(LEFT($G174,1))&lt;&gt;"n"),"Not a valid distance",OR(LOWER(LEFT($G174,1))="n",$G174&lt;ScoringTable!$P$161),1,RIGHT($E174,1)="B",_xlfn.XLOOKUP($G174,ScoringTable!$P$2:$P$161,ScoringTable!$L$2:$L$161,,-1),TRUE,_xlfn.XLOOKUP($G174,ScoringTable!$V$2:$V$161,ScoringTable!$R$2:$R$161,,-1))</f>
        <v>0</v>
      </c>
    </row>
    <row r="175" spans="1:13" ht="16" customHeight="1">
      <c r="A175" s="82" t="s">
        <v>27</v>
      </c>
      <c r="B175" s="81" t="str">
        <f>IF(ISNA(VLOOKUP($F175,Declarations!B$6:C$293,2,FALSE)),"",IF(VLOOKUP($F175,Declarations!B$6:C$293,2,FALSE)="","NOT DECLARED",IF(ISNA(_xlfn.TEXTBEFORE(VLOOKUP($F175,Declarations!B$6:C$293,2,FALSE)," ")),VLOOKUP($F175,Declarations!B$6:C$293,2,FALSE),_xlfn.TEXTBEFORE(VLOOKUP($F175,Declarations!B$6:C$293,2,FALSE)," "))))</f>
        <v/>
      </c>
      <c r="C175" s="81" t="str">
        <f>IF(ISNA(VLOOKUP($F175,Declarations!B$6:C$293,2,FALSE)),"",IF(VLOOKUP($F175,Declarations!B$6:C$293,2,FALSE)="","NOT DECLARED",IF(ISNA(_xlfn.TEXTAFTER(VLOOKUP($F175,Declarations!B$6:C$293,2,FALSE)," ")),VLOOKUP($F175,Declarations!B$6:C$293,2,FALSE),_xlfn.TEXTAFTER(VLOOKUP($F175,Declarations!B$6:C$293,2,FALSE)," "))))</f>
        <v/>
      </c>
      <c r="D175" s="81" t="str">
        <f>IF(ISNA(VLOOKUP($F175,Declarations!$B$6:$F$293,5,FALSE)),"",IF(VLOOKUP($F175,Declarations!$B$6:$F$293,5,FALSE)="","NOT DECLARED",VLOOKUP($F175,Declarations!$B$6:$F$293,5,FALSE)))</f>
        <v/>
      </c>
      <c r="E175" s="120" t="str">
        <f>IF(ISNA(VLOOKUP($F175,Declarations!$B$6:$D$293,3,FALSE)),"",IF(VLOOKUP($F175,Declarations!$B$6:$D$293,3,FALSE)="","NOT DECLARED",VLOOKUP($F175,Declarations!$B$6:$D$293,3,FALSE)&amp;LEFT(VLOOKUP($F175,Declarations!$B$6:$E$293,4,FALSE))))</f>
        <v/>
      </c>
      <c r="F175" s="21"/>
      <c r="G175" s="22"/>
      <c r="H175" s="322"/>
      <c r="I175" s="8" t="str">
        <f>IF(ISNA(VLOOKUP(F175,Declarations!B$6:C$293,2,FALSE)),"",IF(VLOOKUP(F175,Declarations!B$6:C$293,2,FALSE)="","NOT DECLARED",VLOOKUP(F175,Declarations!B$6:C$293,2,FALSE)))</f>
        <v/>
      </c>
      <c r="J175" s="2">
        <f>IF(LOWER(LEFT(G175,1))="n",1,VLOOKUP(G175,ScoringTable!E$2:I$95,5))</f>
        <v>0</v>
      </c>
      <c r="K175" s="120" t="str" cm="1">
        <f t="array" ref="K175">IF(OR(E175="",G175=""),"",_xlfn.IFS(E175="U10B",_xlfn.XLOOKUP(G175,Data!$D$4:$L$4,Data!$D$1:$L$1,"",-1,1),E175="U12B",_xlfn.XLOOKUP(G175,Data!$D$11:$L$11,Data!$D$1:$L$1,"",-1,1),E175="U10G",_xlfn.XLOOKUP(G175,Data!$D$17:$L$17,Data!$D$1:$L$1,"",-1,1),E175="U12G",_xlfn.XLOOKUP(G175,Data!$D$24:$L$24,Data!$D$1:$L$1,"",-1,1)))</f>
        <v/>
      </c>
      <c r="L175" s="184" t="str" cm="1">
        <f t="array" ref="L175">IFERROR(_xlfn.IFNA(
                      _xlfn.IFS(
                      F175="", "",
                      AND(E175="U10B",G175&gt;=Data!$M$4), "U10 Boys record",
                      AND(E175="U12B",G175&gt;=Data!$M$11), "U12 Boys record",
                      AND(E175="U10G",G175&gt;=Data!$M$17), "U10 Girls record",
                      AND(E175="U12G",G175&gt;=Data!$M$24), "U12 Girls record"
                       ),""), "")</f>
        <v/>
      </c>
      <c r="M175" s="19" cm="1">
        <f t="array" ref="M175">_xlfn.IFS($G175="",0,AND(NOT(ISNUMBER($G175)),LOWER(LEFT($G175,1))&lt;&gt;"n"),"Not a valid distance",OR(LOWER(LEFT($G175,1))="n",$G175&lt;ScoringTable!$P$161),1,RIGHT($E175,1)="B",_xlfn.XLOOKUP($G175,ScoringTable!$P$2:$P$161,ScoringTable!$L$2:$L$161,,-1),TRUE,_xlfn.XLOOKUP($G175,ScoringTable!$V$2:$V$161,ScoringTable!$R$2:$R$161,,-1))</f>
        <v>0</v>
      </c>
    </row>
    <row r="176" spans="1:13" ht="16" customHeight="1">
      <c r="A176" s="82" t="s">
        <v>27</v>
      </c>
      <c r="B176" s="81" t="str">
        <f>IF(ISNA(VLOOKUP($F176,Declarations!B$6:C$293,2,FALSE)),"",IF(VLOOKUP($F176,Declarations!B$6:C$293,2,FALSE)="","NOT DECLARED",IF(ISNA(_xlfn.TEXTBEFORE(VLOOKUP($F176,Declarations!B$6:C$293,2,FALSE)," ")),VLOOKUP($F176,Declarations!B$6:C$293,2,FALSE),_xlfn.TEXTBEFORE(VLOOKUP($F176,Declarations!B$6:C$293,2,FALSE)," "))))</f>
        <v/>
      </c>
      <c r="C176" s="81" t="str">
        <f>IF(ISNA(VLOOKUP($F176,Declarations!B$6:C$293,2,FALSE)),"",IF(VLOOKUP($F176,Declarations!B$6:C$293,2,FALSE)="","NOT DECLARED",IF(ISNA(_xlfn.TEXTAFTER(VLOOKUP($F176,Declarations!B$6:C$293,2,FALSE)," ")),VLOOKUP($F176,Declarations!B$6:C$293,2,FALSE),_xlfn.TEXTAFTER(VLOOKUP($F176,Declarations!B$6:C$293,2,FALSE)," "))))</f>
        <v/>
      </c>
      <c r="D176" s="81" t="str">
        <f>IF(ISNA(VLOOKUP($F176,Declarations!$B$6:$F$293,5,FALSE)),"",IF(VLOOKUP($F176,Declarations!$B$6:$F$293,5,FALSE)="","NOT DECLARED",VLOOKUP($F176,Declarations!$B$6:$F$293,5,FALSE)))</f>
        <v/>
      </c>
      <c r="E176" s="120" t="str">
        <f>IF(ISNA(VLOOKUP($F176,Declarations!$B$6:$D$293,3,FALSE)),"",IF(VLOOKUP($F176,Declarations!$B$6:$D$293,3,FALSE)="","NOT DECLARED",VLOOKUP($F176,Declarations!$B$6:$D$293,3,FALSE)&amp;LEFT(VLOOKUP($F176,Declarations!$B$6:$E$293,4,FALSE))))</f>
        <v/>
      </c>
      <c r="F176" s="21"/>
      <c r="G176" s="22"/>
      <c r="H176" s="322"/>
      <c r="I176" s="8" t="str">
        <f>IF(ISNA(VLOOKUP(F176,Declarations!B$6:C$293,2,FALSE)),"",IF(VLOOKUP(F176,Declarations!B$6:C$293,2,FALSE)="","NOT DECLARED",VLOOKUP(F176,Declarations!B$6:C$293,2,FALSE)))</f>
        <v/>
      </c>
      <c r="J176" s="2">
        <f>IF(LOWER(LEFT(G176,1))="n",1,VLOOKUP(G176,ScoringTable!E$2:I$95,5))</f>
        <v>0</v>
      </c>
      <c r="K176" s="120" t="str" cm="1">
        <f t="array" ref="K176">IF(OR(E176="",G176=""),"",_xlfn.IFS(E176="U10B",_xlfn.XLOOKUP(G176,Data!$D$4:$L$4,Data!$D$1:$L$1,"",-1,1),E176="U12B",_xlfn.XLOOKUP(G176,Data!$D$11:$L$11,Data!$D$1:$L$1,"",-1,1),E176="U10G",_xlfn.XLOOKUP(G176,Data!$D$17:$L$17,Data!$D$1:$L$1,"",-1,1),E176="U12G",_xlfn.XLOOKUP(G176,Data!$D$24:$L$24,Data!$D$1:$L$1,"",-1,1)))</f>
        <v/>
      </c>
      <c r="L176" s="184" t="str" cm="1">
        <f t="array" ref="L176">IFERROR(_xlfn.IFNA(
                      _xlfn.IFS(
                      F176="", "",
                      AND(E176="U10B",G176&gt;=Data!$M$4), "U10 Boys record",
                      AND(E176="U12B",G176&gt;=Data!$M$11), "U12 Boys record",
                      AND(E176="U10G",G176&gt;=Data!$M$17), "U10 Girls record",
                      AND(E176="U12G",G176&gt;=Data!$M$24), "U12 Girls record"
                       ),""), "")</f>
        <v/>
      </c>
      <c r="M176" s="19" cm="1">
        <f t="array" ref="M176">_xlfn.IFS($G176="",0,AND(NOT(ISNUMBER($G176)),LOWER(LEFT($G176,1))&lt;&gt;"n"),"Not a valid distance",OR(LOWER(LEFT($G176,1))="n",$G176&lt;ScoringTable!$P$161),1,RIGHT($E176,1)="B",_xlfn.XLOOKUP($G176,ScoringTable!$P$2:$P$161,ScoringTable!$L$2:$L$161,,-1),TRUE,_xlfn.XLOOKUP($G176,ScoringTable!$V$2:$V$161,ScoringTable!$R$2:$R$161,,-1))</f>
        <v>0</v>
      </c>
    </row>
    <row r="177" spans="1:13" ht="16" customHeight="1">
      <c r="A177" s="82" t="s">
        <v>27</v>
      </c>
      <c r="B177" s="81" t="str">
        <f>IF(ISNA(VLOOKUP($F177,Declarations!B$6:C$293,2,FALSE)),"",IF(VLOOKUP($F177,Declarations!B$6:C$293,2,FALSE)="","NOT DECLARED",IF(ISNA(_xlfn.TEXTBEFORE(VLOOKUP($F177,Declarations!B$6:C$293,2,FALSE)," ")),VLOOKUP($F177,Declarations!B$6:C$293,2,FALSE),_xlfn.TEXTBEFORE(VLOOKUP($F177,Declarations!B$6:C$293,2,FALSE)," "))))</f>
        <v/>
      </c>
      <c r="C177" s="81" t="str">
        <f>IF(ISNA(VLOOKUP($F177,Declarations!B$6:C$293,2,FALSE)),"",IF(VLOOKUP($F177,Declarations!B$6:C$293,2,FALSE)="","NOT DECLARED",IF(ISNA(_xlfn.TEXTAFTER(VLOOKUP($F177,Declarations!B$6:C$293,2,FALSE)," ")),VLOOKUP($F177,Declarations!B$6:C$293,2,FALSE),_xlfn.TEXTAFTER(VLOOKUP($F177,Declarations!B$6:C$293,2,FALSE)," "))))</f>
        <v/>
      </c>
      <c r="D177" s="81" t="str">
        <f>IF(ISNA(VLOOKUP($F177,Declarations!$B$6:$F$293,5,FALSE)),"",IF(VLOOKUP($F177,Declarations!$B$6:$F$293,5,FALSE)="","NOT DECLARED",VLOOKUP($F177,Declarations!$B$6:$F$293,5,FALSE)))</f>
        <v/>
      </c>
      <c r="E177" s="120" t="str">
        <f>IF(ISNA(VLOOKUP($F177,Declarations!$B$6:$D$293,3,FALSE)),"",IF(VLOOKUP($F177,Declarations!$B$6:$D$293,3,FALSE)="","NOT DECLARED",VLOOKUP($F177,Declarations!$B$6:$D$293,3,FALSE)&amp;LEFT(VLOOKUP($F177,Declarations!$B$6:$E$293,4,FALSE))))</f>
        <v/>
      </c>
      <c r="F177" s="21"/>
      <c r="G177" s="22"/>
      <c r="H177" s="322"/>
      <c r="I177" s="8" t="str">
        <f>IF(ISNA(VLOOKUP(F177,Declarations!B$6:C$293,2,FALSE)),"",IF(VLOOKUP(F177,Declarations!B$6:C$293,2,FALSE)="","NOT DECLARED",VLOOKUP(F177,Declarations!B$6:C$293,2,FALSE)))</f>
        <v/>
      </c>
      <c r="J177" s="2">
        <f>IF(LOWER(LEFT(G177,1))="n",1,VLOOKUP(G177,ScoringTable!E$2:I$95,5))</f>
        <v>0</v>
      </c>
      <c r="K177" s="120" t="str" cm="1">
        <f t="array" ref="K177">IF(OR(E177="",G177=""),"",_xlfn.IFS(E177="U10B",_xlfn.XLOOKUP(G177,Data!$D$4:$L$4,Data!$D$1:$L$1,"",-1,1),E177="U12B",_xlfn.XLOOKUP(G177,Data!$D$11:$L$11,Data!$D$1:$L$1,"",-1,1),E177="U10G",_xlfn.XLOOKUP(G177,Data!$D$17:$L$17,Data!$D$1:$L$1,"",-1,1),E177="U12G",_xlfn.XLOOKUP(G177,Data!$D$24:$L$24,Data!$D$1:$L$1,"",-1,1)))</f>
        <v/>
      </c>
      <c r="L177" s="184" t="str" cm="1">
        <f t="array" ref="L177">IFERROR(_xlfn.IFNA(
                      _xlfn.IFS(
                      F177="", "",
                      AND(E177="U10B",G177&gt;=Data!$M$4), "U10 Boys record",
                      AND(E177="U12B",G177&gt;=Data!$M$11), "U12 Boys record",
                      AND(E177="U10G",G177&gt;=Data!$M$17), "U10 Girls record",
                      AND(E177="U12G",G177&gt;=Data!$M$24), "U12 Girls record"
                       ),""), "")</f>
        <v/>
      </c>
      <c r="M177" s="19" cm="1">
        <f t="array" ref="M177">_xlfn.IFS($G177="",0,AND(NOT(ISNUMBER($G177)),LOWER(LEFT($G177,1))&lt;&gt;"n"),"Not a valid distance",OR(LOWER(LEFT($G177,1))="n",$G177&lt;ScoringTable!$P$161),1,RIGHT($E177,1)="B",_xlfn.XLOOKUP($G177,ScoringTable!$P$2:$P$161,ScoringTable!$L$2:$L$161,,-1),TRUE,_xlfn.XLOOKUP($G177,ScoringTable!$V$2:$V$161,ScoringTable!$R$2:$R$161,,-1))</f>
        <v>0</v>
      </c>
    </row>
    <row r="178" spans="1:13" ht="16" customHeight="1">
      <c r="A178" s="82" t="s">
        <v>27</v>
      </c>
      <c r="B178" s="81" t="str">
        <f>IF(ISNA(VLOOKUP($F178,Declarations!B$6:C$293,2,FALSE)),"",IF(VLOOKUP($F178,Declarations!B$6:C$293,2,FALSE)="","NOT DECLARED",IF(ISNA(_xlfn.TEXTBEFORE(VLOOKUP($F178,Declarations!B$6:C$293,2,FALSE)," ")),VLOOKUP($F178,Declarations!B$6:C$293,2,FALSE),_xlfn.TEXTBEFORE(VLOOKUP($F178,Declarations!B$6:C$293,2,FALSE)," "))))</f>
        <v/>
      </c>
      <c r="C178" s="81" t="str">
        <f>IF(ISNA(VLOOKUP($F178,Declarations!B$6:C$293,2,FALSE)),"",IF(VLOOKUP($F178,Declarations!B$6:C$293,2,FALSE)="","NOT DECLARED",IF(ISNA(_xlfn.TEXTAFTER(VLOOKUP($F178,Declarations!B$6:C$293,2,FALSE)," ")),VLOOKUP($F178,Declarations!B$6:C$293,2,FALSE),_xlfn.TEXTAFTER(VLOOKUP($F178,Declarations!B$6:C$293,2,FALSE)," "))))</f>
        <v/>
      </c>
      <c r="D178" s="81" t="str">
        <f>IF(ISNA(VLOOKUP($F178,Declarations!$B$6:$F$293,5,FALSE)),"",IF(VLOOKUP($F178,Declarations!$B$6:$F$293,5,FALSE)="","NOT DECLARED",VLOOKUP($F178,Declarations!$B$6:$F$293,5,FALSE)))</f>
        <v/>
      </c>
      <c r="E178" s="120" t="str">
        <f>IF(ISNA(VLOOKUP($F178,Declarations!$B$6:$D$293,3,FALSE)),"",IF(VLOOKUP($F178,Declarations!$B$6:$D$293,3,FALSE)="","NOT DECLARED",VLOOKUP($F178,Declarations!$B$6:$D$293,3,FALSE)&amp;LEFT(VLOOKUP($F178,Declarations!$B$6:$E$293,4,FALSE))))</f>
        <v/>
      </c>
      <c r="F178" s="21"/>
      <c r="G178" s="22"/>
      <c r="H178" s="322"/>
      <c r="I178" s="8" t="str">
        <f>IF(ISNA(VLOOKUP(F178,Declarations!B$6:C$293,2,FALSE)),"",IF(VLOOKUP(F178,Declarations!B$6:C$293,2,FALSE)="","NOT DECLARED",VLOOKUP(F178,Declarations!B$6:C$293,2,FALSE)))</f>
        <v/>
      </c>
      <c r="J178" s="2">
        <f>IF(LOWER(LEFT(G178,1))="n",1,VLOOKUP(G178,ScoringTable!E$2:I$95,5))</f>
        <v>0</v>
      </c>
      <c r="K178" s="120" t="str" cm="1">
        <f t="array" ref="K178">IF(OR(E178="",G178=""),"",_xlfn.IFS(E178="U10B",_xlfn.XLOOKUP(G178,Data!$D$4:$L$4,Data!$D$1:$L$1,"",-1,1),E178="U12B",_xlfn.XLOOKUP(G178,Data!$D$11:$L$11,Data!$D$1:$L$1,"",-1,1),E178="U10G",_xlfn.XLOOKUP(G178,Data!$D$17:$L$17,Data!$D$1:$L$1,"",-1,1),E178="U12G",_xlfn.XLOOKUP(G178,Data!$D$24:$L$24,Data!$D$1:$L$1,"",-1,1)))</f>
        <v/>
      </c>
      <c r="L178" s="184" t="str" cm="1">
        <f t="array" ref="L178">IFERROR(_xlfn.IFNA(
                      _xlfn.IFS(
                      F178="", "",
                      AND(E178="U10B",G178&gt;=Data!$M$4), "U10 Boys record",
                      AND(E178="U12B",G178&gt;=Data!$M$11), "U12 Boys record",
                      AND(E178="U10G",G178&gt;=Data!$M$17), "U10 Girls record",
                      AND(E178="U12G",G178&gt;=Data!$M$24), "U12 Girls record"
                       ),""), "")</f>
        <v/>
      </c>
      <c r="M178" s="19" cm="1">
        <f t="array" ref="M178">_xlfn.IFS($G178="",0,AND(NOT(ISNUMBER($G178)),LOWER(LEFT($G178,1))&lt;&gt;"n"),"Not a valid distance",OR(LOWER(LEFT($G178,1))="n",$G178&lt;ScoringTable!$P$161),1,RIGHT($E178,1)="B",_xlfn.XLOOKUP($G178,ScoringTable!$P$2:$P$161,ScoringTable!$L$2:$L$161,,-1),TRUE,_xlfn.XLOOKUP($G178,ScoringTable!$V$2:$V$161,ScoringTable!$R$2:$R$161,,-1))</f>
        <v>0</v>
      </c>
    </row>
    <row r="179" spans="1:13" ht="16" customHeight="1">
      <c r="A179" s="82" t="s">
        <v>27</v>
      </c>
      <c r="B179" s="81" t="str">
        <f>IF(ISNA(VLOOKUP($F179,Declarations!B$6:C$293,2,FALSE)),"",IF(VLOOKUP($F179,Declarations!B$6:C$293,2,FALSE)="","NOT DECLARED",IF(ISNA(_xlfn.TEXTBEFORE(VLOOKUP($F179,Declarations!B$6:C$293,2,FALSE)," ")),VLOOKUP($F179,Declarations!B$6:C$293,2,FALSE),_xlfn.TEXTBEFORE(VLOOKUP($F179,Declarations!B$6:C$293,2,FALSE)," "))))</f>
        <v/>
      </c>
      <c r="C179" s="81" t="str">
        <f>IF(ISNA(VLOOKUP($F179,Declarations!B$6:C$293,2,FALSE)),"",IF(VLOOKUP($F179,Declarations!B$6:C$293,2,FALSE)="","NOT DECLARED",IF(ISNA(_xlfn.TEXTAFTER(VLOOKUP($F179,Declarations!B$6:C$293,2,FALSE)," ")),VLOOKUP($F179,Declarations!B$6:C$293,2,FALSE),_xlfn.TEXTAFTER(VLOOKUP($F179,Declarations!B$6:C$293,2,FALSE)," "))))</f>
        <v/>
      </c>
      <c r="D179" s="81" t="str">
        <f>IF(ISNA(VLOOKUP($F179,Declarations!$B$6:$F$293,5,FALSE)),"",IF(VLOOKUP($F179,Declarations!$B$6:$F$293,5,FALSE)="","NOT DECLARED",VLOOKUP($F179,Declarations!$B$6:$F$293,5,FALSE)))</f>
        <v/>
      </c>
      <c r="E179" s="120" t="str">
        <f>IF(ISNA(VLOOKUP($F179,Declarations!$B$6:$D$293,3,FALSE)),"",IF(VLOOKUP($F179,Declarations!$B$6:$D$293,3,FALSE)="","NOT DECLARED",VLOOKUP($F179,Declarations!$B$6:$D$293,3,FALSE)&amp;LEFT(VLOOKUP($F179,Declarations!$B$6:$E$293,4,FALSE))))</f>
        <v/>
      </c>
      <c r="F179" s="21"/>
      <c r="G179" s="22"/>
      <c r="H179" s="322"/>
      <c r="I179" s="8" t="str">
        <f>IF(ISNA(VLOOKUP(F179,Declarations!B$6:C$293,2,FALSE)),"",IF(VLOOKUP(F179,Declarations!B$6:C$293,2,FALSE)="","NOT DECLARED",VLOOKUP(F179,Declarations!B$6:C$293,2,FALSE)))</f>
        <v/>
      </c>
      <c r="J179" s="2">
        <f>IF(LOWER(LEFT(G179,1))="n",1,VLOOKUP(G179,ScoringTable!E$2:I$95,5))</f>
        <v>0</v>
      </c>
      <c r="K179" s="120" t="str" cm="1">
        <f t="array" ref="K179">IF(OR(E179="",G179=""),"",_xlfn.IFS(E179="U10B",_xlfn.XLOOKUP(G179,Data!$D$4:$L$4,Data!$D$1:$L$1,"",-1,1),E179="U12B",_xlfn.XLOOKUP(G179,Data!$D$11:$L$11,Data!$D$1:$L$1,"",-1,1),E179="U10G",_xlfn.XLOOKUP(G179,Data!$D$17:$L$17,Data!$D$1:$L$1,"",-1,1),E179="U12G",_xlfn.XLOOKUP(G179,Data!$D$24:$L$24,Data!$D$1:$L$1,"",-1,1)))</f>
        <v/>
      </c>
      <c r="L179" s="184" t="str" cm="1">
        <f t="array" ref="L179">IFERROR(_xlfn.IFNA(
                      _xlfn.IFS(
                      F179="", "",
                      AND(E179="U10B",G179&gt;=Data!$M$4), "U10 Boys record",
                      AND(E179="U12B",G179&gt;=Data!$M$11), "U12 Boys record",
                      AND(E179="U10G",G179&gt;=Data!$M$17), "U10 Girls record",
                      AND(E179="U12G",G179&gt;=Data!$M$24), "U12 Girls record"
                       ),""), "")</f>
        <v/>
      </c>
      <c r="M179" s="19" cm="1">
        <f t="array" ref="M179">_xlfn.IFS($G179="",0,AND(NOT(ISNUMBER($G179)),LOWER(LEFT($G179,1))&lt;&gt;"n"),"Not a valid distance",OR(LOWER(LEFT($G179,1))="n",$G179&lt;ScoringTable!$P$161),1,RIGHT($E179,1)="B",_xlfn.XLOOKUP($G179,ScoringTable!$P$2:$P$161,ScoringTable!$L$2:$L$161,,-1),TRUE,_xlfn.XLOOKUP($G179,ScoringTable!$V$2:$V$161,ScoringTable!$R$2:$R$161,,-1))</f>
        <v>0</v>
      </c>
    </row>
    <row r="180" spans="1:13" ht="16" customHeight="1">
      <c r="A180" s="82" t="s">
        <v>27</v>
      </c>
      <c r="B180" s="81" t="str">
        <f>IF(ISNA(VLOOKUP($F180,Declarations!B$6:C$293,2,FALSE)),"",IF(VLOOKUP($F180,Declarations!B$6:C$293,2,FALSE)="","NOT DECLARED",IF(ISNA(_xlfn.TEXTBEFORE(VLOOKUP($F180,Declarations!B$6:C$293,2,FALSE)," ")),VLOOKUP($F180,Declarations!B$6:C$293,2,FALSE),_xlfn.TEXTBEFORE(VLOOKUP($F180,Declarations!B$6:C$293,2,FALSE)," "))))</f>
        <v/>
      </c>
      <c r="C180" s="81" t="str">
        <f>IF(ISNA(VLOOKUP($F180,Declarations!B$6:C$293,2,FALSE)),"",IF(VLOOKUP($F180,Declarations!B$6:C$293,2,FALSE)="","NOT DECLARED",IF(ISNA(_xlfn.TEXTAFTER(VLOOKUP($F180,Declarations!B$6:C$293,2,FALSE)," ")),VLOOKUP($F180,Declarations!B$6:C$293,2,FALSE),_xlfn.TEXTAFTER(VLOOKUP($F180,Declarations!B$6:C$293,2,FALSE)," "))))</f>
        <v/>
      </c>
      <c r="D180" s="81" t="str">
        <f>IF(ISNA(VLOOKUP($F180,Declarations!$B$6:$F$293,5,FALSE)),"",IF(VLOOKUP($F180,Declarations!$B$6:$F$293,5,FALSE)="","NOT DECLARED",VLOOKUP($F180,Declarations!$B$6:$F$293,5,FALSE)))</f>
        <v/>
      </c>
      <c r="E180" s="120" t="str">
        <f>IF(ISNA(VLOOKUP($F180,Declarations!$B$6:$D$293,3,FALSE)),"",IF(VLOOKUP($F180,Declarations!$B$6:$D$293,3,FALSE)="","NOT DECLARED",VLOOKUP($F180,Declarations!$B$6:$D$293,3,FALSE)&amp;LEFT(VLOOKUP($F180,Declarations!$B$6:$E$293,4,FALSE))))</f>
        <v/>
      </c>
      <c r="F180" s="21"/>
      <c r="G180" s="22"/>
      <c r="H180" s="322"/>
      <c r="I180" s="8" t="str">
        <f>IF(ISNA(VLOOKUP(F180,Declarations!B$6:C$293,2,FALSE)),"",IF(VLOOKUP(F180,Declarations!B$6:C$293,2,FALSE)="","NOT DECLARED",VLOOKUP(F180,Declarations!B$6:C$293,2,FALSE)))</f>
        <v/>
      </c>
      <c r="J180" s="2">
        <f>IF(LOWER(LEFT(G180,1))="n",1,VLOOKUP(G180,ScoringTable!E$2:I$95,5))</f>
        <v>0</v>
      </c>
      <c r="K180" s="120" t="str" cm="1">
        <f t="array" ref="K180">IF(OR(E180="",G180=""),"",_xlfn.IFS(E180="U10B",_xlfn.XLOOKUP(G180,Data!$D$4:$L$4,Data!$D$1:$L$1,"",-1,1),E180="U12B",_xlfn.XLOOKUP(G180,Data!$D$11:$L$11,Data!$D$1:$L$1,"",-1,1),E180="U10G",_xlfn.XLOOKUP(G180,Data!$D$17:$L$17,Data!$D$1:$L$1,"",-1,1),E180="U12G",_xlfn.XLOOKUP(G180,Data!$D$24:$L$24,Data!$D$1:$L$1,"",-1,1)))</f>
        <v/>
      </c>
      <c r="L180" s="184" t="str" cm="1">
        <f t="array" ref="L180">IFERROR(_xlfn.IFNA(
                      _xlfn.IFS(
                      F180="", "",
                      AND(E180="U10B",G180&gt;=Data!$M$4), "U10 Boys record",
                      AND(E180="U12B",G180&gt;=Data!$M$11), "U12 Boys record",
                      AND(E180="U10G",G180&gt;=Data!$M$17), "U10 Girls record",
                      AND(E180="U12G",G180&gt;=Data!$M$24), "U12 Girls record"
                       ),""), "")</f>
        <v/>
      </c>
      <c r="M180" s="19" cm="1">
        <f t="array" ref="M180">_xlfn.IFS($G180="",0,AND(NOT(ISNUMBER($G180)),LOWER(LEFT($G180,1))&lt;&gt;"n"),"Not a valid distance",OR(LOWER(LEFT($G180,1))="n",$G180&lt;ScoringTable!$P$161),1,RIGHT($E180,1)="B",_xlfn.XLOOKUP($G180,ScoringTable!$P$2:$P$161,ScoringTable!$L$2:$L$161,,-1),TRUE,_xlfn.XLOOKUP($G180,ScoringTable!$V$2:$V$161,ScoringTable!$R$2:$R$161,,-1))</f>
        <v>0</v>
      </c>
    </row>
    <row r="181" spans="1:13" ht="16" customHeight="1">
      <c r="A181" s="82" t="s">
        <v>27</v>
      </c>
      <c r="B181" s="81" t="str">
        <f>IF(ISNA(VLOOKUP($F181,Declarations!B$6:C$293,2,FALSE)),"",IF(VLOOKUP($F181,Declarations!B$6:C$293,2,FALSE)="","NOT DECLARED",IF(ISNA(_xlfn.TEXTBEFORE(VLOOKUP($F181,Declarations!B$6:C$293,2,FALSE)," ")),VLOOKUP($F181,Declarations!B$6:C$293,2,FALSE),_xlfn.TEXTBEFORE(VLOOKUP($F181,Declarations!B$6:C$293,2,FALSE)," "))))</f>
        <v/>
      </c>
      <c r="C181" s="81" t="str">
        <f>IF(ISNA(VLOOKUP($F181,Declarations!B$6:C$293,2,FALSE)),"",IF(VLOOKUP($F181,Declarations!B$6:C$293,2,FALSE)="","NOT DECLARED",IF(ISNA(_xlfn.TEXTAFTER(VLOOKUP($F181,Declarations!B$6:C$293,2,FALSE)," ")),VLOOKUP($F181,Declarations!B$6:C$293,2,FALSE),_xlfn.TEXTAFTER(VLOOKUP($F181,Declarations!B$6:C$293,2,FALSE)," "))))</f>
        <v/>
      </c>
      <c r="D181" s="81" t="str">
        <f>IF(ISNA(VLOOKUP($F181,Declarations!$B$6:$F$293,5,FALSE)),"",IF(VLOOKUP($F181,Declarations!$B$6:$F$293,5,FALSE)="","NOT DECLARED",VLOOKUP($F181,Declarations!$B$6:$F$293,5,FALSE)))</f>
        <v/>
      </c>
      <c r="E181" s="120" t="str">
        <f>IF(ISNA(VLOOKUP($F181,Declarations!$B$6:$D$293,3,FALSE)),"",IF(VLOOKUP($F181,Declarations!$B$6:$D$293,3,FALSE)="","NOT DECLARED",VLOOKUP($F181,Declarations!$B$6:$D$293,3,FALSE)&amp;LEFT(VLOOKUP($F181,Declarations!$B$6:$E$293,4,FALSE))))</f>
        <v/>
      </c>
      <c r="F181" s="21"/>
      <c r="G181" s="22"/>
      <c r="H181" s="322"/>
      <c r="I181" s="8" t="str">
        <f>IF(ISNA(VLOOKUP(F181,Declarations!B$6:C$293,2,FALSE)),"",IF(VLOOKUP(F181,Declarations!B$6:C$293,2,FALSE)="","NOT DECLARED",VLOOKUP(F181,Declarations!B$6:C$293,2,FALSE)))</f>
        <v/>
      </c>
      <c r="J181" s="2">
        <f>IF(LOWER(LEFT(G181,1))="n",1,VLOOKUP(G181,ScoringTable!E$2:I$95,5))</f>
        <v>0</v>
      </c>
      <c r="K181" s="120" t="str" cm="1">
        <f t="array" ref="K181">IF(OR(E181="",G181=""),"",_xlfn.IFS(E181="U10B",_xlfn.XLOOKUP(G181,Data!$D$4:$L$4,Data!$D$1:$L$1,"",-1,1),E181="U12B",_xlfn.XLOOKUP(G181,Data!$D$11:$L$11,Data!$D$1:$L$1,"",-1,1),E181="U10G",_xlfn.XLOOKUP(G181,Data!$D$17:$L$17,Data!$D$1:$L$1,"",-1,1),E181="U12G",_xlfn.XLOOKUP(G181,Data!$D$24:$L$24,Data!$D$1:$L$1,"",-1,1)))</f>
        <v/>
      </c>
      <c r="L181" s="184" t="str" cm="1">
        <f t="array" ref="L181">IFERROR(_xlfn.IFNA(
                      _xlfn.IFS(
                      F181="", "",
                      AND(E181="U10B",G181&gt;=Data!$M$4), "U10 Boys record",
                      AND(E181="U12B",G181&gt;=Data!$M$11), "U12 Boys record",
                      AND(E181="U10G",G181&gt;=Data!$M$17), "U10 Girls record",
                      AND(E181="U12G",G181&gt;=Data!$M$24), "U12 Girls record"
                       ),""), "")</f>
        <v/>
      </c>
      <c r="M181" s="19" cm="1">
        <f t="array" ref="M181">_xlfn.IFS($G181="",0,AND(NOT(ISNUMBER($G181)),LOWER(LEFT($G181,1))&lt;&gt;"n"),"Not a valid distance",OR(LOWER(LEFT($G181,1))="n",$G181&lt;ScoringTable!$P$161),1,RIGHT($E181,1)="B",_xlfn.XLOOKUP($G181,ScoringTable!$P$2:$P$161,ScoringTable!$L$2:$L$161,,-1),TRUE,_xlfn.XLOOKUP($G181,ScoringTable!$V$2:$V$161,ScoringTable!$R$2:$R$161,,-1))</f>
        <v>0</v>
      </c>
    </row>
    <row r="182" spans="1:13" ht="16" customHeight="1">
      <c r="A182" s="82" t="s">
        <v>27</v>
      </c>
      <c r="B182" s="81" t="str">
        <f>IF(ISNA(VLOOKUP($F182,Declarations!B$6:C$293,2,FALSE)),"",IF(VLOOKUP($F182,Declarations!B$6:C$293,2,FALSE)="","NOT DECLARED",IF(ISNA(_xlfn.TEXTBEFORE(VLOOKUP($F182,Declarations!B$6:C$293,2,FALSE)," ")),VLOOKUP($F182,Declarations!B$6:C$293,2,FALSE),_xlfn.TEXTBEFORE(VLOOKUP($F182,Declarations!B$6:C$293,2,FALSE)," "))))</f>
        <v/>
      </c>
      <c r="C182" s="81" t="str">
        <f>IF(ISNA(VLOOKUP($F182,Declarations!B$6:C$293,2,FALSE)),"",IF(VLOOKUP($F182,Declarations!B$6:C$293,2,FALSE)="","NOT DECLARED",IF(ISNA(_xlfn.TEXTAFTER(VLOOKUP($F182,Declarations!B$6:C$293,2,FALSE)," ")),VLOOKUP($F182,Declarations!B$6:C$293,2,FALSE),_xlfn.TEXTAFTER(VLOOKUP($F182,Declarations!B$6:C$293,2,FALSE)," "))))</f>
        <v/>
      </c>
      <c r="D182" s="81" t="str">
        <f>IF(ISNA(VLOOKUP($F182,Declarations!$B$6:$F$293,5,FALSE)),"",IF(VLOOKUP($F182,Declarations!$B$6:$F$293,5,FALSE)="","NOT DECLARED",VLOOKUP($F182,Declarations!$B$6:$F$293,5,FALSE)))</f>
        <v/>
      </c>
      <c r="E182" s="120" t="str">
        <f>IF(ISNA(VLOOKUP($F182,Declarations!$B$6:$D$293,3,FALSE)),"",IF(VLOOKUP($F182,Declarations!$B$6:$D$293,3,FALSE)="","NOT DECLARED",VLOOKUP($F182,Declarations!$B$6:$D$293,3,FALSE)&amp;LEFT(VLOOKUP($F182,Declarations!$B$6:$E$293,4,FALSE))))</f>
        <v/>
      </c>
      <c r="F182" s="21"/>
      <c r="G182" s="22"/>
      <c r="H182" s="322"/>
      <c r="I182" s="8" t="str">
        <f>IF(ISNA(VLOOKUP(F182,Declarations!B$6:C$293,2,FALSE)),"",IF(VLOOKUP(F182,Declarations!B$6:C$293,2,FALSE)="","NOT DECLARED",VLOOKUP(F182,Declarations!B$6:C$293,2,FALSE)))</f>
        <v/>
      </c>
      <c r="J182" s="2">
        <f>IF(LOWER(LEFT(G182,1))="n",1,VLOOKUP(G182,ScoringTable!E$2:I$95,5))</f>
        <v>0</v>
      </c>
      <c r="K182" s="120" t="str" cm="1">
        <f t="array" ref="K182">IF(OR(E182="",G182=""),"",_xlfn.IFS(E182="U10B",_xlfn.XLOOKUP(G182,Data!$D$4:$L$4,Data!$D$1:$L$1,"",-1,1),E182="U12B",_xlfn.XLOOKUP(G182,Data!$D$11:$L$11,Data!$D$1:$L$1,"",-1,1),E182="U10G",_xlfn.XLOOKUP(G182,Data!$D$17:$L$17,Data!$D$1:$L$1,"",-1,1),E182="U12G",_xlfn.XLOOKUP(G182,Data!$D$24:$L$24,Data!$D$1:$L$1,"",-1,1)))</f>
        <v/>
      </c>
      <c r="L182" s="184" t="str" cm="1">
        <f t="array" ref="L182">IFERROR(_xlfn.IFNA(
                      _xlfn.IFS(
                      F182="", "",
                      AND(E182="U10B",G182&gt;=Data!$M$4), "U10 Boys record",
                      AND(E182="U12B",G182&gt;=Data!$M$11), "U12 Boys record",
                      AND(E182="U10G",G182&gt;=Data!$M$17), "U10 Girls record",
                      AND(E182="U12G",G182&gt;=Data!$M$24), "U12 Girls record"
                       ),""), "")</f>
        <v/>
      </c>
      <c r="M182" s="19" cm="1">
        <f t="array" ref="M182">_xlfn.IFS($G182="",0,AND(NOT(ISNUMBER($G182)),LOWER(LEFT($G182,1))&lt;&gt;"n"),"Not a valid distance",OR(LOWER(LEFT($G182,1))="n",$G182&lt;ScoringTable!$P$161),1,RIGHT($E182,1)="B",_xlfn.XLOOKUP($G182,ScoringTable!$P$2:$P$161,ScoringTable!$L$2:$L$161,,-1),TRUE,_xlfn.XLOOKUP($G182,ScoringTable!$V$2:$V$161,ScoringTable!$R$2:$R$161,,-1))</f>
        <v>0</v>
      </c>
    </row>
    <row r="183" spans="1:13" ht="16" customHeight="1">
      <c r="A183" s="82" t="s">
        <v>27</v>
      </c>
      <c r="B183" s="81" t="str">
        <f>IF(ISNA(VLOOKUP($F183,Declarations!B$6:C$293,2,FALSE)),"",IF(VLOOKUP($F183,Declarations!B$6:C$293,2,FALSE)="","NOT DECLARED",IF(ISNA(_xlfn.TEXTBEFORE(VLOOKUP($F183,Declarations!B$6:C$293,2,FALSE)," ")),VLOOKUP($F183,Declarations!B$6:C$293,2,FALSE),_xlfn.TEXTBEFORE(VLOOKUP($F183,Declarations!B$6:C$293,2,FALSE)," "))))</f>
        <v/>
      </c>
      <c r="C183" s="81" t="str">
        <f>IF(ISNA(VLOOKUP($F183,Declarations!B$6:C$293,2,FALSE)),"",IF(VLOOKUP($F183,Declarations!B$6:C$293,2,FALSE)="","NOT DECLARED",IF(ISNA(_xlfn.TEXTAFTER(VLOOKUP($F183,Declarations!B$6:C$293,2,FALSE)," ")),VLOOKUP($F183,Declarations!B$6:C$293,2,FALSE),_xlfn.TEXTAFTER(VLOOKUP($F183,Declarations!B$6:C$293,2,FALSE)," "))))</f>
        <v/>
      </c>
      <c r="D183" s="81" t="str">
        <f>IF(ISNA(VLOOKUP($F183,Declarations!$B$6:$F$293,5,FALSE)),"",IF(VLOOKUP($F183,Declarations!$B$6:$F$293,5,FALSE)="","NOT DECLARED",VLOOKUP($F183,Declarations!$B$6:$F$293,5,FALSE)))</f>
        <v/>
      </c>
      <c r="E183" s="120" t="str">
        <f>IF(ISNA(VLOOKUP($F183,Declarations!$B$6:$D$293,3,FALSE)),"",IF(VLOOKUP($F183,Declarations!$B$6:$D$293,3,FALSE)="","NOT DECLARED",VLOOKUP($F183,Declarations!$B$6:$D$293,3,FALSE)&amp;LEFT(VLOOKUP($F183,Declarations!$B$6:$E$293,4,FALSE))))</f>
        <v/>
      </c>
      <c r="F183" s="21"/>
      <c r="G183" s="22"/>
      <c r="H183" s="322"/>
      <c r="I183" s="8" t="str">
        <f>IF(ISNA(VLOOKUP(F183,Declarations!B$6:C$293,2,FALSE)),"",IF(VLOOKUP(F183,Declarations!B$6:C$293,2,FALSE)="","NOT DECLARED",VLOOKUP(F183,Declarations!B$6:C$293,2,FALSE)))</f>
        <v/>
      </c>
      <c r="J183" s="2">
        <f>IF(LOWER(LEFT(G183,1))="n",1,VLOOKUP(G183,ScoringTable!E$2:I$95,5))</f>
        <v>0</v>
      </c>
      <c r="K183" s="120" t="str" cm="1">
        <f t="array" ref="K183">IF(OR(E183="",G183=""),"",_xlfn.IFS(E183="U10B",_xlfn.XLOOKUP(G183,Data!$D$4:$L$4,Data!$D$1:$L$1,"",-1,1),E183="U12B",_xlfn.XLOOKUP(G183,Data!$D$11:$L$11,Data!$D$1:$L$1,"",-1,1),E183="U10G",_xlfn.XLOOKUP(G183,Data!$D$17:$L$17,Data!$D$1:$L$1,"",-1,1),E183="U12G",_xlfn.XLOOKUP(G183,Data!$D$24:$L$24,Data!$D$1:$L$1,"",-1,1)))</f>
        <v/>
      </c>
      <c r="L183" s="184" t="str" cm="1">
        <f t="array" ref="L183">IFERROR(_xlfn.IFNA(
                      _xlfn.IFS(
                      F183="", "",
                      AND(E183="U10B",G183&gt;=Data!$M$4), "U10 Boys record",
                      AND(E183="U12B",G183&gt;=Data!$M$11), "U12 Boys record",
                      AND(E183="U10G",G183&gt;=Data!$M$17), "U10 Girls record",
                      AND(E183="U12G",G183&gt;=Data!$M$24), "U12 Girls record"
                       ),""), "")</f>
        <v/>
      </c>
      <c r="M183" s="19" cm="1">
        <f t="array" ref="M183">_xlfn.IFS($G183="",0,AND(NOT(ISNUMBER($G183)),LOWER(LEFT($G183,1))&lt;&gt;"n"),"Not a valid distance",OR(LOWER(LEFT($G183,1))="n",$G183&lt;ScoringTable!$P$161),1,RIGHT($E183,1)="B",_xlfn.XLOOKUP($G183,ScoringTable!$P$2:$P$161,ScoringTable!$L$2:$L$161,,-1),TRUE,_xlfn.XLOOKUP($G183,ScoringTable!$V$2:$V$161,ScoringTable!$R$2:$R$161,,-1))</f>
        <v>0</v>
      </c>
    </row>
    <row r="184" spans="1:13" ht="16" customHeight="1">
      <c r="A184" s="82" t="s">
        <v>27</v>
      </c>
      <c r="B184" s="81" t="str">
        <f>IF(ISNA(VLOOKUP($F184,Declarations!B$6:C$293,2,FALSE)),"",IF(VLOOKUP($F184,Declarations!B$6:C$293,2,FALSE)="","NOT DECLARED",IF(ISNA(_xlfn.TEXTBEFORE(VLOOKUP($F184,Declarations!B$6:C$293,2,FALSE)," ")),VLOOKUP($F184,Declarations!B$6:C$293,2,FALSE),_xlfn.TEXTBEFORE(VLOOKUP($F184,Declarations!B$6:C$293,2,FALSE)," "))))</f>
        <v/>
      </c>
      <c r="C184" s="81" t="str">
        <f>IF(ISNA(VLOOKUP($F184,Declarations!B$6:C$293,2,FALSE)),"",IF(VLOOKUP($F184,Declarations!B$6:C$293,2,FALSE)="","NOT DECLARED",IF(ISNA(_xlfn.TEXTAFTER(VLOOKUP($F184,Declarations!B$6:C$293,2,FALSE)," ")),VLOOKUP($F184,Declarations!B$6:C$293,2,FALSE),_xlfn.TEXTAFTER(VLOOKUP($F184,Declarations!B$6:C$293,2,FALSE)," "))))</f>
        <v/>
      </c>
      <c r="D184" s="81" t="str">
        <f>IF(ISNA(VLOOKUP($F184,Declarations!$B$6:$F$293,5,FALSE)),"",IF(VLOOKUP($F184,Declarations!$B$6:$F$293,5,FALSE)="","NOT DECLARED",VLOOKUP($F184,Declarations!$B$6:$F$293,5,FALSE)))</f>
        <v/>
      </c>
      <c r="E184" s="120" t="str">
        <f>IF(ISNA(VLOOKUP($F184,Declarations!$B$6:$D$293,3,FALSE)),"",IF(VLOOKUP($F184,Declarations!$B$6:$D$293,3,FALSE)="","NOT DECLARED",VLOOKUP($F184,Declarations!$B$6:$D$293,3,FALSE)&amp;LEFT(VLOOKUP($F184,Declarations!$B$6:$E$293,4,FALSE))))</f>
        <v/>
      </c>
      <c r="F184" s="21"/>
      <c r="G184" s="22"/>
      <c r="H184" s="322"/>
      <c r="I184" s="8" t="str">
        <f>IF(ISNA(VLOOKUP(F184,Declarations!B$6:C$293,2,FALSE)),"",IF(VLOOKUP(F184,Declarations!B$6:C$293,2,FALSE)="","NOT DECLARED",VLOOKUP(F184,Declarations!B$6:C$293,2,FALSE)))</f>
        <v/>
      </c>
      <c r="J184" s="2">
        <f>IF(LOWER(LEFT(G184,1))="n",1,VLOOKUP(G184,ScoringTable!E$2:I$95,5))</f>
        <v>0</v>
      </c>
      <c r="K184" s="120" t="str" cm="1">
        <f t="array" ref="K184">IF(OR(E184="",G184=""),"",_xlfn.IFS(E184="U10B",_xlfn.XLOOKUP(G184,Data!$D$4:$L$4,Data!$D$1:$L$1,"",-1,1),E184="U12B",_xlfn.XLOOKUP(G184,Data!$D$11:$L$11,Data!$D$1:$L$1,"",-1,1),E184="U10G",_xlfn.XLOOKUP(G184,Data!$D$17:$L$17,Data!$D$1:$L$1,"",-1,1),E184="U12G",_xlfn.XLOOKUP(G184,Data!$D$24:$L$24,Data!$D$1:$L$1,"",-1,1)))</f>
        <v/>
      </c>
      <c r="L184" s="184" t="str" cm="1">
        <f t="array" ref="L184">IFERROR(_xlfn.IFNA(
                      _xlfn.IFS(
                      F184="", "",
                      AND(E184="U10B",G184&gt;=Data!$M$4), "U10 Boys record",
                      AND(E184="U12B",G184&gt;=Data!$M$11), "U12 Boys record",
                      AND(E184="U10G",G184&gt;=Data!$M$17), "U10 Girls record",
                      AND(E184="U12G",G184&gt;=Data!$M$24), "U12 Girls record"
                       ),""), "")</f>
        <v/>
      </c>
      <c r="M184" s="19" cm="1">
        <f t="array" ref="M184">_xlfn.IFS($G184="",0,AND(NOT(ISNUMBER($G184)),LOWER(LEFT($G184,1))&lt;&gt;"n"),"Not a valid distance",OR(LOWER(LEFT($G184,1))="n",$G184&lt;ScoringTable!$P$161),1,RIGHT($E184,1)="B",_xlfn.XLOOKUP($G184,ScoringTable!$P$2:$P$161,ScoringTable!$L$2:$L$161,,-1),TRUE,_xlfn.XLOOKUP($G184,ScoringTable!$V$2:$V$161,ScoringTable!$R$2:$R$161,,-1))</f>
        <v>0</v>
      </c>
    </row>
    <row r="185" spans="1:13" ht="16" customHeight="1">
      <c r="A185" s="82" t="s">
        <v>27</v>
      </c>
      <c r="B185" s="81" t="str">
        <f>IF(ISNA(VLOOKUP($F185,Declarations!B$6:C$293,2,FALSE)),"",IF(VLOOKUP($F185,Declarations!B$6:C$293,2,FALSE)="","NOT DECLARED",IF(ISNA(_xlfn.TEXTBEFORE(VLOOKUP($F185,Declarations!B$6:C$293,2,FALSE)," ")),VLOOKUP($F185,Declarations!B$6:C$293,2,FALSE),_xlfn.TEXTBEFORE(VLOOKUP($F185,Declarations!B$6:C$293,2,FALSE)," "))))</f>
        <v/>
      </c>
      <c r="C185" s="81" t="str">
        <f>IF(ISNA(VLOOKUP($F185,Declarations!B$6:C$293,2,FALSE)),"",IF(VLOOKUP($F185,Declarations!B$6:C$293,2,FALSE)="","NOT DECLARED",IF(ISNA(_xlfn.TEXTAFTER(VLOOKUP($F185,Declarations!B$6:C$293,2,FALSE)," ")),VLOOKUP($F185,Declarations!B$6:C$293,2,FALSE),_xlfn.TEXTAFTER(VLOOKUP($F185,Declarations!B$6:C$293,2,FALSE)," "))))</f>
        <v/>
      </c>
      <c r="D185" s="81" t="str">
        <f>IF(ISNA(VLOOKUP($F185,Declarations!$B$6:$F$293,5,FALSE)),"",IF(VLOOKUP($F185,Declarations!$B$6:$F$293,5,FALSE)="","NOT DECLARED",VLOOKUP($F185,Declarations!$B$6:$F$293,5,FALSE)))</f>
        <v/>
      </c>
      <c r="E185" s="120" t="str">
        <f>IF(ISNA(VLOOKUP($F185,Declarations!$B$6:$D$293,3,FALSE)),"",IF(VLOOKUP($F185,Declarations!$B$6:$D$293,3,FALSE)="","NOT DECLARED",VLOOKUP($F185,Declarations!$B$6:$D$293,3,FALSE)&amp;LEFT(VLOOKUP($F185,Declarations!$B$6:$E$293,4,FALSE))))</f>
        <v/>
      </c>
      <c r="F185" s="21"/>
      <c r="G185" s="22"/>
      <c r="H185" s="322"/>
      <c r="I185" s="8" t="str">
        <f>IF(ISNA(VLOOKUP(F185,Declarations!B$6:C$293,2,FALSE)),"",IF(VLOOKUP(F185,Declarations!B$6:C$293,2,FALSE)="","NOT DECLARED",VLOOKUP(F185,Declarations!B$6:C$293,2,FALSE)))</f>
        <v/>
      </c>
      <c r="J185" s="2">
        <f>IF(LOWER(LEFT(G185,1))="n",1,VLOOKUP(G185,ScoringTable!E$2:I$95,5))</f>
        <v>0</v>
      </c>
      <c r="K185" s="120" t="str" cm="1">
        <f t="array" ref="K185">IF(OR(E185="",G185=""),"",_xlfn.IFS(E185="U10B",_xlfn.XLOOKUP(G185,Data!$D$4:$L$4,Data!$D$1:$L$1,"",-1,1),E185="U12B",_xlfn.XLOOKUP(G185,Data!$D$11:$L$11,Data!$D$1:$L$1,"",-1,1),E185="U10G",_xlfn.XLOOKUP(G185,Data!$D$17:$L$17,Data!$D$1:$L$1,"",-1,1),E185="U12G",_xlfn.XLOOKUP(G185,Data!$D$24:$L$24,Data!$D$1:$L$1,"",-1,1)))</f>
        <v/>
      </c>
      <c r="L185" s="184" t="str" cm="1">
        <f t="array" ref="L185">IFERROR(_xlfn.IFNA(
                      _xlfn.IFS(
                      F185="", "",
                      AND(E185="U10B",G185&gt;=Data!$M$4), "U10 Boys record",
                      AND(E185="U12B",G185&gt;=Data!$M$11), "U12 Boys record",
                      AND(E185="U10G",G185&gt;=Data!$M$17), "U10 Girls record",
                      AND(E185="U12G",G185&gt;=Data!$M$24), "U12 Girls record"
                       ),""), "")</f>
        <v/>
      </c>
      <c r="M185" s="19" cm="1">
        <f t="array" ref="M185">_xlfn.IFS($G185="",0,AND(NOT(ISNUMBER($G185)),LOWER(LEFT($G185,1))&lt;&gt;"n"),"Not a valid distance",OR(LOWER(LEFT($G185,1))="n",$G185&lt;ScoringTable!$P$161),1,RIGHT($E185,1)="B",_xlfn.XLOOKUP($G185,ScoringTable!$P$2:$P$161,ScoringTable!$L$2:$L$161,,-1),TRUE,_xlfn.XLOOKUP($G185,ScoringTable!$V$2:$V$161,ScoringTable!$R$2:$R$161,,-1))</f>
        <v>0</v>
      </c>
    </row>
    <row r="186" spans="1:13" ht="16" customHeight="1">
      <c r="A186" s="82" t="s">
        <v>27</v>
      </c>
      <c r="B186" s="81" t="str">
        <f>IF(ISNA(VLOOKUP($F186,Declarations!B$6:C$293,2,FALSE)),"",IF(VLOOKUP($F186,Declarations!B$6:C$293,2,FALSE)="","NOT DECLARED",IF(ISNA(_xlfn.TEXTBEFORE(VLOOKUP($F186,Declarations!B$6:C$293,2,FALSE)," ")),VLOOKUP($F186,Declarations!B$6:C$293,2,FALSE),_xlfn.TEXTBEFORE(VLOOKUP($F186,Declarations!B$6:C$293,2,FALSE)," "))))</f>
        <v/>
      </c>
      <c r="C186" s="81" t="str">
        <f>IF(ISNA(VLOOKUP($F186,Declarations!B$6:C$293,2,FALSE)),"",IF(VLOOKUP($F186,Declarations!B$6:C$293,2,FALSE)="","NOT DECLARED",IF(ISNA(_xlfn.TEXTAFTER(VLOOKUP($F186,Declarations!B$6:C$293,2,FALSE)," ")),VLOOKUP($F186,Declarations!B$6:C$293,2,FALSE),_xlfn.TEXTAFTER(VLOOKUP($F186,Declarations!B$6:C$293,2,FALSE)," "))))</f>
        <v/>
      </c>
      <c r="D186" s="81" t="str">
        <f>IF(ISNA(VLOOKUP($F186,Declarations!$B$6:$F$293,5,FALSE)),"",IF(VLOOKUP($F186,Declarations!$B$6:$F$293,5,FALSE)="","NOT DECLARED",VLOOKUP($F186,Declarations!$B$6:$F$293,5,FALSE)))</f>
        <v/>
      </c>
      <c r="E186" s="120" t="str">
        <f>IF(ISNA(VLOOKUP($F186,Declarations!$B$6:$D$293,3,FALSE)),"",IF(VLOOKUP($F186,Declarations!$B$6:$D$293,3,FALSE)="","NOT DECLARED",VLOOKUP($F186,Declarations!$B$6:$D$293,3,FALSE)&amp;LEFT(VLOOKUP($F186,Declarations!$B$6:$E$293,4,FALSE))))</f>
        <v/>
      </c>
      <c r="F186" s="21"/>
      <c r="G186" s="22"/>
      <c r="H186" s="322"/>
      <c r="I186" s="8" t="str">
        <f>IF(ISNA(VLOOKUP(F186,Declarations!B$6:C$293,2,FALSE)),"",IF(VLOOKUP(F186,Declarations!B$6:C$293,2,FALSE)="","NOT DECLARED",VLOOKUP(F186,Declarations!B$6:C$293,2,FALSE)))</f>
        <v/>
      </c>
      <c r="J186" s="2">
        <f>IF(LOWER(LEFT(G186,1))="n",1,VLOOKUP(G186,ScoringTable!E$2:I$95,5))</f>
        <v>0</v>
      </c>
      <c r="K186" s="120" t="str" cm="1">
        <f t="array" ref="K186">IF(OR(E186="",G186=""),"",_xlfn.IFS(E186="U10B",_xlfn.XLOOKUP(G186,Data!$D$4:$L$4,Data!$D$1:$L$1,"",-1,1),E186="U12B",_xlfn.XLOOKUP(G186,Data!$D$11:$L$11,Data!$D$1:$L$1,"",-1,1),E186="U10G",_xlfn.XLOOKUP(G186,Data!$D$17:$L$17,Data!$D$1:$L$1,"",-1,1),E186="U12G",_xlfn.XLOOKUP(G186,Data!$D$24:$L$24,Data!$D$1:$L$1,"",-1,1)))</f>
        <v/>
      </c>
      <c r="L186" s="184" t="str" cm="1">
        <f t="array" ref="L186">IFERROR(_xlfn.IFNA(
                      _xlfn.IFS(
                      F186="", "",
                      AND(E186="U10B",G186&gt;=Data!$M$4), "U10 Boys record",
                      AND(E186="U12B",G186&gt;=Data!$M$11), "U12 Boys record",
                      AND(E186="U10G",G186&gt;=Data!$M$17), "U10 Girls record",
                      AND(E186="U12G",G186&gt;=Data!$M$24), "U12 Girls record"
                       ),""), "")</f>
        <v/>
      </c>
      <c r="M186" s="19" cm="1">
        <f t="array" ref="M186">_xlfn.IFS($G186="",0,AND(NOT(ISNUMBER($G186)),LOWER(LEFT($G186,1))&lt;&gt;"n"),"Not a valid distance",OR(LOWER(LEFT($G186,1))="n",$G186&lt;ScoringTable!$P$161),1,RIGHT($E186,1)="B",_xlfn.XLOOKUP($G186,ScoringTable!$P$2:$P$161,ScoringTable!$L$2:$L$161,,-1),TRUE,_xlfn.XLOOKUP($G186,ScoringTable!$V$2:$V$161,ScoringTable!$R$2:$R$161,,-1))</f>
        <v>0</v>
      </c>
    </row>
    <row r="187" spans="1:13" ht="16" customHeight="1">
      <c r="A187" s="82" t="s">
        <v>27</v>
      </c>
      <c r="B187" s="81" t="str">
        <f>IF(ISNA(VLOOKUP($F187,Declarations!B$6:C$293,2,FALSE)),"",IF(VLOOKUP($F187,Declarations!B$6:C$293,2,FALSE)="","NOT DECLARED",IF(ISNA(_xlfn.TEXTBEFORE(VLOOKUP($F187,Declarations!B$6:C$293,2,FALSE)," ")),VLOOKUP($F187,Declarations!B$6:C$293,2,FALSE),_xlfn.TEXTBEFORE(VLOOKUP($F187,Declarations!B$6:C$293,2,FALSE)," "))))</f>
        <v/>
      </c>
      <c r="C187" s="81" t="str">
        <f>IF(ISNA(VLOOKUP($F187,Declarations!B$6:C$293,2,FALSE)),"",IF(VLOOKUP($F187,Declarations!B$6:C$293,2,FALSE)="","NOT DECLARED",IF(ISNA(_xlfn.TEXTAFTER(VLOOKUP($F187,Declarations!B$6:C$293,2,FALSE)," ")),VLOOKUP($F187,Declarations!B$6:C$293,2,FALSE),_xlfn.TEXTAFTER(VLOOKUP($F187,Declarations!B$6:C$293,2,FALSE)," "))))</f>
        <v/>
      </c>
      <c r="D187" s="81" t="str">
        <f>IF(ISNA(VLOOKUP($F187,Declarations!$B$6:$F$293,5,FALSE)),"",IF(VLOOKUP($F187,Declarations!$B$6:$F$293,5,FALSE)="","NOT DECLARED",VLOOKUP($F187,Declarations!$B$6:$F$293,5,FALSE)))</f>
        <v/>
      </c>
      <c r="E187" s="120" t="str">
        <f>IF(ISNA(VLOOKUP($F187,Declarations!$B$6:$D$293,3,FALSE)),"",IF(VLOOKUP($F187,Declarations!$B$6:$D$293,3,FALSE)="","NOT DECLARED",VLOOKUP($F187,Declarations!$B$6:$D$293,3,FALSE)&amp;LEFT(VLOOKUP($F187,Declarations!$B$6:$E$293,4,FALSE))))</f>
        <v/>
      </c>
      <c r="F187" s="21"/>
      <c r="G187" s="22"/>
      <c r="H187" s="322"/>
      <c r="I187" s="8" t="str">
        <f>IF(ISNA(VLOOKUP(F187,Declarations!B$6:C$293,2,FALSE)),"",IF(VLOOKUP(F187,Declarations!B$6:C$293,2,FALSE)="","NOT DECLARED",VLOOKUP(F187,Declarations!B$6:C$293,2,FALSE)))</f>
        <v/>
      </c>
      <c r="J187" s="2">
        <f>IF(LOWER(LEFT(G187,1))="n",1,VLOOKUP(G187,ScoringTable!E$2:I$95,5))</f>
        <v>0</v>
      </c>
      <c r="K187" s="120" t="str" cm="1">
        <f t="array" ref="K187">IF(OR(E187="",G187=""),"",_xlfn.IFS(E187="U10B",_xlfn.XLOOKUP(G187,Data!$D$4:$L$4,Data!$D$1:$L$1,"",-1,1),E187="U12B",_xlfn.XLOOKUP(G187,Data!$D$11:$L$11,Data!$D$1:$L$1,"",-1,1),E187="U10G",_xlfn.XLOOKUP(G187,Data!$D$17:$L$17,Data!$D$1:$L$1,"",-1,1),E187="U12G",_xlfn.XLOOKUP(G187,Data!$D$24:$L$24,Data!$D$1:$L$1,"",-1,1)))</f>
        <v/>
      </c>
      <c r="L187" s="184" t="str" cm="1">
        <f t="array" ref="L187">IFERROR(_xlfn.IFNA(
                      _xlfn.IFS(
                      F187="", "",
                      AND(E187="U10B",G187&gt;=Data!$M$4), "U10 Boys record",
                      AND(E187="U12B",G187&gt;=Data!$M$11), "U12 Boys record",
                      AND(E187="U10G",G187&gt;=Data!$M$17), "U10 Girls record",
                      AND(E187="U12G",G187&gt;=Data!$M$24), "U12 Girls record"
                       ),""), "")</f>
        <v/>
      </c>
      <c r="M187" s="19" cm="1">
        <f t="array" ref="M187">_xlfn.IFS($G187="",0,AND(NOT(ISNUMBER($G187)),LOWER(LEFT($G187,1))&lt;&gt;"n"),"Not a valid distance",OR(LOWER(LEFT($G187,1))="n",$G187&lt;ScoringTable!$P$161),1,RIGHT($E187,1)="B",_xlfn.XLOOKUP($G187,ScoringTable!$P$2:$P$161,ScoringTable!$L$2:$L$161,,-1),TRUE,_xlfn.XLOOKUP($G187,ScoringTable!$V$2:$V$161,ScoringTable!$R$2:$R$161,,-1))</f>
        <v>0</v>
      </c>
    </row>
    <row r="188" spans="1:13" ht="16" customHeight="1">
      <c r="A188" s="82" t="s">
        <v>27</v>
      </c>
      <c r="B188" s="81" t="str">
        <f>IF(ISNA(VLOOKUP($F188,Declarations!B$6:C$293,2,FALSE)),"",IF(VLOOKUP($F188,Declarations!B$6:C$293,2,FALSE)="","NOT DECLARED",IF(ISNA(_xlfn.TEXTBEFORE(VLOOKUP($F188,Declarations!B$6:C$293,2,FALSE)," ")),VLOOKUP($F188,Declarations!B$6:C$293,2,FALSE),_xlfn.TEXTBEFORE(VLOOKUP($F188,Declarations!B$6:C$293,2,FALSE)," "))))</f>
        <v/>
      </c>
      <c r="C188" s="81" t="str">
        <f>IF(ISNA(VLOOKUP($F188,Declarations!B$6:C$293,2,FALSE)),"",IF(VLOOKUP($F188,Declarations!B$6:C$293,2,FALSE)="","NOT DECLARED",IF(ISNA(_xlfn.TEXTAFTER(VLOOKUP($F188,Declarations!B$6:C$293,2,FALSE)," ")),VLOOKUP($F188,Declarations!B$6:C$293,2,FALSE),_xlfn.TEXTAFTER(VLOOKUP($F188,Declarations!B$6:C$293,2,FALSE)," "))))</f>
        <v/>
      </c>
      <c r="D188" s="81" t="str">
        <f>IF(ISNA(VLOOKUP($F188,Declarations!$B$6:$F$293,5,FALSE)),"",IF(VLOOKUP($F188,Declarations!$B$6:$F$293,5,FALSE)="","NOT DECLARED",VLOOKUP($F188,Declarations!$B$6:$F$293,5,FALSE)))</f>
        <v/>
      </c>
      <c r="E188" s="120" t="str">
        <f>IF(ISNA(VLOOKUP($F188,Declarations!$B$6:$D$293,3,FALSE)),"",IF(VLOOKUP($F188,Declarations!$B$6:$D$293,3,FALSE)="","NOT DECLARED",VLOOKUP($F188,Declarations!$B$6:$D$293,3,FALSE)&amp;LEFT(VLOOKUP($F188,Declarations!$B$6:$E$293,4,FALSE))))</f>
        <v/>
      </c>
      <c r="F188" s="21"/>
      <c r="G188" s="22"/>
      <c r="H188" s="322"/>
      <c r="I188" s="8" t="str">
        <f>IF(ISNA(VLOOKUP(F188,Declarations!B$6:C$293,2,FALSE)),"",IF(VLOOKUP(F188,Declarations!B$6:C$293,2,FALSE)="","NOT DECLARED",VLOOKUP(F188,Declarations!B$6:C$293,2,FALSE)))</f>
        <v/>
      </c>
      <c r="J188" s="2">
        <f>IF(LOWER(LEFT(G188,1))="n",1,VLOOKUP(G188,ScoringTable!E$2:I$95,5))</f>
        <v>0</v>
      </c>
      <c r="K188" s="120" t="str" cm="1">
        <f t="array" ref="K188">IF(OR(E188="",G188=""),"",_xlfn.IFS(E188="U10B",_xlfn.XLOOKUP(G188,Data!$D$4:$L$4,Data!$D$1:$L$1,"",-1,1),E188="U12B",_xlfn.XLOOKUP(G188,Data!$D$11:$L$11,Data!$D$1:$L$1,"",-1,1),E188="U10G",_xlfn.XLOOKUP(G188,Data!$D$17:$L$17,Data!$D$1:$L$1,"",-1,1),E188="U12G",_xlfn.XLOOKUP(G188,Data!$D$24:$L$24,Data!$D$1:$L$1,"",-1,1)))</f>
        <v/>
      </c>
      <c r="L188" s="184" t="str" cm="1">
        <f t="array" ref="L188">IFERROR(_xlfn.IFNA(
                      _xlfn.IFS(
                      F188="", "",
                      AND(E188="U10B",G188&gt;=Data!$M$4), "U10 Boys record",
                      AND(E188="U12B",G188&gt;=Data!$M$11), "U12 Boys record",
                      AND(E188="U10G",G188&gt;=Data!$M$17), "U10 Girls record",
                      AND(E188="U12G",G188&gt;=Data!$M$24), "U12 Girls record"
                       ),""), "")</f>
        <v/>
      </c>
      <c r="M188" s="19" cm="1">
        <f t="array" ref="M188">_xlfn.IFS($G188="",0,AND(NOT(ISNUMBER($G188)),LOWER(LEFT($G188,1))&lt;&gt;"n"),"Not a valid distance",OR(LOWER(LEFT($G188,1))="n",$G188&lt;ScoringTable!$P$161),1,RIGHT($E188,1)="B",_xlfn.XLOOKUP($G188,ScoringTable!$P$2:$P$161,ScoringTable!$L$2:$L$161,,-1),TRUE,_xlfn.XLOOKUP($G188,ScoringTable!$V$2:$V$161,ScoringTable!$R$2:$R$161,,-1))</f>
        <v>0</v>
      </c>
    </row>
    <row r="189" spans="1:13" ht="16" customHeight="1">
      <c r="A189" s="82" t="s">
        <v>27</v>
      </c>
      <c r="B189" s="81" t="str">
        <f>IF(ISNA(VLOOKUP($F189,Declarations!B$6:C$293,2,FALSE)),"",IF(VLOOKUP($F189,Declarations!B$6:C$293,2,FALSE)="","NOT DECLARED",IF(ISNA(_xlfn.TEXTBEFORE(VLOOKUP($F189,Declarations!B$6:C$293,2,FALSE)," ")),VLOOKUP($F189,Declarations!B$6:C$293,2,FALSE),_xlfn.TEXTBEFORE(VLOOKUP($F189,Declarations!B$6:C$293,2,FALSE)," "))))</f>
        <v/>
      </c>
      <c r="C189" s="81" t="str">
        <f>IF(ISNA(VLOOKUP($F189,Declarations!B$6:C$293,2,FALSE)),"",IF(VLOOKUP($F189,Declarations!B$6:C$293,2,FALSE)="","NOT DECLARED",IF(ISNA(_xlfn.TEXTAFTER(VLOOKUP($F189,Declarations!B$6:C$293,2,FALSE)," ")),VLOOKUP($F189,Declarations!B$6:C$293,2,FALSE),_xlfn.TEXTAFTER(VLOOKUP($F189,Declarations!B$6:C$293,2,FALSE)," "))))</f>
        <v/>
      </c>
      <c r="D189" s="81" t="str">
        <f>IF(ISNA(VLOOKUP($F189,Declarations!$B$6:$F$293,5,FALSE)),"",IF(VLOOKUP($F189,Declarations!$B$6:$F$293,5,FALSE)="","NOT DECLARED",VLOOKUP($F189,Declarations!$B$6:$F$293,5,FALSE)))</f>
        <v/>
      </c>
      <c r="E189" s="120" t="str">
        <f>IF(ISNA(VLOOKUP($F189,Declarations!$B$6:$D$293,3,FALSE)),"",IF(VLOOKUP($F189,Declarations!$B$6:$D$293,3,FALSE)="","NOT DECLARED",VLOOKUP($F189,Declarations!$B$6:$D$293,3,FALSE)&amp;LEFT(VLOOKUP($F189,Declarations!$B$6:$E$293,4,FALSE))))</f>
        <v/>
      </c>
      <c r="F189" s="21"/>
      <c r="G189" s="22"/>
      <c r="H189" s="322"/>
      <c r="I189" s="8" t="str">
        <f>IF(ISNA(VLOOKUP(F189,Declarations!B$6:C$293,2,FALSE)),"",IF(VLOOKUP(F189,Declarations!B$6:C$293,2,FALSE)="","NOT DECLARED",VLOOKUP(F189,Declarations!B$6:C$293,2,FALSE)))</f>
        <v/>
      </c>
      <c r="J189" s="2">
        <f>IF(LOWER(LEFT(G189,1))="n",1,VLOOKUP(G189,ScoringTable!E$2:I$95,5))</f>
        <v>0</v>
      </c>
      <c r="K189" s="120" t="str" cm="1">
        <f t="array" ref="K189">IF(OR(E189="",G189=""),"",_xlfn.IFS(E189="U10B",_xlfn.XLOOKUP(G189,Data!$D$4:$L$4,Data!$D$1:$L$1,"",-1,1),E189="U12B",_xlfn.XLOOKUP(G189,Data!$D$11:$L$11,Data!$D$1:$L$1,"",-1,1),E189="U10G",_xlfn.XLOOKUP(G189,Data!$D$17:$L$17,Data!$D$1:$L$1,"",-1,1),E189="U12G",_xlfn.XLOOKUP(G189,Data!$D$24:$L$24,Data!$D$1:$L$1,"",-1,1)))</f>
        <v/>
      </c>
      <c r="L189" s="184" t="str" cm="1">
        <f t="array" ref="L189">IFERROR(_xlfn.IFNA(
                      _xlfn.IFS(
                      F189="", "",
                      AND(E189="U10B",G189&gt;=Data!$M$4), "U10 Boys record",
                      AND(E189="U12B",G189&gt;=Data!$M$11), "U12 Boys record",
                      AND(E189="U10G",G189&gt;=Data!$M$17), "U10 Girls record",
                      AND(E189="U12G",G189&gt;=Data!$M$24), "U12 Girls record"
                       ),""), "")</f>
        <v/>
      </c>
      <c r="M189" s="19" cm="1">
        <f t="array" ref="M189">_xlfn.IFS($G189="",0,AND(NOT(ISNUMBER($G189)),LOWER(LEFT($G189,1))&lt;&gt;"n"),"Not a valid distance",OR(LOWER(LEFT($G189,1))="n",$G189&lt;ScoringTable!$P$161),1,RIGHT($E189,1)="B",_xlfn.XLOOKUP($G189,ScoringTable!$P$2:$P$161,ScoringTable!$L$2:$L$161,,-1),TRUE,_xlfn.XLOOKUP($G189,ScoringTable!$V$2:$V$161,ScoringTable!$R$2:$R$161,,-1))</f>
        <v>0</v>
      </c>
    </row>
    <row r="190" spans="1:13" ht="16" customHeight="1">
      <c r="A190" s="82" t="s">
        <v>27</v>
      </c>
      <c r="B190" s="81" t="str">
        <f>IF(ISNA(VLOOKUP($F190,Declarations!B$6:C$293,2,FALSE)),"",IF(VLOOKUP($F190,Declarations!B$6:C$293,2,FALSE)="","NOT DECLARED",IF(ISNA(_xlfn.TEXTBEFORE(VLOOKUP($F190,Declarations!B$6:C$293,2,FALSE)," ")),VLOOKUP($F190,Declarations!B$6:C$293,2,FALSE),_xlfn.TEXTBEFORE(VLOOKUP($F190,Declarations!B$6:C$293,2,FALSE)," "))))</f>
        <v/>
      </c>
      <c r="C190" s="81" t="str">
        <f>IF(ISNA(VLOOKUP($F190,Declarations!B$6:C$293,2,FALSE)),"",IF(VLOOKUP($F190,Declarations!B$6:C$293,2,FALSE)="","NOT DECLARED",IF(ISNA(_xlfn.TEXTAFTER(VLOOKUP($F190,Declarations!B$6:C$293,2,FALSE)," ")),VLOOKUP($F190,Declarations!B$6:C$293,2,FALSE),_xlfn.TEXTAFTER(VLOOKUP($F190,Declarations!B$6:C$293,2,FALSE)," "))))</f>
        <v/>
      </c>
      <c r="D190" s="81" t="str">
        <f>IF(ISNA(VLOOKUP($F190,Declarations!$B$6:$F$293,5,FALSE)),"",IF(VLOOKUP($F190,Declarations!$B$6:$F$293,5,FALSE)="","NOT DECLARED",VLOOKUP($F190,Declarations!$B$6:$F$293,5,FALSE)))</f>
        <v/>
      </c>
      <c r="E190" s="120" t="str">
        <f>IF(ISNA(VLOOKUP($F190,Declarations!$B$6:$D$293,3,FALSE)),"",IF(VLOOKUP($F190,Declarations!$B$6:$D$293,3,FALSE)="","NOT DECLARED",VLOOKUP($F190,Declarations!$B$6:$D$293,3,FALSE)&amp;LEFT(VLOOKUP($F190,Declarations!$B$6:$E$293,4,FALSE))))</f>
        <v/>
      </c>
      <c r="F190" s="21"/>
      <c r="G190" s="22"/>
      <c r="H190" s="322"/>
      <c r="I190" s="8" t="str">
        <f>IF(ISNA(VLOOKUP(F190,Declarations!B$6:C$293,2,FALSE)),"",IF(VLOOKUP(F190,Declarations!B$6:C$293,2,FALSE)="","NOT DECLARED",VLOOKUP(F190,Declarations!B$6:C$293,2,FALSE)))</f>
        <v/>
      </c>
      <c r="J190" s="2">
        <f>IF(LOWER(LEFT(G190,1))="n",1,VLOOKUP(G190,ScoringTable!E$2:I$95,5))</f>
        <v>0</v>
      </c>
      <c r="K190" s="120" t="str" cm="1">
        <f t="array" ref="K190">IF(OR(E190="",G190=""),"",_xlfn.IFS(E190="U10B",_xlfn.XLOOKUP(G190,Data!$D$4:$L$4,Data!$D$1:$L$1,"",-1,1),E190="U12B",_xlfn.XLOOKUP(G190,Data!$D$11:$L$11,Data!$D$1:$L$1,"",-1,1),E190="U10G",_xlfn.XLOOKUP(G190,Data!$D$17:$L$17,Data!$D$1:$L$1,"",-1,1),E190="U12G",_xlfn.XLOOKUP(G190,Data!$D$24:$L$24,Data!$D$1:$L$1,"",-1,1)))</f>
        <v/>
      </c>
      <c r="L190" s="184" t="str" cm="1">
        <f t="array" ref="L190">IFERROR(_xlfn.IFNA(
                      _xlfn.IFS(
                      F190="", "",
                      AND(E190="U10B",G190&gt;=Data!$M$4), "U10 Boys record",
                      AND(E190="U12B",G190&gt;=Data!$M$11), "U12 Boys record",
                      AND(E190="U10G",G190&gt;=Data!$M$17), "U10 Girls record",
                      AND(E190="U12G",G190&gt;=Data!$M$24), "U12 Girls record"
                       ),""), "")</f>
        <v/>
      </c>
      <c r="M190" s="19" cm="1">
        <f t="array" ref="M190">_xlfn.IFS($G190="",0,AND(NOT(ISNUMBER($G190)),LOWER(LEFT($G190,1))&lt;&gt;"n"),"Not a valid distance",OR(LOWER(LEFT($G190,1))="n",$G190&lt;ScoringTable!$P$161),1,RIGHT($E190,1)="B",_xlfn.XLOOKUP($G190,ScoringTable!$P$2:$P$161,ScoringTable!$L$2:$L$161,,-1),TRUE,_xlfn.XLOOKUP($G190,ScoringTable!$V$2:$V$161,ScoringTable!$R$2:$R$161,,-1))</f>
        <v>0</v>
      </c>
    </row>
    <row r="191" spans="1:13" ht="16" customHeight="1">
      <c r="A191" s="82" t="s">
        <v>27</v>
      </c>
      <c r="B191" s="81" t="str">
        <f>IF(ISNA(VLOOKUP($F191,Declarations!B$6:C$293,2,FALSE)),"",IF(VLOOKUP($F191,Declarations!B$6:C$293,2,FALSE)="","NOT DECLARED",IF(ISNA(_xlfn.TEXTBEFORE(VLOOKUP($F191,Declarations!B$6:C$293,2,FALSE)," ")),VLOOKUP($F191,Declarations!B$6:C$293,2,FALSE),_xlfn.TEXTBEFORE(VLOOKUP($F191,Declarations!B$6:C$293,2,FALSE)," "))))</f>
        <v/>
      </c>
      <c r="C191" s="81" t="str">
        <f>IF(ISNA(VLOOKUP($F191,Declarations!B$6:C$293,2,FALSE)),"",IF(VLOOKUP($F191,Declarations!B$6:C$293,2,FALSE)="","NOT DECLARED",IF(ISNA(_xlfn.TEXTAFTER(VLOOKUP($F191,Declarations!B$6:C$293,2,FALSE)," ")),VLOOKUP($F191,Declarations!B$6:C$293,2,FALSE),_xlfn.TEXTAFTER(VLOOKUP($F191,Declarations!B$6:C$293,2,FALSE)," "))))</f>
        <v/>
      </c>
      <c r="D191" s="81" t="str">
        <f>IF(ISNA(VLOOKUP($F191,Declarations!$B$6:$F$293,5,FALSE)),"",IF(VLOOKUP($F191,Declarations!$B$6:$F$293,5,FALSE)="","NOT DECLARED",VLOOKUP($F191,Declarations!$B$6:$F$293,5,FALSE)))</f>
        <v/>
      </c>
      <c r="E191" s="120" t="str">
        <f>IF(ISNA(VLOOKUP($F191,Declarations!$B$6:$D$293,3,FALSE)),"",IF(VLOOKUP($F191,Declarations!$B$6:$D$293,3,FALSE)="","NOT DECLARED",VLOOKUP($F191,Declarations!$B$6:$D$293,3,FALSE)&amp;LEFT(VLOOKUP($F191,Declarations!$B$6:$E$293,4,FALSE))))</f>
        <v/>
      </c>
      <c r="F191" s="21"/>
      <c r="G191" s="22"/>
      <c r="H191" s="322"/>
      <c r="I191" s="8" t="str">
        <f>IF(ISNA(VLOOKUP(F191,Declarations!B$6:C$293,2,FALSE)),"",IF(VLOOKUP(F191,Declarations!B$6:C$293,2,FALSE)="","NOT DECLARED",VLOOKUP(F191,Declarations!B$6:C$293,2,FALSE)))</f>
        <v/>
      </c>
      <c r="J191" s="2">
        <f>IF(LOWER(LEFT(G191,1))="n",1,VLOOKUP(G191,ScoringTable!E$2:I$95,5))</f>
        <v>0</v>
      </c>
      <c r="K191" s="120" t="str" cm="1">
        <f t="array" ref="K191">IF(OR(E191="",G191=""),"",_xlfn.IFS(E191="U10B",_xlfn.XLOOKUP(G191,Data!$D$4:$L$4,Data!$D$1:$L$1,"",-1,1),E191="U12B",_xlfn.XLOOKUP(G191,Data!$D$11:$L$11,Data!$D$1:$L$1,"",-1,1),E191="U10G",_xlfn.XLOOKUP(G191,Data!$D$17:$L$17,Data!$D$1:$L$1,"",-1,1),E191="U12G",_xlfn.XLOOKUP(G191,Data!$D$24:$L$24,Data!$D$1:$L$1,"",-1,1)))</f>
        <v/>
      </c>
      <c r="L191" s="184" t="str" cm="1">
        <f t="array" ref="L191">IFERROR(_xlfn.IFNA(
                      _xlfn.IFS(
                      F191="", "",
                      AND(E191="U10B",G191&gt;=Data!$M$4), "U10 Boys record",
                      AND(E191="U12B",G191&gt;=Data!$M$11), "U12 Boys record",
                      AND(E191="U10G",G191&gt;=Data!$M$17), "U10 Girls record",
                      AND(E191="U12G",G191&gt;=Data!$M$24), "U12 Girls record"
                       ),""), "")</f>
        <v/>
      </c>
      <c r="M191" s="19" cm="1">
        <f t="array" ref="M191">_xlfn.IFS($G191="",0,AND(NOT(ISNUMBER($G191)),LOWER(LEFT($G191,1))&lt;&gt;"n"),"Not a valid distance",OR(LOWER(LEFT($G191,1))="n",$G191&lt;ScoringTable!$P$161),1,RIGHT($E191,1)="B",_xlfn.XLOOKUP($G191,ScoringTable!$P$2:$P$161,ScoringTable!$L$2:$L$161,,-1),TRUE,_xlfn.XLOOKUP($G191,ScoringTable!$V$2:$V$161,ScoringTable!$R$2:$R$161,,-1))</f>
        <v>0</v>
      </c>
    </row>
    <row r="192" spans="1:13" ht="16" customHeight="1">
      <c r="A192" s="82" t="s">
        <v>27</v>
      </c>
      <c r="B192" s="81" t="str">
        <f>IF(ISNA(VLOOKUP($F192,Declarations!B$6:C$293,2,FALSE)),"",IF(VLOOKUP($F192,Declarations!B$6:C$293,2,FALSE)="","NOT DECLARED",IF(ISNA(_xlfn.TEXTBEFORE(VLOOKUP($F192,Declarations!B$6:C$293,2,FALSE)," ")),VLOOKUP($F192,Declarations!B$6:C$293,2,FALSE),_xlfn.TEXTBEFORE(VLOOKUP($F192,Declarations!B$6:C$293,2,FALSE)," "))))</f>
        <v/>
      </c>
      <c r="C192" s="81" t="str">
        <f>IF(ISNA(VLOOKUP($F192,Declarations!B$6:C$293,2,FALSE)),"",IF(VLOOKUP($F192,Declarations!B$6:C$293,2,FALSE)="","NOT DECLARED",IF(ISNA(_xlfn.TEXTAFTER(VLOOKUP($F192,Declarations!B$6:C$293,2,FALSE)," ")),VLOOKUP($F192,Declarations!B$6:C$293,2,FALSE),_xlfn.TEXTAFTER(VLOOKUP($F192,Declarations!B$6:C$293,2,FALSE)," "))))</f>
        <v/>
      </c>
      <c r="D192" s="81" t="str">
        <f>IF(ISNA(VLOOKUP($F192,Declarations!$B$6:$F$293,5,FALSE)),"",IF(VLOOKUP($F192,Declarations!$B$6:$F$293,5,FALSE)="","NOT DECLARED",VLOOKUP($F192,Declarations!$B$6:$F$293,5,FALSE)))</f>
        <v/>
      </c>
      <c r="E192" s="120" t="str">
        <f>IF(ISNA(VLOOKUP($F192,Declarations!$B$6:$D$293,3,FALSE)),"",IF(VLOOKUP($F192,Declarations!$B$6:$D$293,3,FALSE)="","NOT DECLARED",VLOOKUP($F192,Declarations!$B$6:$D$293,3,FALSE)&amp;LEFT(VLOOKUP($F192,Declarations!$B$6:$E$293,4,FALSE))))</f>
        <v/>
      </c>
      <c r="F192" s="21"/>
      <c r="G192" s="22"/>
      <c r="H192" s="322"/>
      <c r="I192" s="8" t="str">
        <f>IF(ISNA(VLOOKUP(F192,Declarations!B$6:C$293,2,FALSE)),"",IF(VLOOKUP(F192,Declarations!B$6:C$293,2,FALSE)="","NOT DECLARED",VLOOKUP(F192,Declarations!B$6:C$293,2,FALSE)))</f>
        <v/>
      </c>
      <c r="J192" s="2">
        <f>IF(LOWER(LEFT(G192,1))="n",1,VLOOKUP(G192,ScoringTable!E$2:I$95,5))</f>
        <v>0</v>
      </c>
      <c r="K192" s="120" t="str" cm="1">
        <f t="array" ref="K192">IF(OR(E192="",G192=""),"",_xlfn.IFS(E192="U10B",_xlfn.XLOOKUP(G192,Data!$D$4:$L$4,Data!$D$1:$L$1,"",-1,1),E192="U12B",_xlfn.XLOOKUP(G192,Data!$D$11:$L$11,Data!$D$1:$L$1,"",-1,1),E192="U10G",_xlfn.XLOOKUP(G192,Data!$D$17:$L$17,Data!$D$1:$L$1,"",-1,1),E192="U12G",_xlfn.XLOOKUP(G192,Data!$D$24:$L$24,Data!$D$1:$L$1,"",-1,1)))</f>
        <v/>
      </c>
      <c r="L192" s="184" t="str" cm="1">
        <f t="array" ref="L192">IFERROR(_xlfn.IFNA(
                      _xlfn.IFS(
                      F192="", "",
                      AND(E192="U10B",G192&gt;=Data!$M$4), "U10 Boys record",
                      AND(E192="U12B",G192&gt;=Data!$M$11), "U12 Boys record",
                      AND(E192="U10G",G192&gt;=Data!$M$17), "U10 Girls record",
                      AND(E192="U12G",G192&gt;=Data!$M$24), "U12 Girls record"
                       ),""), "")</f>
        <v/>
      </c>
      <c r="M192" s="19" cm="1">
        <f t="array" ref="M192">_xlfn.IFS($G192="",0,AND(NOT(ISNUMBER($G192)),LOWER(LEFT($G192,1))&lt;&gt;"n"),"Not a valid distance",OR(LOWER(LEFT($G192,1))="n",$G192&lt;ScoringTable!$P$161),1,RIGHT($E192,1)="B",_xlfn.XLOOKUP($G192,ScoringTable!$P$2:$P$161,ScoringTable!$L$2:$L$161,,-1),TRUE,_xlfn.XLOOKUP($G192,ScoringTable!$V$2:$V$161,ScoringTable!$R$2:$R$161,,-1))</f>
        <v>0</v>
      </c>
    </row>
    <row r="193" spans="1:13" ht="16" customHeight="1">
      <c r="A193" s="82" t="s">
        <v>27</v>
      </c>
      <c r="B193" s="81" t="str">
        <f>IF(ISNA(VLOOKUP($F193,Declarations!B$6:C$293,2,FALSE)),"",IF(VLOOKUP($F193,Declarations!B$6:C$293,2,FALSE)="","NOT DECLARED",IF(ISNA(_xlfn.TEXTBEFORE(VLOOKUP($F193,Declarations!B$6:C$293,2,FALSE)," ")),VLOOKUP($F193,Declarations!B$6:C$293,2,FALSE),_xlfn.TEXTBEFORE(VLOOKUP($F193,Declarations!B$6:C$293,2,FALSE)," "))))</f>
        <v/>
      </c>
      <c r="C193" s="81" t="str">
        <f>IF(ISNA(VLOOKUP($F193,Declarations!B$6:C$293,2,FALSE)),"",IF(VLOOKUP($F193,Declarations!B$6:C$293,2,FALSE)="","NOT DECLARED",IF(ISNA(_xlfn.TEXTAFTER(VLOOKUP($F193,Declarations!B$6:C$293,2,FALSE)," ")),VLOOKUP($F193,Declarations!B$6:C$293,2,FALSE),_xlfn.TEXTAFTER(VLOOKUP($F193,Declarations!B$6:C$293,2,FALSE)," "))))</f>
        <v/>
      </c>
      <c r="D193" s="81" t="str">
        <f>IF(ISNA(VLOOKUP($F193,Declarations!$B$6:$F$293,5,FALSE)),"",IF(VLOOKUP($F193,Declarations!$B$6:$F$293,5,FALSE)="","NOT DECLARED",VLOOKUP($F193,Declarations!$B$6:$F$293,5,FALSE)))</f>
        <v/>
      </c>
      <c r="E193" s="120" t="str">
        <f>IF(ISNA(VLOOKUP($F193,Declarations!$B$6:$D$293,3,FALSE)),"",IF(VLOOKUP($F193,Declarations!$B$6:$D$293,3,FALSE)="","NOT DECLARED",VLOOKUP($F193,Declarations!$B$6:$D$293,3,FALSE)&amp;LEFT(VLOOKUP($F193,Declarations!$B$6:$E$293,4,FALSE))))</f>
        <v/>
      </c>
      <c r="F193" s="21"/>
      <c r="G193" s="22"/>
      <c r="H193" s="322"/>
      <c r="I193" s="8" t="str">
        <f>IF(ISNA(VLOOKUP(F193,Declarations!B$6:C$293,2,FALSE)),"",IF(VLOOKUP(F193,Declarations!B$6:C$293,2,FALSE)="","NOT DECLARED",VLOOKUP(F193,Declarations!B$6:C$293,2,FALSE)))</f>
        <v/>
      </c>
      <c r="J193" s="2">
        <f>IF(LOWER(LEFT(G193,1))="n",1,VLOOKUP(G193,ScoringTable!E$2:I$95,5))</f>
        <v>0</v>
      </c>
      <c r="K193" s="120" t="str" cm="1">
        <f t="array" ref="K193">IF(OR(E193="",G193=""),"",_xlfn.IFS(E193="U10B",_xlfn.XLOOKUP(G193,Data!$D$4:$L$4,Data!$D$1:$L$1,"",-1,1),E193="U12B",_xlfn.XLOOKUP(G193,Data!$D$11:$L$11,Data!$D$1:$L$1,"",-1,1),E193="U10G",_xlfn.XLOOKUP(G193,Data!$D$17:$L$17,Data!$D$1:$L$1,"",-1,1),E193="U12G",_xlfn.XLOOKUP(G193,Data!$D$24:$L$24,Data!$D$1:$L$1,"",-1,1)))</f>
        <v/>
      </c>
      <c r="L193" s="184" t="str" cm="1">
        <f t="array" ref="L193">IFERROR(_xlfn.IFNA(
                      _xlfn.IFS(
                      F193="", "",
                      AND(E193="U10B",G193&gt;=Data!$M$4), "U10 Boys record",
                      AND(E193="U12B",G193&gt;=Data!$M$11), "U12 Boys record",
                      AND(E193="U10G",G193&gt;=Data!$M$17), "U10 Girls record",
                      AND(E193="U12G",G193&gt;=Data!$M$24), "U12 Girls record"
                       ),""), "")</f>
        <v/>
      </c>
      <c r="M193" s="19" cm="1">
        <f t="array" ref="M193">_xlfn.IFS($G193="",0,AND(NOT(ISNUMBER($G193)),LOWER(LEFT($G193,1))&lt;&gt;"n"),"Not a valid distance",OR(LOWER(LEFT($G193,1))="n",$G193&lt;ScoringTable!$P$161),1,RIGHT($E193,1)="B",_xlfn.XLOOKUP($G193,ScoringTable!$P$2:$P$161,ScoringTable!$L$2:$L$161,,-1),TRUE,_xlfn.XLOOKUP($G193,ScoringTable!$V$2:$V$161,ScoringTable!$R$2:$R$161,,-1))</f>
        <v>0</v>
      </c>
    </row>
    <row r="194" spans="1:13" ht="16" customHeight="1">
      <c r="A194" s="82" t="s">
        <v>27</v>
      </c>
      <c r="B194" s="81" t="str">
        <f>IF(ISNA(VLOOKUP($F194,Declarations!B$6:C$293,2,FALSE)),"",IF(VLOOKUP($F194,Declarations!B$6:C$293,2,FALSE)="","NOT DECLARED",IF(ISNA(_xlfn.TEXTBEFORE(VLOOKUP($F194,Declarations!B$6:C$293,2,FALSE)," ")),VLOOKUP($F194,Declarations!B$6:C$293,2,FALSE),_xlfn.TEXTBEFORE(VLOOKUP($F194,Declarations!B$6:C$293,2,FALSE)," "))))</f>
        <v/>
      </c>
      <c r="C194" s="81" t="str">
        <f>IF(ISNA(VLOOKUP($F194,Declarations!B$6:C$293,2,FALSE)),"",IF(VLOOKUP($F194,Declarations!B$6:C$293,2,FALSE)="","NOT DECLARED",IF(ISNA(_xlfn.TEXTAFTER(VLOOKUP($F194,Declarations!B$6:C$293,2,FALSE)," ")),VLOOKUP($F194,Declarations!B$6:C$293,2,FALSE),_xlfn.TEXTAFTER(VLOOKUP($F194,Declarations!B$6:C$293,2,FALSE)," "))))</f>
        <v/>
      </c>
      <c r="D194" s="81" t="str">
        <f>IF(ISNA(VLOOKUP($F194,Declarations!$B$6:$F$293,5,FALSE)),"",IF(VLOOKUP($F194,Declarations!$B$6:$F$293,5,FALSE)="","NOT DECLARED",VLOOKUP($F194,Declarations!$B$6:$F$293,5,FALSE)))</f>
        <v/>
      </c>
      <c r="E194" s="120" t="str">
        <f>IF(ISNA(VLOOKUP($F194,Declarations!$B$6:$D$293,3,FALSE)),"",IF(VLOOKUP($F194,Declarations!$B$6:$D$293,3,FALSE)="","NOT DECLARED",VLOOKUP($F194,Declarations!$B$6:$D$293,3,FALSE)&amp;LEFT(VLOOKUP($F194,Declarations!$B$6:$E$293,4,FALSE))))</f>
        <v/>
      </c>
      <c r="F194" s="21"/>
      <c r="G194" s="22"/>
      <c r="H194" s="322"/>
      <c r="I194" s="8" t="str">
        <f>IF(ISNA(VLOOKUP(F194,Declarations!B$6:C$293,2,FALSE)),"",IF(VLOOKUP(F194,Declarations!B$6:C$293,2,FALSE)="","NOT DECLARED",VLOOKUP(F194,Declarations!B$6:C$293,2,FALSE)))</f>
        <v/>
      </c>
      <c r="J194" s="2">
        <f>IF(LOWER(LEFT(G194,1))="n",1,VLOOKUP(G194,ScoringTable!E$2:I$95,5))</f>
        <v>0</v>
      </c>
      <c r="K194" s="120" t="str" cm="1">
        <f t="array" ref="K194">IF(OR(E194="",G194=""),"",_xlfn.IFS(E194="U10B",_xlfn.XLOOKUP(G194,Data!$D$4:$L$4,Data!$D$1:$L$1,"",-1,1),E194="U12B",_xlfn.XLOOKUP(G194,Data!$D$11:$L$11,Data!$D$1:$L$1,"",-1,1),E194="U10G",_xlfn.XLOOKUP(G194,Data!$D$17:$L$17,Data!$D$1:$L$1,"",-1,1),E194="U12G",_xlfn.XLOOKUP(G194,Data!$D$24:$L$24,Data!$D$1:$L$1,"",-1,1)))</f>
        <v/>
      </c>
      <c r="L194" s="184" t="str" cm="1">
        <f t="array" ref="L194">IFERROR(_xlfn.IFNA(
                      _xlfn.IFS(
                      F194="", "",
                      AND(E194="U10B",G194&gt;=Data!$M$4), "U10 Boys record",
                      AND(E194="U12B",G194&gt;=Data!$M$11), "U12 Boys record",
                      AND(E194="U10G",G194&gt;=Data!$M$17), "U10 Girls record",
                      AND(E194="U12G",G194&gt;=Data!$M$24), "U12 Girls record"
                       ),""), "")</f>
        <v/>
      </c>
      <c r="M194" s="19" cm="1">
        <f t="array" ref="M194">_xlfn.IFS($G194="",0,AND(NOT(ISNUMBER($G194)),LOWER(LEFT($G194,1))&lt;&gt;"n"),"Not a valid distance",OR(LOWER(LEFT($G194,1))="n",$G194&lt;ScoringTable!$P$161),1,RIGHT($E194,1)="B",_xlfn.XLOOKUP($G194,ScoringTable!$P$2:$P$161,ScoringTable!$L$2:$L$161,,-1),TRUE,_xlfn.XLOOKUP($G194,ScoringTable!$V$2:$V$161,ScoringTable!$R$2:$R$161,,-1))</f>
        <v>0</v>
      </c>
    </row>
    <row r="195" spans="1:13" ht="16" customHeight="1">
      <c r="A195" s="82" t="s">
        <v>27</v>
      </c>
      <c r="B195" s="81" t="str">
        <f>IF(ISNA(VLOOKUP($F195,Declarations!B$6:C$293,2,FALSE)),"",IF(VLOOKUP($F195,Declarations!B$6:C$293,2,FALSE)="","NOT DECLARED",IF(ISNA(_xlfn.TEXTBEFORE(VLOOKUP($F195,Declarations!B$6:C$293,2,FALSE)," ")),VLOOKUP($F195,Declarations!B$6:C$293,2,FALSE),_xlfn.TEXTBEFORE(VLOOKUP($F195,Declarations!B$6:C$293,2,FALSE)," "))))</f>
        <v/>
      </c>
      <c r="C195" s="81" t="str">
        <f>IF(ISNA(VLOOKUP($F195,Declarations!B$6:C$293,2,FALSE)),"",IF(VLOOKUP($F195,Declarations!B$6:C$293,2,FALSE)="","NOT DECLARED",IF(ISNA(_xlfn.TEXTAFTER(VLOOKUP($F195,Declarations!B$6:C$293,2,FALSE)," ")),VLOOKUP($F195,Declarations!B$6:C$293,2,FALSE),_xlfn.TEXTAFTER(VLOOKUP($F195,Declarations!B$6:C$293,2,FALSE)," "))))</f>
        <v/>
      </c>
      <c r="D195" s="81" t="str">
        <f>IF(ISNA(VLOOKUP($F195,Declarations!$B$6:$F$293,5,FALSE)),"",IF(VLOOKUP($F195,Declarations!$B$6:$F$293,5,FALSE)="","NOT DECLARED",VLOOKUP($F195,Declarations!$B$6:$F$293,5,FALSE)))</f>
        <v/>
      </c>
      <c r="E195" s="120" t="str">
        <f>IF(ISNA(VLOOKUP($F195,Declarations!$B$6:$D$293,3,FALSE)),"",IF(VLOOKUP($F195,Declarations!$B$6:$D$293,3,FALSE)="","NOT DECLARED",VLOOKUP($F195,Declarations!$B$6:$D$293,3,FALSE)&amp;LEFT(VLOOKUP($F195,Declarations!$B$6:$E$293,4,FALSE))))</f>
        <v/>
      </c>
      <c r="F195" s="21"/>
      <c r="G195" s="22"/>
      <c r="H195" s="322"/>
      <c r="I195" s="8" t="str">
        <f>IF(ISNA(VLOOKUP(F195,Declarations!B$6:C$293,2,FALSE)),"",IF(VLOOKUP(F195,Declarations!B$6:C$293,2,FALSE)="","NOT DECLARED",VLOOKUP(F195,Declarations!B$6:C$293,2,FALSE)))</f>
        <v/>
      </c>
      <c r="J195" s="2">
        <f>IF(LOWER(LEFT(G195,1))="n",1,VLOOKUP(G195,ScoringTable!E$2:I$95,5))</f>
        <v>0</v>
      </c>
      <c r="K195" s="120" t="str" cm="1">
        <f t="array" ref="K195">IF(OR(E195="",G195=""),"",_xlfn.IFS(E195="U10B",_xlfn.XLOOKUP(G195,Data!$D$4:$L$4,Data!$D$1:$L$1,"",-1,1),E195="U12B",_xlfn.XLOOKUP(G195,Data!$D$11:$L$11,Data!$D$1:$L$1,"",-1,1),E195="U10G",_xlfn.XLOOKUP(G195,Data!$D$17:$L$17,Data!$D$1:$L$1,"",-1,1),E195="U12G",_xlfn.XLOOKUP(G195,Data!$D$24:$L$24,Data!$D$1:$L$1,"",-1,1)))</f>
        <v/>
      </c>
      <c r="L195" s="184" t="str" cm="1">
        <f t="array" ref="L195">IFERROR(_xlfn.IFNA(
                      _xlfn.IFS(
                      F195="", "",
                      AND(E195="U10B",G195&gt;=Data!$M$4), "U10 Boys record",
                      AND(E195="U12B",G195&gt;=Data!$M$11), "U12 Boys record",
                      AND(E195="U10G",G195&gt;=Data!$M$17), "U10 Girls record",
                      AND(E195="U12G",G195&gt;=Data!$M$24), "U12 Girls record"
                       ),""), "")</f>
        <v/>
      </c>
      <c r="M195" s="19" cm="1">
        <f t="array" ref="M195">_xlfn.IFS($G195="",0,AND(NOT(ISNUMBER($G195)),LOWER(LEFT($G195,1))&lt;&gt;"n"),"Not a valid distance",OR(LOWER(LEFT($G195,1))="n",$G195&lt;ScoringTable!$P$161),1,RIGHT($E195,1)="B",_xlfn.XLOOKUP($G195,ScoringTable!$P$2:$P$161,ScoringTable!$L$2:$L$161,,-1),TRUE,_xlfn.XLOOKUP($G195,ScoringTable!$V$2:$V$161,ScoringTable!$R$2:$R$161,,-1))</f>
        <v>0</v>
      </c>
    </row>
    <row r="196" spans="1:13" ht="16" customHeight="1">
      <c r="A196" s="82" t="s">
        <v>27</v>
      </c>
      <c r="B196" s="81" t="str">
        <f>IF(ISNA(VLOOKUP($F196,Declarations!B$6:C$293,2,FALSE)),"",IF(VLOOKUP($F196,Declarations!B$6:C$293,2,FALSE)="","NOT DECLARED",IF(ISNA(_xlfn.TEXTBEFORE(VLOOKUP($F196,Declarations!B$6:C$293,2,FALSE)," ")),VLOOKUP($F196,Declarations!B$6:C$293,2,FALSE),_xlfn.TEXTBEFORE(VLOOKUP($F196,Declarations!B$6:C$293,2,FALSE)," "))))</f>
        <v/>
      </c>
      <c r="C196" s="81" t="str">
        <f>IF(ISNA(VLOOKUP($F196,Declarations!B$6:C$293,2,FALSE)),"",IF(VLOOKUP($F196,Declarations!B$6:C$293,2,FALSE)="","NOT DECLARED",IF(ISNA(_xlfn.TEXTAFTER(VLOOKUP($F196,Declarations!B$6:C$293,2,FALSE)," ")),VLOOKUP($F196,Declarations!B$6:C$293,2,FALSE),_xlfn.TEXTAFTER(VLOOKUP($F196,Declarations!B$6:C$293,2,FALSE)," "))))</f>
        <v/>
      </c>
      <c r="D196" s="81" t="str">
        <f>IF(ISNA(VLOOKUP($F196,Declarations!$B$6:$F$293,5,FALSE)),"",IF(VLOOKUP($F196,Declarations!$B$6:$F$293,5,FALSE)="","NOT DECLARED",VLOOKUP($F196,Declarations!$B$6:$F$293,5,FALSE)))</f>
        <v/>
      </c>
      <c r="E196" s="120" t="str">
        <f>IF(ISNA(VLOOKUP($F196,Declarations!$B$6:$D$293,3,FALSE)),"",IF(VLOOKUP($F196,Declarations!$B$6:$D$293,3,FALSE)="","NOT DECLARED",VLOOKUP($F196,Declarations!$B$6:$D$293,3,FALSE)&amp;LEFT(VLOOKUP($F196,Declarations!$B$6:$E$293,4,FALSE))))</f>
        <v/>
      </c>
      <c r="F196" s="21"/>
      <c r="G196" s="22"/>
      <c r="H196" s="322"/>
      <c r="I196" s="8" t="str">
        <f>IF(ISNA(VLOOKUP(F196,Declarations!B$6:C$293,2,FALSE)),"",IF(VLOOKUP(F196,Declarations!B$6:C$293,2,FALSE)="","NOT DECLARED",VLOOKUP(F196,Declarations!B$6:C$293,2,FALSE)))</f>
        <v/>
      </c>
      <c r="J196" s="2">
        <f>IF(LOWER(LEFT(G196,1))="n",1,VLOOKUP(G196,ScoringTable!E$2:I$95,5))</f>
        <v>0</v>
      </c>
      <c r="K196" s="120" t="str" cm="1">
        <f t="array" ref="K196">IF(OR(E196="",G196=""),"",_xlfn.IFS(E196="U10B",_xlfn.XLOOKUP(G196,Data!$D$4:$L$4,Data!$D$1:$L$1,"",-1,1),E196="U12B",_xlfn.XLOOKUP(G196,Data!$D$11:$L$11,Data!$D$1:$L$1,"",-1,1),E196="U10G",_xlfn.XLOOKUP(G196,Data!$D$17:$L$17,Data!$D$1:$L$1,"",-1,1),E196="U12G",_xlfn.XLOOKUP(G196,Data!$D$24:$L$24,Data!$D$1:$L$1,"",-1,1)))</f>
        <v/>
      </c>
      <c r="L196" s="184" t="str" cm="1">
        <f t="array" ref="L196">IFERROR(_xlfn.IFNA(
                      _xlfn.IFS(
                      F196="", "",
                      AND(E196="U10B",G196&gt;=Data!$M$4), "U10 Boys record",
                      AND(E196="U12B",G196&gt;=Data!$M$11), "U12 Boys record",
                      AND(E196="U10G",G196&gt;=Data!$M$17), "U10 Girls record",
                      AND(E196="U12G",G196&gt;=Data!$M$24), "U12 Girls record"
                       ),""), "")</f>
        <v/>
      </c>
      <c r="M196" s="19" cm="1">
        <f t="array" ref="M196">_xlfn.IFS($G196="",0,AND(NOT(ISNUMBER($G196)),LOWER(LEFT($G196,1))&lt;&gt;"n"),"Not a valid distance",OR(LOWER(LEFT($G196,1))="n",$G196&lt;ScoringTable!$P$161),1,RIGHT($E196,1)="B",_xlfn.XLOOKUP($G196,ScoringTable!$P$2:$P$161,ScoringTable!$L$2:$L$161,,-1),TRUE,_xlfn.XLOOKUP($G196,ScoringTable!$V$2:$V$161,ScoringTable!$R$2:$R$161,,-1))</f>
        <v>0</v>
      </c>
    </row>
    <row r="197" spans="1:13" ht="16" customHeight="1">
      <c r="A197" s="82" t="s">
        <v>27</v>
      </c>
      <c r="B197" s="81" t="str">
        <f>IF(ISNA(VLOOKUP($F197,Declarations!B$6:C$293,2,FALSE)),"",IF(VLOOKUP($F197,Declarations!B$6:C$293,2,FALSE)="","NOT DECLARED",IF(ISNA(_xlfn.TEXTBEFORE(VLOOKUP($F197,Declarations!B$6:C$293,2,FALSE)," ")),VLOOKUP($F197,Declarations!B$6:C$293,2,FALSE),_xlfn.TEXTBEFORE(VLOOKUP($F197,Declarations!B$6:C$293,2,FALSE)," "))))</f>
        <v/>
      </c>
      <c r="C197" s="81" t="str">
        <f>IF(ISNA(VLOOKUP($F197,Declarations!B$6:C$293,2,FALSE)),"",IF(VLOOKUP($F197,Declarations!B$6:C$293,2,FALSE)="","NOT DECLARED",IF(ISNA(_xlfn.TEXTAFTER(VLOOKUP($F197,Declarations!B$6:C$293,2,FALSE)," ")),VLOOKUP($F197,Declarations!B$6:C$293,2,FALSE),_xlfn.TEXTAFTER(VLOOKUP($F197,Declarations!B$6:C$293,2,FALSE)," "))))</f>
        <v/>
      </c>
      <c r="D197" s="81" t="str">
        <f>IF(ISNA(VLOOKUP($F197,Declarations!$B$6:$F$293,5,FALSE)),"",IF(VLOOKUP($F197,Declarations!$B$6:$F$293,5,FALSE)="","NOT DECLARED",VLOOKUP($F197,Declarations!$B$6:$F$293,5,FALSE)))</f>
        <v/>
      </c>
      <c r="E197" s="120" t="str">
        <f>IF(ISNA(VLOOKUP($F197,Declarations!$B$6:$D$293,3,FALSE)),"",IF(VLOOKUP($F197,Declarations!$B$6:$D$293,3,FALSE)="","NOT DECLARED",VLOOKUP($F197,Declarations!$B$6:$D$293,3,FALSE)&amp;LEFT(VLOOKUP($F197,Declarations!$B$6:$E$293,4,FALSE))))</f>
        <v/>
      </c>
      <c r="F197" s="21"/>
      <c r="G197" s="22"/>
      <c r="H197" s="322"/>
      <c r="I197" s="8" t="str">
        <f>IF(ISNA(VLOOKUP(F197,Declarations!B$6:C$293,2,FALSE)),"",IF(VLOOKUP(F197,Declarations!B$6:C$293,2,FALSE)="","NOT DECLARED",VLOOKUP(F197,Declarations!B$6:C$293,2,FALSE)))</f>
        <v/>
      </c>
      <c r="J197" s="2">
        <f>IF(LOWER(LEFT(G197,1))="n",1,VLOOKUP(G197,ScoringTable!E$2:I$95,5))</f>
        <v>0</v>
      </c>
      <c r="K197" s="120" t="str" cm="1">
        <f t="array" ref="K197">IF(OR(E197="",G197=""),"",_xlfn.IFS(E197="U10B",_xlfn.XLOOKUP(G197,Data!$D$4:$L$4,Data!$D$1:$L$1,"",-1,1),E197="U12B",_xlfn.XLOOKUP(G197,Data!$D$11:$L$11,Data!$D$1:$L$1,"",-1,1),E197="U10G",_xlfn.XLOOKUP(G197,Data!$D$17:$L$17,Data!$D$1:$L$1,"",-1,1),E197="U12G",_xlfn.XLOOKUP(G197,Data!$D$24:$L$24,Data!$D$1:$L$1,"",-1,1)))</f>
        <v/>
      </c>
      <c r="L197" s="184" t="str" cm="1">
        <f t="array" ref="L197">IFERROR(_xlfn.IFNA(
                      _xlfn.IFS(
                      F197="", "",
                      AND(E197="U10B",G197&gt;=Data!$M$4), "U10 Boys record",
                      AND(E197="U12B",G197&gt;=Data!$M$11), "U12 Boys record",
                      AND(E197="U10G",G197&gt;=Data!$M$17), "U10 Girls record",
                      AND(E197="U12G",G197&gt;=Data!$M$24), "U12 Girls record"
                       ),""), "")</f>
        <v/>
      </c>
      <c r="M197" s="19" cm="1">
        <f t="array" ref="M197">_xlfn.IFS($G197="",0,AND(NOT(ISNUMBER($G197)),LOWER(LEFT($G197,1))&lt;&gt;"n"),"Not a valid distance",OR(LOWER(LEFT($G197,1))="n",$G197&lt;ScoringTable!$P$161),1,RIGHT($E197,1)="B",_xlfn.XLOOKUP($G197,ScoringTable!$P$2:$P$161,ScoringTable!$L$2:$L$161,,-1),TRUE,_xlfn.XLOOKUP($G197,ScoringTable!$V$2:$V$161,ScoringTable!$R$2:$R$161,,-1))</f>
        <v>0</v>
      </c>
    </row>
    <row r="198" spans="1:13" ht="16" customHeight="1">
      <c r="A198" s="82" t="s">
        <v>27</v>
      </c>
      <c r="B198" s="81" t="str">
        <f>IF(ISNA(VLOOKUP($F198,Declarations!B$6:C$293,2,FALSE)),"",IF(VLOOKUP($F198,Declarations!B$6:C$293,2,FALSE)="","NOT DECLARED",IF(ISNA(_xlfn.TEXTBEFORE(VLOOKUP($F198,Declarations!B$6:C$293,2,FALSE)," ")),VLOOKUP($F198,Declarations!B$6:C$293,2,FALSE),_xlfn.TEXTBEFORE(VLOOKUP($F198,Declarations!B$6:C$293,2,FALSE)," "))))</f>
        <v/>
      </c>
      <c r="C198" s="81" t="str">
        <f>IF(ISNA(VLOOKUP($F198,Declarations!B$6:C$293,2,FALSE)),"",IF(VLOOKUP($F198,Declarations!B$6:C$293,2,FALSE)="","NOT DECLARED",IF(ISNA(_xlfn.TEXTAFTER(VLOOKUP($F198,Declarations!B$6:C$293,2,FALSE)," ")),VLOOKUP($F198,Declarations!B$6:C$293,2,FALSE),_xlfn.TEXTAFTER(VLOOKUP($F198,Declarations!B$6:C$293,2,FALSE)," "))))</f>
        <v/>
      </c>
      <c r="D198" s="81" t="str">
        <f>IF(ISNA(VLOOKUP($F198,Declarations!$B$6:$F$293,5,FALSE)),"",IF(VLOOKUP($F198,Declarations!$B$6:$F$293,5,FALSE)="","NOT DECLARED",VLOOKUP($F198,Declarations!$B$6:$F$293,5,FALSE)))</f>
        <v/>
      </c>
      <c r="E198" s="120" t="str">
        <f>IF(ISNA(VLOOKUP($F198,Declarations!$B$6:$D$293,3,FALSE)),"",IF(VLOOKUP($F198,Declarations!$B$6:$D$293,3,FALSE)="","NOT DECLARED",VLOOKUP($F198,Declarations!$B$6:$D$293,3,FALSE)&amp;LEFT(VLOOKUP($F198,Declarations!$B$6:$E$293,4,FALSE))))</f>
        <v/>
      </c>
      <c r="F198" s="21"/>
      <c r="G198" s="22"/>
      <c r="H198" s="322"/>
      <c r="I198" s="8" t="str">
        <f>IF(ISNA(VLOOKUP(F198,Declarations!B$6:C$293,2,FALSE)),"",IF(VLOOKUP(F198,Declarations!B$6:C$293,2,FALSE)="","NOT DECLARED",VLOOKUP(F198,Declarations!B$6:C$293,2,FALSE)))</f>
        <v/>
      </c>
      <c r="J198" s="2">
        <f>IF(LOWER(LEFT(G198,1))="n",1,VLOOKUP(G198,ScoringTable!E$2:I$95,5))</f>
        <v>0</v>
      </c>
      <c r="K198" s="120" t="str" cm="1">
        <f t="array" ref="K198">IF(OR(E198="",G198=""),"",_xlfn.IFS(E198="U10B",_xlfn.XLOOKUP(G198,Data!$D$4:$L$4,Data!$D$1:$L$1,"",-1,1),E198="U12B",_xlfn.XLOOKUP(G198,Data!$D$11:$L$11,Data!$D$1:$L$1,"",-1,1),E198="U10G",_xlfn.XLOOKUP(G198,Data!$D$17:$L$17,Data!$D$1:$L$1,"",-1,1),E198="U12G",_xlfn.XLOOKUP(G198,Data!$D$24:$L$24,Data!$D$1:$L$1,"",-1,1)))</f>
        <v/>
      </c>
      <c r="L198" s="184" t="str" cm="1">
        <f t="array" ref="L198">IFERROR(_xlfn.IFNA(
                      _xlfn.IFS(
                      F198="", "",
                      AND(E198="U10B",G198&gt;=Data!$M$4), "U10 Boys record",
                      AND(E198="U12B",G198&gt;=Data!$M$11), "U12 Boys record",
                      AND(E198="U10G",G198&gt;=Data!$M$17), "U10 Girls record",
                      AND(E198="U12G",G198&gt;=Data!$M$24), "U12 Girls record"
                       ),""), "")</f>
        <v/>
      </c>
      <c r="M198" s="19" cm="1">
        <f t="array" ref="M198">_xlfn.IFS($G198="",0,AND(NOT(ISNUMBER($G198)),LOWER(LEFT($G198,1))&lt;&gt;"n"),"Not a valid distance",OR(LOWER(LEFT($G198,1))="n",$G198&lt;ScoringTable!$P$161),1,RIGHT($E198,1)="B",_xlfn.XLOOKUP($G198,ScoringTable!$P$2:$P$161,ScoringTable!$L$2:$L$161,,-1),TRUE,_xlfn.XLOOKUP($G198,ScoringTable!$V$2:$V$161,ScoringTable!$R$2:$R$161,,-1))</f>
        <v>0</v>
      </c>
    </row>
    <row r="199" spans="1:13" ht="16" customHeight="1">
      <c r="A199" s="82" t="s">
        <v>27</v>
      </c>
      <c r="B199" s="81" t="str">
        <f>IF(ISNA(VLOOKUP($F199,Declarations!B$6:C$293,2,FALSE)),"",IF(VLOOKUP($F199,Declarations!B$6:C$293,2,FALSE)="","NOT DECLARED",IF(ISNA(_xlfn.TEXTBEFORE(VLOOKUP($F199,Declarations!B$6:C$293,2,FALSE)," ")),VLOOKUP($F199,Declarations!B$6:C$293,2,FALSE),_xlfn.TEXTBEFORE(VLOOKUP($F199,Declarations!B$6:C$293,2,FALSE)," "))))</f>
        <v/>
      </c>
      <c r="C199" s="81" t="str">
        <f>IF(ISNA(VLOOKUP($F199,Declarations!B$6:C$293,2,FALSE)),"",IF(VLOOKUP($F199,Declarations!B$6:C$293,2,FALSE)="","NOT DECLARED",IF(ISNA(_xlfn.TEXTAFTER(VLOOKUP($F199,Declarations!B$6:C$293,2,FALSE)," ")),VLOOKUP($F199,Declarations!B$6:C$293,2,FALSE),_xlfn.TEXTAFTER(VLOOKUP($F199,Declarations!B$6:C$293,2,FALSE)," "))))</f>
        <v/>
      </c>
      <c r="D199" s="81" t="str">
        <f>IF(ISNA(VLOOKUP($F199,Declarations!$B$6:$F$293,5,FALSE)),"",IF(VLOOKUP($F199,Declarations!$B$6:$F$293,5,FALSE)="","NOT DECLARED",VLOOKUP($F199,Declarations!$B$6:$F$293,5,FALSE)))</f>
        <v/>
      </c>
      <c r="E199" s="120" t="str">
        <f>IF(ISNA(VLOOKUP($F199,Declarations!$B$6:$D$293,3,FALSE)),"",IF(VLOOKUP($F199,Declarations!$B$6:$D$293,3,FALSE)="","NOT DECLARED",VLOOKUP($F199,Declarations!$B$6:$D$293,3,FALSE)&amp;LEFT(VLOOKUP($F199,Declarations!$B$6:$E$293,4,FALSE))))</f>
        <v/>
      </c>
      <c r="F199" s="21"/>
      <c r="G199" s="22"/>
      <c r="H199" s="322"/>
      <c r="I199" s="8" t="str">
        <f>IF(ISNA(VLOOKUP(F199,Declarations!B$6:C$293,2,FALSE)),"",IF(VLOOKUP(F199,Declarations!B$6:C$293,2,FALSE)="","NOT DECLARED",VLOOKUP(F199,Declarations!B$6:C$293,2,FALSE)))</f>
        <v/>
      </c>
      <c r="J199" s="2">
        <f>IF(LOWER(LEFT(G199,1))="n",1,VLOOKUP(G199,ScoringTable!E$2:I$95,5))</f>
        <v>0</v>
      </c>
      <c r="K199" s="120" t="str" cm="1">
        <f t="array" ref="K199">IF(OR(E199="",G199=""),"",_xlfn.IFS(E199="U10B",_xlfn.XLOOKUP(G199,Data!$D$4:$L$4,Data!$D$1:$L$1,"",-1,1),E199="U12B",_xlfn.XLOOKUP(G199,Data!$D$11:$L$11,Data!$D$1:$L$1,"",-1,1),E199="U10G",_xlfn.XLOOKUP(G199,Data!$D$17:$L$17,Data!$D$1:$L$1,"",-1,1),E199="U12G",_xlfn.XLOOKUP(G199,Data!$D$24:$L$24,Data!$D$1:$L$1,"",-1,1)))</f>
        <v/>
      </c>
      <c r="L199" s="184" t="str" cm="1">
        <f t="array" ref="L199">IFERROR(_xlfn.IFNA(
                      _xlfn.IFS(
                      F199="", "",
                      AND(E199="U10B",G199&gt;=Data!$M$4), "U10 Boys record",
                      AND(E199="U12B",G199&gt;=Data!$M$11), "U12 Boys record",
                      AND(E199="U10G",G199&gt;=Data!$M$17), "U10 Girls record",
                      AND(E199="U12G",G199&gt;=Data!$M$24), "U12 Girls record"
                       ),""), "")</f>
        <v/>
      </c>
      <c r="M199" s="19" cm="1">
        <f t="array" ref="M199">_xlfn.IFS($G199="",0,AND(NOT(ISNUMBER($G199)),LOWER(LEFT($G199,1))&lt;&gt;"n"),"Not a valid distance",OR(LOWER(LEFT($G199,1))="n",$G199&lt;ScoringTable!$P$161),1,RIGHT($E199,1)="B",_xlfn.XLOOKUP($G199,ScoringTable!$P$2:$P$161,ScoringTable!$L$2:$L$161,,-1),TRUE,_xlfn.XLOOKUP($G199,ScoringTable!$V$2:$V$161,ScoringTable!$R$2:$R$161,,-1))</f>
        <v>0</v>
      </c>
    </row>
    <row r="200" spans="1:13" ht="16" customHeight="1">
      <c r="A200" s="82" t="s">
        <v>27</v>
      </c>
      <c r="B200" s="81" t="str">
        <f>IF(ISNA(VLOOKUP($F200,Declarations!B$6:C$293,2,FALSE)),"",IF(VLOOKUP($F200,Declarations!B$6:C$293,2,FALSE)="","NOT DECLARED",IF(ISNA(_xlfn.TEXTBEFORE(VLOOKUP($F200,Declarations!B$6:C$293,2,FALSE)," ")),VLOOKUP($F200,Declarations!B$6:C$293,2,FALSE),_xlfn.TEXTBEFORE(VLOOKUP($F200,Declarations!B$6:C$293,2,FALSE)," "))))</f>
        <v/>
      </c>
      <c r="C200" s="81" t="str">
        <f>IF(ISNA(VLOOKUP($F200,Declarations!B$6:C$293,2,FALSE)),"",IF(VLOOKUP($F200,Declarations!B$6:C$293,2,FALSE)="","NOT DECLARED",IF(ISNA(_xlfn.TEXTAFTER(VLOOKUP($F200,Declarations!B$6:C$293,2,FALSE)," ")),VLOOKUP($F200,Declarations!B$6:C$293,2,FALSE),_xlfn.TEXTAFTER(VLOOKUP($F200,Declarations!B$6:C$293,2,FALSE)," "))))</f>
        <v/>
      </c>
      <c r="D200" s="81" t="str">
        <f>IF(ISNA(VLOOKUP($F200,Declarations!$B$6:$F$293,5,FALSE)),"",IF(VLOOKUP($F200,Declarations!$B$6:$F$293,5,FALSE)="","NOT DECLARED",VLOOKUP($F200,Declarations!$B$6:$F$293,5,FALSE)))</f>
        <v/>
      </c>
      <c r="E200" s="120" t="str">
        <f>IF(ISNA(VLOOKUP($F200,Declarations!$B$6:$D$293,3,FALSE)),"",IF(VLOOKUP($F200,Declarations!$B$6:$D$293,3,FALSE)="","NOT DECLARED",VLOOKUP($F200,Declarations!$B$6:$D$293,3,FALSE)&amp;LEFT(VLOOKUP($F200,Declarations!$B$6:$E$293,4,FALSE))))</f>
        <v/>
      </c>
      <c r="F200" s="21"/>
      <c r="G200" s="22"/>
      <c r="H200" s="322"/>
      <c r="I200" s="8" t="str">
        <f>IF(ISNA(VLOOKUP(F200,Declarations!B$6:C$293,2,FALSE)),"",IF(VLOOKUP(F200,Declarations!B$6:C$293,2,FALSE)="","NOT DECLARED",VLOOKUP(F200,Declarations!B$6:C$293,2,FALSE)))</f>
        <v/>
      </c>
      <c r="J200" s="2">
        <f>IF(LOWER(LEFT(G200,1))="n",1,VLOOKUP(G200,ScoringTable!E$2:I$95,5))</f>
        <v>0</v>
      </c>
      <c r="K200" s="120" t="str" cm="1">
        <f t="array" ref="K200">IF(OR(E200="",G200=""),"",_xlfn.IFS(E200="U10B",_xlfn.XLOOKUP(G200,Data!$D$4:$L$4,Data!$D$1:$L$1,"",-1,1),E200="U12B",_xlfn.XLOOKUP(G200,Data!$D$11:$L$11,Data!$D$1:$L$1,"",-1,1),E200="U10G",_xlfn.XLOOKUP(G200,Data!$D$17:$L$17,Data!$D$1:$L$1,"",-1,1),E200="U12G",_xlfn.XLOOKUP(G200,Data!$D$24:$L$24,Data!$D$1:$L$1,"",-1,1)))</f>
        <v/>
      </c>
      <c r="L200" s="184" t="str" cm="1">
        <f t="array" ref="L200">IFERROR(_xlfn.IFNA(
                      _xlfn.IFS(
                      F200="", "",
                      AND(E200="U10B",G200&gt;=Data!$M$4), "U10 Boys record",
                      AND(E200="U12B",G200&gt;=Data!$M$11), "U12 Boys record",
                      AND(E200="U10G",G200&gt;=Data!$M$17), "U10 Girls record",
                      AND(E200="U12G",G200&gt;=Data!$M$24), "U12 Girls record"
                       ),""), "")</f>
        <v/>
      </c>
      <c r="M200" s="19" cm="1">
        <f t="array" ref="M200">_xlfn.IFS($G200="",0,AND(NOT(ISNUMBER($G200)),LOWER(LEFT($G200,1))&lt;&gt;"n"),"Not a valid distance",OR(LOWER(LEFT($G200,1))="n",$G200&lt;ScoringTable!$P$161),1,RIGHT($E200,1)="B",_xlfn.XLOOKUP($G200,ScoringTable!$P$2:$P$161,ScoringTable!$L$2:$L$161,,-1),TRUE,_xlfn.XLOOKUP($G200,ScoringTable!$V$2:$V$161,ScoringTable!$R$2:$R$161,,-1))</f>
        <v>0</v>
      </c>
    </row>
    <row r="201" spans="1:13" ht="16" customHeight="1">
      <c r="A201" s="82" t="s">
        <v>27</v>
      </c>
      <c r="B201" s="81" t="str">
        <f>IF(ISNA(VLOOKUP($F201,Declarations!B$6:C$293,2,FALSE)),"",IF(VLOOKUP($F201,Declarations!B$6:C$293,2,FALSE)="","NOT DECLARED",IF(ISNA(_xlfn.TEXTBEFORE(VLOOKUP($F201,Declarations!B$6:C$293,2,FALSE)," ")),VLOOKUP($F201,Declarations!B$6:C$293,2,FALSE),_xlfn.TEXTBEFORE(VLOOKUP($F201,Declarations!B$6:C$293,2,FALSE)," "))))</f>
        <v/>
      </c>
      <c r="C201" s="81" t="str">
        <f>IF(ISNA(VLOOKUP($F201,Declarations!B$6:C$293,2,FALSE)),"",IF(VLOOKUP($F201,Declarations!B$6:C$293,2,FALSE)="","NOT DECLARED",IF(ISNA(_xlfn.TEXTAFTER(VLOOKUP($F201,Declarations!B$6:C$293,2,FALSE)," ")),VLOOKUP($F201,Declarations!B$6:C$293,2,FALSE),_xlfn.TEXTAFTER(VLOOKUP($F201,Declarations!B$6:C$293,2,FALSE)," "))))</f>
        <v/>
      </c>
      <c r="D201" s="81" t="str">
        <f>IF(ISNA(VLOOKUP($F201,Declarations!$B$6:$F$293,5,FALSE)),"",IF(VLOOKUP($F201,Declarations!$B$6:$F$293,5,FALSE)="","NOT DECLARED",VLOOKUP($F201,Declarations!$B$6:$F$293,5,FALSE)))</f>
        <v/>
      </c>
      <c r="E201" s="120" t="str">
        <f>IF(ISNA(VLOOKUP($F201,Declarations!$B$6:$D$293,3,FALSE)),"",IF(VLOOKUP($F201,Declarations!$B$6:$D$293,3,FALSE)="","NOT DECLARED",VLOOKUP($F201,Declarations!$B$6:$D$293,3,FALSE)&amp;LEFT(VLOOKUP($F201,Declarations!$B$6:$E$293,4,FALSE))))</f>
        <v/>
      </c>
      <c r="F201" s="21"/>
      <c r="G201" s="22"/>
      <c r="H201" s="322"/>
      <c r="I201" s="8" t="str">
        <f>IF(ISNA(VLOOKUP(F201,Declarations!B$6:C$293,2,FALSE)),"",IF(VLOOKUP(F201,Declarations!B$6:C$293,2,FALSE)="","NOT DECLARED",VLOOKUP(F201,Declarations!B$6:C$293,2,FALSE)))</f>
        <v/>
      </c>
      <c r="J201" s="2">
        <f>IF(LOWER(LEFT(G201,1))="n",1,VLOOKUP(G201,ScoringTable!E$2:I$95,5))</f>
        <v>0</v>
      </c>
      <c r="K201" s="120" t="str" cm="1">
        <f t="array" ref="K201">IF(OR(E201="",G201=""),"",_xlfn.IFS(E201="U10B",_xlfn.XLOOKUP(G201,Data!$D$4:$L$4,Data!$D$1:$L$1,"",-1,1),E201="U12B",_xlfn.XLOOKUP(G201,Data!$D$11:$L$11,Data!$D$1:$L$1,"",-1,1),E201="U10G",_xlfn.XLOOKUP(G201,Data!$D$17:$L$17,Data!$D$1:$L$1,"",-1,1),E201="U12G",_xlfn.XLOOKUP(G201,Data!$D$24:$L$24,Data!$D$1:$L$1,"",-1,1)))</f>
        <v/>
      </c>
      <c r="L201" s="184" t="str" cm="1">
        <f t="array" ref="L201">IFERROR(_xlfn.IFNA(
                      _xlfn.IFS(
                      F201="", "",
                      AND(E201="U10B",G201&gt;=Data!$M$4), "U10 Boys record",
                      AND(E201="U12B",G201&gt;=Data!$M$11), "U12 Boys record",
                      AND(E201="U10G",G201&gt;=Data!$M$17), "U10 Girls record",
                      AND(E201="U12G",G201&gt;=Data!$M$24), "U12 Girls record"
                       ),""), "")</f>
        <v/>
      </c>
      <c r="M201" s="19" cm="1">
        <f t="array" ref="M201">_xlfn.IFS($G201="",0,AND(NOT(ISNUMBER($G201)),LOWER(LEFT($G201,1))&lt;&gt;"n"),"Not a valid distance",OR(LOWER(LEFT($G201,1))="n",$G201&lt;ScoringTable!$P$161),1,RIGHT($E201,1)="B",_xlfn.XLOOKUP($G201,ScoringTable!$P$2:$P$161,ScoringTable!$L$2:$L$161,,-1),TRUE,_xlfn.XLOOKUP($G201,ScoringTable!$V$2:$V$161,ScoringTable!$R$2:$R$161,,-1))</f>
        <v>0</v>
      </c>
    </row>
    <row r="202" spans="1:13" ht="16" customHeight="1">
      <c r="A202" s="82" t="s">
        <v>27</v>
      </c>
      <c r="B202" s="81" t="str">
        <f>IF(ISNA(VLOOKUP($F202,Declarations!B$6:C$293,2,FALSE)),"",IF(VLOOKUP($F202,Declarations!B$6:C$293,2,FALSE)="","NOT DECLARED",IF(ISNA(_xlfn.TEXTBEFORE(VLOOKUP($F202,Declarations!B$6:C$293,2,FALSE)," ")),VLOOKUP($F202,Declarations!B$6:C$293,2,FALSE),_xlfn.TEXTBEFORE(VLOOKUP($F202,Declarations!B$6:C$293,2,FALSE)," "))))</f>
        <v/>
      </c>
      <c r="C202" s="81" t="str">
        <f>IF(ISNA(VLOOKUP($F202,Declarations!B$6:C$293,2,FALSE)),"",IF(VLOOKUP($F202,Declarations!B$6:C$293,2,FALSE)="","NOT DECLARED",IF(ISNA(_xlfn.TEXTAFTER(VLOOKUP($F202,Declarations!B$6:C$293,2,FALSE)," ")),VLOOKUP($F202,Declarations!B$6:C$293,2,FALSE),_xlfn.TEXTAFTER(VLOOKUP($F202,Declarations!B$6:C$293,2,FALSE)," "))))</f>
        <v/>
      </c>
      <c r="D202" s="81" t="str">
        <f>IF(ISNA(VLOOKUP($F202,Declarations!$B$6:$F$293,5,FALSE)),"",IF(VLOOKUP($F202,Declarations!$B$6:$F$293,5,FALSE)="","NOT DECLARED",VLOOKUP($F202,Declarations!$B$6:$F$293,5,FALSE)))</f>
        <v/>
      </c>
      <c r="E202" s="120" t="str">
        <f>IF(ISNA(VLOOKUP($F202,Declarations!$B$6:$D$293,3,FALSE)),"",IF(VLOOKUP($F202,Declarations!$B$6:$D$293,3,FALSE)="","NOT DECLARED",VLOOKUP($F202,Declarations!$B$6:$D$293,3,FALSE)&amp;LEFT(VLOOKUP($F202,Declarations!$B$6:$E$293,4,FALSE))))</f>
        <v/>
      </c>
      <c r="F202" s="21"/>
      <c r="G202" s="22"/>
      <c r="H202" s="322"/>
      <c r="I202" s="8" t="str">
        <f>IF(ISNA(VLOOKUP(F202,Declarations!B$6:C$293,2,FALSE)),"",IF(VLOOKUP(F202,Declarations!B$6:C$293,2,FALSE)="","NOT DECLARED",VLOOKUP(F202,Declarations!B$6:C$293,2,FALSE)))</f>
        <v/>
      </c>
      <c r="J202" s="2">
        <f>IF(LOWER(LEFT(G202,1))="n",1,VLOOKUP(G202,ScoringTable!E$2:I$95,5))</f>
        <v>0</v>
      </c>
      <c r="K202" s="120" t="str" cm="1">
        <f t="array" ref="K202">IF(OR(E202="",G202=""),"",_xlfn.IFS(E202="U10B",_xlfn.XLOOKUP(G202,Data!$D$4:$L$4,Data!$D$1:$L$1,"",-1,1),E202="U12B",_xlfn.XLOOKUP(G202,Data!$D$11:$L$11,Data!$D$1:$L$1,"",-1,1),E202="U10G",_xlfn.XLOOKUP(G202,Data!$D$17:$L$17,Data!$D$1:$L$1,"",-1,1),E202="U12G",_xlfn.XLOOKUP(G202,Data!$D$24:$L$24,Data!$D$1:$L$1,"",-1,1)))</f>
        <v/>
      </c>
      <c r="L202" s="184" t="str" cm="1">
        <f t="array" ref="L202">IFERROR(_xlfn.IFNA(
                      _xlfn.IFS(
                      F202="", "",
                      AND(E202="U10B",G202&gt;=Data!$M$4), "U10 Boys record",
                      AND(E202="U12B",G202&gt;=Data!$M$11), "U12 Boys record",
                      AND(E202="U10G",G202&gt;=Data!$M$17), "U10 Girls record",
                      AND(E202="U12G",G202&gt;=Data!$M$24), "U12 Girls record"
                       ),""), "")</f>
        <v/>
      </c>
      <c r="M202" s="19" cm="1">
        <f t="array" ref="M202">_xlfn.IFS($G202="",0,AND(NOT(ISNUMBER($G202)),LOWER(LEFT($G202,1))&lt;&gt;"n"),"Not a valid distance",OR(LOWER(LEFT($G202,1))="n",$G202&lt;ScoringTable!$P$161),1,RIGHT($E202,1)="B",_xlfn.XLOOKUP($G202,ScoringTable!$P$2:$P$161,ScoringTable!$L$2:$L$161,,-1),TRUE,_xlfn.XLOOKUP($G202,ScoringTable!$V$2:$V$161,ScoringTable!$R$2:$R$161,,-1))</f>
        <v>0</v>
      </c>
    </row>
    <row r="203" spans="1:13" ht="16" customHeight="1">
      <c r="A203" s="82" t="s">
        <v>27</v>
      </c>
      <c r="B203" s="81" t="str">
        <f>IF(ISNA(VLOOKUP($F203,Declarations!B$6:C$293,2,FALSE)),"",IF(VLOOKUP($F203,Declarations!B$6:C$293,2,FALSE)="","NOT DECLARED",IF(ISNA(_xlfn.TEXTBEFORE(VLOOKUP($F203,Declarations!B$6:C$293,2,FALSE)," ")),VLOOKUP($F203,Declarations!B$6:C$293,2,FALSE),_xlfn.TEXTBEFORE(VLOOKUP($F203,Declarations!B$6:C$293,2,FALSE)," "))))</f>
        <v/>
      </c>
      <c r="C203" s="81" t="str">
        <f>IF(ISNA(VLOOKUP($F203,Declarations!B$6:C$293,2,FALSE)),"",IF(VLOOKUP($F203,Declarations!B$6:C$293,2,FALSE)="","NOT DECLARED",IF(ISNA(_xlfn.TEXTAFTER(VLOOKUP($F203,Declarations!B$6:C$293,2,FALSE)," ")),VLOOKUP($F203,Declarations!B$6:C$293,2,FALSE),_xlfn.TEXTAFTER(VLOOKUP($F203,Declarations!B$6:C$293,2,FALSE)," "))))</f>
        <v/>
      </c>
      <c r="D203" s="81" t="str">
        <f>IF(ISNA(VLOOKUP($F203,Declarations!$B$6:$F$293,5,FALSE)),"",IF(VLOOKUP($F203,Declarations!$B$6:$F$293,5,FALSE)="","NOT DECLARED",VLOOKUP($F203,Declarations!$B$6:$F$293,5,FALSE)))</f>
        <v/>
      </c>
      <c r="E203" s="120" t="str">
        <f>IF(ISNA(VLOOKUP($F203,Declarations!$B$6:$D$293,3,FALSE)),"",IF(VLOOKUP($F203,Declarations!$B$6:$D$293,3,FALSE)="","NOT DECLARED",VLOOKUP($F203,Declarations!$B$6:$D$293,3,FALSE)&amp;LEFT(VLOOKUP($F203,Declarations!$B$6:$E$293,4,FALSE))))</f>
        <v/>
      </c>
      <c r="F203" s="21"/>
      <c r="G203" s="22"/>
      <c r="H203" s="322"/>
      <c r="I203" s="8" t="str">
        <f>IF(ISNA(VLOOKUP(F203,Declarations!B$6:C$293,2,FALSE)),"",IF(VLOOKUP(F203,Declarations!B$6:C$293,2,FALSE)="","NOT DECLARED",VLOOKUP(F203,Declarations!B$6:C$293,2,FALSE)))</f>
        <v/>
      </c>
      <c r="J203" s="2">
        <f>IF(LOWER(LEFT(G203,1))="n",1,VLOOKUP(G203,ScoringTable!E$2:I$95,5))</f>
        <v>0</v>
      </c>
      <c r="K203" s="120" t="str" cm="1">
        <f t="array" ref="K203">IF(OR(E203="",G203=""),"",_xlfn.IFS(E203="U10B",_xlfn.XLOOKUP(G203,Data!$D$4:$L$4,Data!$D$1:$L$1,"",-1,1),E203="U12B",_xlfn.XLOOKUP(G203,Data!$D$11:$L$11,Data!$D$1:$L$1,"",-1,1),E203="U10G",_xlfn.XLOOKUP(G203,Data!$D$17:$L$17,Data!$D$1:$L$1,"",-1,1),E203="U12G",_xlfn.XLOOKUP(G203,Data!$D$24:$L$24,Data!$D$1:$L$1,"",-1,1)))</f>
        <v/>
      </c>
      <c r="L203" s="184" t="str" cm="1">
        <f t="array" ref="L203">IFERROR(_xlfn.IFNA(
                      _xlfn.IFS(
                      F203="", "",
                      AND(E203="U10B",G203&gt;=Data!$M$4), "U10 Boys record",
                      AND(E203="U12B",G203&gt;=Data!$M$11), "U12 Boys record",
                      AND(E203="U10G",G203&gt;=Data!$M$17), "U10 Girls record",
                      AND(E203="U12G",G203&gt;=Data!$M$24), "U12 Girls record"
                       ),""), "")</f>
        <v/>
      </c>
      <c r="M203" s="19" cm="1">
        <f t="array" ref="M203">_xlfn.IFS($G203="",0,AND(NOT(ISNUMBER($G203)),LOWER(LEFT($G203,1))&lt;&gt;"n"),"Not a valid distance",OR(LOWER(LEFT($G203,1))="n",$G203&lt;ScoringTable!$P$161),1,RIGHT($E203,1)="B",_xlfn.XLOOKUP($G203,ScoringTable!$P$2:$P$161,ScoringTable!$L$2:$L$161,,-1),TRUE,_xlfn.XLOOKUP($G203,ScoringTable!$V$2:$V$161,ScoringTable!$R$2:$R$161,,-1))</f>
        <v>0</v>
      </c>
    </row>
    <row r="204" spans="1:13" ht="16" customHeight="1">
      <c r="A204" s="82" t="s">
        <v>27</v>
      </c>
      <c r="B204" s="81" t="str">
        <f>IF(ISNA(VLOOKUP($F204,Declarations!B$6:C$293,2,FALSE)),"",IF(VLOOKUP($F204,Declarations!B$6:C$293,2,FALSE)="","NOT DECLARED",IF(ISNA(_xlfn.TEXTBEFORE(VLOOKUP($F204,Declarations!B$6:C$293,2,FALSE)," ")),VLOOKUP($F204,Declarations!B$6:C$293,2,FALSE),_xlfn.TEXTBEFORE(VLOOKUP($F204,Declarations!B$6:C$293,2,FALSE)," "))))</f>
        <v/>
      </c>
      <c r="C204" s="81" t="str">
        <f>IF(ISNA(VLOOKUP($F204,Declarations!B$6:C$293,2,FALSE)),"",IF(VLOOKUP($F204,Declarations!B$6:C$293,2,FALSE)="","NOT DECLARED",IF(ISNA(_xlfn.TEXTAFTER(VLOOKUP($F204,Declarations!B$6:C$293,2,FALSE)," ")),VLOOKUP($F204,Declarations!B$6:C$293,2,FALSE),_xlfn.TEXTAFTER(VLOOKUP($F204,Declarations!B$6:C$293,2,FALSE)," "))))</f>
        <v/>
      </c>
      <c r="D204" s="81" t="str">
        <f>IF(ISNA(VLOOKUP($F204,Declarations!$B$6:$F$293,5,FALSE)),"",IF(VLOOKUP($F204,Declarations!$B$6:$F$293,5,FALSE)="","NOT DECLARED",VLOOKUP($F204,Declarations!$B$6:$F$293,5,FALSE)))</f>
        <v/>
      </c>
      <c r="E204" s="120" t="str">
        <f>IF(ISNA(VLOOKUP($F204,Declarations!$B$6:$D$293,3,FALSE)),"",IF(VLOOKUP($F204,Declarations!$B$6:$D$293,3,FALSE)="","NOT DECLARED",VLOOKUP($F204,Declarations!$B$6:$D$293,3,FALSE)&amp;LEFT(VLOOKUP($F204,Declarations!$B$6:$E$293,4,FALSE))))</f>
        <v/>
      </c>
      <c r="F204" s="21"/>
      <c r="G204" s="22"/>
      <c r="H204" s="322"/>
      <c r="I204" s="8" t="str">
        <f>IF(ISNA(VLOOKUP(F204,Declarations!B$6:C$293,2,FALSE)),"",IF(VLOOKUP(F204,Declarations!B$6:C$293,2,FALSE)="","NOT DECLARED",VLOOKUP(F204,Declarations!B$6:C$293,2,FALSE)))</f>
        <v/>
      </c>
      <c r="J204" s="2">
        <f>IF(LOWER(LEFT(G204,1))="n",1,VLOOKUP(G204,ScoringTable!E$2:I$95,5))</f>
        <v>0</v>
      </c>
      <c r="K204" s="120" t="str" cm="1">
        <f t="array" ref="K204">IF(OR(E204="",G204=""),"",_xlfn.IFS(E204="U10B",_xlfn.XLOOKUP(G204,Data!$D$4:$L$4,Data!$D$1:$L$1,"",-1,1),E204="U12B",_xlfn.XLOOKUP(G204,Data!$D$11:$L$11,Data!$D$1:$L$1,"",-1,1),E204="U10G",_xlfn.XLOOKUP(G204,Data!$D$17:$L$17,Data!$D$1:$L$1,"",-1,1),E204="U12G",_xlfn.XLOOKUP(G204,Data!$D$24:$L$24,Data!$D$1:$L$1,"",-1,1)))</f>
        <v/>
      </c>
      <c r="L204" s="184" t="str" cm="1">
        <f t="array" ref="L204">IFERROR(_xlfn.IFNA(
                      _xlfn.IFS(
                      F204="", "",
                      AND(E204="U10B",G204&gt;=Data!$M$4), "U10 Boys record",
                      AND(E204="U12B",G204&gt;=Data!$M$11), "U12 Boys record",
                      AND(E204="U10G",G204&gt;=Data!$M$17), "U10 Girls record",
                      AND(E204="U12G",G204&gt;=Data!$M$24), "U12 Girls record"
                       ),""), "")</f>
        <v/>
      </c>
      <c r="M204" s="19" cm="1">
        <f t="array" ref="M204">_xlfn.IFS($G204="",0,AND(NOT(ISNUMBER($G204)),LOWER(LEFT($G204,1))&lt;&gt;"n"),"Not a valid distance",OR(LOWER(LEFT($G204,1))="n",$G204&lt;ScoringTable!$P$161),1,RIGHT($E204,1)="B",_xlfn.XLOOKUP($G204,ScoringTable!$P$2:$P$161,ScoringTable!$L$2:$L$161,,-1),TRUE,_xlfn.XLOOKUP($G204,ScoringTable!$V$2:$V$161,ScoringTable!$R$2:$R$161,,-1))</f>
        <v>0</v>
      </c>
    </row>
    <row r="205" spans="1:13" ht="16" customHeight="1">
      <c r="A205" s="82" t="s">
        <v>27</v>
      </c>
      <c r="B205" s="81" t="str">
        <f>IF(ISNA(VLOOKUP($F205,Declarations!B$6:C$293,2,FALSE)),"",IF(VLOOKUP($F205,Declarations!B$6:C$293,2,FALSE)="","NOT DECLARED",IF(ISNA(_xlfn.TEXTBEFORE(VLOOKUP($F205,Declarations!B$6:C$293,2,FALSE)," ")),VLOOKUP($F205,Declarations!B$6:C$293,2,FALSE),_xlfn.TEXTBEFORE(VLOOKUP($F205,Declarations!B$6:C$293,2,FALSE)," "))))</f>
        <v/>
      </c>
      <c r="C205" s="81" t="str">
        <f>IF(ISNA(VLOOKUP($F205,Declarations!B$6:C$293,2,FALSE)),"",IF(VLOOKUP($F205,Declarations!B$6:C$293,2,FALSE)="","NOT DECLARED",IF(ISNA(_xlfn.TEXTAFTER(VLOOKUP($F205,Declarations!B$6:C$293,2,FALSE)," ")),VLOOKUP($F205,Declarations!B$6:C$293,2,FALSE),_xlfn.TEXTAFTER(VLOOKUP($F205,Declarations!B$6:C$293,2,FALSE)," "))))</f>
        <v/>
      </c>
      <c r="D205" s="81" t="str">
        <f>IF(ISNA(VLOOKUP($F205,Declarations!$B$6:$F$293,5,FALSE)),"",IF(VLOOKUP($F205,Declarations!$B$6:$F$293,5,FALSE)="","NOT DECLARED",VLOOKUP($F205,Declarations!$B$6:$F$293,5,FALSE)))</f>
        <v/>
      </c>
      <c r="E205" s="120" t="str">
        <f>IF(ISNA(VLOOKUP($F205,Declarations!$B$6:$D$293,3,FALSE)),"",IF(VLOOKUP($F205,Declarations!$B$6:$D$293,3,FALSE)="","NOT DECLARED",VLOOKUP($F205,Declarations!$B$6:$D$293,3,FALSE)&amp;LEFT(VLOOKUP($F205,Declarations!$B$6:$E$293,4,FALSE))))</f>
        <v/>
      </c>
      <c r="F205" s="21"/>
      <c r="G205" s="22"/>
      <c r="H205" s="322"/>
      <c r="I205" s="8" t="str">
        <f>IF(ISNA(VLOOKUP(F205,Declarations!B$6:C$293,2,FALSE)),"",IF(VLOOKUP(F205,Declarations!B$6:C$293,2,FALSE)="","NOT DECLARED",VLOOKUP(F205,Declarations!B$6:C$293,2,FALSE)))</f>
        <v/>
      </c>
      <c r="J205" s="2">
        <f>IF(LOWER(LEFT(G205,1))="n",1,VLOOKUP(G205,ScoringTable!E$2:I$95,5))</f>
        <v>0</v>
      </c>
      <c r="K205" s="120" t="str" cm="1">
        <f t="array" ref="K205">IF(OR(E205="",G205=""),"",_xlfn.IFS(E205="U10B",_xlfn.XLOOKUP(G205,Data!$D$4:$L$4,Data!$D$1:$L$1,"",-1,1),E205="U12B",_xlfn.XLOOKUP(G205,Data!$D$11:$L$11,Data!$D$1:$L$1,"",-1,1),E205="U10G",_xlfn.XLOOKUP(G205,Data!$D$17:$L$17,Data!$D$1:$L$1,"",-1,1),E205="U12G",_xlfn.XLOOKUP(G205,Data!$D$24:$L$24,Data!$D$1:$L$1,"",-1,1)))</f>
        <v/>
      </c>
      <c r="L205" s="184" t="str" cm="1">
        <f t="array" ref="L205">IFERROR(_xlfn.IFNA(
                      _xlfn.IFS(
                      F205="", "",
                      AND(E205="U10B",G205&gt;=Data!$M$4), "U10 Boys record",
                      AND(E205="U12B",G205&gt;=Data!$M$11), "U12 Boys record",
                      AND(E205="U10G",G205&gt;=Data!$M$17), "U10 Girls record",
                      AND(E205="U12G",G205&gt;=Data!$M$24), "U12 Girls record"
                       ),""), "")</f>
        <v/>
      </c>
      <c r="M205" s="19" cm="1">
        <f t="array" ref="M205">_xlfn.IFS($G205="",0,AND(NOT(ISNUMBER($G205)),LOWER(LEFT($G205,1))&lt;&gt;"n"),"Not a valid distance",OR(LOWER(LEFT($G205,1))="n",$G205&lt;ScoringTable!$P$161),1,RIGHT($E205,1)="B",_xlfn.XLOOKUP($G205,ScoringTable!$P$2:$P$161,ScoringTable!$L$2:$L$161,,-1),TRUE,_xlfn.XLOOKUP($G205,ScoringTable!$V$2:$V$161,ScoringTable!$R$2:$R$161,,-1))</f>
        <v>0</v>
      </c>
    </row>
    <row r="206" spans="1:13" ht="16" customHeight="1">
      <c r="A206" s="82" t="s">
        <v>27</v>
      </c>
      <c r="B206" s="81" t="str">
        <f>IF(ISNA(VLOOKUP($F206,Declarations!B$6:C$293,2,FALSE)),"",IF(VLOOKUP($F206,Declarations!B$6:C$293,2,FALSE)="","NOT DECLARED",IF(ISNA(_xlfn.TEXTBEFORE(VLOOKUP($F206,Declarations!B$6:C$293,2,FALSE)," ")),VLOOKUP($F206,Declarations!B$6:C$293,2,FALSE),_xlfn.TEXTBEFORE(VLOOKUP($F206,Declarations!B$6:C$293,2,FALSE)," "))))</f>
        <v/>
      </c>
      <c r="C206" s="81" t="str">
        <f>IF(ISNA(VLOOKUP($F206,Declarations!B$6:C$293,2,FALSE)),"",IF(VLOOKUP($F206,Declarations!B$6:C$293,2,FALSE)="","NOT DECLARED",IF(ISNA(_xlfn.TEXTAFTER(VLOOKUP($F206,Declarations!B$6:C$293,2,FALSE)," ")),VLOOKUP($F206,Declarations!B$6:C$293,2,FALSE),_xlfn.TEXTAFTER(VLOOKUP($F206,Declarations!B$6:C$293,2,FALSE)," "))))</f>
        <v/>
      </c>
      <c r="D206" s="81" t="str">
        <f>IF(ISNA(VLOOKUP($F206,Declarations!$B$6:$F$293,5,FALSE)),"",IF(VLOOKUP($F206,Declarations!$B$6:$F$293,5,FALSE)="","NOT DECLARED",VLOOKUP($F206,Declarations!$B$6:$F$293,5,FALSE)))</f>
        <v/>
      </c>
      <c r="E206" s="120" t="str">
        <f>IF(ISNA(VLOOKUP($F206,Declarations!$B$6:$D$293,3,FALSE)),"",IF(VLOOKUP($F206,Declarations!$B$6:$D$293,3,FALSE)="","NOT DECLARED",VLOOKUP($F206,Declarations!$B$6:$D$293,3,FALSE)&amp;LEFT(VLOOKUP($F206,Declarations!$B$6:$E$293,4,FALSE))))</f>
        <v/>
      </c>
      <c r="F206" s="21"/>
      <c r="G206" s="22"/>
      <c r="H206" s="322"/>
      <c r="I206" s="8" t="str">
        <f>IF(ISNA(VLOOKUP(F206,Declarations!B$6:C$293,2,FALSE)),"",IF(VLOOKUP(F206,Declarations!B$6:C$293,2,FALSE)="","NOT DECLARED",VLOOKUP(F206,Declarations!B$6:C$293,2,FALSE)))</f>
        <v/>
      </c>
      <c r="J206" s="2">
        <f>IF(LOWER(LEFT(G206,1))="n",1,VLOOKUP(G206,ScoringTable!E$2:I$95,5))</f>
        <v>0</v>
      </c>
      <c r="K206" s="120" t="str" cm="1">
        <f t="array" ref="K206">IF(OR(E206="",G206=""),"",_xlfn.IFS(E206="U10B",_xlfn.XLOOKUP(G206,Data!$D$4:$L$4,Data!$D$1:$L$1,"",-1,1),E206="U12B",_xlfn.XLOOKUP(G206,Data!$D$11:$L$11,Data!$D$1:$L$1,"",-1,1),E206="U10G",_xlfn.XLOOKUP(G206,Data!$D$17:$L$17,Data!$D$1:$L$1,"",-1,1),E206="U12G",_xlfn.XLOOKUP(G206,Data!$D$24:$L$24,Data!$D$1:$L$1,"",-1,1)))</f>
        <v/>
      </c>
      <c r="L206" s="184" t="str" cm="1">
        <f t="array" ref="L206">IFERROR(_xlfn.IFNA(
                      _xlfn.IFS(
                      F206="", "",
                      AND(E206="U10B",G206&gt;=Data!$M$4), "U10 Boys record",
                      AND(E206="U12B",G206&gt;=Data!$M$11), "U12 Boys record",
                      AND(E206="U10G",G206&gt;=Data!$M$17), "U10 Girls record",
                      AND(E206="U12G",G206&gt;=Data!$M$24), "U12 Girls record"
                       ),""), "")</f>
        <v/>
      </c>
      <c r="M206" s="19" cm="1">
        <f t="array" ref="M206">_xlfn.IFS($G206="",0,AND(NOT(ISNUMBER($G206)),LOWER(LEFT($G206,1))&lt;&gt;"n"),"Not a valid distance",OR(LOWER(LEFT($G206,1))="n",$G206&lt;ScoringTable!$P$161),1,RIGHT($E206,1)="B",_xlfn.XLOOKUP($G206,ScoringTable!$P$2:$P$161,ScoringTable!$L$2:$L$161,,-1),TRUE,_xlfn.XLOOKUP($G206,ScoringTable!$V$2:$V$161,ScoringTable!$R$2:$R$161,,-1))</f>
        <v>0</v>
      </c>
    </row>
    <row r="207" spans="1:13" ht="16" customHeight="1">
      <c r="A207" s="82" t="s">
        <v>27</v>
      </c>
      <c r="B207" s="81" t="str">
        <f>IF(ISNA(VLOOKUP($F207,Declarations!B$6:C$293,2,FALSE)),"",IF(VLOOKUP($F207,Declarations!B$6:C$293,2,FALSE)="","NOT DECLARED",IF(ISNA(_xlfn.TEXTBEFORE(VLOOKUP($F207,Declarations!B$6:C$293,2,FALSE)," ")),VLOOKUP($F207,Declarations!B$6:C$293,2,FALSE),_xlfn.TEXTBEFORE(VLOOKUP($F207,Declarations!B$6:C$293,2,FALSE)," "))))</f>
        <v/>
      </c>
      <c r="C207" s="81" t="str">
        <f>IF(ISNA(VLOOKUP($F207,Declarations!B$6:C$293,2,FALSE)),"",IF(VLOOKUP($F207,Declarations!B$6:C$293,2,FALSE)="","NOT DECLARED",IF(ISNA(_xlfn.TEXTAFTER(VLOOKUP($F207,Declarations!B$6:C$293,2,FALSE)," ")),VLOOKUP($F207,Declarations!B$6:C$293,2,FALSE),_xlfn.TEXTAFTER(VLOOKUP($F207,Declarations!B$6:C$293,2,FALSE)," "))))</f>
        <v/>
      </c>
      <c r="D207" s="81" t="str">
        <f>IF(ISNA(VLOOKUP($F207,Declarations!$B$6:$F$293,5,FALSE)),"",IF(VLOOKUP($F207,Declarations!$B$6:$F$293,5,FALSE)="","NOT DECLARED",VLOOKUP($F207,Declarations!$B$6:$F$293,5,FALSE)))</f>
        <v/>
      </c>
      <c r="E207" s="120" t="str">
        <f>IF(ISNA(VLOOKUP($F207,Declarations!$B$6:$D$293,3,FALSE)),"",IF(VLOOKUP($F207,Declarations!$B$6:$D$293,3,FALSE)="","NOT DECLARED",VLOOKUP($F207,Declarations!$B$6:$D$293,3,FALSE)&amp;LEFT(VLOOKUP($F207,Declarations!$B$6:$E$293,4,FALSE))))</f>
        <v/>
      </c>
      <c r="F207" s="21"/>
      <c r="G207" s="22"/>
      <c r="H207" s="322"/>
      <c r="I207" s="8" t="str">
        <f>IF(ISNA(VLOOKUP(F207,Declarations!B$6:C$293,2,FALSE)),"",IF(VLOOKUP(F207,Declarations!B$6:C$293,2,FALSE)="","NOT DECLARED",VLOOKUP(F207,Declarations!B$6:C$293,2,FALSE)))</f>
        <v/>
      </c>
      <c r="J207" s="2">
        <f>IF(LOWER(LEFT(G207,1))="n",1,VLOOKUP(G207,ScoringTable!E$2:I$95,5))</f>
        <v>0</v>
      </c>
      <c r="K207" s="120" t="str" cm="1">
        <f t="array" ref="K207">IF(OR(E207="",G207=""),"",_xlfn.IFS(E207="U10B",_xlfn.XLOOKUP(G207,Data!$D$4:$L$4,Data!$D$1:$L$1,"",-1,1),E207="U12B",_xlfn.XLOOKUP(G207,Data!$D$11:$L$11,Data!$D$1:$L$1,"",-1,1),E207="U10G",_xlfn.XLOOKUP(G207,Data!$D$17:$L$17,Data!$D$1:$L$1,"",-1,1),E207="U12G",_xlfn.XLOOKUP(G207,Data!$D$24:$L$24,Data!$D$1:$L$1,"",-1,1)))</f>
        <v/>
      </c>
      <c r="L207" s="184" t="str" cm="1">
        <f t="array" ref="L207">IFERROR(_xlfn.IFNA(
                      _xlfn.IFS(
                      F207="", "",
                      AND(E207="U10B",G207&gt;=Data!$M$4), "U10 Boys record",
                      AND(E207="U12B",G207&gt;=Data!$M$11), "U12 Boys record",
                      AND(E207="U10G",G207&gt;=Data!$M$17), "U10 Girls record",
                      AND(E207="U12G",G207&gt;=Data!$M$24), "U12 Girls record"
                       ),""), "")</f>
        <v/>
      </c>
      <c r="M207" s="19" cm="1">
        <f t="array" ref="M207">_xlfn.IFS($G207="",0,AND(NOT(ISNUMBER($G207)),LOWER(LEFT($G207,1))&lt;&gt;"n"),"Not a valid distance",OR(LOWER(LEFT($G207,1))="n",$G207&lt;ScoringTable!$P$161),1,RIGHT($E207,1)="B",_xlfn.XLOOKUP($G207,ScoringTable!$P$2:$P$161,ScoringTable!$L$2:$L$161,,-1),TRUE,_xlfn.XLOOKUP($G207,ScoringTable!$V$2:$V$161,ScoringTable!$R$2:$R$161,,-1))</f>
        <v>0</v>
      </c>
    </row>
    <row r="208" spans="1:13" ht="16" customHeight="1">
      <c r="A208" s="82" t="s">
        <v>27</v>
      </c>
      <c r="B208" s="81" t="str">
        <f>IF(ISNA(VLOOKUP($F208,Declarations!B$6:C$293,2,FALSE)),"",IF(VLOOKUP($F208,Declarations!B$6:C$293,2,FALSE)="","NOT DECLARED",IF(ISNA(_xlfn.TEXTBEFORE(VLOOKUP($F208,Declarations!B$6:C$293,2,FALSE)," ")),VLOOKUP($F208,Declarations!B$6:C$293,2,FALSE),_xlfn.TEXTBEFORE(VLOOKUP($F208,Declarations!B$6:C$293,2,FALSE)," "))))</f>
        <v/>
      </c>
      <c r="C208" s="81" t="str">
        <f>IF(ISNA(VLOOKUP($F208,Declarations!B$6:C$293,2,FALSE)),"",IF(VLOOKUP($F208,Declarations!B$6:C$293,2,FALSE)="","NOT DECLARED",IF(ISNA(_xlfn.TEXTAFTER(VLOOKUP($F208,Declarations!B$6:C$293,2,FALSE)," ")),VLOOKUP($F208,Declarations!B$6:C$293,2,FALSE),_xlfn.TEXTAFTER(VLOOKUP($F208,Declarations!B$6:C$293,2,FALSE)," "))))</f>
        <v/>
      </c>
      <c r="D208" s="81" t="str">
        <f>IF(ISNA(VLOOKUP($F208,Declarations!$B$6:$F$293,5,FALSE)),"",IF(VLOOKUP($F208,Declarations!$B$6:$F$293,5,FALSE)="","NOT DECLARED",VLOOKUP($F208,Declarations!$B$6:$F$293,5,FALSE)))</f>
        <v/>
      </c>
      <c r="E208" s="120" t="str">
        <f>IF(ISNA(VLOOKUP($F208,Declarations!$B$6:$D$293,3,FALSE)),"",IF(VLOOKUP($F208,Declarations!$B$6:$D$293,3,FALSE)="","NOT DECLARED",VLOOKUP($F208,Declarations!$B$6:$D$293,3,FALSE)&amp;LEFT(VLOOKUP($F208,Declarations!$B$6:$E$293,4,FALSE))))</f>
        <v/>
      </c>
      <c r="F208" s="21"/>
      <c r="G208" s="22"/>
      <c r="H208" s="322"/>
      <c r="I208" s="8" t="str">
        <f>IF(ISNA(VLOOKUP(F208,Declarations!B$6:C$293,2,FALSE)),"",IF(VLOOKUP(F208,Declarations!B$6:C$293,2,FALSE)="","NOT DECLARED",VLOOKUP(F208,Declarations!B$6:C$293,2,FALSE)))</f>
        <v/>
      </c>
      <c r="J208" s="2">
        <f>IF(LOWER(LEFT(G208,1))="n",1,VLOOKUP(G208,ScoringTable!E$2:I$95,5))</f>
        <v>0</v>
      </c>
      <c r="K208" s="120" t="str" cm="1">
        <f t="array" ref="K208">IF(OR(E208="",G208=""),"",_xlfn.IFS(E208="U10B",_xlfn.XLOOKUP(G208,Data!$D$4:$L$4,Data!$D$1:$L$1,"",-1,1),E208="U12B",_xlfn.XLOOKUP(G208,Data!$D$11:$L$11,Data!$D$1:$L$1,"",-1,1),E208="U10G",_xlfn.XLOOKUP(G208,Data!$D$17:$L$17,Data!$D$1:$L$1,"",-1,1),E208="U12G",_xlfn.XLOOKUP(G208,Data!$D$24:$L$24,Data!$D$1:$L$1,"",-1,1)))</f>
        <v/>
      </c>
      <c r="L208" s="184" t="str" cm="1">
        <f t="array" ref="L208">IFERROR(_xlfn.IFNA(
                      _xlfn.IFS(
                      F208="", "",
                      AND(E208="U10B",G208&gt;=Data!$M$4), "U10 Boys record",
                      AND(E208="U12B",G208&gt;=Data!$M$11), "U12 Boys record",
                      AND(E208="U10G",G208&gt;=Data!$M$17), "U10 Girls record",
                      AND(E208="U12G",G208&gt;=Data!$M$24), "U12 Girls record"
                       ),""), "")</f>
        <v/>
      </c>
      <c r="M208" s="19" cm="1">
        <f t="array" ref="M208">_xlfn.IFS($G208="",0,AND(NOT(ISNUMBER($G208)),LOWER(LEFT($G208,1))&lt;&gt;"n"),"Not a valid distance",OR(LOWER(LEFT($G208,1))="n",$G208&lt;ScoringTable!$P$161),1,RIGHT($E208,1)="B",_xlfn.XLOOKUP($G208,ScoringTable!$P$2:$P$161,ScoringTable!$L$2:$L$161,,-1),TRUE,_xlfn.XLOOKUP($G208,ScoringTable!$V$2:$V$161,ScoringTable!$R$2:$R$161,,-1))</f>
        <v>0</v>
      </c>
    </row>
    <row r="209" spans="1:13" ht="16" customHeight="1">
      <c r="A209" s="82" t="s">
        <v>27</v>
      </c>
      <c r="B209" s="81" t="str">
        <f>IF(ISNA(VLOOKUP($F209,Declarations!B$6:C$293,2,FALSE)),"",IF(VLOOKUP($F209,Declarations!B$6:C$293,2,FALSE)="","NOT DECLARED",IF(ISNA(_xlfn.TEXTBEFORE(VLOOKUP($F209,Declarations!B$6:C$293,2,FALSE)," ")),VLOOKUP($F209,Declarations!B$6:C$293,2,FALSE),_xlfn.TEXTBEFORE(VLOOKUP($F209,Declarations!B$6:C$293,2,FALSE)," "))))</f>
        <v/>
      </c>
      <c r="C209" s="81" t="str">
        <f>IF(ISNA(VLOOKUP($F209,Declarations!B$6:C$293,2,FALSE)),"",IF(VLOOKUP($F209,Declarations!B$6:C$293,2,FALSE)="","NOT DECLARED",IF(ISNA(_xlfn.TEXTAFTER(VLOOKUP($F209,Declarations!B$6:C$293,2,FALSE)," ")),VLOOKUP($F209,Declarations!B$6:C$293,2,FALSE),_xlfn.TEXTAFTER(VLOOKUP($F209,Declarations!B$6:C$293,2,FALSE)," "))))</f>
        <v/>
      </c>
      <c r="D209" s="81" t="str">
        <f>IF(ISNA(VLOOKUP($F209,Declarations!$B$6:$F$293,5,FALSE)),"",IF(VLOOKUP($F209,Declarations!$B$6:$F$293,5,FALSE)="","NOT DECLARED",VLOOKUP($F209,Declarations!$B$6:$F$293,5,FALSE)))</f>
        <v/>
      </c>
      <c r="E209" s="120" t="str">
        <f>IF(ISNA(VLOOKUP($F209,Declarations!$B$6:$D$293,3,FALSE)),"",IF(VLOOKUP($F209,Declarations!$B$6:$D$293,3,FALSE)="","NOT DECLARED",VLOOKUP($F209,Declarations!$B$6:$D$293,3,FALSE)&amp;LEFT(VLOOKUP($F209,Declarations!$B$6:$E$293,4,FALSE))))</f>
        <v/>
      </c>
      <c r="F209" s="21"/>
      <c r="G209" s="22"/>
      <c r="H209" s="322"/>
      <c r="I209" s="8" t="str">
        <f>IF(ISNA(VLOOKUP(F209,Declarations!B$6:C$293,2,FALSE)),"",IF(VLOOKUP(F209,Declarations!B$6:C$293,2,FALSE)="","NOT DECLARED",VLOOKUP(F209,Declarations!B$6:C$293,2,FALSE)))</f>
        <v/>
      </c>
      <c r="J209" s="2">
        <f>IF(LOWER(LEFT(G209,1))="n",1,VLOOKUP(G209,ScoringTable!E$2:I$95,5))</f>
        <v>0</v>
      </c>
      <c r="K209" s="120" t="str" cm="1">
        <f t="array" ref="K209">IF(OR(E209="",G209=""),"",_xlfn.IFS(E209="U10B",_xlfn.XLOOKUP(G209,Data!$D$4:$L$4,Data!$D$1:$L$1,"",-1,1),E209="U12B",_xlfn.XLOOKUP(G209,Data!$D$11:$L$11,Data!$D$1:$L$1,"",-1,1),E209="U10G",_xlfn.XLOOKUP(G209,Data!$D$17:$L$17,Data!$D$1:$L$1,"",-1,1),E209="U12G",_xlfn.XLOOKUP(G209,Data!$D$24:$L$24,Data!$D$1:$L$1,"",-1,1)))</f>
        <v/>
      </c>
      <c r="L209" s="184" t="str" cm="1">
        <f t="array" ref="L209">IFERROR(_xlfn.IFNA(
                      _xlfn.IFS(
                      F209="", "",
                      AND(E209="U10B",G209&gt;=Data!$M$4), "U10 Boys record",
                      AND(E209="U12B",G209&gt;=Data!$M$11), "U12 Boys record",
                      AND(E209="U10G",G209&gt;=Data!$M$17), "U10 Girls record",
                      AND(E209="U12G",G209&gt;=Data!$M$24), "U12 Girls record"
                       ),""), "")</f>
        <v/>
      </c>
      <c r="M209" s="19" cm="1">
        <f t="array" ref="M209">_xlfn.IFS($G209="",0,AND(NOT(ISNUMBER($G209)),LOWER(LEFT($G209,1))&lt;&gt;"n"),"Not a valid distance",OR(LOWER(LEFT($G209,1))="n",$G209&lt;ScoringTable!$P$161),1,RIGHT($E209,1)="B",_xlfn.XLOOKUP($G209,ScoringTable!$P$2:$P$161,ScoringTable!$L$2:$L$161,,-1),TRUE,_xlfn.XLOOKUP($G209,ScoringTable!$V$2:$V$161,ScoringTable!$R$2:$R$161,,-1))</f>
        <v>0</v>
      </c>
    </row>
    <row r="210" spans="1:13" ht="16" customHeight="1">
      <c r="A210" s="82" t="s">
        <v>27</v>
      </c>
      <c r="B210" s="81" t="str">
        <f>IF(ISNA(VLOOKUP($F210,Declarations!B$6:C$293,2,FALSE)),"",IF(VLOOKUP($F210,Declarations!B$6:C$293,2,FALSE)="","NOT DECLARED",IF(ISNA(_xlfn.TEXTBEFORE(VLOOKUP($F210,Declarations!B$6:C$293,2,FALSE)," ")),VLOOKUP($F210,Declarations!B$6:C$293,2,FALSE),_xlfn.TEXTBEFORE(VLOOKUP($F210,Declarations!B$6:C$293,2,FALSE)," "))))</f>
        <v/>
      </c>
      <c r="C210" s="81" t="str">
        <f>IF(ISNA(VLOOKUP($F210,Declarations!B$6:C$293,2,FALSE)),"",IF(VLOOKUP($F210,Declarations!B$6:C$293,2,FALSE)="","NOT DECLARED",IF(ISNA(_xlfn.TEXTAFTER(VLOOKUP($F210,Declarations!B$6:C$293,2,FALSE)," ")),VLOOKUP($F210,Declarations!B$6:C$293,2,FALSE),_xlfn.TEXTAFTER(VLOOKUP($F210,Declarations!B$6:C$293,2,FALSE)," "))))</f>
        <v/>
      </c>
      <c r="D210" s="81" t="str">
        <f>IF(ISNA(VLOOKUP($F210,Declarations!$B$6:$F$293,5,FALSE)),"",IF(VLOOKUP($F210,Declarations!$B$6:$F$293,5,FALSE)="","NOT DECLARED",VLOOKUP($F210,Declarations!$B$6:$F$293,5,FALSE)))</f>
        <v/>
      </c>
      <c r="E210" s="120" t="str">
        <f>IF(ISNA(VLOOKUP($F210,Declarations!$B$6:$D$293,3,FALSE)),"",IF(VLOOKUP($F210,Declarations!$B$6:$D$293,3,FALSE)="","NOT DECLARED",VLOOKUP($F210,Declarations!$B$6:$D$293,3,FALSE)&amp;LEFT(VLOOKUP($F210,Declarations!$B$6:$E$293,4,FALSE))))</f>
        <v/>
      </c>
      <c r="F210" s="21"/>
      <c r="G210" s="22"/>
      <c r="H210" s="322"/>
      <c r="I210" s="8" t="str">
        <f>IF(ISNA(VLOOKUP(F210,Declarations!B$6:C$293,2,FALSE)),"",IF(VLOOKUP(F210,Declarations!B$6:C$293,2,FALSE)="","NOT DECLARED",VLOOKUP(F210,Declarations!B$6:C$293,2,FALSE)))</f>
        <v/>
      </c>
      <c r="J210" s="2">
        <f>IF(LOWER(LEFT(G210,1))="n",1,VLOOKUP(G210,ScoringTable!E$2:I$95,5))</f>
        <v>0</v>
      </c>
      <c r="K210" s="120" t="str" cm="1">
        <f t="array" ref="K210">IF(OR(E210="",G210=""),"",_xlfn.IFS(E210="U10B",_xlfn.XLOOKUP(G210,Data!$D$4:$L$4,Data!$D$1:$L$1,"",-1,1),E210="U12B",_xlfn.XLOOKUP(G210,Data!$D$11:$L$11,Data!$D$1:$L$1,"",-1,1),E210="U10G",_xlfn.XLOOKUP(G210,Data!$D$17:$L$17,Data!$D$1:$L$1,"",-1,1),E210="U12G",_xlfn.XLOOKUP(G210,Data!$D$24:$L$24,Data!$D$1:$L$1,"",-1,1)))</f>
        <v/>
      </c>
      <c r="L210" s="184" t="str" cm="1">
        <f t="array" ref="L210">IFERROR(_xlfn.IFNA(
                      _xlfn.IFS(
                      F210="", "",
                      AND(E210="U10B",G210&gt;=Data!$M$4), "U10 Boys record",
                      AND(E210="U12B",G210&gt;=Data!$M$11), "U12 Boys record",
                      AND(E210="U10G",G210&gt;=Data!$M$17), "U10 Girls record",
                      AND(E210="U12G",G210&gt;=Data!$M$24), "U12 Girls record"
                       ),""), "")</f>
        <v/>
      </c>
      <c r="M210" s="19" cm="1">
        <f t="array" ref="M210">_xlfn.IFS($G210="",0,AND(NOT(ISNUMBER($G210)),LOWER(LEFT($G210,1))&lt;&gt;"n"),"Not a valid distance",OR(LOWER(LEFT($G210,1))="n",$G210&lt;ScoringTable!$P$161),1,RIGHT($E210,1)="B",_xlfn.XLOOKUP($G210,ScoringTable!$P$2:$P$161,ScoringTable!$L$2:$L$161,,-1),TRUE,_xlfn.XLOOKUP($G210,ScoringTable!$V$2:$V$161,ScoringTable!$R$2:$R$161,,-1))</f>
        <v>0</v>
      </c>
    </row>
    <row r="211" spans="1:13" ht="16" customHeight="1">
      <c r="A211" s="82" t="s">
        <v>27</v>
      </c>
      <c r="B211" s="81" t="str">
        <f>IF(ISNA(VLOOKUP($F211,Declarations!B$6:C$293,2,FALSE)),"",IF(VLOOKUP($F211,Declarations!B$6:C$293,2,FALSE)="","NOT DECLARED",IF(ISNA(_xlfn.TEXTBEFORE(VLOOKUP($F211,Declarations!B$6:C$293,2,FALSE)," ")),VLOOKUP($F211,Declarations!B$6:C$293,2,FALSE),_xlfn.TEXTBEFORE(VLOOKUP($F211,Declarations!B$6:C$293,2,FALSE)," "))))</f>
        <v/>
      </c>
      <c r="C211" s="81" t="str">
        <f>IF(ISNA(VLOOKUP($F211,Declarations!B$6:C$293,2,FALSE)),"",IF(VLOOKUP($F211,Declarations!B$6:C$293,2,FALSE)="","NOT DECLARED",IF(ISNA(_xlfn.TEXTAFTER(VLOOKUP($F211,Declarations!B$6:C$293,2,FALSE)," ")),VLOOKUP($F211,Declarations!B$6:C$293,2,FALSE),_xlfn.TEXTAFTER(VLOOKUP($F211,Declarations!B$6:C$293,2,FALSE)," "))))</f>
        <v/>
      </c>
      <c r="D211" s="81" t="str">
        <f>IF(ISNA(VLOOKUP($F211,Declarations!$B$6:$F$293,5,FALSE)),"",IF(VLOOKUP($F211,Declarations!$B$6:$F$293,5,FALSE)="","NOT DECLARED",VLOOKUP($F211,Declarations!$B$6:$F$293,5,FALSE)))</f>
        <v/>
      </c>
      <c r="E211" s="120" t="str">
        <f>IF(ISNA(VLOOKUP($F211,Declarations!$B$6:$D$293,3,FALSE)),"",IF(VLOOKUP($F211,Declarations!$B$6:$D$293,3,FALSE)="","NOT DECLARED",VLOOKUP($F211,Declarations!$B$6:$D$293,3,FALSE)&amp;LEFT(VLOOKUP($F211,Declarations!$B$6:$E$293,4,FALSE))))</f>
        <v/>
      </c>
      <c r="F211" s="21"/>
      <c r="G211" s="22"/>
      <c r="H211" s="322"/>
      <c r="I211" s="8" t="str">
        <f>IF(ISNA(VLOOKUP(F211,Declarations!B$6:C$293,2,FALSE)),"",IF(VLOOKUP(F211,Declarations!B$6:C$293,2,FALSE)="","NOT DECLARED",VLOOKUP(F211,Declarations!B$6:C$293,2,FALSE)))</f>
        <v/>
      </c>
      <c r="J211" s="2">
        <f>IF(LOWER(LEFT(G211,1))="n",1,VLOOKUP(G211,ScoringTable!E$2:I$95,5))</f>
        <v>0</v>
      </c>
      <c r="K211" s="120" t="str" cm="1">
        <f t="array" ref="K211">IF(OR(E211="",G211=""),"",_xlfn.IFS(E211="U10B",_xlfn.XLOOKUP(G211,Data!$D$4:$L$4,Data!$D$1:$L$1,"",-1,1),E211="U12B",_xlfn.XLOOKUP(G211,Data!$D$11:$L$11,Data!$D$1:$L$1,"",-1,1),E211="U10G",_xlfn.XLOOKUP(G211,Data!$D$17:$L$17,Data!$D$1:$L$1,"",-1,1),E211="U12G",_xlfn.XLOOKUP(G211,Data!$D$24:$L$24,Data!$D$1:$L$1,"",-1,1)))</f>
        <v/>
      </c>
      <c r="L211" s="184" t="str" cm="1">
        <f t="array" ref="L211">IFERROR(_xlfn.IFNA(
                      _xlfn.IFS(
                      F211="", "",
                      AND(E211="U10B",G211&gt;=Data!$M$4), "U10 Boys record",
                      AND(E211="U12B",G211&gt;=Data!$M$11), "U12 Boys record",
                      AND(E211="U10G",G211&gt;=Data!$M$17), "U10 Girls record",
                      AND(E211="U12G",G211&gt;=Data!$M$24), "U12 Girls record"
                       ),""), "")</f>
        <v/>
      </c>
      <c r="M211" s="19" cm="1">
        <f t="array" ref="M211">_xlfn.IFS($G211="",0,AND(NOT(ISNUMBER($G211)),LOWER(LEFT($G211,1))&lt;&gt;"n"),"Not a valid distance",OR(LOWER(LEFT($G211,1))="n",$G211&lt;ScoringTable!$P$161),1,RIGHT($E211,1)="B",_xlfn.XLOOKUP($G211,ScoringTable!$P$2:$P$161,ScoringTable!$L$2:$L$161,,-1),TRUE,_xlfn.XLOOKUP($G211,ScoringTable!$V$2:$V$161,ScoringTable!$R$2:$R$161,,-1))</f>
        <v>0</v>
      </c>
    </row>
    <row r="212" spans="1:13" ht="16" customHeight="1">
      <c r="A212" s="82" t="s">
        <v>27</v>
      </c>
      <c r="B212" s="81" t="str">
        <f>IF(ISNA(VLOOKUP($F212,Declarations!B$6:C$293,2,FALSE)),"",IF(VLOOKUP($F212,Declarations!B$6:C$293,2,FALSE)="","NOT DECLARED",IF(ISNA(_xlfn.TEXTBEFORE(VLOOKUP($F212,Declarations!B$6:C$293,2,FALSE)," ")),VLOOKUP($F212,Declarations!B$6:C$293,2,FALSE),_xlfn.TEXTBEFORE(VLOOKUP($F212,Declarations!B$6:C$293,2,FALSE)," "))))</f>
        <v/>
      </c>
      <c r="C212" s="81" t="str">
        <f>IF(ISNA(VLOOKUP($F212,Declarations!B$6:C$293,2,FALSE)),"",IF(VLOOKUP($F212,Declarations!B$6:C$293,2,FALSE)="","NOT DECLARED",IF(ISNA(_xlfn.TEXTAFTER(VLOOKUP($F212,Declarations!B$6:C$293,2,FALSE)," ")),VLOOKUP($F212,Declarations!B$6:C$293,2,FALSE),_xlfn.TEXTAFTER(VLOOKUP($F212,Declarations!B$6:C$293,2,FALSE)," "))))</f>
        <v/>
      </c>
      <c r="D212" s="81" t="str">
        <f>IF(ISNA(VLOOKUP($F212,Declarations!$B$6:$F$293,5,FALSE)),"",IF(VLOOKUP($F212,Declarations!$B$6:$F$293,5,FALSE)="","NOT DECLARED",VLOOKUP($F212,Declarations!$B$6:$F$293,5,FALSE)))</f>
        <v/>
      </c>
      <c r="E212" s="120" t="str">
        <f>IF(ISNA(VLOOKUP($F212,Declarations!$B$6:$D$293,3,FALSE)),"",IF(VLOOKUP($F212,Declarations!$B$6:$D$293,3,FALSE)="","NOT DECLARED",VLOOKUP($F212,Declarations!$B$6:$D$293,3,FALSE)&amp;LEFT(VLOOKUP($F212,Declarations!$B$6:$E$293,4,FALSE))))</f>
        <v/>
      </c>
      <c r="F212" s="21"/>
      <c r="G212" s="22"/>
      <c r="H212" s="322"/>
      <c r="I212" s="8" t="str">
        <f>IF(ISNA(VLOOKUP(F212,Declarations!B$6:C$293,2,FALSE)),"",IF(VLOOKUP(F212,Declarations!B$6:C$293,2,FALSE)="","NOT DECLARED",VLOOKUP(F212,Declarations!B$6:C$293,2,FALSE)))</f>
        <v/>
      </c>
      <c r="J212" s="2">
        <f>IF(LOWER(LEFT(G212,1))="n",1,VLOOKUP(G212,ScoringTable!E$2:I$95,5))</f>
        <v>0</v>
      </c>
      <c r="K212" s="120" t="str" cm="1">
        <f t="array" ref="K212">IF(OR(E212="",G212=""),"",_xlfn.IFS(E212="U10B",_xlfn.XLOOKUP(G212,Data!$D$4:$L$4,Data!$D$1:$L$1,"",-1,1),E212="U12B",_xlfn.XLOOKUP(G212,Data!$D$11:$L$11,Data!$D$1:$L$1,"",-1,1),E212="U10G",_xlfn.XLOOKUP(G212,Data!$D$17:$L$17,Data!$D$1:$L$1,"",-1,1),E212="U12G",_xlfn.XLOOKUP(G212,Data!$D$24:$L$24,Data!$D$1:$L$1,"",-1,1)))</f>
        <v/>
      </c>
      <c r="L212" s="184" t="str" cm="1">
        <f t="array" ref="L212">IFERROR(_xlfn.IFNA(
                      _xlfn.IFS(
                      F212="", "",
                      AND(E212="U10B",G212&gt;=Data!$M$4), "U10 Boys record",
                      AND(E212="U12B",G212&gt;=Data!$M$11), "U12 Boys record",
                      AND(E212="U10G",G212&gt;=Data!$M$17), "U10 Girls record",
                      AND(E212="U12G",G212&gt;=Data!$M$24), "U12 Girls record"
                       ),""), "")</f>
        <v/>
      </c>
      <c r="M212" s="19" cm="1">
        <f t="array" ref="M212">_xlfn.IFS($G212="",0,AND(NOT(ISNUMBER($G212)),LOWER(LEFT($G212,1))&lt;&gt;"n"),"Not a valid distance",OR(LOWER(LEFT($G212,1))="n",$G212&lt;ScoringTable!$P$161),1,RIGHT($E212,1)="B",_xlfn.XLOOKUP($G212,ScoringTable!$P$2:$P$161,ScoringTable!$L$2:$L$161,,-1),TRUE,_xlfn.XLOOKUP($G212,ScoringTable!$V$2:$V$161,ScoringTable!$R$2:$R$161,,-1))</f>
        <v>0</v>
      </c>
    </row>
    <row r="213" spans="1:13" ht="16" customHeight="1">
      <c r="A213" s="82" t="s">
        <v>27</v>
      </c>
      <c r="B213" s="81" t="str">
        <f>IF(ISNA(VLOOKUP($F213,Declarations!B$6:C$293,2,FALSE)),"",IF(VLOOKUP($F213,Declarations!B$6:C$293,2,FALSE)="","NOT DECLARED",IF(ISNA(_xlfn.TEXTBEFORE(VLOOKUP($F213,Declarations!B$6:C$293,2,FALSE)," ")),VLOOKUP($F213,Declarations!B$6:C$293,2,FALSE),_xlfn.TEXTBEFORE(VLOOKUP($F213,Declarations!B$6:C$293,2,FALSE)," "))))</f>
        <v/>
      </c>
      <c r="C213" s="81" t="str">
        <f>IF(ISNA(VLOOKUP($F213,Declarations!B$6:C$293,2,FALSE)),"",IF(VLOOKUP($F213,Declarations!B$6:C$293,2,FALSE)="","NOT DECLARED",IF(ISNA(_xlfn.TEXTAFTER(VLOOKUP($F213,Declarations!B$6:C$293,2,FALSE)," ")),VLOOKUP($F213,Declarations!B$6:C$293,2,FALSE),_xlfn.TEXTAFTER(VLOOKUP($F213,Declarations!B$6:C$293,2,FALSE)," "))))</f>
        <v/>
      </c>
      <c r="D213" s="81" t="str">
        <f>IF(ISNA(VLOOKUP($F213,Declarations!$B$6:$F$293,5,FALSE)),"",IF(VLOOKUP($F213,Declarations!$B$6:$F$293,5,FALSE)="","NOT DECLARED",VLOOKUP($F213,Declarations!$B$6:$F$293,5,FALSE)))</f>
        <v/>
      </c>
      <c r="E213" s="120" t="str">
        <f>IF(ISNA(VLOOKUP($F213,Declarations!$B$6:$D$293,3,FALSE)),"",IF(VLOOKUP($F213,Declarations!$B$6:$D$293,3,FALSE)="","NOT DECLARED",VLOOKUP($F213,Declarations!$B$6:$D$293,3,FALSE)&amp;LEFT(VLOOKUP($F213,Declarations!$B$6:$E$293,4,FALSE))))</f>
        <v/>
      </c>
      <c r="F213" s="21"/>
      <c r="G213" s="22"/>
      <c r="H213" s="322"/>
      <c r="I213" s="8" t="str">
        <f>IF(ISNA(VLOOKUP(F213,Declarations!B$6:C$293,2,FALSE)),"",IF(VLOOKUP(F213,Declarations!B$6:C$293,2,FALSE)="","NOT DECLARED",VLOOKUP(F213,Declarations!B$6:C$293,2,FALSE)))</f>
        <v/>
      </c>
      <c r="J213" s="2">
        <f>IF(LOWER(LEFT(G213,1))="n",1,VLOOKUP(G213,ScoringTable!E$2:I$95,5))</f>
        <v>0</v>
      </c>
      <c r="K213" s="120" t="str" cm="1">
        <f t="array" ref="K213">IF(OR(E213="",G213=""),"",_xlfn.IFS(E213="U10B",_xlfn.XLOOKUP(G213,Data!$D$4:$L$4,Data!$D$1:$L$1,"",-1,1),E213="U12B",_xlfn.XLOOKUP(G213,Data!$D$11:$L$11,Data!$D$1:$L$1,"",-1,1),E213="U10G",_xlfn.XLOOKUP(G213,Data!$D$17:$L$17,Data!$D$1:$L$1,"",-1,1),E213="U12G",_xlfn.XLOOKUP(G213,Data!$D$24:$L$24,Data!$D$1:$L$1,"",-1,1)))</f>
        <v/>
      </c>
      <c r="L213" s="184" t="str" cm="1">
        <f t="array" ref="L213">IFERROR(_xlfn.IFNA(
                      _xlfn.IFS(
                      F213="", "",
                      AND(E213="U10B",G213&gt;=Data!$M$4), "U10 Boys record",
                      AND(E213="U12B",G213&gt;=Data!$M$11), "U12 Boys record",
                      AND(E213="U10G",G213&gt;=Data!$M$17), "U10 Girls record",
                      AND(E213="U12G",G213&gt;=Data!$M$24), "U12 Girls record"
                       ),""), "")</f>
        <v/>
      </c>
      <c r="M213" s="19" cm="1">
        <f t="array" ref="M213">_xlfn.IFS($G213="",0,AND(NOT(ISNUMBER($G213)),LOWER(LEFT($G213,1))&lt;&gt;"n"),"Not a valid distance",OR(LOWER(LEFT($G213,1))="n",$G213&lt;ScoringTable!$P$161),1,RIGHT($E213,1)="B",_xlfn.XLOOKUP($G213,ScoringTable!$P$2:$P$161,ScoringTable!$L$2:$L$161,,-1),TRUE,_xlfn.XLOOKUP($G213,ScoringTable!$V$2:$V$161,ScoringTable!$R$2:$R$161,,-1))</f>
        <v>0</v>
      </c>
    </row>
    <row r="214" spans="1:13" ht="16" customHeight="1">
      <c r="A214" s="82" t="s">
        <v>27</v>
      </c>
      <c r="B214" s="81" t="str">
        <f>IF(ISNA(VLOOKUP($F214,Declarations!B$6:C$293,2,FALSE)),"",IF(VLOOKUP($F214,Declarations!B$6:C$293,2,FALSE)="","NOT DECLARED",IF(ISNA(_xlfn.TEXTBEFORE(VLOOKUP($F214,Declarations!B$6:C$293,2,FALSE)," ")),VLOOKUP($F214,Declarations!B$6:C$293,2,FALSE),_xlfn.TEXTBEFORE(VLOOKUP($F214,Declarations!B$6:C$293,2,FALSE)," "))))</f>
        <v/>
      </c>
      <c r="C214" s="81" t="str">
        <f>IF(ISNA(VLOOKUP($F214,Declarations!B$6:C$293,2,FALSE)),"",IF(VLOOKUP($F214,Declarations!B$6:C$293,2,FALSE)="","NOT DECLARED",IF(ISNA(_xlfn.TEXTAFTER(VLOOKUP($F214,Declarations!B$6:C$293,2,FALSE)," ")),VLOOKUP($F214,Declarations!B$6:C$293,2,FALSE),_xlfn.TEXTAFTER(VLOOKUP($F214,Declarations!B$6:C$293,2,FALSE)," "))))</f>
        <v/>
      </c>
      <c r="D214" s="81" t="str">
        <f>IF(ISNA(VLOOKUP($F214,Declarations!$B$6:$F$293,5,FALSE)),"",IF(VLOOKUP($F214,Declarations!$B$6:$F$293,5,FALSE)="","NOT DECLARED",VLOOKUP($F214,Declarations!$B$6:$F$293,5,FALSE)))</f>
        <v/>
      </c>
      <c r="E214" s="120" t="str">
        <f>IF(ISNA(VLOOKUP($F214,Declarations!$B$6:$D$293,3,FALSE)),"",IF(VLOOKUP($F214,Declarations!$B$6:$D$293,3,FALSE)="","NOT DECLARED",VLOOKUP($F214,Declarations!$B$6:$D$293,3,FALSE)&amp;LEFT(VLOOKUP($F214,Declarations!$B$6:$E$293,4,FALSE))))</f>
        <v/>
      </c>
      <c r="F214" s="21"/>
      <c r="G214" s="22"/>
      <c r="H214" s="322"/>
      <c r="I214" s="8" t="str">
        <f>IF(ISNA(VLOOKUP(F214,Declarations!B$6:C$293,2,FALSE)),"",IF(VLOOKUP(F214,Declarations!B$6:C$293,2,FALSE)="","NOT DECLARED",VLOOKUP(F214,Declarations!B$6:C$293,2,FALSE)))</f>
        <v/>
      </c>
      <c r="J214" s="2">
        <f>IF(LOWER(LEFT(G214,1))="n",1,VLOOKUP(G214,ScoringTable!E$2:I$95,5))</f>
        <v>0</v>
      </c>
      <c r="K214" s="120" t="str" cm="1">
        <f t="array" ref="K214">IF(OR(E214="",G214=""),"",_xlfn.IFS(E214="U10B",_xlfn.XLOOKUP(G214,Data!$D$4:$L$4,Data!$D$1:$L$1,"",-1,1),E214="U12B",_xlfn.XLOOKUP(G214,Data!$D$11:$L$11,Data!$D$1:$L$1,"",-1,1),E214="U10G",_xlfn.XLOOKUP(G214,Data!$D$17:$L$17,Data!$D$1:$L$1,"",-1,1),E214="U12G",_xlfn.XLOOKUP(G214,Data!$D$24:$L$24,Data!$D$1:$L$1,"",-1,1)))</f>
        <v/>
      </c>
      <c r="L214" s="184" t="str" cm="1">
        <f t="array" ref="L214">IFERROR(_xlfn.IFNA(
                      _xlfn.IFS(
                      F214="", "",
                      AND(E214="U10B",G214&gt;=Data!$M$4), "U10 Boys record",
                      AND(E214="U12B",G214&gt;=Data!$M$11), "U12 Boys record",
                      AND(E214="U10G",G214&gt;=Data!$M$17), "U10 Girls record",
                      AND(E214="U12G",G214&gt;=Data!$M$24), "U12 Girls record"
                       ),""), "")</f>
        <v/>
      </c>
      <c r="M214" s="19" cm="1">
        <f t="array" ref="M214">_xlfn.IFS($G214="",0,AND(NOT(ISNUMBER($G214)),LOWER(LEFT($G214,1))&lt;&gt;"n"),"Not a valid distance",OR(LOWER(LEFT($G214,1))="n",$G214&lt;ScoringTable!$P$161),1,RIGHT($E214,1)="B",_xlfn.XLOOKUP($G214,ScoringTable!$P$2:$P$161,ScoringTable!$L$2:$L$161,,-1),TRUE,_xlfn.XLOOKUP($G214,ScoringTable!$V$2:$V$161,ScoringTable!$R$2:$R$161,,-1))</f>
        <v>0</v>
      </c>
    </row>
    <row r="215" spans="1:13" ht="16" customHeight="1">
      <c r="A215" s="82" t="s">
        <v>27</v>
      </c>
      <c r="B215" s="81" t="str">
        <f>IF(ISNA(VLOOKUP($F215,Declarations!B$6:C$293,2,FALSE)),"",IF(VLOOKUP($F215,Declarations!B$6:C$293,2,FALSE)="","NOT DECLARED",IF(ISNA(_xlfn.TEXTBEFORE(VLOOKUP($F215,Declarations!B$6:C$293,2,FALSE)," ")),VLOOKUP($F215,Declarations!B$6:C$293,2,FALSE),_xlfn.TEXTBEFORE(VLOOKUP($F215,Declarations!B$6:C$293,2,FALSE)," "))))</f>
        <v/>
      </c>
      <c r="C215" s="81" t="str">
        <f>IF(ISNA(VLOOKUP($F215,Declarations!B$6:C$293,2,FALSE)),"",IF(VLOOKUP($F215,Declarations!B$6:C$293,2,FALSE)="","NOT DECLARED",IF(ISNA(_xlfn.TEXTAFTER(VLOOKUP($F215,Declarations!B$6:C$293,2,FALSE)," ")),VLOOKUP($F215,Declarations!B$6:C$293,2,FALSE),_xlfn.TEXTAFTER(VLOOKUP($F215,Declarations!B$6:C$293,2,FALSE)," "))))</f>
        <v/>
      </c>
      <c r="D215" s="81" t="str">
        <f>IF(ISNA(VLOOKUP($F215,Declarations!$B$6:$F$293,5,FALSE)),"",IF(VLOOKUP($F215,Declarations!$B$6:$F$293,5,FALSE)="","NOT DECLARED",VLOOKUP($F215,Declarations!$B$6:$F$293,5,FALSE)))</f>
        <v/>
      </c>
      <c r="E215" s="120" t="str">
        <f>IF(ISNA(VLOOKUP($F215,Declarations!$B$6:$D$293,3,FALSE)),"",IF(VLOOKUP($F215,Declarations!$B$6:$D$293,3,FALSE)="","NOT DECLARED",VLOOKUP($F215,Declarations!$B$6:$D$293,3,FALSE)&amp;LEFT(VLOOKUP($F215,Declarations!$B$6:$E$293,4,FALSE))))</f>
        <v/>
      </c>
      <c r="F215" s="21"/>
      <c r="G215" s="22"/>
      <c r="H215" s="322"/>
      <c r="I215" s="8" t="str">
        <f>IF(ISNA(VLOOKUP(F215,Declarations!B$6:C$293,2,FALSE)),"",IF(VLOOKUP(F215,Declarations!B$6:C$293,2,FALSE)="","NOT DECLARED",VLOOKUP(F215,Declarations!B$6:C$293,2,FALSE)))</f>
        <v/>
      </c>
      <c r="J215" s="2">
        <f>IF(LOWER(LEFT(G215,1))="n",1,VLOOKUP(G215,ScoringTable!E$2:I$95,5))</f>
        <v>0</v>
      </c>
      <c r="K215" s="120" t="str" cm="1">
        <f t="array" ref="K215">IF(OR(E215="",G215=""),"",_xlfn.IFS(E215="U10B",_xlfn.XLOOKUP(G215,Data!$D$4:$L$4,Data!$D$1:$L$1,"",-1,1),E215="U12B",_xlfn.XLOOKUP(G215,Data!$D$11:$L$11,Data!$D$1:$L$1,"",-1,1),E215="U10G",_xlfn.XLOOKUP(G215,Data!$D$17:$L$17,Data!$D$1:$L$1,"",-1,1),E215="U12G",_xlfn.XLOOKUP(G215,Data!$D$24:$L$24,Data!$D$1:$L$1,"",-1,1)))</f>
        <v/>
      </c>
      <c r="L215" s="184" t="str" cm="1">
        <f t="array" ref="L215">IFERROR(_xlfn.IFNA(
                      _xlfn.IFS(
                      F215="", "",
                      AND(E215="U10B",G215&gt;=Data!$M$4), "U10 Boys record",
                      AND(E215="U12B",G215&gt;=Data!$M$11), "U12 Boys record",
                      AND(E215="U10G",G215&gt;=Data!$M$17), "U10 Girls record",
                      AND(E215="U12G",G215&gt;=Data!$M$24), "U12 Girls record"
                       ),""), "")</f>
        <v/>
      </c>
      <c r="M215" s="19" cm="1">
        <f t="array" ref="M215">_xlfn.IFS($G215="",0,AND(NOT(ISNUMBER($G215)),LOWER(LEFT($G215,1))&lt;&gt;"n"),"Not a valid distance",OR(LOWER(LEFT($G215,1))="n",$G215&lt;ScoringTable!$P$161),1,RIGHT($E215,1)="B",_xlfn.XLOOKUP($G215,ScoringTable!$P$2:$P$161,ScoringTable!$L$2:$L$161,,-1),TRUE,_xlfn.XLOOKUP($G215,ScoringTable!$V$2:$V$161,ScoringTable!$R$2:$R$161,,-1))</f>
        <v>0</v>
      </c>
    </row>
    <row r="216" spans="1:13" ht="16" customHeight="1">
      <c r="A216" s="82" t="s">
        <v>27</v>
      </c>
      <c r="B216" s="81" t="str">
        <f>IF(ISNA(VLOOKUP($F216,Declarations!B$6:C$293,2,FALSE)),"",IF(VLOOKUP($F216,Declarations!B$6:C$293,2,FALSE)="","NOT DECLARED",IF(ISNA(_xlfn.TEXTBEFORE(VLOOKUP($F216,Declarations!B$6:C$293,2,FALSE)," ")),VLOOKUP($F216,Declarations!B$6:C$293,2,FALSE),_xlfn.TEXTBEFORE(VLOOKUP($F216,Declarations!B$6:C$293,2,FALSE)," "))))</f>
        <v/>
      </c>
      <c r="C216" s="81" t="str">
        <f>IF(ISNA(VLOOKUP($F216,Declarations!B$6:C$293,2,FALSE)),"",IF(VLOOKUP($F216,Declarations!B$6:C$293,2,FALSE)="","NOT DECLARED",IF(ISNA(_xlfn.TEXTAFTER(VLOOKUP($F216,Declarations!B$6:C$293,2,FALSE)," ")),VLOOKUP($F216,Declarations!B$6:C$293,2,FALSE),_xlfn.TEXTAFTER(VLOOKUP($F216,Declarations!B$6:C$293,2,FALSE)," "))))</f>
        <v/>
      </c>
      <c r="D216" s="81" t="str">
        <f>IF(ISNA(VLOOKUP($F216,Declarations!$B$6:$F$293,5,FALSE)),"",IF(VLOOKUP($F216,Declarations!$B$6:$F$293,5,FALSE)="","NOT DECLARED",VLOOKUP($F216,Declarations!$B$6:$F$293,5,FALSE)))</f>
        <v/>
      </c>
      <c r="E216" s="120" t="str">
        <f>IF(ISNA(VLOOKUP($F216,Declarations!$B$6:$D$293,3,FALSE)),"",IF(VLOOKUP($F216,Declarations!$B$6:$D$293,3,FALSE)="","NOT DECLARED",VLOOKUP($F216,Declarations!$B$6:$D$293,3,FALSE)&amp;LEFT(VLOOKUP($F216,Declarations!$B$6:$E$293,4,FALSE))))</f>
        <v/>
      </c>
      <c r="F216" s="21"/>
      <c r="G216" s="22"/>
      <c r="H216" s="322"/>
      <c r="I216" s="8" t="str">
        <f>IF(ISNA(VLOOKUP(F216,Declarations!B$6:C$293,2,FALSE)),"",IF(VLOOKUP(F216,Declarations!B$6:C$293,2,FALSE)="","NOT DECLARED",VLOOKUP(F216,Declarations!B$6:C$293,2,FALSE)))</f>
        <v/>
      </c>
      <c r="J216" s="2">
        <f>IF(LOWER(LEFT(G216,1))="n",1,VLOOKUP(G216,ScoringTable!E$2:I$95,5))</f>
        <v>0</v>
      </c>
      <c r="K216" s="120" t="str" cm="1">
        <f t="array" ref="K216">IF(OR(E216="",G216=""),"",_xlfn.IFS(E216="U10B",_xlfn.XLOOKUP(G216,Data!$D$4:$L$4,Data!$D$1:$L$1,"",-1,1),E216="U12B",_xlfn.XLOOKUP(G216,Data!$D$11:$L$11,Data!$D$1:$L$1,"",-1,1),E216="U10G",_xlfn.XLOOKUP(G216,Data!$D$17:$L$17,Data!$D$1:$L$1,"",-1,1),E216="U12G",_xlfn.XLOOKUP(G216,Data!$D$24:$L$24,Data!$D$1:$L$1,"",-1,1)))</f>
        <v/>
      </c>
      <c r="L216" s="184" t="str" cm="1">
        <f t="array" ref="L216">IFERROR(_xlfn.IFNA(
                      _xlfn.IFS(
                      F216="", "",
                      AND(E216="U10B",G216&gt;=Data!$M$4), "U10 Boys record",
                      AND(E216="U12B",G216&gt;=Data!$M$11), "U12 Boys record",
                      AND(E216="U10G",G216&gt;=Data!$M$17), "U10 Girls record",
                      AND(E216="U12G",G216&gt;=Data!$M$24), "U12 Girls record"
                       ),""), "")</f>
        <v/>
      </c>
      <c r="M216" s="19" cm="1">
        <f t="array" ref="M216">_xlfn.IFS($G216="",0,AND(NOT(ISNUMBER($G216)),LOWER(LEFT($G216,1))&lt;&gt;"n"),"Not a valid distance",OR(LOWER(LEFT($G216,1))="n",$G216&lt;ScoringTable!$P$161),1,RIGHT($E216,1)="B",_xlfn.XLOOKUP($G216,ScoringTable!$P$2:$P$161,ScoringTable!$L$2:$L$161,,-1),TRUE,_xlfn.XLOOKUP($G216,ScoringTable!$V$2:$V$161,ScoringTable!$R$2:$R$161,,-1))</f>
        <v>0</v>
      </c>
    </row>
    <row r="217" spans="1:13" ht="16" customHeight="1">
      <c r="A217" s="82" t="s">
        <v>27</v>
      </c>
      <c r="B217" s="81" t="str">
        <f>IF(ISNA(VLOOKUP($F217,Declarations!B$6:C$293,2,FALSE)),"",IF(VLOOKUP($F217,Declarations!B$6:C$293,2,FALSE)="","NOT DECLARED",IF(ISNA(_xlfn.TEXTBEFORE(VLOOKUP($F217,Declarations!B$6:C$293,2,FALSE)," ")),VLOOKUP($F217,Declarations!B$6:C$293,2,FALSE),_xlfn.TEXTBEFORE(VLOOKUP($F217,Declarations!B$6:C$293,2,FALSE)," "))))</f>
        <v/>
      </c>
      <c r="C217" s="81" t="str">
        <f>IF(ISNA(VLOOKUP($F217,Declarations!B$6:C$293,2,FALSE)),"",IF(VLOOKUP($F217,Declarations!B$6:C$293,2,FALSE)="","NOT DECLARED",IF(ISNA(_xlfn.TEXTAFTER(VLOOKUP($F217,Declarations!B$6:C$293,2,FALSE)," ")),VLOOKUP($F217,Declarations!B$6:C$293,2,FALSE),_xlfn.TEXTAFTER(VLOOKUP($F217,Declarations!B$6:C$293,2,FALSE)," "))))</f>
        <v/>
      </c>
      <c r="D217" s="81" t="str">
        <f>IF(ISNA(VLOOKUP($F217,Declarations!$B$6:$F$293,5,FALSE)),"",IF(VLOOKUP($F217,Declarations!$B$6:$F$293,5,FALSE)="","NOT DECLARED",VLOOKUP($F217,Declarations!$B$6:$F$293,5,FALSE)))</f>
        <v/>
      </c>
      <c r="E217" s="120" t="str">
        <f>IF(ISNA(VLOOKUP($F217,Declarations!$B$6:$D$293,3,FALSE)),"",IF(VLOOKUP($F217,Declarations!$B$6:$D$293,3,FALSE)="","NOT DECLARED",VLOOKUP($F217,Declarations!$B$6:$D$293,3,FALSE)&amp;LEFT(VLOOKUP($F217,Declarations!$B$6:$E$293,4,FALSE))))</f>
        <v/>
      </c>
      <c r="F217" s="21"/>
      <c r="G217" s="22"/>
      <c r="H217" s="322"/>
      <c r="I217" s="8" t="str">
        <f>IF(ISNA(VLOOKUP(F217,Declarations!B$6:C$293,2,FALSE)),"",IF(VLOOKUP(F217,Declarations!B$6:C$293,2,FALSE)="","NOT DECLARED",VLOOKUP(F217,Declarations!B$6:C$293,2,FALSE)))</f>
        <v/>
      </c>
      <c r="J217" s="2">
        <f>IF(LOWER(LEFT(G217,1))="n",1,VLOOKUP(G217,ScoringTable!E$2:I$95,5))</f>
        <v>0</v>
      </c>
      <c r="K217" s="120" t="str" cm="1">
        <f t="array" ref="K217">IF(OR(E217="",G217=""),"",_xlfn.IFS(E217="U10B",_xlfn.XLOOKUP(G217,Data!$D$4:$L$4,Data!$D$1:$L$1,"",-1,1),E217="U12B",_xlfn.XLOOKUP(G217,Data!$D$11:$L$11,Data!$D$1:$L$1,"",-1,1),E217="U10G",_xlfn.XLOOKUP(G217,Data!$D$17:$L$17,Data!$D$1:$L$1,"",-1,1),E217="U12G",_xlfn.XLOOKUP(G217,Data!$D$24:$L$24,Data!$D$1:$L$1,"",-1,1)))</f>
        <v/>
      </c>
      <c r="L217" s="184" t="str" cm="1">
        <f t="array" ref="L217">IFERROR(_xlfn.IFNA(
                      _xlfn.IFS(
                      F217="", "",
                      AND(E217="U10B",G217&gt;=Data!$M$4), "U10 Boys record",
                      AND(E217="U12B",G217&gt;=Data!$M$11), "U12 Boys record",
                      AND(E217="U10G",G217&gt;=Data!$M$17), "U10 Girls record",
                      AND(E217="U12G",G217&gt;=Data!$M$24), "U12 Girls record"
                       ),""), "")</f>
        <v/>
      </c>
      <c r="M217" s="19" cm="1">
        <f t="array" ref="M217">_xlfn.IFS($G217="",0,AND(NOT(ISNUMBER($G217)),LOWER(LEFT($G217,1))&lt;&gt;"n"),"Not a valid distance",OR(LOWER(LEFT($G217,1))="n",$G217&lt;ScoringTable!$P$161),1,RIGHT($E217,1)="B",_xlfn.XLOOKUP($G217,ScoringTable!$P$2:$P$161,ScoringTable!$L$2:$L$161,,-1),TRUE,_xlfn.XLOOKUP($G217,ScoringTable!$V$2:$V$161,ScoringTable!$R$2:$R$161,,-1))</f>
        <v>0</v>
      </c>
    </row>
    <row r="218" spans="1:13" ht="16" customHeight="1">
      <c r="A218" s="82" t="s">
        <v>27</v>
      </c>
      <c r="B218" s="81" t="str">
        <f>IF(ISNA(VLOOKUP($F218,Declarations!B$6:C$293,2,FALSE)),"",IF(VLOOKUP($F218,Declarations!B$6:C$293,2,FALSE)="","NOT DECLARED",IF(ISNA(_xlfn.TEXTBEFORE(VLOOKUP($F218,Declarations!B$6:C$293,2,FALSE)," ")),VLOOKUP($F218,Declarations!B$6:C$293,2,FALSE),_xlfn.TEXTBEFORE(VLOOKUP($F218,Declarations!B$6:C$293,2,FALSE)," "))))</f>
        <v/>
      </c>
      <c r="C218" s="81" t="str">
        <f>IF(ISNA(VLOOKUP($F218,Declarations!B$6:C$293,2,FALSE)),"",IF(VLOOKUP($F218,Declarations!B$6:C$293,2,FALSE)="","NOT DECLARED",IF(ISNA(_xlfn.TEXTAFTER(VLOOKUP($F218,Declarations!B$6:C$293,2,FALSE)," ")),VLOOKUP($F218,Declarations!B$6:C$293,2,FALSE),_xlfn.TEXTAFTER(VLOOKUP($F218,Declarations!B$6:C$293,2,FALSE)," "))))</f>
        <v/>
      </c>
      <c r="D218" s="81" t="str">
        <f>IF(ISNA(VLOOKUP($F218,Declarations!$B$6:$F$293,5,FALSE)),"",IF(VLOOKUP($F218,Declarations!$B$6:$F$293,5,FALSE)="","NOT DECLARED",VLOOKUP($F218,Declarations!$B$6:$F$293,5,FALSE)))</f>
        <v/>
      </c>
      <c r="E218" s="120" t="str">
        <f>IF(ISNA(VLOOKUP($F218,Declarations!$B$6:$D$293,3,FALSE)),"",IF(VLOOKUP($F218,Declarations!$B$6:$D$293,3,FALSE)="","NOT DECLARED",VLOOKUP($F218,Declarations!$B$6:$D$293,3,FALSE)&amp;LEFT(VLOOKUP($F218,Declarations!$B$6:$E$293,4,FALSE))))</f>
        <v/>
      </c>
      <c r="F218" s="21"/>
      <c r="G218" s="22"/>
      <c r="H218" s="322"/>
      <c r="I218" s="8" t="str">
        <f>IF(ISNA(VLOOKUP(F218,Declarations!B$6:C$293,2,FALSE)),"",IF(VLOOKUP(F218,Declarations!B$6:C$293,2,FALSE)="","NOT DECLARED",VLOOKUP(F218,Declarations!B$6:C$293,2,FALSE)))</f>
        <v/>
      </c>
      <c r="J218" s="2">
        <f>IF(LOWER(LEFT(G218,1))="n",1,VLOOKUP(G218,ScoringTable!E$2:I$95,5))</f>
        <v>0</v>
      </c>
      <c r="K218" s="120" t="str" cm="1">
        <f t="array" ref="K218">IF(OR(E218="",G218=""),"",_xlfn.IFS(E218="U10B",_xlfn.XLOOKUP(G218,Data!$D$4:$L$4,Data!$D$1:$L$1,"",-1,1),E218="U12B",_xlfn.XLOOKUP(G218,Data!$D$11:$L$11,Data!$D$1:$L$1,"",-1,1),E218="U10G",_xlfn.XLOOKUP(G218,Data!$D$17:$L$17,Data!$D$1:$L$1,"",-1,1),E218="U12G",_xlfn.XLOOKUP(G218,Data!$D$24:$L$24,Data!$D$1:$L$1,"",-1,1)))</f>
        <v/>
      </c>
      <c r="L218" s="184" t="str" cm="1">
        <f t="array" ref="L218">IFERROR(_xlfn.IFNA(
                      _xlfn.IFS(
                      F218="", "",
                      AND(E218="U10B",G218&gt;=Data!$M$4), "U10 Boys record",
                      AND(E218="U12B",G218&gt;=Data!$M$11), "U12 Boys record",
                      AND(E218="U10G",G218&gt;=Data!$M$17), "U10 Girls record",
                      AND(E218="U12G",G218&gt;=Data!$M$24), "U12 Girls record"
                       ),""), "")</f>
        <v/>
      </c>
      <c r="M218" s="19" cm="1">
        <f t="array" ref="M218">_xlfn.IFS($G218="",0,AND(NOT(ISNUMBER($G218)),LOWER(LEFT($G218,1))&lt;&gt;"n"),"Not a valid distance",OR(LOWER(LEFT($G218,1))="n",$G218&lt;ScoringTable!$P$161),1,RIGHT($E218,1)="B",_xlfn.XLOOKUP($G218,ScoringTable!$P$2:$P$161,ScoringTable!$L$2:$L$161,,-1),TRUE,_xlfn.XLOOKUP($G218,ScoringTable!$V$2:$V$161,ScoringTable!$R$2:$R$161,,-1))</f>
        <v>0</v>
      </c>
    </row>
    <row r="219" spans="1:13" ht="16" customHeight="1">
      <c r="A219" s="82" t="s">
        <v>27</v>
      </c>
      <c r="B219" s="81" t="str">
        <f>IF(ISNA(VLOOKUP($F219,Declarations!B$6:C$293,2,FALSE)),"",IF(VLOOKUP($F219,Declarations!B$6:C$293,2,FALSE)="","NOT DECLARED",IF(ISNA(_xlfn.TEXTBEFORE(VLOOKUP($F219,Declarations!B$6:C$293,2,FALSE)," ")),VLOOKUP($F219,Declarations!B$6:C$293,2,FALSE),_xlfn.TEXTBEFORE(VLOOKUP($F219,Declarations!B$6:C$293,2,FALSE)," "))))</f>
        <v/>
      </c>
      <c r="C219" s="81" t="str">
        <f>IF(ISNA(VLOOKUP($F219,Declarations!B$6:C$293,2,FALSE)),"",IF(VLOOKUP($F219,Declarations!B$6:C$293,2,FALSE)="","NOT DECLARED",IF(ISNA(_xlfn.TEXTAFTER(VLOOKUP($F219,Declarations!B$6:C$293,2,FALSE)," ")),VLOOKUP($F219,Declarations!B$6:C$293,2,FALSE),_xlfn.TEXTAFTER(VLOOKUP($F219,Declarations!B$6:C$293,2,FALSE)," "))))</f>
        <v/>
      </c>
      <c r="D219" s="81" t="str">
        <f>IF(ISNA(VLOOKUP($F219,Declarations!$B$6:$F$293,5,FALSE)),"",IF(VLOOKUP($F219,Declarations!$B$6:$F$293,5,FALSE)="","NOT DECLARED",VLOOKUP($F219,Declarations!$B$6:$F$293,5,FALSE)))</f>
        <v/>
      </c>
      <c r="E219" s="120" t="str">
        <f>IF(ISNA(VLOOKUP($F219,Declarations!$B$6:$D$293,3,FALSE)),"",IF(VLOOKUP($F219,Declarations!$B$6:$D$293,3,FALSE)="","NOT DECLARED",VLOOKUP($F219,Declarations!$B$6:$D$293,3,FALSE)&amp;LEFT(VLOOKUP($F219,Declarations!$B$6:$E$293,4,FALSE))))</f>
        <v/>
      </c>
      <c r="F219" s="21"/>
      <c r="G219" s="22"/>
      <c r="H219" s="322"/>
      <c r="I219" s="8" t="str">
        <f>IF(ISNA(VLOOKUP(F219,Declarations!B$6:C$293,2,FALSE)),"",IF(VLOOKUP(F219,Declarations!B$6:C$293,2,FALSE)="","NOT DECLARED",VLOOKUP(F219,Declarations!B$6:C$293,2,FALSE)))</f>
        <v/>
      </c>
      <c r="J219" s="2">
        <f>IF(LOWER(LEFT(G219,1))="n",1,VLOOKUP(G219,ScoringTable!E$2:I$95,5))</f>
        <v>0</v>
      </c>
      <c r="K219" s="120" t="str" cm="1">
        <f t="array" ref="K219">IF(OR(E219="",G219=""),"",_xlfn.IFS(E219="U10B",_xlfn.XLOOKUP(G219,Data!$D$4:$L$4,Data!$D$1:$L$1,"",-1,1),E219="U12B",_xlfn.XLOOKUP(G219,Data!$D$11:$L$11,Data!$D$1:$L$1,"",-1,1),E219="U10G",_xlfn.XLOOKUP(G219,Data!$D$17:$L$17,Data!$D$1:$L$1,"",-1,1),E219="U12G",_xlfn.XLOOKUP(G219,Data!$D$24:$L$24,Data!$D$1:$L$1,"",-1,1)))</f>
        <v/>
      </c>
      <c r="L219" s="184" t="str" cm="1">
        <f t="array" ref="L219">IFERROR(_xlfn.IFNA(
                      _xlfn.IFS(
                      F219="", "",
                      AND(E219="U10B",G219&gt;=Data!$M$4), "U10 Boys record",
                      AND(E219="U12B",G219&gt;=Data!$M$11), "U12 Boys record",
                      AND(E219="U10G",G219&gt;=Data!$M$17), "U10 Girls record",
                      AND(E219="U12G",G219&gt;=Data!$M$24), "U12 Girls record"
                       ),""), "")</f>
        <v/>
      </c>
      <c r="M219" s="19" cm="1">
        <f t="array" ref="M219">_xlfn.IFS($G219="",0,AND(NOT(ISNUMBER($G219)),LOWER(LEFT($G219,1))&lt;&gt;"n"),"Not a valid distance",OR(LOWER(LEFT($G219,1))="n",$G219&lt;ScoringTable!$P$161),1,RIGHT($E219,1)="B",_xlfn.XLOOKUP($G219,ScoringTable!$P$2:$P$161,ScoringTable!$L$2:$L$161,,-1),TRUE,_xlfn.XLOOKUP($G219,ScoringTable!$V$2:$V$161,ScoringTable!$R$2:$R$161,,-1))</f>
        <v>0</v>
      </c>
    </row>
    <row r="220" spans="1:13" ht="16" customHeight="1">
      <c r="A220" s="82" t="s">
        <v>27</v>
      </c>
      <c r="B220" s="81" t="str">
        <f>IF(ISNA(VLOOKUP($F220,Declarations!B$6:C$293,2,FALSE)),"",IF(VLOOKUP($F220,Declarations!B$6:C$293,2,FALSE)="","NOT DECLARED",IF(ISNA(_xlfn.TEXTBEFORE(VLOOKUP($F220,Declarations!B$6:C$293,2,FALSE)," ")),VLOOKUP($F220,Declarations!B$6:C$293,2,FALSE),_xlfn.TEXTBEFORE(VLOOKUP($F220,Declarations!B$6:C$293,2,FALSE)," "))))</f>
        <v/>
      </c>
      <c r="C220" s="81" t="str">
        <f>IF(ISNA(VLOOKUP($F220,Declarations!B$6:C$293,2,FALSE)),"",IF(VLOOKUP($F220,Declarations!B$6:C$293,2,FALSE)="","NOT DECLARED",IF(ISNA(_xlfn.TEXTAFTER(VLOOKUP($F220,Declarations!B$6:C$293,2,FALSE)," ")),VLOOKUP($F220,Declarations!B$6:C$293,2,FALSE),_xlfn.TEXTAFTER(VLOOKUP($F220,Declarations!B$6:C$293,2,FALSE)," "))))</f>
        <v/>
      </c>
      <c r="D220" s="81" t="str">
        <f>IF(ISNA(VLOOKUP($F220,Declarations!$B$6:$F$293,5,FALSE)),"",IF(VLOOKUP($F220,Declarations!$B$6:$F$293,5,FALSE)="","NOT DECLARED",VLOOKUP($F220,Declarations!$B$6:$F$293,5,FALSE)))</f>
        <v/>
      </c>
      <c r="E220" s="120" t="str">
        <f>IF(ISNA(VLOOKUP($F220,Declarations!$B$6:$D$293,3,FALSE)),"",IF(VLOOKUP($F220,Declarations!$B$6:$D$293,3,FALSE)="","NOT DECLARED",VLOOKUP($F220,Declarations!$B$6:$D$293,3,FALSE)&amp;LEFT(VLOOKUP($F220,Declarations!$B$6:$E$293,4,FALSE))))</f>
        <v/>
      </c>
      <c r="F220" s="21"/>
      <c r="G220" s="22"/>
      <c r="H220" s="322"/>
      <c r="I220" s="8" t="str">
        <f>IF(ISNA(VLOOKUP(F220,Declarations!B$6:C$293,2,FALSE)),"",IF(VLOOKUP(F220,Declarations!B$6:C$293,2,FALSE)="","NOT DECLARED",VLOOKUP(F220,Declarations!B$6:C$293,2,FALSE)))</f>
        <v/>
      </c>
      <c r="J220" s="2">
        <f>IF(LOWER(LEFT(G220,1))="n",1,VLOOKUP(G220,ScoringTable!E$2:I$95,5))</f>
        <v>0</v>
      </c>
      <c r="K220" s="120" t="str" cm="1">
        <f t="array" ref="K220">IF(OR(E220="",G220=""),"",_xlfn.IFS(E220="U10B",_xlfn.XLOOKUP(G220,Data!$D$4:$L$4,Data!$D$1:$L$1,"",-1,1),E220="U12B",_xlfn.XLOOKUP(G220,Data!$D$11:$L$11,Data!$D$1:$L$1,"",-1,1),E220="U10G",_xlfn.XLOOKUP(G220,Data!$D$17:$L$17,Data!$D$1:$L$1,"",-1,1),E220="U12G",_xlfn.XLOOKUP(G220,Data!$D$24:$L$24,Data!$D$1:$L$1,"",-1,1)))</f>
        <v/>
      </c>
      <c r="L220" s="184" t="str" cm="1">
        <f t="array" ref="L220">IFERROR(_xlfn.IFNA(
                      _xlfn.IFS(
                      F220="", "",
                      AND(E220="U10B",G220&gt;=Data!$M$4), "U10 Boys record",
                      AND(E220="U12B",G220&gt;=Data!$M$11), "U12 Boys record",
                      AND(E220="U10G",G220&gt;=Data!$M$17), "U10 Girls record",
                      AND(E220="U12G",G220&gt;=Data!$M$24), "U12 Girls record"
                       ),""), "")</f>
        <v/>
      </c>
      <c r="M220" s="19" cm="1">
        <f t="array" ref="M220">_xlfn.IFS($G220="",0,AND(NOT(ISNUMBER($G220)),LOWER(LEFT($G220,1))&lt;&gt;"n"),"Not a valid distance",OR(LOWER(LEFT($G220,1))="n",$G220&lt;ScoringTable!$P$161),1,RIGHT($E220,1)="B",_xlfn.XLOOKUP($G220,ScoringTable!$P$2:$P$161,ScoringTable!$L$2:$L$161,,-1),TRUE,_xlfn.XLOOKUP($G220,ScoringTable!$V$2:$V$161,ScoringTable!$R$2:$R$161,,-1))</f>
        <v>0</v>
      </c>
    </row>
    <row r="221" spans="1:13" ht="16" customHeight="1">
      <c r="A221" s="82" t="s">
        <v>27</v>
      </c>
      <c r="B221" s="81" t="str">
        <f>IF(ISNA(VLOOKUP($F221,Declarations!B$6:C$293,2,FALSE)),"",IF(VLOOKUP($F221,Declarations!B$6:C$293,2,FALSE)="","NOT DECLARED",IF(ISNA(_xlfn.TEXTBEFORE(VLOOKUP($F221,Declarations!B$6:C$293,2,FALSE)," ")),VLOOKUP($F221,Declarations!B$6:C$293,2,FALSE),_xlfn.TEXTBEFORE(VLOOKUP($F221,Declarations!B$6:C$293,2,FALSE)," "))))</f>
        <v/>
      </c>
      <c r="C221" s="81" t="str">
        <f>IF(ISNA(VLOOKUP($F221,Declarations!B$6:C$293,2,FALSE)),"",IF(VLOOKUP($F221,Declarations!B$6:C$293,2,FALSE)="","NOT DECLARED",IF(ISNA(_xlfn.TEXTAFTER(VLOOKUP($F221,Declarations!B$6:C$293,2,FALSE)," ")),VLOOKUP($F221,Declarations!B$6:C$293,2,FALSE),_xlfn.TEXTAFTER(VLOOKUP($F221,Declarations!B$6:C$293,2,FALSE)," "))))</f>
        <v/>
      </c>
      <c r="D221" s="81" t="str">
        <f>IF(ISNA(VLOOKUP($F221,Declarations!$B$6:$F$293,5,FALSE)),"",IF(VLOOKUP($F221,Declarations!$B$6:$F$293,5,FALSE)="","NOT DECLARED",VLOOKUP($F221,Declarations!$B$6:$F$293,5,FALSE)))</f>
        <v/>
      </c>
      <c r="E221" s="120" t="str">
        <f>IF(ISNA(VLOOKUP($F221,Declarations!$B$6:$D$293,3,FALSE)),"",IF(VLOOKUP($F221,Declarations!$B$6:$D$293,3,FALSE)="","NOT DECLARED",VLOOKUP($F221,Declarations!$B$6:$D$293,3,FALSE)&amp;LEFT(VLOOKUP($F221,Declarations!$B$6:$E$293,4,FALSE))))</f>
        <v/>
      </c>
      <c r="F221" s="21"/>
      <c r="G221" s="22"/>
      <c r="H221" s="322"/>
      <c r="I221" s="8" t="str">
        <f>IF(ISNA(VLOOKUP(F221,Declarations!B$6:C$293,2,FALSE)),"",IF(VLOOKUP(F221,Declarations!B$6:C$293,2,FALSE)="","NOT DECLARED",VLOOKUP(F221,Declarations!B$6:C$293,2,FALSE)))</f>
        <v/>
      </c>
      <c r="J221" s="2">
        <f>IF(LOWER(LEFT(G221,1))="n",1,VLOOKUP(G221,ScoringTable!E$2:I$95,5))</f>
        <v>0</v>
      </c>
      <c r="K221" s="120" t="str" cm="1">
        <f t="array" ref="K221">IF(OR(E221="",G221=""),"",_xlfn.IFS(E221="U10B",_xlfn.XLOOKUP(G221,Data!$D$4:$L$4,Data!$D$1:$L$1,"",-1,1),E221="U12B",_xlfn.XLOOKUP(G221,Data!$D$11:$L$11,Data!$D$1:$L$1,"",-1,1),E221="U10G",_xlfn.XLOOKUP(G221,Data!$D$17:$L$17,Data!$D$1:$L$1,"",-1,1),E221="U12G",_xlfn.XLOOKUP(G221,Data!$D$24:$L$24,Data!$D$1:$L$1,"",-1,1)))</f>
        <v/>
      </c>
      <c r="L221" s="184" t="str" cm="1">
        <f t="array" ref="L221">IFERROR(_xlfn.IFNA(
                      _xlfn.IFS(
                      F221="", "",
                      AND(E221="U10B",G221&gt;=Data!$M$4), "U10 Boys record",
                      AND(E221="U12B",G221&gt;=Data!$M$11), "U12 Boys record",
                      AND(E221="U10G",G221&gt;=Data!$M$17), "U10 Girls record",
                      AND(E221="U12G",G221&gt;=Data!$M$24), "U12 Girls record"
                       ),""), "")</f>
        <v/>
      </c>
      <c r="M221" s="19" cm="1">
        <f t="array" ref="M221">_xlfn.IFS($G221="",0,AND(NOT(ISNUMBER($G221)),LOWER(LEFT($G221,1))&lt;&gt;"n"),"Not a valid distance",OR(LOWER(LEFT($G221,1))="n",$G221&lt;ScoringTable!$P$161),1,RIGHT($E221,1)="B",_xlfn.XLOOKUP($G221,ScoringTable!$P$2:$P$161,ScoringTable!$L$2:$L$161,,-1),TRUE,_xlfn.XLOOKUP($G221,ScoringTable!$V$2:$V$161,ScoringTable!$R$2:$R$161,,-1))</f>
        <v>0</v>
      </c>
    </row>
    <row r="222" spans="1:13" ht="16" customHeight="1">
      <c r="A222" s="82" t="s">
        <v>27</v>
      </c>
      <c r="B222" s="81" t="str">
        <f>IF(ISNA(VLOOKUP($F222,Declarations!B$6:C$293,2,FALSE)),"",IF(VLOOKUP($F222,Declarations!B$6:C$293,2,FALSE)="","NOT DECLARED",IF(ISNA(_xlfn.TEXTBEFORE(VLOOKUP($F222,Declarations!B$6:C$293,2,FALSE)," ")),VLOOKUP($F222,Declarations!B$6:C$293,2,FALSE),_xlfn.TEXTBEFORE(VLOOKUP($F222,Declarations!B$6:C$293,2,FALSE)," "))))</f>
        <v/>
      </c>
      <c r="C222" s="81" t="str">
        <f>IF(ISNA(VLOOKUP($F222,Declarations!B$6:C$293,2,FALSE)),"",IF(VLOOKUP($F222,Declarations!B$6:C$293,2,FALSE)="","NOT DECLARED",IF(ISNA(_xlfn.TEXTAFTER(VLOOKUP($F222,Declarations!B$6:C$293,2,FALSE)," ")),VLOOKUP($F222,Declarations!B$6:C$293,2,FALSE),_xlfn.TEXTAFTER(VLOOKUP($F222,Declarations!B$6:C$293,2,FALSE)," "))))</f>
        <v/>
      </c>
      <c r="D222" s="81" t="str">
        <f>IF(ISNA(VLOOKUP($F222,Declarations!$B$6:$F$293,5,FALSE)),"",IF(VLOOKUP($F222,Declarations!$B$6:$F$293,5,FALSE)="","NOT DECLARED",VLOOKUP($F222,Declarations!$B$6:$F$293,5,FALSE)))</f>
        <v/>
      </c>
      <c r="E222" s="120" t="str">
        <f>IF(ISNA(VLOOKUP($F222,Declarations!$B$6:$D$293,3,FALSE)),"",IF(VLOOKUP($F222,Declarations!$B$6:$D$293,3,FALSE)="","NOT DECLARED",VLOOKUP($F222,Declarations!$B$6:$D$293,3,FALSE)&amp;LEFT(VLOOKUP($F222,Declarations!$B$6:$E$293,4,FALSE))))</f>
        <v/>
      </c>
      <c r="F222" s="21"/>
      <c r="G222" s="22"/>
      <c r="H222" s="322"/>
      <c r="I222" s="8" t="str">
        <f>IF(ISNA(VLOOKUP(F222,Declarations!B$6:C$293,2,FALSE)),"",IF(VLOOKUP(F222,Declarations!B$6:C$293,2,FALSE)="","NOT DECLARED",VLOOKUP(F222,Declarations!B$6:C$293,2,FALSE)))</f>
        <v/>
      </c>
      <c r="J222" s="2">
        <f>IF(LOWER(LEFT(G222,1))="n",1,VLOOKUP(G222,ScoringTable!E$2:I$95,5))</f>
        <v>0</v>
      </c>
      <c r="K222" s="120" t="str" cm="1">
        <f t="array" ref="K222">IF(OR(E222="",G222=""),"",_xlfn.IFS(E222="U10B",_xlfn.XLOOKUP(G222,Data!$D$4:$L$4,Data!$D$1:$L$1,"",-1,1),E222="U12B",_xlfn.XLOOKUP(G222,Data!$D$11:$L$11,Data!$D$1:$L$1,"",-1,1),E222="U10G",_xlfn.XLOOKUP(G222,Data!$D$17:$L$17,Data!$D$1:$L$1,"",-1,1),E222="U12G",_xlfn.XLOOKUP(G222,Data!$D$24:$L$24,Data!$D$1:$L$1,"",-1,1)))</f>
        <v/>
      </c>
      <c r="L222" s="184" t="str" cm="1">
        <f t="array" ref="L222">IFERROR(_xlfn.IFNA(
                      _xlfn.IFS(
                      F222="", "",
                      AND(E222="U10B",G222&gt;=Data!$M$4), "U10 Boys record",
                      AND(E222="U12B",G222&gt;=Data!$M$11), "U12 Boys record",
                      AND(E222="U10G",G222&gt;=Data!$M$17), "U10 Girls record",
                      AND(E222="U12G",G222&gt;=Data!$M$24), "U12 Girls record"
                       ),""), "")</f>
        <v/>
      </c>
      <c r="M222" s="19" cm="1">
        <f t="array" ref="M222">_xlfn.IFS($G222="",0,AND(NOT(ISNUMBER($G222)),LOWER(LEFT($G222,1))&lt;&gt;"n"),"Not a valid distance",OR(LOWER(LEFT($G222,1))="n",$G222&lt;ScoringTable!$P$161),1,RIGHT($E222,1)="B",_xlfn.XLOOKUP($G222,ScoringTable!$P$2:$P$161,ScoringTable!$L$2:$L$161,,-1),TRUE,_xlfn.XLOOKUP($G222,ScoringTable!$V$2:$V$161,ScoringTable!$R$2:$R$161,,-1))</f>
        <v>0</v>
      </c>
    </row>
    <row r="223" spans="1:13" ht="16" customHeight="1">
      <c r="A223" s="82" t="s">
        <v>27</v>
      </c>
      <c r="B223" s="81" t="str">
        <f>IF(ISNA(VLOOKUP($F223,Declarations!B$6:C$293,2,FALSE)),"",IF(VLOOKUP($F223,Declarations!B$6:C$293,2,FALSE)="","NOT DECLARED",IF(ISNA(_xlfn.TEXTBEFORE(VLOOKUP($F223,Declarations!B$6:C$293,2,FALSE)," ")),VLOOKUP($F223,Declarations!B$6:C$293,2,FALSE),_xlfn.TEXTBEFORE(VLOOKUP($F223,Declarations!B$6:C$293,2,FALSE)," "))))</f>
        <v/>
      </c>
      <c r="C223" s="81" t="str">
        <f>IF(ISNA(VLOOKUP($F223,Declarations!B$6:C$293,2,FALSE)),"",IF(VLOOKUP($F223,Declarations!B$6:C$293,2,FALSE)="","NOT DECLARED",IF(ISNA(_xlfn.TEXTAFTER(VLOOKUP($F223,Declarations!B$6:C$293,2,FALSE)," ")),VLOOKUP($F223,Declarations!B$6:C$293,2,FALSE),_xlfn.TEXTAFTER(VLOOKUP($F223,Declarations!B$6:C$293,2,FALSE)," "))))</f>
        <v/>
      </c>
      <c r="D223" s="81" t="str">
        <f>IF(ISNA(VLOOKUP($F223,Declarations!$B$6:$F$293,5,FALSE)),"",IF(VLOOKUP($F223,Declarations!$B$6:$F$293,5,FALSE)="","NOT DECLARED",VLOOKUP($F223,Declarations!$B$6:$F$293,5,FALSE)))</f>
        <v/>
      </c>
      <c r="E223" s="120" t="str">
        <f>IF(ISNA(VLOOKUP($F223,Declarations!$B$6:$D$293,3,FALSE)),"",IF(VLOOKUP($F223,Declarations!$B$6:$D$293,3,FALSE)="","NOT DECLARED",VLOOKUP($F223,Declarations!$B$6:$D$293,3,FALSE)&amp;LEFT(VLOOKUP($F223,Declarations!$B$6:$E$293,4,FALSE))))</f>
        <v/>
      </c>
      <c r="F223" s="21"/>
      <c r="G223" s="22"/>
      <c r="H223" s="322"/>
      <c r="I223" s="8" t="str">
        <f>IF(ISNA(VLOOKUP(F223,Declarations!B$6:C$293,2,FALSE)),"",IF(VLOOKUP(F223,Declarations!B$6:C$293,2,FALSE)="","NOT DECLARED",VLOOKUP(F223,Declarations!B$6:C$293,2,FALSE)))</f>
        <v/>
      </c>
      <c r="J223" s="2">
        <f>IF(LOWER(LEFT(G223,1))="n",1,VLOOKUP(G223,ScoringTable!E$2:I$95,5))</f>
        <v>0</v>
      </c>
      <c r="K223" s="120" t="str" cm="1">
        <f t="array" ref="K223">IF(OR(E223="",G223=""),"",_xlfn.IFS(E223="U10B",_xlfn.XLOOKUP(G223,Data!$D$4:$L$4,Data!$D$1:$L$1,"",-1,1),E223="U12B",_xlfn.XLOOKUP(G223,Data!$D$11:$L$11,Data!$D$1:$L$1,"",-1,1),E223="U10G",_xlfn.XLOOKUP(G223,Data!$D$17:$L$17,Data!$D$1:$L$1,"",-1,1),E223="U12G",_xlfn.XLOOKUP(G223,Data!$D$24:$L$24,Data!$D$1:$L$1,"",-1,1)))</f>
        <v/>
      </c>
      <c r="L223" s="184" t="str" cm="1">
        <f t="array" ref="L223">IFERROR(_xlfn.IFNA(
                      _xlfn.IFS(
                      F223="", "",
                      AND(E223="U10B",G223&gt;=Data!$M$4), "U10 Boys record",
                      AND(E223="U12B",G223&gt;=Data!$M$11), "U12 Boys record",
                      AND(E223="U10G",G223&gt;=Data!$M$17), "U10 Girls record",
                      AND(E223="U12G",G223&gt;=Data!$M$24), "U12 Girls record"
                       ),""), "")</f>
        <v/>
      </c>
      <c r="M223" s="19" cm="1">
        <f t="array" ref="M223">_xlfn.IFS($G223="",0,AND(NOT(ISNUMBER($G223)),LOWER(LEFT($G223,1))&lt;&gt;"n"),"Not a valid distance",OR(LOWER(LEFT($G223,1))="n",$G223&lt;ScoringTable!$P$161),1,RIGHT($E223,1)="B",_xlfn.XLOOKUP($G223,ScoringTable!$P$2:$P$161,ScoringTable!$L$2:$L$161,,-1),TRUE,_xlfn.XLOOKUP($G223,ScoringTable!$V$2:$V$161,ScoringTable!$R$2:$R$161,,-1))</f>
        <v>0</v>
      </c>
    </row>
    <row r="224" spans="1:13" ht="16" customHeight="1">
      <c r="A224" s="82" t="s">
        <v>27</v>
      </c>
      <c r="B224" s="81" t="str">
        <f>IF(ISNA(VLOOKUP($F224,Declarations!B$6:C$293,2,FALSE)),"",IF(VLOOKUP($F224,Declarations!B$6:C$293,2,FALSE)="","NOT DECLARED",IF(ISNA(_xlfn.TEXTBEFORE(VLOOKUP($F224,Declarations!B$6:C$293,2,FALSE)," ")),VLOOKUP($F224,Declarations!B$6:C$293,2,FALSE),_xlfn.TEXTBEFORE(VLOOKUP($F224,Declarations!B$6:C$293,2,FALSE)," "))))</f>
        <v/>
      </c>
      <c r="C224" s="81" t="str">
        <f>IF(ISNA(VLOOKUP($F224,Declarations!B$6:C$293,2,FALSE)),"",IF(VLOOKUP($F224,Declarations!B$6:C$293,2,FALSE)="","NOT DECLARED",IF(ISNA(_xlfn.TEXTAFTER(VLOOKUP($F224,Declarations!B$6:C$293,2,FALSE)," ")),VLOOKUP($F224,Declarations!B$6:C$293,2,FALSE),_xlfn.TEXTAFTER(VLOOKUP($F224,Declarations!B$6:C$293,2,FALSE)," "))))</f>
        <v/>
      </c>
      <c r="D224" s="81" t="str">
        <f>IF(ISNA(VLOOKUP($F224,Declarations!$B$6:$F$293,5,FALSE)),"",IF(VLOOKUP($F224,Declarations!$B$6:$F$293,5,FALSE)="","NOT DECLARED",VLOOKUP($F224,Declarations!$B$6:$F$293,5,FALSE)))</f>
        <v/>
      </c>
      <c r="E224" s="120" t="str">
        <f>IF(ISNA(VLOOKUP($F224,Declarations!$B$6:$D$293,3,FALSE)),"",IF(VLOOKUP($F224,Declarations!$B$6:$D$293,3,FALSE)="","NOT DECLARED",VLOOKUP($F224,Declarations!$B$6:$D$293,3,FALSE)&amp;LEFT(VLOOKUP($F224,Declarations!$B$6:$E$293,4,FALSE))))</f>
        <v/>
      </c>
      <c r="F224" s="21"/>
      <c r="G224" s="22"/>
      <c r="H224" s="322"/>
      <c r="I224" s="8" t="str">
        <f>IF(ISNA(VLOOKUP(F224,Declarations!B$6:C$293,2,FALSE)),"",IF(VLOOKUP(F224,Declarations!B$6:C$293,2,FALSE)="","NOT DECLARED",VLOOKUP(F224,Declarations!B$6:C$293,2,FALSE)))</f>
        <v/>
      </c>
      <c r="J224" s="2">
        <f>IF(LOWER(LEFT(G224,1))="n",1,VLOOKUP(G224,ScoringTable!E$2:I$95,5))</f>
        <v>0</v>
      </c>
      <c r="K224" s="120" t="str" cm="1">
        <f t="array" ref="K224">IF(OR(E224="",G224=""),"",_xlfn.IFS(E224="U10B",_xlfn.XLOOKUP(G224,Data!$D$4:$L$4,Data!$D$1:$L$1,"",-1,1),E224="U12B",_xlfn.XLOOKUP(G224,Data!$D$11:$L$11,Data!$D$1:$L$1,"",-1,1),E224="U10G",_xlfn.XLOOKUP(G224,Data!$D$17:$L$17,Data!$D$1:$L$1,"",-1,1),E224="U12G",_xlfn.XLOOKUP(G224,Data!$D$24:$L$24,Data!$D$1:$L$1,"",-1,1)))</f>
        <v/>
      </c>
      <c r="L224" s="184" t="str" cm="1">
        <f t="array" ref="L224">IFERROR(_xlfn.IFNA(
                      _xlfn.IFS(
                      F224="", "",
                      AND(E224="U10B",G224&gt;=Data!$M$4), "U10 Boys record",
                      AND(E224="U12B",G224&gt;=Data!$M$11), "U12 Boys record",
                      AND(E224="U10G",G224&gt;=Data!$M$17), "U10 Girls record",
                      AND(E224="U12G",G224&gt;=Data!$M$24), "U12 Girls record"
                       ),""), "")</f>
        <v/>
      </c>
      <c r="M224" s="19" cm="1">
        <f t="array" ref="M224">_xlfn.IFS($G224="",0,AND(NOT(ISNUMBER($G224)),LOWER(LEFT($G224,1))&lt;&gt;"n"),"Not a valid distance",OR(LOWER(LEFT($G224,1))="n",$G224&lt;ScoringTable!$P$161),1,RIGHT($E224,1)="B",_xlfn.XLOOKUP($G224,ScoringTable!$P$2:$P$161,ScoringTable!$L$2:$L$161,,-1),TRUE,_xlfn.XLOOKUP($G224,ScoringTable!$V$2:$V$161,ScoringTable!$R$2:$R$161,,-1))</f>
        <v>0</v>
      </c>
    </row>
    <row r="225" spans="1:13" ht="16" customHeight="1">
      <c r="A225" s="82" t="s">
        <v>27</v>
      </c>
      <c r="B225" s="81" t="str">
        <f>IF(ISNA(VLOOKUP($F225,Declarations!B$6:C$293,2,FALSE)),"",IF(VLOOKUP($F225,Declarations!B$6:C$293,2,FALSE)="","NOT DECLARED",IF(ISNA(_xlfn.TEXTBEFORE(VLOOKUP($F225,Declarations!B$6:C$293,2,FALSE)," ")),VLOOKUP($F225,Declarations!B$6:C$293,2,FALSE),_xlfn.TEXTBEFORE(VLOOKUP($F225,Declarations!B$6:C$293,2,FALSE)," "))))</f>
        <v/>
      </c>
      <c r="C225" s="81" t="str">
        <f>IF(ISNA(VLOOKUP($F225,Declarations!B$6:C$293,2,FALSE)),"",IF(VLOOKUP($F225,Declarations!B$6:C$293,2,FALSE)="","NOT DECLARED",IF(ISNA(_xlfn.TEXTAFTER(VLOOKUP($F225,Declarations!B$6:C$293,2,FALSE)," ")),VLOOKUP($F225,Declarations!B$6:C$293,2,FALSE),_xlfn.TEXTAFTER(VLOOKUP($F225,Declarations!B$6:C$293,2,FALSE)," "))))</f>
        <v/>
      </c>
      <c r="D225" s="81" t="str">
        <f>IF(ISNA(VLOOKUP($F225,Declarations!$B$6:$F$293,5,FALSE)),"",IF(VLOOKUP($F225,Declarations!$B$6:$F$293,5,FALSE)="","NOT DECLARED",VLOOKUP($F225,Declarations!$B$6:$F$293,5,FALSE)))</f>
        <v/>
      </c>
      <c r="E225" s="120" t="str">
        <f>IF(ISNA(VLOOKUP($F225,Declarations!$B$6:$D$293,3,FALSE)),"",IF(VLOOKUP($F225,Declarations!$B$6:$D$293,3,FALSE)="","NOT DECLARED",VLOOKUP($F225,Declarations!$B$6:$D$293,3,FALSE)&amp;LEFT(VLOOKUP($F225,Declarations!$B$6:$E$293,4,FALSE))))</f>
        <v/>
      </c>
      <c r="F225" s="21"/>
      <c r="G225" s="22"/>
      <c r="H225" s="322"/>
      <c r="I225" s="8" t="str">
        <f>IF(ISNA(VLOOKUP(F225,Declarations!B$6:C$293,2,FALSE)),"",IF(VLOOKUP(F225,Declarations!B$6:C$293,2,FALSE)="","NOT DECLARED",VLOOKUP(F225,Declarations!B$6:C$293,2,FALSE)))</f>
        <v/>
      </c>
      <c r="J225" s="2">
        <f>IF(LOWER(LEFT(G225,1))="n",1,VLOOKUP(G225,ScoringTable!E$2:I$95,5))</f>
        <v>0</v>
      </c>
      <c r="K225" s="120" t="str" cm="1">
        <f t="array" ref="K225">IF(OR(E225="",G225=""),"",_xlfn.IFS(E225="U10B",_xlfn.XLOOKUP(G225,Data!$D$4:$L$4,Data!$D$1:$L$1,"",-1,1),E225="U12B",_xlfn.XLOOKUP(G225,Data!$D$11:$L$11,Data!$D$1:$L$1,"",-1,1),E225="U10G",_xlfn.XLOOKUP(G225,Data!$D$17:$L$17,Data!$D$1:$L$1,"",-1,1),E225="U12G",_xlfn.XLOOKUP(G225,Data!$D$24:$L$24,Data!$D$1:$L$1,"",-1,1)))</f>
        <v/>
      </c>
      <c r="L225" s="184" t="str" cm="1">
        <f t="array" ref="L225">IFERROR(_xlfn.IFNA(
                      _xlfn.IFS(
                      F225="", "",
                      AND(E225="U10B",G225&gt;=Data!$M$4), "U10 Boys record",
                      AND(E225="U12B",G225&gt;=Data!$M$11), "U12 Boys record",
                      AND(E225="U10G",G225&gt;=Data!$M$17), "U10 Girls record",
                      AND(E225="U12G",G225&gt;=Data!$M$24), "U12 Girls record"
                       ),""), "")</f>
        <v/>
      </c>
      <c r="M225" s="19" cm="1">
        <f t="array" ref="M225">_xlfn.IFS($G225="",0,AND(NOT(ISNUMBER($G225)),LOWER(LEFT($G225,1))&lt;&gt;"n"),"Not a valid distance",OR(LOWER(LEFT($G225,1))="n",$G225&lt;ScoringTable!$P$161),1,RIGHT($E225,1)="B",_xlfn.XLOOKUP($G225,ScoringTable!$P$2:$P$161,ScoringTable!$L$2:$L$161,,-1),TRUE,_xlfn.XLOOKUP($G225,ScoringTable!$V$2:$V$161,ScoringTable!$R$2:$R$161,,-1))</f>
        <v>0</v>
      </c>
    </row>
    <row r="226" spans="1:13" ht="16" customHeight="1">
      <c r="A226" s="82" t="s">
        <v>27</v>
      </c>
      <c r="B226" s="81" t="str">
        <f>IF(ISNA(VLOOKUP($F226,Declarations!B$6:C$293,2,FALSE)),"",IF(VLOOKUP($F226,Declarations!B$6:C$293,2,FALSE)="","NOT DECLARED",IF(ISNA(_xlfn.TEXTBEFORE(VLOOKUP($F226,Declarations!B$6:C$293,2,FALSE)," ")),VLOOKUP($F226,Declarations!B$6:C$293,2,FALSE),_xlfn.TEXTBEFORE(VLOOKUP($F226,Declarations!B$6:C$293,2,FALSE)," "))))</f>
        <v/>
      </c>
      <c r="C226" s="81" t="str">
        <f>IF(ISNA(VLOOKUP($F226,Declarations!B$6:C$293,2,FALSE)),"",IF(VLOOKUP($F226,Declarations!B$6:C$293,2,FALSE)="","NOT DECLARED",IF(ISNA(_xlfn.TEXTAFTER(VLOOKUP($F226,Declarations!B$6:C$293,2,FALSE)," ")),VLOOKUP($F226,Declarations!B$6:C$293,2,FALSE),_xlfn.TEXTAFTER(VLOOKUP($F226,Declarations!B$6:C$293,2,FALSE)," "))))</f>
        <v/>
      </c>
      <c r="D226" s="81" t="str">
        <f>IF(ISNA(VLOOKUP($F226,Declarations!$B$6:$F$293,5,FALSE)),"",IF(VLOOKUP($F226,Declarations!$B$6:$F$293,5,FALSE)="","NOT DECLARED",VLOOKUP($F226,Declarations!$B$6:$F$293,5,FALSE)))</f>
        <v/>
      </c>
      <c r="E226" s="120" t="str">
        <f>IF(ISNA(VLOOKUP($F226,Declarations!$B$6:$D$293,3,FALSE)),"",IF(VLOOKUP($F226,Declarations!$B$6:$D$293,3,FALSE)="","NOT DECLARED",VLOOKUP($F226,Declarations!$B$6:$D$293,3,FALSE)&amp;LEFT(VLOOKUP($F226,Declarations!$B$6:$E$293,4,FALSE))))</f>
        <v/>
      </c>
      <c r="F226" s="21"/>
      <c r="G226" s="22"/>
      <c r="H226" s="322"/>
      <c r="I226" s="8" t="str">
        <f>IF(ISNA(VLOOKUP(F226,Declarations!B$6:C$293,2,FALSE)),"",IF(VLOOKUP(F226,Declarations!B$6:C$293,2,FALSE)="","NOT DECLARED",VLOOKUP(F226,Declarations!B$6:C$293,2,FALSE)))</f>
        <v/>
      </c>
      <c r="J226" s="2">
        <f>IF(LOWER(LEFT(G226,1))="n",1,VLOOKUP(G226,ScoringTable!E$2:I$95,5))</f>
        <v>0</v>
      </c>
      <c r="K226" s="120" t="str" cm="1">
        <f t="array" ref="K226">IF(OR(E226="",G226=""),"",_xlfn.IFS(E226="U10B",_xlfn.XLOOKUP(G226,Data!$D$4:$L$4,Data!$D$1:$L$1,"",-1,1),E226="U12B",_xlfn.XLOOKUP(G226,Data!$D$11:$L$11,Data!$D$1:$L$1,"",-1,1),E226="U10G",_xlfn.XLOOKUP(G226,Data!$D$17:$L$17,Data!$D$1:$L$1,"",-1,1),E226="U12G",_xlfn.XLOOKUP(G226,Data!$D$24:$L$24,Data!$D$1:$L$1,"",-1,1)))</f>
        <v/>
      </c>
      <c r="L226" s="184" t="str" cm="1">
        <f t="array" ref="L226">IFERROR(_xlfn.IFNA(
                      _xlfn.IFS(
                      F226="", "",
                      AND(E226="U10B",G226&gt;=Data!$M$4), "U10 Boys record",
                      AND(E226="U12B",G226&gt;=Data!$M$11), "U12 Boys record",
                      AND(E226="U10G",G226&gt;=Data!$M$17), "U10 Girls record",
                      AND(E226="U12G",G226&gt;=Data!$M$24), "U12 Girls record"
                       ),""), "")</f>
        <v/>
      </c>
      <c r="M226" s="19" cm="1">
        <f t="array" ref="M226">_xlfn.IFS($G226="",0,AND(NOT(ISNUMBER($G226)),LOWER(LEFT($G226,1))&lt;&gt;"n"),"Not a valid distance",OR(LOWER(LEFT($G226,1))="n",$G226&lt;ScoringTable!$P$161),1,RIGHT($E226,1)="B",_xlfn.XLOOKUP($G226,ScoringTable!$P$2:$P$161,ScoringTable!$L$2:$L$161,,-1),TRUE,_xlfn.XLOOKUP($G226,ScoringTable!$V$2:$V$161,ScoringTable!$R$2:$R$161,,-1))</f>
        <v>0</v>
      </c>
    </row>
    <row r="227" spans="1:13" ht="16" customHeight="1">
      <c r="A227" s="82" t="s">
        <v>27</v>
      </c>
      <c r="B227" s="81" t="str">
        <f>IF(ISNA(VLOOKUP($F227,Declarations!B$6:C$293,2,FALSE)),"",IF(VLOOKUP($F227,Declarations!B$6:C$293,2,FALSE)="","NOT DECLARED",IF(ISNA(_xlfn.TEXTBEFORE(VLOOKUP($F227,Declarations!B$6:C$293,2,FALSE)," ")),VLOOKUP($F227,Declarations!B$6:C$293,2,FALSE),_xlfn.TEXTBEFORE(VLOOKUP($F227,Declarations!B$6:C$293,2,FALSE)," "))))</f>
        <v/>
      </c>
      <c r="C227" s="81" t="str">
        <f>IF(ISNA(VLOOKUP($F227,Declarations!B$6:C$293,2,FALSE)),"",IF(VLOOKUP($F227,Declarations!B$6:C$293,2,FALSE)="","NOT DECLARED",IF(ISNA(_xlfn.TEXTAFTER(VLOOKUP($F227,Declarations!B$6:C$293,2,FALSE)," ")),VLOOKUP($F227,Declarations!B$6:C$293,2,FALSE),_xlfn.TEXTAFTER(VLOOKUP($F227,Declarations!B$6:C$293,2,FALSE)," "))))</f>
        <v/>
      </c>
      <c r="D227" s="81" t="str">
        <f>IF(ISNA(VLOOKUP($F227,Declarations!$B$6:$F$293,5,FALSE)),"",IF(VLOOKUP($F227,Declarations!$B$6:$F$293,5,FALSE)="","NOT DECLARED",VLOOKUP($F227,Declarations!$B$6:$F$293,5,FALSE)))</f>
        <v/>
      </c>
      <c r="E227" s="120" t="str">
        <f>IF(ISNA(VLOOKUP($F227,Declarations!$B$6:$D$293,3,FALSE)),"",IF(VLOOKUP($F227,Declarations!$B$6:$D$293,3,FALSE)="","NOT DECLARED",VLOOKUP($F227,Declarations!$B$6:$D$293,3,FALSE)&amp;LEFT(VLOOKUP($F227,Declarations!$B$6:$E$293,4,FALSE))))</f>
        <v/>
      </c>
      <c r="F227" s="21"/>
      <c r="G227" s="22"/>
      <c r="H227" s="322"/>
      <c r="I227" s="8" t="str">
        <f>IF(ISNA(VLOOKUP(F227,Declarations!B$6:C$293,2,FALSE)),"",IF(VLOOKUP(F227,Declarations!B$6:C$293,2,FALSE)="","NOT DECLARED",VLOOKUP(F227,Declarations!B$6:C$293,2,FALSE)))</f>
        <v/>
      </c>
      <c r="J227" s="2">
        <f>IF(LOWER(LEFT(G227,1))="n",1,VLOOKUP(G227,ScoringTable!E$2:I$95,5))</f>
        <v>0</v>
      </c>
      <c r="K227" s="120" t="str" cm="1">
        <f t="array" ref="K227">IF(OR(E227="",G227=""),"",_xlfn.IFS(E227="U10B",_xlfn.XLOOKUP(G227,Data!$D$4:$L$4,Data!$D$1:$L$1,"",-1,1),E227="U12B",_xlfn.XLOOKUP(G227,Data!$D$11:$L$11,Data!$D$1:$L$1,"",-1,1),E227="U10G",_xlfn.XLOOKUP(G227,Data!$D$17:$L$17,Data!$D$1:$L$1,"",-1,1),E227="U12G",_xlfn.XLOOKUP(G227,Data!$D$24:$L$24,Data!$D$1:$L$1,"",-1,1)))</f>
        <v/>
      </c>
      <c r="L227" s="184" t="str" cm="1">
        <f t="array" ref="L227">IFERROR(_xlfn.IFNA(
                      _xlfn.IFS(
                      F227="", "",
                      AND(E227="U10B",G227&gt;=Data!$M$4), "U10 Boys record",
                      AND(E227="U12B",G227&gt;=Data!$M$11), "U12 Boys record",
                      AND(E227="U10G",G227&gt;=Data!$M$17), "U10 Girls record",
                      AND(E227="U12G",G227&gt;=Data!$M$24), "U12 Girls record"
                       ),""), "")</f>
        <v/>
      </c>
      <c r="M227" s="19" cm="1">
        <f t="array" ref="M227">_xlfn.IFS($G227="",0,AND(NOT(ISNUMBER($G227)),LOWER(LEFT($G227,1))&lt;&gt;"n"),"Not a valid distance",OR(LOWER(LEFT($G227,1))="n",$G227&lt;ScoringTable!$P$161),1,RIGHT($E227,1)="B",_xlfn.XLOOKUP($G227,ScoringTable!$P$2:$P$161,ScoringTable!$L$2:$L$161,,-1),TRUE,_xlfn.XLOOKUP($G227,ScoringTable!$V$2:$V$161,ScoringTable!$R$2:$R$161,,-1))</f>
        <v>0</v>
      </c>
    </row>
    <row r="228" spans="1:13" ht="16" customHeight="1">
      <c r="A228" s="82" t="s">
        <v>27</v>
      </c>
      <c r="B228" s="81" t="str">
        <f>IF(ISNA(VLOOKUP($F228,Declarations!B$6:C$293,2,FALSE)),"",IF(VLOOKUP($F228,Declarations!B$6:C$293,2,FALSE)="","NOT DECLARED",IF(ISNA(_xlfn.TEXTBEFORE(VLOOKUP($F228,Declarations!B$6:C$293,2,FALSE)," ")),VLOOKUP($F228,Declarations!B$6:C$293,2,FALSE),_xlfn.TEXTBEFORE(VLOOKUP($F228,Declarations!B$6:C$293,2,FALSE)," "))))</f>
        <v/>
      </c>
      <c r="C228" s="81" t="str">
        <f>IF(ISNA(VLOOKUP($F228,Declarations!B$6:C$293,2,FALSE)),"",IF(VLOOKUP($F228,Declarations!B$6:C$293,2,FALSE)="","NOT DECLARED",IF(ISNA(_xlfn.TEXTAFTER(VLOOKUP($F228,Declarations!B$6:C$293,2,FALSE)," ")),VLOOKUP($F228,Declarations!B$6:C$293,2,FALSE),_xlfn.TEXTAFTER(VLOOKUP($F228,Declarations!B$6:C$293,2,FALSE)," "))))</f>
        <v/>
      </c>
      <c r="D228" s="81" t="str">
        <f>IF(ISNA(VLOOKUP($F228,Declarations!$B$6:$F$293,5,FALSE)),"",IF(VLOOKUP($F228,Declarations!$B$6:$F$293,5,FALSE)="","NOT DECLARED",VLOOKUP($F228,Declarations!$B$6:$F$293,5,FALSE)))</f>
        <v/>
      </c>
      <c r="E228" s="120" t="str">
        <f>IF(ISNA(VLOOKUP($F228,Declarations!$B$6:$D$293,3,FALSE)),"",IF(VLOOKUP($F228,Declarations!$B$6:$D$293,3,FALSE)="","NOT DECLARED",VLOOKUP($F228,Declarations!$B$6:$D$293,3,FALSE)&amp;LEFT(VLOOKUP($F228,Declarations!$B$6:$E$293,4,FALSE))))</f>
        <v/>
      </c>
      <c r="F228" s="21"/>
      <c r="G228" s="22"/>
      <c r="H228" s="322"/>
      <c r="I228" s="8" t="str">
        <f>IF(ISNA(VLOOKUP(F228,Declarations!B$6:C$293,2,FALSE)),"",IF(VLOOKUP(F228,Declarations!B$6:C$293,2,FALSE)="","NOT DECLARED",VLOOKUP(F228,Declarations!B$6:C$293,2,FALSE)))</f>
        <v/>
      </c>
      <c r="J228" s="2">
        <f>IF(LOWER(LEFT(G228,1))="n",1,VLOOKUP(G228,ScoringTable!E$2:I$95,5))</f>
        <v>0</v>
      </c>
      <c r="K228" s="120" t="str" cm="1">
        <f t="array" ref="K228">IF(OR(E228="",G228=""),"",_xlfn.IFS(E228="U10B",_xlfn.XLOOKUP(G228,Data!$D$4:$L$4,Data!$D$1:$L$1,"",-1,1),E228="U12B",_xlfn.XLOOKUP(G228,Data!$D$11:$L$11,Data!$D$1:$L$1,"",-1,1),E228="U10G",_xlfn.XLOOKUP(G228,Data!$D$17:$L$17,Data!$D$1:$L$1,"",-1,1),E228="U12G",_xlfn.XLOOKUP(G228,Data!$D$24:$L$24,Data!$D$1:$L$1,"",-1,1)))</f>
        <v/>
      </c>
      <c r="L228" s="184" t="str" cm="1">
        <f t="array" ref="L228">IFERROR(_xlfn.IFNA(
                      _xlfn.IFS(
                      F228="", "",
                      AND(E228="U10B",G228&gt;=Data!$M$4), "U10 Boys record",
                      AND(E228="U12B",G228&gt;=Data!$M$11), "U12 Boys record",
                      AND(E228="U10G",G228&gt;=Data!$M$17), "U10 Girls record",
                      AND(E228="U12G",G228&gt;=Data!$M$24), "U12 Girls record"
                       ),""), "")</f>
        <v/>
      </c>
      <c r="M228" s="19" cm="1">
        <f t="array" ref="M228">_xlfn.IFS($G228="",0,AND(NOT(ISNUMBER($G228)),LOWER(LEFT($G228,1))&lt;&gt;"n"),"Not a valid distance",OR(LOWER(LEFT($G228,1))="n",$G228&lt;ScoringTable!$P$161),1,RIGHT($E228,1)="B",_xlfn.XLOOKUP($G228,ScoringTable!$P$2:$P$161,ScoringTable!$L$2:$L$161,,-1),TRUE,_xlfn.XLOOKUP($G228,ScoringTable!$V$2:$V$161,ScoringTable!$R$2:$R$161,,-1))</f>
        <v>0</v>
      </c>
    </row>
    <row r="229" spans="1:13" ht="16" customHeight="1">
      <c r="A229" s="82" t="s">
        <v>27</v>
      </c>
      <c r="B229" s="81" t="str">
        <f>IF(ISNA(VLOOKUP($F229,Declarations!B$6:C$293,2,FALSE)),"",IF(VLOOKUP($F229,Declarations!B$6:C$293,2,FALSE)="","NOT DECLARED",IF(ISNA(_xlfn.TEXTBEFORE(VLOOKUP($F229,Declarations!B$6:C$293,2,FALSE)," ")),VLOOKUP($F229,Declarations!B$6:C$293,2,FALSE),_xlfn.TEXTBEFORE(VLOOKUP($F229,Declarations!B$6:C$293,2,FALSE)," "))))</f>
        <v/>
      </c>
      <c r="C229" s="81" t="str">
        <f>IF(ISNA(VLOOKUP($F229,Declarations!B$6:C$293,2,FALSE)),"",IF(VLOOKUP($F229,Declarations!B$6:C$293,2,FALSE)="","NOT DECLARED",IF(ISNA(_xlfn.TEXTAFTER(VLOOKUP($F229,Declarations!B$6:C$293,2,FALSE)," ")),VLOOKUP($F229,Declarations!B$6:C$293,2,FALSE),_xlfn.TEXTAFTER(VLOOKUP($F229,Declarations!B$6:C$293,2,FALSE)," "))))</f>
        <v/>
      </c>
      <c r="D229" s="81" t="str">
        <f>IF(ISNA(VLOOKUP($F229,Declarations!$B$6:$F$293,5,FALSE)),"",IF(VLOOKUP($F229,Declarations!$B$6:$F$293,5,FALSE)="","NOT DECLARED",VLOOKUP($F229,Declarations!$B$6:$F$293,5,FALSE)))</f>
        <v/>
      </c>
      <c r="E229" s="120" t="str">
        <f>IF(ISNA(VLOOKUP($F229,Declarations!$B$6:$D$293,3,FALSE)),"",IF(VLOOKUP($F229,Declarations!$B$6:$D$293,3,FALSE)="","NOT DECLARED",VLOOKUP($F229,Declarations!$B$6:$D$293,3,FALSE)&amp;LEFT(VLOOKUP($F229,Declarations!$B$6:$E$293,4,FALSE))))</f>
        <v/>
      </c>
      <c r="F229" s="21"/>
      <c r="G229" s="22"/>
      <c r="H229" s="322"/>
      <c r="I229" s="8" t="str">
        <f>IF(ISNA(VLOOKUP(F229,Declarations!B$6:C$293,2,FALSE)),"",IF(VLOOKUP(F229,Declarations!B$6:C$293,2,FALSE)="","NOT DECLARED",VLOOKUP(F229,Declarations!B$6:C$293,2,FALSE)))</f>
        <v/>
      </c>
      <c r="J229" s="2">
        <f>IF(LOWER(LEFT(G229,1))="n",1,VLOOKUP(G229,ScoringTable!E$2:I$95,5))</f>
        <v>0</v>
      </c>
      <c r="K229" s="120" t="str" cm="1">
        <f t="array" ref="K229">IF(OR(E229="",G229=""),"",_xlfn.IFS(E229="U10B",_xlfn.XLOOKUP(G229,Data!$D$4:$L$4,Data!$D$1:$L$1,"",-1,1),E229="U12B",_xlfn.XLOOKUP(G229,Data!$D$11:$L$11,Data!$D$1:$L$1,"",-1,1),E229="U10G",_xlfn.XLOOKUP(G229,Data!$D$17:$L$17,Data!$D$1:$L$1,"",-1,1),E229="U12G",_xlfn.XLOOKUP(G229,Data!$D$24:$L$24,Data!$D$1:$L$1,"",-1,1)))</f>
        <v/>
      </c>
      <c r="L229" s="184" t="str" cm="1">
        <f t="array" ref="L229">IFERROR(_xlfn.IFNA(
                      _xlfn.IFS(
                      F229="", "",
                      AND(E229="U10B",G229&gt;=Data!$M$4), "U10 Boys record",
                      AND(E229="U12B",G229&gt;=Data!$M$11), "U12 Boys record",
                      AND(E229="U10G",G229&gt;=Data!$M$17), "U10 Girls record",
                      AND(E229="U12G",G229&gt;=Data!$M$24), "U12 Girls record"
                       ),""), "")</f>
        <v/>
      </c>
      <c r="M229" s="19" cm="1">
        <f t="array" ref="M229">_xlfn.IFS($G229="",0,AND(NOT(ISNUMBER($G229)),LOWER(LEFT($G229,1))&lt;&gt;"n"),"Not a valid distance",OR(LOWER(LEFT($G229,1))="n",$G229&lt;ScoringTable!$P$161),1,RIGHT($E229,1)="B",_xlfn.XLOOKUP($G229,ScoringTable!$P$2:$P$161,ScoringTable!$L$2:$L$161,,-1),TRUE,_xlfn.XLOOKUP($G229,ScoringTable!$V$2:$V$161,ScoringTable!$R$2:$R$161,,-1))</f>
        <v>0</v>
      </c>
    </row>
    <row r="230" spans="1:13" ht="16" customHeight="1">
      <c r="A230" s="82" t="s">
        <v>27</v>
      </c>
      <c r="B230" s="81" t="str">
        <f>IF(ISNA(VLOOKUP($F230,Declarations!B$6:C$293,2,FALSE)),"",IF(VLOOKUP($F230,Declarations!B$6:C$293,2,FALSE)="","NOT DECLARED",IF(ISNA(_xlfn.TEXTBEFORE(VLOOKUP($F230,Declarations!B$6:C$293,2,FALSE)," ")),VLOOKUP($F230,Declarations!B$6:C$293,2,FALSE),_xlfn.TEXTBEFORE(VLOOKUP($F230,Declarations!B$6:C$293,2,FALSE)," "))))</f>
        <v/>
      </c>
      <c r="C230" s="81" t="str">
        <f>IF(ISNA(VLOOKUP($F230,Declarations!B$6:C$293,2,FALSE)),"",IF(VLOOKUP($F230,Declarations!B$6:C$293,2,FALSE)="","NOT DECLARED",IF(ISNA(_xlfn.TEXTAFTER(VLOOKUP($F230,Declarations!B$6:C$293,2,FALSE)," ")),VLOOKUP($F230,Declarations!B$6:C$293,2,FALSE),_xlfn.TEXTAFTER(VLOOKUP($F230,Declarations!B$6:C$293,2,FALSE)," "))))</f>
        <v/>
      </c>
      <c r="D230" s="81" t="str">
        <f>IF(ISNA(VLOOKUP($F230,Declarations!$B$6:$F$293,5,FALSE)),"",IF(VLOOKUP($F230,Declarations!$B$6:$F$293,5,FALSE)="","NOT DECLARED",VLOOKUP($F230,Declarations!$B$6:$F$293,5,FALSE)))</f>
        <v/>
      </c>
      <c r="E230" s="120" t="str">
        <f>IF(ISNA(VLOOKUP($F230,Declarations!$B$6:$D$293,3,FALSE)),"",IF(VLOOKUP($F230,Declarations!$B$6:$D$293,3,FALSE)="","NOT DECLARED",VLOOKUP($F230,Declarations!$B$6:$D$293,3,FALSE)&amp;LEFT(VLOOKUP($F230,Declarations!$B$6:$E$293,4,FALSE))))</f>
        <v/>
      </c>
      <c r="F230" s="21"/>
      <c r="G230" s="22"/>
      <c r="H230" s="322"/>
      <c r="I230" s="8" t="str">
        <f>IF(ISNA(VLOOKUP(F230,Declarations!B$6:C$293,2,FALSE)),"",IF(VLOOKUP(F230,Declarations!B$6:C$293,2,FALSE)="","NOT DECLARED",VLOOKUP(F230,Declarations!B$6:C$293,2,FALSE)))</f>
        <v/>
      </c>
      <c r="J230" s="2">
        <f>IF(LOWER(LEFT(G230,1))="n",1,VLOOKUP(G230,ScoringTable!E$2:I$95,5))</f>
        <v>0</v>
      </c>
      <c r="K230" s="120" t="str" cm="1">
        <f t="array" ref="K230">IF(OR(E230="",G230=""),"",_xlfn.IFS(E230="U10B",_xlfn.XLOOKUP(G230,Data!$D$4:$L$4,Data!$D$1:$L$1,"",-1,1),E230="U12B",_xlfn.XLOOKUP(G230,Data!$D$11:$L$11,Data!$D$1:$L$1,"",-1,1),E230="U10G",_xlfn.XLOOKUP(G230,Data!$D$17:$L$17,Data!$D$1:$L$1,"",-1,1),E230="U12G",_xlfn.XLOOKUP(G230,Data!$D$24:$L$24,Data!$D$1:$L$1,"",-1,1)))</f>
        <v/>
      </c>
      <c r="L230" s="184" t="str" cm="1">
        <f t="array" ref="L230">IFERROR(_xlfn.IFNA(
                      _xlfn.IFS(
                      F230="", "",
                      AND(E230="U10B",G230&gt;=Data!$M$4), "U10 Boys record",
                      AND(E230="U12B",G230&gt;=Data!$M$11), "U12 Boys record",
                      AND(E230="U10G",G230&gt;=Data!$M$17), "U10 Girls record",
                      AND(E230="U12G",G230&gt;=Data!$M$24), "U12 Girls record"
                       ),""), "")</f>
        <v/>
      </c>
      <c r="M230" s="19" cm="1">
        <f t="array" ref="M230">_xlfn.IFS($G230="",0,AND(NOT(ISNUMBER($G230)),LOWER(LEFT($G230,1))&lt;&gt;"n"),"Not a valid distance",OR(LOWER(LEFT($G230,1))="n",$G230&lt;ScoringTable!$P$161),1,RIGHT($E230,1)="B",_xlfn.XLOOKUP($G230,ScoringTable!$P$2:$P$161,ScoringTable!$L$2:$L$161,,-1),TRUE,_xlfn.XLOOKUP($G230,ScoringTable!$V$2:$V$161,ScoringTable!$R$2:$R$161,,-1))</f>
        <v>0</v>
      </c>
    </row>
    <row r="231" spans="1:13" ht="16" customHeight="1">
      <c r="A231" s="82" t="s">
        <v>27</v>
      </c>
      <c r="B231" s="81" t="str">
        <f>IF(ISNA(VLOOKUP($F231,Declarations!B$6:C$293,2,FALSE)),"",IF(VLOOKUP($F231,Declarations!B$6:C$293,2,FALSE)="","NOT DECLARED",IF(ISNA(_xlfn.TEXTBEFORE(VLOOKUP($F231,Declarations!B$6:C$293,2,FALSE)," ")),VLOOKUP($F231,Declarations!B$6:C$293,2,FALSE),_xlfn.TEXTBEFORE(VLOOKUP($F231,Declarations!B$6:C$293,2,FALSE)," "))))</f>
        <v/>
      </c>
      <c r="C231" s="81" t="str">
        <f>IF(ISNA(VLOOKUP($F231,Declarations!B$6:C$293,2,FALSE)),"",IF(VLOOKUP($F231,Declarations!B$6:C$293,2,FALSE)="","NOT DECLARED",IF(ISNA(_xlfn.TEXTAFTER(VLOOKUP($F231,Declarations!B$6:C$293,2,FALSE)," ")),VLOOKUP($F231,Declarations!B$6:C$293,2,FALSE),_xlfn.TEXTAFTER(VLOOKUP($F231,Declarations!B$6:C$293,2,FALSE)," "))))</f>
        <v/>
      </c>
      <c r="D231" s="81" t="str">
        <f>IF(ISNA(VLOOKUP($F231,Declarations!$B$6:$F$293,5,FALSE)),"",IF(VLOOKUP($F231,Declarations!$B$6:$F$293,5,FALSE)="","NOT DECLARED",VLOOKUP($F231,Declarations!$B$6:$F$293,5,FALSE)))</f>
        <v/>
      </c>
      <c r="E231" s="120" t="str">
        <f>IF(ISNA(VLOOKUP($F231,Declarations!$B$6:$D$293,3,FALSE)),"",IF(VLOOKUP($F231,Declarations!$B$6:$D$293,3,FALSE)="","NOT DECLARED",VLOOKUP($F231,Declarations!$B$6:$D$293,3,FALSE)&amp;LEFT(VLOOKUP($F231,Declarations!$B$6:$E$293,4,FALSE))))</f>
        <v/>
      </c>
      <c r="F231" s="21"/>
      <c r="G231" s="22"/>
      <c r="H231" s="322"/>
      <c r="I231" s="8" t="str">
        <f>IF(ISNA(VLOOKUP(F231,Declarations!B$6:C$293,2,FALSE)),"",IF(VLOOKUP(F231,Declarations!B$6:C$293,2,FALSE)="","NOT DECLARED",VLOOKUP(F231,Declarations!B$6:C$293,2,FALSE)))</f>
        <v/>
      </c>
      <c r="J231" s="2">
        <f>IF(LOWER(LEFT(G231,1))="n",1,VLOOKUP(G231,ScoringTable!E$2:I$95,5))</f>
        <v>0</v>
      </c>
      <c r="K231" s="120" t="str" cm="1">
        <f t="array" ref="K231">IF(OR(E231="",G231=""),"",_xlfn.IFS(E231="U10B",_xlfn.XLOOKUP(G231,Data!$D$4:$L$4,Data!$D$1:$L$1,"",-1,1),E231="U12B",_xlfn.XLOOKUP(G231,Data!$D$11:$L$11,Data!$D$1:$L$1,"",-1,1),E231="U10G",_xlfn.XLOOKUP(G231,Data!$D$17:$L$17,Data!$D$1:$L$1,"",-1,1),E231="U12G",_xlfn.XLOOKUP(G231,Data!$D$24:$L$24,Data!$D$1:$L$1,"",-1,1)))</f>
        <v/>
      </c>
      <c r="L231" s="184" t="str" cm="1">
        <f t="array" ref="L231">IFERROR(_xlfn.IFNA(
                      _xlfn.IFS(
                      F231="", "",
                      AND(E231="U10B",G231&gt;=Data!$M$4), "U10 Boys record",
                      AND(E231="U12B",G231&gt;=Data!$M$11), "U12 Boys record",
                      AND(E231="U10G",G231&gt;=Data!$M$17), "U10 Girls record",
                      AND(E231="U12G",G231&gt;=Data!$M$24), "U12 Girls record"
                       ),""), "")</f>
        <v/>
      </c>
      <c r="M231" s="19" cm="1">
        <f t="array" ref="M231">_xlfn.IFS($G231="",0,AND(NOT(ISNUMBER($G231)),LOWER(LEFT($G231,1))&lt;&gt;"n"),"Not a valid distance",OR(LOWER(LEFT($G231,1))="n",$G231&lt;ScoringTable!$P$161),1,RIGHT($E231,1)="B",_xlfn.XLOOKUP($G231,ScoringTable!$P$2:$P$161,ScoringTable!$L$2:$L$161,,-1),TRUE,_xlfn.XLOOKUP($G231,ScoringTable!$V$2:$V$161,ScoringTable!$R$2:$R$161,,-1))</f>
        <v>0</v>
      </c>
    </row>
    <row r="232" spans="1:13" ht="16" customHeight="1">
      <c r="A232" s="82" t="s">
        <v>27</v>
      </c>
      <c r="B232" s="81" t="str">
        <f>IF(ISNA(VLOOKUP($F232,Declarations!B$6:C$293,2,FALSE)),"",IF(VLOOKUP($F232,Declarations!B$6:C$293,2,FALSE)="","NOT DECLARED",IF(ISNA(_xlfn.TEXTBEFORE(VLOOKUP($F232,Declarations!B$6:C$293,2,FALSE)," ")),VLOOKUP($F232,Declarations!B$6:C$293,2,FALSE),_xlfn.TEXTBEFORE(VLOOKUP($F232,Declarations!B$6:C$293,2,FALSE)," "))))</f>
        <v/>
      </c>
      <c r="C232" s="81" t="str">
        <f>IF(ISNA(VLOOKUP($F232,Declarations!B$6:C$293,2,FALSE)),"",IF(VLOOKUP($F232,Declarations!B$6:C$293,2,FALSE)="","NOT DECLARED",IF(ISNA(_xlfn.TEXTAFTER(VLOOKUP($F232,Declarations!B$6:C$293,2,FALSE)," ")),VLOOKUP($F232,Declarations!B$6:C$293,2,FALSE),_xlfn.TEXTAFTER(VLOOKUP($F232,Declarations!B$6:C$293,2,FALSE)," "))))</f>
        <v/>
      </c>
      <c r="D232" s="81" t="str">
        <f>IF(ISNA(VLOOKUP($F232,Declarations!$B$6:$F$293,5,FALSE)),"",IF(VLOOKUP($F232,Declarations!$B$6:$F$293,5,FALSE)="","NOT DECLARED",VLOOKUP($F232,Declarations!$B$6:$F$293,5,FALSE)))</f>
        <v/>
      </c>
      <c r="E232" s="120" t="str">
        <f>IF(ISNA(VLOOKUP($F232,Declarations!$B$6:$D$293,3,FALSE)),"",IF(VLOOKUP($F232,Declarations!$B$6:$D$293,3,FALSE)="","NOT DECLARED",VLOOKUP($F232,Declarations!$B$6:$D$293,3,FALSE)&amp;LEFT(VLOOKUP($F232,Declarations!$B$6:$E$293,4,FALSE))))</f>
        <v/>
      </c>
      <c r="F232" s="21"/>
      <c r="G232" s="22"/>
      <c r="H232" s="322"/>
      <c r="I232" s="8" t="str">
        <f>IF(ISNA(VLOOKUP(F232,Declarations!B$6:C$293,2,FALSE)),"",IF(VLOOKUP(F232,Declarations!B$6:C$293,2,FALSE)="","NOT DECLARED",VLOOKUP(F232,Declarations!B$6:C$293,2,FALSE)))</f>
        <v/>
      </c>
      <c r="J232" s="2">
        <f>IF(LOWER(LEFT(G232,1))="n",1,VLOOKUP(G232,ScoringTable!E$2:I$95,5))</f>
        <v>0</v>
      </c>
      <c r="K232" s="120" t="str" cm="1">
        <f t="array" ref="K232">IF(OR(E232="",G232=""),"",_xlfn.IFS(E232="U10B",_xlfn.XLOOKUP(G232,Data!$D$4:$L$4,Data!$D$1:$L$1,"",-1,1),E232="U12B",_xlfn.XLOOKUP(G232,Data!$D$11:$L$11,Data!$D$1:$L$1,"",-1,1),E232="U10G",_xlfn.XLOOKUP(G232,Data!$D$17:$L$17,Data!$D$1:$L$1,"",-1,1),E232="U12G",_xlfn.XLOOKUP(G232,Data!$D$24:$L$24,Data!$D$1:$L$1,"",-1,1)))</f>
        <v/>
      </c>
      <c r="L232" s="184" t="str" cm="1">
        <f t="array" ref="L232">IFERROR(_xlfn.IFNA(
                      _xlfn.IFS(
                      F232="", "",
                      AND(E232="U10B",G232&gt;=Data!$M$4), "U10 Boys record",
                      AND(E232="U12B",G232&gt;=Data!$M$11), "U12 Boys record",
                      AND(E232="U10G",G232&gt;=Data!$M$17), "U10 Girls record",
                      AND(E232="U12G",G232&gt;=Data!$M$24), "U12 Girls record"
                       ),""), "")</f>
        <v/>
      </c>
      <c r="M232" s="19" cm="1">
        <f t="array" ref="M232">_xlfn.IFS($G232="",0,AND(NOT(ISNUMBER($G232)),LOWER(LEFT($G232,1))&lt;&gt;"n"),"Not a valid distance",OR(LOWER(LEFT($G232,1))="n",$G232&lt;ScoringTable!$P$161),1,RIGHT($E232,1)="B",_xlfn.XLOOKUP($G232,ScoringTable!$P$2:$P$161,ScoringTable!$L$2:$L$161,,-1),TRUE,_xlfn.XLOOKUP($G232,ScoringTable!$V$2:$V$161,ScoringTable!$R$2:$R$161,,-1))</f>
        <v>0</v>
      </c>
    </row>
    <row r="233" spans="1:13" ht="16" customHeight="1">
      <c r="A233" s="82" t="s">
        <v>27</v>
      </c>
      <c r="B233" s="81" t="str">
        <f>IF(ISNA(VLOOKUP($F233,Declarations!B$6:C$293,2,FALSE)),"",IF(VLOOKUP($F233,Declarations!B$6:C$293,2,FALSE)="","NOT DECLARED",IF(ISNA(_xlfn.TEXTBEFORE(VLOOKUP($F233,Declarations!B$6:C$293,2,FALSE)," ")),VLOOKUP($F233,Declarations!B$6:C$293,2,FALSE),_xlfn.TEXTBEFORE(VLOOKUP($F233,Declarations!B$6:C$293,2,FALSE)," "))))</f>
        <v/>
      </c>
      <c r="C233" s="81" t="str">
        <f>IF(ISNA(VLOOKUP($F233,Declarations!B$6:C$293,2,FALSE)),"",IF(VLOOKUP($F233,Declarations!B$6:C$293,2,FALSE)="","NOT DECLARED",IF(ISNA(_xlfn.TEXTAFTER(VLOOKUP($F233,Declarations!B$6:C$293,2,FALSE)," ")),VLOOKUP($F233,Declarations!B$6:C$293,2,FALSE),_xlfn.TEXTAFTER(VLOOKUP($F233,Declarations!B$6:C$293,2,FALSE)," "))))</f>
        <v/>
      </c>
      <c r="D233" s="81" t="str">
        <f>IF(ISNA(VLOOKUP($F233,Declarations!$B$6:$F$293,5,FALSE)),"",IF(VLOOKUP($F233,Declarations!$B$6:$F$293,5,FALSE)="","NOT DECLARED",VLOOKUP($F233,Declarations!$B$6:$F$293,5,FALSE)))</f>
        <v/>
      </c>
      <c r="E233" s="120" t="str">
        <f>IF(ISNA(VLOOKUP($F233,Declarations!$B$6:$D$293,3,FALSE)),"",IF(VLOOKUP($F233,Declarations!$B$6:$D$293,3,FALSE)="","NOT DECLARED",VLOOKUP($F233,Declarations!$B$6:$D$293,3,FALSE)&amp;LEFT(VLOOKUP($F233,Declarations!$B$6:$E$293,4,FALSE))))</f>
        <v/>
      </c>
      <c r="F233" s="21"/>
      <c r="G233" s="22"/>
      <c r="H233" s="322"/>
      <c r="I233" s="8" t="str">
        <f>IF(ISNA(VLOOKUP(F233,Declarations!B$6:C$293,2,FALSE)),"",IF(VLOOKUP(F233,Declarations!B$6:C$293,2,FALSE)="","NOT DECLARED",VLOOKUP(F233,Declarations!B$6:C$293,2,FALSE)))</f>
        <v/>
      </c>
      <c r="J233" s="2">
        <f>IF(LOWER(LEFT(G233,1))="n",1,VLOOKUP(G233,ScoringTable!E$2:I$95,5))</f>
        <v>0</v>
      </c>
      <c r="K233" s="120" t="str" cm="1">
        <f t="array" ref="K233">IF(OR(E233="",G233=""),"",_xlfn.IFS(E233="U10B",_xlfn.XLOOKUP(G233,Data!$D$4:$L$4,Data!$D$1:$L$1,"",-1,1),E233="U12B",_xlfn.XLOOKUP(G233,Data!$D$11:$L$11,Data!$D$1:$L$1,"",-1,1),E233="U10G",_xlfn.XLOOKUP(G233,Data!$D$17:$L$17,Data!$D$1:$L$1,"",-1,1),E233="U12G",_xlfn.XLOOKUP(G233,Data!$D$24:$L$24,Data!$D$1:$L$1,"",-1,1)))</f>
        <v/>
      </c>
      <c r="L233" s="184" t="str" cm="1">
        <f t="array" ref="L233">IFERROR(_xlfn.IFNA(
                      _xlfn.IFS(
                      F233="", "",
                      AND(E233="U10B",G233&gt;=Data!$M$4), "U10 Boys record",
                      AND(E233="U12B",G233&gt;=Data!$M$11), "U12 Boys record",
                      AND(E233="U10G",G233&gt;=Data!$M$17), "U10 Girls record",
                      AND(E233="U12G",G233&gt;=Data!$M$24), "U12 Girls record"
                       ),""), "")</f>
        <v/>
      </c>
      <c r="M233" s="19" cm="1">
        <f t="array" ref="M233">_xlfn.IFS($G233="",0,AND(NOT(ISNUMBER($G233)),LOWER(LEFT($G233,1))&lt;&gt;"n"),"Not a valid distance",OR(LOWER(LEFT($G233,1))="n",$G233&lt;ScoringTable!$P$161),1,RIGHT($E233,1)="B",_xlfn.XLOOKUP($G233,ScoringTable!$P$2:$P$161,ScoringTable!$L$2:$L$161,,-1),TRUE,_xlfn.XLOOKUP($G233,ScoringTable!$V$2:$V$161,ScoringTable!$R$2:$R$161,,-1))</f>
        <v>0</v>
      </c>
    </row>
    <row r="234" spans="1:13" ht="16" customHeight="1">
      <c r="A234" s="82" t="s">
        <v>27</v>
      </c>
      <c r="B234" s="81" t="str">
        <f>IF(ISNA(VLOOKUP($F234,Declarations!B$6:C$293,2,FALSE)),"",IF(VLOOKUP($F234,Declarations!B$6:C$293,2,FALSE)="","NOT DECLARED",IF(ISNA(_xlfn.TEXTBEFORE(VLOOKUP($F234,Declarations!B$6:C$293,2,FALSE)," ")),VLOOKUP($F234,Declarations!B$6:C$293,2,FALSE),_xlfn.TEXTBEFORE(VLOOKUP($F234,Declarations!B$6:C$293,2,FALSE)," "))))</f>
        <v/>
      </c>
      <c r="C234" s="81" t="str">
        <f>IF(ISNA(VLOOKUP($F234,Declarations!B$6:C$293,2,FALSE)),"",IF(VLOOKUP($F234,Declarations!B$6:C$293,2,FALSE)="","NOT DECLARED",IF(ISNA(_xlfn.TEXTAFTER(VLOOKUP($F234,Declarations!B$6:C$293,2,FALSE)," ")),VLOOKUP($F234,Declarations!B$6:C$293,2,FALSE),_xlfn.TEXTAFTER(VLOOKUP($F234,Declarations!B$6:C$293,2,FALSE)," "))))</f>
        <v/>
      </c>
      <c r="D234" s="81" t="str">
        <f>IF(ISNA(VLOOKUP($F234,Declarations!$B$6:$F$293,5,FALSE)),"",IF(VLOOKUP($F234,Declarations!$B$6:$F$293,5,FALSE)="","NOT DECLARED",VLOOKUP($F234,Declarations!$B$6:$F$293,5,FALSE)))</f>
        <v/>
      </c>
      <c r="E234" s="120" t="str">
        <f>IF(ISNA(VLOOKUP($F234,Declarations!$B$6:$D$293,3,FALSE)),"",IF(VLOOKUP($F234,Declarations!$B$6:$D$293,3,FALSE)="","NOT DECLARED",VLOOKUP($F234,Declarations!$B$6:$D$293,3,FALSE)&amp;LEFT(VLOOKUP($F234,Declarations!$B$6:$E$293,4,FALSE))))</f>
        <v/>
      </c>
      <c r="F234" s="21"/>
      <c r="G234" s="22"/>
      <c r="H234" s="322"/>
      <c r="I234" s="8" t="str">
        <f>IF(ISNA(VLOOKUP(F234,Declarations!B$6:C$293,2,FALSE)),"",IF(VLOOKUP(F234,Declarations!B$6:C$293,2,FALSE)="","NOT DECLARED",VLOOKUP(F234,Declarations!B$6:C$293,2,FALSE)))</f>
        <v/>
      </c>
      <c r="J234" s="2">
        <f>IF(LOWER(LEFT(G234,1))="n",1,VLOOKUP(G234,ScoringTable!E$2:I$95,5))</f>
        <v>0</v>
      </c>
      <c r="K234" s="120" t="str" cm="1">
        <f t="array" ref="K234">IF(OR(E234="",G234=""),"",_xlfn.IFS(E234="U10B",_xlfn.XLOOKUP(G234,Data!$D$4:$L$4,Data!$D$1:$L$1,"",-1,1),E234="U12B",_xlfn.XLOOKUP(G234,Data!$D$11:$L$11,Data!$D$1:$L$1,"",-1,1),E234="U10G",_xlfn.XLOOKUP(G234,Data!$D$17:$L$17,Data!$D$1:$L$1,"",-1,1),E234="U12G",_xlfn.XLOOKUP(G234,Data!$D$24:$L$24,Data!$D$1:$L$1,"",-1,1)))</f>
        <v/>
      </c>
      <c r="L234" s="184" t="str" cm="1">
        <f t="array" ref="L234">IFERROR(_xlfn.IFNA(
                      _xlfn.IFS(
                      F234="", "",
                      AND(E234="U10B",G234&gt;=Data!$M$4), "U10 Boys record",
                      AND(E234="U12B",G234&gt;=Data!$M$11), "U12 Boys record",
                      AND(E234="U10G",G234&gt;=Data!$M$17), "U10 Girls record",
                      AND(E234="U12G",G234&gt;=Data!$M$24), "U12 Girls record"
                       ),""), "")</f>
        <v/>
      </c>
      <c r="M234" s="19" cm="1">
        <f t="array" ref="M234">_xlfn.IFS($G234="",0,AND(NOT(ISNUMBER($G234)),LOWER(LEFT($G234,1))&lt;&gt;"n"),"Not a valid distance",OR(LOWER(LEFT($G234,1))="n",$G234&lt;ScoringTable!$P$161),1,RIGHT($E234,1)="B",_xlfn.XLOOKUP($G234,ScoringTable!$P$2:$P$161,ScoringTable!$L$2:$L$161,,-1),TRUE,_xlfn.XLOOKUP($G234,ScoringTable!$V$2:$V$161,ScoringTable!$R$2:$R$161,,-1))</f>
        <v>0</v>
      </c>
    </row>
    <row r="235" spans="1:13" ht="16" customHeight="1">
      <c r="A235" s="82" t="s">
        <v>27</v>
      </c>
      <c r="B235" s="81" t="str">
        <f>IF(ISNA(VLOOKUP($F235,Declarations!B$6:C$293,2,FALSE)),"",IF(VLOOKUP($F235,Declarations!B$6:C$293,2,FALSE)="","NOT DECLARED",IF(ISNA(_xlfn.TEXTBEFORE(VLOOKUP($F235,Declarations!B$6:C$293,2,FALSE)," ")),VLOOKUP($F235,Declarations!B$6:C$293,2,FALSE),_xlfn.TEXTBEFORE(VLOOKUP($F235,Declarations!B$6:C$293,2,FALSE)," "))))</f>
        <v/>
      </c>
      <c r="C235" s="81" t="str">
        <f>IF(ISNA(VLOOKUP($F235,Declarations!B$6:C$293,2,FALSE)),"",IF(VLOOKUP($F235,Declarations!B$6:C$293,2,FALSE)="","NOT DECLARED",IF(ISNA(_xlfn.TEXTAFTER(VLOOKUP($F235,Declarations!B$6:C$293,2,FALSE)," ")),VLOOKUP($F235,Declarations!B$6:C$293,2,FALSE),_xlfn.TEXTAFTER(VLOOKUP($F235,Declarations!B$6:C$293,2,FALSE)," "))))</f>
        <v/>
      </c>
      <c r="D235" s="81" t="str">
        <f>IF(ISNA(VLOOKUP($F235,Declarations!$B$6:$F$293,5,FALSE)),"",IF(VLOOKUP($F235,Declarations!$B$6:$F$293,5,FALSE)="","NOT DECLARED",VLOOKUP($F235,Declarations!$B$6:$F$293,5,FALSE)))</f>
        <v/>
      </c>
      <c r="E235" s="120" t="str">
        <f>IF(ISNA(VLOOKUP($F235,Declarations!$B$6:$D$293,3,FALSE)),"",IF(VLOOKUP($F235,Declarations!$B$6:$D$293,3,FALSE)="","NOT DECLARED",VLOOKUP($F235,Declarations!$B$6:$D$293,3,FALSE)&amp;LEFT(VLOOKUP($F235,Declarations!$B$6:$E$293,4,FALSE))))</f>
        <v/>
      </c>
      <c r="F235" s="21"/>
      <c r="G235" s="22"/>
      <c r="H235" s="322"/>
      <c r="I235" s="8" t="str">
        <f>IF(ISNA(VLOOKUP(F235,Declarations!B$6:C$293,2,FALSE)),"",IF(VLOOKUP(F235,Declarations!B$6:C$293,2,FALSE)="","NOT DECLARED",VLOOKUP(F235,Declarations!B$6:C$293,2,FALSE)))</f>
        <v/>
      </c>
      <c r="J235" s="2">
        <f>IF(LOWER(LEFT(G235,1))="n",1,VLOOKUP(G235,ScoringTable!E$2:I$95,5))</f>
        <v>0</v>
      </c>
      <c r="K235" s="120" t="str" cm="1">
        <f t="array" ref="K235">IF(OR(E235="",G235=""),"",_xlfn.IFS(E235="U10B",_xlfn.XLOOKUP(G235,Data!$D$4:$L$4,Data!$D$1:$L$1,"",-1,1),E235="U12B",_xlfn.XLOOKUP(G235,Data!$D$11:$L$11,Data!$D$1:$L$1,"",-1,1),E235="U10G",_xlfn.XLOOKUP(G235,Data!$D$17:$L$17,Data!$D$1:$L$1,"",-1,1),E235="U12G",_xlfn.XLOOKUP(G235,Data!$D$24:$L$24,Data!$D$1:$L$1,"",-1,1)))</f>
        <v/>
      </c>
      <c r="L235" s="184" t="str" cm="1">
        <f t="array" ref="L235">IFERROR(_xlfn.IFNA(
                      _xlfn.IFS(
                      F235="", "",
                      AND(E235="U10B",G235&gt;=Data!$M$4), "U10 Boys record",
                      AND(E235="U12B",G235&gt;=Data!$M$11), "U12 Boys record",
                      AND(E235="U10G",G235&gt;=Data!$M$17), "U10 Girls record",
                      AND(E235="U12G",G235&gt;=Data!$M$24), "U12 Girls record"
                       ),""), "")</f>
        <v/>
      </c>
      <c r="M235" s="19" cm="1">
        <f t="array" ref="M235">_xlfn.IFS($G235="",0,AND(NOT(ISNUMBER($G235)),LOWER(LEFT($G235,1))&lt;&gt;"n"),"Not a valid distance",OR(LOWER(LEFT($G235,1))="n",$G235&lt;ScoringTable!$P$161),1,RIGHT($E235,1)="B",_xlfn.XLOOKUP($G235,ScoringTable!$P$2:$P$161,ScoringTable!$L$2:$L$161,,-1),TRUE,_xlfn.XLOOKUP($G235,ScoringTable!$V$2:$V$161,ScoringTable!$R$2:$R$161,,-1))</f>
        <v>0</v>
      </c>
    </row>
    <row r="236" spans="1:13" ht="16" customHeight="1">
      <c r="A236" s="82" t="s">
        <v>27</v>
      </c>
      <c r="B236" s="81" t="str">
        <f>IF(ISNA(VLOOKUP($F236,Declarations!B$6:C$293,2,FALSE)),"",IF(VLOOKUP($F236,Declarations!B$6:C$293,2,FALSE)="","NOT DECLARED",IF(ISNA(_xlfn.TEXTBEFORE(VLOOKUP($F236,Declarations!B$6:C$293,2,FALSE)," ")),VLOOKUP($F236,Declarations!B$6:C$293,2,FALSE),_xlfn.TEXTBEFORE(VLOOKUP($F236,Declarations!B$6:C$293,2,FALSE)," "))))</f>
        <v/>
      </c>
      <c r="C236" s="81" t="str">
        <f>IF(ISNA(VLOOKUP($F236,Declarations!B$6:C$293,2,FALSE)),"",IF(VLOOKUP($F236,Declarations!B$6:C$293,2,FALSE)="","NOT DECLARED",IF(ISNA(_xlfn.TEXTAFTER(VLOOKUP($F236,Declarations!B$6:C$293,2,FALSE)," ")),VLOOKUP($F236,Declarations!B$6:C$293,2,FALSE),_xlfn.TEXTAFTER(VLOOKUP($F236,Declarations!B$6:C$293,2,FALSE)," "))))</f>
        <v/>
      </c>
      <c r="D236" s="81" t="str">
        <f>IF(ISNA(VLOOKUP($F236,Declarations!$B$6:$F$293,5,FALSE)),"",IF(VLOOKUP($F236,Declarations!$B$6:$F$293,5,FALSE)="","NOT DECLARED",VLOOKUP($F236,Declarations!$B$6:$F$293,5,FALSE)))</f>
        <v/>
      </c>
      <c r="E236" s="120" t="str">
        <f>IF(ISNA(VLOOKUP($F236,Declarations!$B$6:$D$293,3,FALSE)),"",IF(VLOOKUP($F236,Declarations!$B$6:$D$293,3,FALSE)="","NOT DECLARED",VLOOKUP($F236,Declarations!$B$6:$D$293,3,FALSE)&amp;LEFT(VLOOKUP($F236,Declarations!$B$6:$E$293,4,FALSE))))</f>
        <v/>
      </c>
      <c r="F236" s="21"/>
      <c r="G236" s="22"/>
      <c r="H236" s="322"/>
      <c r="I236" s="8" t="str">
        <f>IF(ISNA(VLOOKUP(F236,Declarations!B$6:C$293,2,FALSE)),"",IF(VLOOKUP(F236,Declarations!B$6:C$293,2,FALSE)="","NOT DECLARED",VLOOKUP(F236,Declarations!B$6:C$293,2,FALSE)))</f>
        <v/>
      </c>
      <c r="J236" s="2">
        <f>IF(LOWER(LEFT(G236,1))="n",1,VLOOKUP(G236,ScoringTable!E$2:I$95,5))</f>
        <v>0</v>
      </c>
      <c r="K236" s="120" t="str" cm="1">
        <f t="array" ref="K236">IF(OR(E236="",G236=""),"",_xlfn.IFS(E236="U10B",_xlfn.XLOOKUP(G236,Data!$D$4:$L$4,Data!$D$1:$L$1,"",-1,1),E236="U12B",_xlfn.XLOOKUP(G236,Data!$D$11:$L$11,Data!$D$1:$L$1,"",-1,1),E236="U10G",_xlfn.XLOOKUP(G236,Data!$D$17:$L$17,Data!$D$1:$L$1,"",-1,1),E236="U12G",_xlfn.XLOOKUP(G236,Data!$D$24:$L$24,Data!$D$1:$L$1,"",-1,1)))</f>
        <v/>
      </c>
      <c r="L236" s="184" t="str" cm="1">
        <f t="array" ref="L236">IFERROR(_xlfn.IFNA(
                      _xlfn.IFS(
                      F236="", "",
                      AND(E236="U10B",G236&gt;=Data!$M$4), "U10 Boys record",
                      AND(E236="U12B",G236&gt;=Data!$M$11), "U12 Boys record",
                      AND(E236="U10G",G236&gt;=Data!$M$17), "U10 Girls record",
                      AND(E236="U12G",G236&gt;=Data!$M$24), "U12 Girls record"
                       ),""), "")</f>
        <v/>
      </c>
      <c r="M236" s="19" cm="1">
        <f t="array" ref="M236">_xlfn.IFS($G236="",0,AND(NOT(ISNUMBER($G236)),LOWER(LEFT($G236,1))&lt;&gt;"n"),"Not a valid distance",OR(LOWER(LEFT($G236,1))="n",$G236&lt;ScoringTable!$P$161),1,RIGHT($E236,1)="B",_xlfn.XLOOKUP($G236,ScoringTable!$P$2:$P$161,ScoringTable!$L$2:$L$161,,-1),TRUE,_xlfn.XLOOKUP($G236,ScoringTable!$V$2:$V$161,ScoringTable!$R$2:$R$161,,-1))</f>
        <v>0</v>
      </c>
    </row>
    <row r="237" spans="1:13" ht="16" customHeight="1">
      <c r="A237" s="82" t="s">
        <v>27</v>
      </c>
      <c r="B237" s="81" t="str">
        <f>IF(ISNA(VLOOKUP($F237,Declarations!B$6:C$293,2,FALSE)),"",IF(VLOOKUP($F237,Declarations!B$6:C$293,2,FALSE)="","NOT DECLARED",IF(ISNA(_xlfn.TEXTBEFORE(VLOOKUP($F237,Declarations!B$6:C$293,2,FALSE)," ")),VLOOKUP($F237,Declarations!B$6:C$293,2,FALSE),_xlfn.TEXTBEFORE(VLOOKUP($F237,Declarations!B$6:C$293,2,FALSE)," "))))</f>
        <v/>
      </c>
      <c r="C237" s="81" t="str">
        <f>IF(ISNA(VLOOKUP($F237,Declarations!B$6:C$293,2,FALSE)),"",IF(VLOOKUP($F237,Declarations!B$6:C$293,2,FALSE)="","NOT DECLARED",IF(ISNA(_xlfn.TEXTAFTER(VLOOKUP($F237,Declarations!B$6:C$293,2,FALSE)," ")),VLOOKUP($F237,Declarations!B$6:C$293,2,FALSE),_xlfn.TEXTAFTER(VLOOKUP($F237,Declarations!B$6:C$293,2,FALSE)," "))))</f>
        <v/>
      </c>
      <c r="D237" s="81" t="str">
        <f>IF(ISNA(VLOOKUP($F237,Declarations!$B$6:$F$293,5,FALSE)),"",IF(VLOOKUP($F237,Declarations!$B$6:$F$293,5,FALSE)="","NOT DECLARED",VLOOKUP($F237,Declarations!$B$6:$F$293,5,FALSE)))</f>
        <v/>
      </c>
      <c r="E237" s="120" t="str">
        <f>IF(ISNA(VLOOKUP($F237,Declarations!$B$6:$D$293,3,FALSE)),"",IF(VLOOKUP($F237,Declarations!$B$6:$D$293,3,FALSE)="","NOT DECLARED",VLOOKUP($F237,Declarations!$B$6:$D$293,3,FALSE)&amp;LEFT(VLOOKUP($F237,Declarations!$B$6:$E$293,4,FALSE))))</f>
        <v/>
      </c>
      <c r="F237" s="21"/>
      <c r="G237" s="22"/>
      <c r="H237" s="322"/>
      <c r="I237" s="8" t="str">
        <f>IF(ISNA(VLOOKUP(F237,Declarations!B$6:C$293,2,FALSE)),"",IF(VLOOKUP(F237,Declarations!B$6:C$293,2,FALSE)="","NOT DECLARED",VLOOKUP(F237,Declarations!B$6:C$293,2,FALSE)))</f>
        <v/>
      </c>
      <c r="J237" s="2">
        <f>IF(LOWER(LEFT(G237,1))="n",1,VLOOKUP(G237,ScoringTable!E$2:I$95,5))</f>
        <v>0</v>
      </c>
      <c r="K237" s="120" t="str" cm="1">
        <f t="array" ref="K237">IF(OR(E237="",G237=""),"",_xlfn.IFS(E237="U10B",_xlfn.XLOOKUP(G237,Data!$D$4:$L$4,Data!$D$1:$L$1,"",-1,1),E237="U12B",_xlfn.XLOOKUP(G237,Data!$D$11:$L$11,Data!$D$1:$L$1,"",-1,1),E237="U10G",_xlfn.XLOOKUP(G237,Data!$D$17:$L$17,Data!$D$1:$L$1,"",-1,1),E237="U12G",_xlfn.XLOOKUP(G237,Data!$D$24:$L$24,Data!$D$1:$L$1,"",-1,1)))</f>
        <v/>
      </c>
      <c r="L237" s="184" t="str" cm="1">
        <f t="array" ref="L237">IFERROR(_xlfn.IFNA(
                      _xlfn.IFS(
                      F237="", "",
                      AND(E237="U10B",G237&gt;=Data!$M$4), "U10 Boys record",
                      AND(E237="U12B",G237&gt;=Data!$M$11), "U12 Boys record",
                      AND(E237="U10G",G237&gt;=Data!$M$17), "U10 Girls record",
                      AND(E237="U12G",G237&gt;=Data!$M$24), "U12 Girls record"
                       ),""), "")</f>
        <v/>
      </c>
      <c r="M237" s="19" cm="1">
        <f t="array" ref="M237">_xlfn.IFS($G237="",0,AND(NOT(ISNUMBER($G237)),LOWER(LEFT($G237,1))&lt;&gt;"n"),"Not a valid distance",OR(LOWER(LEFT($G237,1))="n",$G237&lt;ScoringTable!$P$161),1,RIGHT($E237,1)="B",_xlfn.XLOOKUP($G237,ScoringTable!$P$2:$P$161,ScoringTable!$L$2:$L$161,,-1),TRUE,_xlfn.XLOOKUP($G237,ScoringTable!$V$2:$V$161,ScoringTable!$R$2:$R$161,,-1))</f>
        <v>0</v>
      </c>
    </row>
    <row r="238" spans="1:13" ht="16" customHeight="1">
      <c r="A238" s="82" t="s">
        <v>27</v>
      </c>
      <c r="B238" s="81" t="str">
        <f>IF(ISNA(VLOOKUP($F238,Declarations!B$6:C$293,2,FALSE)),"",IF(VLOOKUP($F238,Declarations!B$6:C$293,2,FALSE)="","NOT DECLARED",IF(ISNA(_xlfn.TEXTBEFORE(VLOOKUP($F238,Declarations!B$6:C$293,2,FALSE)," ")),VLOOKUP($F238,Declarations!B$6:C$293,2,FALSE),_xlfn.TEXTBEFORE(VLOOKUP($F238,Declarations!B$6:C$293,2,FALSE)," "))))</f>
        <v/>
      </c>
      <c r="C238" s="81" t="str">
        <f>IF(ISNA(VLOOKUP($F238,Declarations!B$6:C$293,2,FALSE)),"",IF(VLOOKUP($F238,Declarations!B$6:C$293,2,FALSE)="","NOT DECLARED",IF(ISNA(_xlfn.TEXTAFTER(VLOOKUP($F238,Declarations!B$6:C$293,2,FALSE)," ")),VLOOKUP($F238,Declarations!B$6:C$293,2,FALSE),_xlfn.TEXTAFTER(VLOOKUP($F238,Declarations!B$6:C$293,2,FALSE)," "))))</f>
        <v/>
      </c>
      <c r="D238" s="81" t="str">
        <f>IF(ISNA(VLOOKUP($F238,Declarations!$B$6:$F$293,5,FALSE)),"",IF(VLOOKUP($F238,Declarations!$B$6:$F$293,5,FALSE)="","NOT DECLARED",VLOOKUP($F238,Declarations!$B$6:$F$293,5,FALSE)))</f>
        <v/>
      </c>
      <c r="E238" s="120" t="str">
        <f>IF(ISNA(VLOOKUP($F238,Declarations!$B$6:$D$293,3,FALSE)),"",IF(VLOOKUP($F238,Declarations!$B$6:$D$293,3,FALSE)="","NOT DECLARED",VLOOKUP($F238,Declarations!$B$6:$D$293,3,FALSE)&amp;LEFT(VLOOKUP($F238,Declarations!$B$6:$E$293,4,FALSE))))</f>
        <v/>
      </c>
      <c r="F238" s="21"/>
      <c r="G238" s="22"/>
      <c r="H238" s="322"/>
      <c r="I238" s="8" t="str">
        <f>IF(ISNA(VLOOKUP(F238,Declarations!B$6:C$293,2,FALSE)),"",IF(VLOOKUP(F238,Declarations!B$6:C$293,2,FALSE)="","NOT DECLARED",VLOOKUP(F238,Declarations!B$6:C$293,2,FALSE)))</f>
        <v/>
      </c>
      <c r="J238" s="2">
        <f>IF(LOWER(LEFT(G238,1))="n",1,VLOOKUP(G238,ScoringTable!E$2:I$95,5))</f>
        <v>0</v>
      </c>
      <c r="K238" s="120" t="str" cm="1">
        <f t="array" ref="K238">IF(OR(E238="",G238=""),"",_xlfn.IFS(E238="U10B",_xlfn.XLOOKUP(G238,Data!$D$4:$L$4,Data!$D$1:$L$1,"",-1,1),E238="U12B",_xlfn.XLOOKUP(G238,Data!$D$11:$L$11,Data!$D$1:$L$1,"",-1,1),E238="U10G",_xlfn.XLOOKUP(G238,Data!$D$17:$L$17,Data!$D$1:$L$1,"",-1,1),E238="U12G",_xlfn.XLOOKUP(G238,Data!$D$24:$L$24,Data!$D$1:$L$1,"",-1,1)))</f>
        <v/>
      </c>
      <c r="L238" s="184" t="str" cm="1">
        <f t="array" ref="L238">IFERROR(_xlfn.IFNA(
                      _xlfn.IFS(
                      F238="", "",
                      AND(E238="U10B",G238&gt;=Data!$M$4), "U10 Boys record",
                      AND(E238="U12B",G238&gt;=Data!$M$11), "U12 Boys record",
                      AND(E238="U10G",G238&gt;=Data!$M$17), "U10 Girls record",
                      AND(E238="U12G",G238&gt;=Data!$M$24), "U12 Girls record"
                       ),""), "")</f>
        <v/>
      </c>
      <c r="M238" s="19" cm="1">
        <f t="array" ref="M238">_xlfn.IFS($G238="",0,AND(NOT(ISNUMBER($G238)),LOWER(LEFT($G238,1))&lt;&gt;"n"),"Not a valid distance",OR(LOWER(LEFT($G238,1))="n",$G238&lt;ScoringTable!$P$161),1,RIGHT($E238,1)="B",_xlfn.XLOOKUP($G238,ScoringTable!$P$2:$P$161,ScoringTable!$L$2:$L$161,,-1),TRUE,_xlfn.XLOOKUP($G238,ScoringTable!$V$2:$V$161,ScoringTable!$R$2:$R$161,,-1))</f>
        <v>0</v>
      </c>
    </row>
    <row r="239" spans="1:13" ht="16" customHeight="1">
      <c r="A239" s="82" t="s">
        <v>27</v>
      </c>
      <c r="B239" s="81" t="str">
        <f>IF(ISNA(VLOOKUP($F239,Declarations!B$6:C$293,2,FALSE)),"",IF(VLOOKUP($F239,Declarations!B$6:C$293,2,FALSE)="","NOT DECLARED",IF(ISNA(_xlfn.TEXTBEFORE(VLOOKUP($F239,Declarations!B$6:C$293,2,FALSE)," ")),VLOOKUP($F239,Declarations!B$6:C$293,2,FALSE),_xlfn.TEXTBEFORE(VLOOKUP($F239,Declarations!B$6:C$293,2,FALSE)," "))))</f>
        <v/>
      </c>
      <c r="C239" s="81" t="str">
        <f>IF(ISNA(VLOOKUP($F239,Declarations!B$6:C$293,2,FALSE)),"",IF(VLOOKUP($F239,Declarations!B$6:C$293,2,FALSE)="","NOT DECLARED",IF(ISNA(_xlfn.TEXTAFTER(VLOOKUP($F239,Declarations!B$6:C$293,2,FALSE)," ")),VLOOKUP($F239,Declarations!B$6:C$293,2,FALSE),_xlfn.TEXTAFTER(VLOOKUP($F239,Declarations!B$6:C$293,2,FALSE)," "))))</f>
        <v/>
      </c>
      <c r="D239" s="81" t="str">
        <f>IF(ISNA(VLOOKUP($F239,Declarations!$B$6:$F$293,5,FALSE)),"",IF(VLOOKUP($F239,Declarations!$B$6:$F$293,5,FALSE)="","NOT DECLARED",VLOOKUP($F239,Declarations!$B$6:$F$293,5,FALSE)))</f>
        <v/>
      </c>
      <c r="E239" s="120" t="str">
        <f>IF(ISNA(VLOOKUP($F239,Declarations!$B$6:$D$293,3,FALSE)),"",IF(VLOOKUP($F239,Declarations!$B$6:$D$293,3,FALSE)="","NOT DECLARED",VLOOKUP($F239,Declarations!$B$6:$D$293,3,FALSE)&amp;LEFT(VLOOKUP($F239,Declarations!$B$6:$E$293,4,FALSE))))</f>
        <v/>
      </c>
      <c r="F239" s="21"/>
      <c r="G239" s="22"/>
      <c r="H239" s="322"/>
      <c r="I239" s="8" t="str">
        <f>IF(ISNA(VLOOKUP(F239,Declarations!B$6:C$293,2,FALSE)),"",IF(VLOOKUP(F239,Declarations!B$6:C$293,2,FALSE)="","NOT DECLARED",VLOOKUP(F239,Declarations!B$6:C$293,2,FALSE)))</f>
        <v/>
      </c>
      <c r="J239" s="2">
        <f>IF(LOWER(LEFT(G239,1))="n",1,VLOOKUP(G239,ScoringTable!E$2:I$95,5))</f>
        <v>0</v>
      </c>
      <c r="K239" s="120" t="str" cm="1">
        <f t="array" ref="K239">IF(OR(E239="",G239=""),"",_xlfn.IFS(E239="U10B",_xlfn.XLOOKUP(G239,Data!$D$4:$L$4,Data!$D$1:$L$1,"",-1,1),E239="U12B",_xlfn.XLOOKUP(G239,Data!$D$11:$L$11,Data!$D$1:$L$1,"",-1,1),E239="U10G",_xlfn.XLOOKUP(G239,Data!$D$17:$L$17,Data!$D$1:$L$1,"",-1,1),E239="U12G",_xlfn.XLOOKUP(G239,Data!$D$24:$L$24,Data!$D$1:$L$1,"",-1,1)))</f>
        <v/>
      </c>
      <c r="L239" s="184" t="str" cm="1">
        <f t="array" ref="L239">IFERROR(_xlfn.IFNA(
                      _xlfn.IFS(
                      F239="", "",
                      AND(E239="U10B",G239&gt;=Data!$M$4), "U10 Boys record",
                      AND(E239="U12B",G239&gt;=Data!$M$11), "U12 Boys record",
                      AND(E239="U10G",G239&gt;=Data!$M$17), "U10 Girls record",
                      AND(E239="U12G",G239&gt;=Data!$M$24), "U12 Girls record"
                       ),""), "")</f>
        <v/>
      </c>
      <c r="M239" s="19" cm="1">
        <f t="array" ref="M239">_xlfn.IFS($G239="",0,AND(NOT(ISNUMBER($G239)),LOWER(LEFT($G239,1))&lt;&gt;"n"),"Not a valid distance",OR(LOWER(LEFT($G239,1))="n",$G239&lt;ScoringTable!$P$161),1,RIGHT($E239,1)="B",_xlfn.XLOOKUP($G239,ScoringTable!$P$2:$P$161,ScoringTable!$L$2:$L$161,,-1),TRUE,_xlfn.XLOOKUP($G239,ScoringTable!$V$2:$V$161,ScoringTable!$R$2:$R$161,,-1))</f>
        <v>0</v>
      </c>
    </row>
    <row r="240" spans="1:13" ht="16" customHeight="1">
      <c r="A240" s="82" t="s">
        <v>27</v>
      </c>
      <c r="B240" s="81" t="str">
        <f>IF(ISNA(VLOOKUP($F240,Declarations!B$6:C$293,2,FALSE)),"",IF(VLOOKUP($F240,Declarations!B$6:C$293,2,FALSE)="","NOT DECLARED",IF(ISNA(_xlfn.TEXTBEFORE(VLOOKUP($F240,Declarations!B$6:C$293,2,FALSE)," ")),VLOOKUP($F240,Declarations!B$6:C$293,2,FALSE),_xlfn.TEXTBEFORE(VLOOKUP($F240,Declarations!B$6:C$293,2,FALSE)," "))))</f>
        <v/>
      </c>
      <c r="C240" s="81" t="str">
        <f>IF(ISNA(VLOOKUP($F240,Declarations!B$6:C$293,2,FALSE)),"",IF(VLOOKUP($F240,Declarations!B$6:C$293,2,FALSE)="","NOT DECLARED",IF(ISNA(_xlfn.TEXTAFTER(VLOOKUP($F240,Declarations!B$6:C$293,2,FALSE)," ")),VLOOKUP($F240,Declarations!B$6:C$293,2,FALSE),_xlfn.TEXTAFTER(VLOOKUP($F240,Declarations!B$6:C$293,2,FALSE)," "))))</f>
        <v/>
      </c>
      <c r="D240" s="81" t="str">
        <f>IF(ISNA(VLOOKUP($F240,Declarations!$B$6:$F$293,5,FALSE)),"",IF(VLOOKUP($F240,Declarations!$B$6:$F$293,5,FALSE)="","NOT DECLARED",VLOOKUP($F240,Declarations!$B$6:$F$293,5,FALSE)))</f>
        <v/>
      </c>
      <c r="E240" s="120" t="str">
        <f>IF(ISNA(VLOOKUP($F240,Declarations!$B$6:$D$293,3,FALSE)),"",IF(VLOOKUP($F240,Declarations!$B$6:$D$293,3,FALSE)="","NOT DECLARED",VLOOKUP($F240,Declarations!$B$6:$D$293,3,FALSE)&amp;LEFT(VLOOKUP($F240,Declarations!$B$6:$E$293,4,FALSE))))</f>
        <v/>
      </c>
      <c r="F240" s="21"/>
      <c r="G240" s="22"/>
      <c r="H240" s="322"/>
      <c r="I240" s="8" t="str">
        <f>IF(ISNA(VLOOKUP(F240,Declarations!B$6:C$293,2,FALSE)),"",IF(VLOOKUP(F240,Declarations!B$6:C$293,2,FALSE)="","NOT DECLARED",VLOOKUP(F240,Declarations!B$6:C$293,2,FALSE)))</f>
        <v/>
      </c>
      <c r="J240" s="2">
        <f>IF(LOWER(LEFT(G240,1))="n",1,VLOOKUP(G240,ScoringTable!E$2:I$95,5))</f>
        <v>0</v>
      </c>
      <c r="K240" s="120" t="str" cm="1">
        <f t="array" ref="K240">IF(OR(E240="",G240=""),"",_xlfn.IFS(E240="U10B",_xlfn.XLOOKUP(G240,Data!$D$4:$L$4,Data!$D$1:$L$1,"",-1,1),E240="U12B",_xlfn.XLOOKUP(G240,Data!$D$11:$L$11,Data!$D$1:$L$1,"",-1,1),E240="U10G",_xlfn.XLOOKUP(G240,Data!$D$17:$L$17,Data!$D$1:$L$1,"",-1,1),E240="U12G",_xlfn.XLOOKUP(G240,Data!$D$24:$L$24,Data!$D$1:$L$1,"",-1,1)))</f>
        <v/>
      </c>
      <c r="L240" s="184" t="str" cm="1">
        <f t="array" ref="L240">IFERROR(_xlfn.IFNA(
                      _xlfn.IFS(
                      F240="", "",
                      AND(E240="U10B",G240&gt;=Data!$M$4), "U10 Boys record",
                      AND(E240="U12B",G240&gt;=Data!$M$11), "U12 Boys record",
                      AND(E240="U10G",G240&gt;=Data!$M$17), "U10 Girls record",
                      AND(E240="U12G",G240&gt;=Data!$M$24), "U12 Girls record"
                       ),""), "")</f>
        <v/>
      </c>
      <c r="M240" s="19" cm="1">
        <f t="array" ref="M240">_xlfn.IFS($G240="",0,AND(NOT(ISNUMBER($G240)),LOWER(LEFT($G240,1))&lt;&gt;"n"),"Not a valid distance",OR(LOWER(LEFT($G240,1))="n",$G240&lt;ScoringTable!$P$161),1,RIGHT($E240,1)="B",_xlfn.XLOOKUP($G240,ScoringTable!$P$2:$P$161,ScoringTable!$L$2:$L$161,,-1),TRUE,_xlfn.XLOOKUP($G240,ScoringTable!$V$2:$V$161,ScoringTable!$R$2:$R$161,,-1))</f>
        <v>0</v>
      </c>
    </row>
    <row r="241" spans="1:13" ht="16" customHeight="1">
      <c r="A241" s="82" t="s">
        <v>27</v>
      </c>
      <c r="B241" s="81" t="str">
        <f>IF(ISNA(VLOOKUP($F241,Declarations!B$6:C$293,2,FALSE)),"",IF(VLOOKUP($F241,Declarations!B$6:C$293,2,FALSE)="","NOT DECLARED",IF(ISNA(_xlfn.TEXTBEFORE(VLOOKUP($F241,Declarations!B$6:C$293,2,FALSE)," ")),VLOOKUP($F241,Declarations!B$6:C$293,2,FALSE),_xlfn.TEXTBEFORE(VLOOKUP($F241,Declarations!B$6:C$293,2,FALSE)," "))))</f>
        <v/>
      </c>
      <c r="C241" s="81" t="str">
        <f>IF(ISNA(VLOOKUP($F241,Declarations!B$6:C$293,2,FALSE)),"",IF(VLOOKUP($F241,Declarations!B$6:C$293,2,FALSE)="","NOT DECLARED",IF(ISNA(_xlfn.TEXTAFTER(VLOOKUP($F241,Declarations!B$6:C$293,2,FALSE)," ")),VLOOKUP($F241,Declarations!B$6:C$293,2,FALSE),_xlfn.TEXTAFTER(VLOOKUP($F241,Declarations!B$6:C$293,2,FALSE)," "))))</f>
        <v/>
      </c>
      <c r="D241" s="81" t="str">
        <f>IF(ISNA(VLOOKUP($F241,Declarations!$B$6:$F$293,5,FALSE)),"",IF(VLOOKUP($F241,Declarations!$B$6:$F$293,5,FALSE)="","NOT DECLARED",VLOOKUP($F241,Declarations!$B$6:$F$293,5,FALSE)))</f>
        <v/>
      </c>
      <c r="E241" s="120" t="str">
        <f>IF(ISNA(VLOOKUP($F241,Declarations!$B$6:$D$293,3,FALSE)),"",IF(VLOOKUP($F241,Declarations!$B$6:$D$293,3,FALSE)="","NOT DECLARED",VLOOKUP($F241,Declarations!$B$6:$D$293,3,FALSE)&amp;LEFT(VLOOKUP($F241,Declarations!$B$6:$E$293,4,FALSE))))</f>
        <v/>
      </c>
      <c r="F241" s="21"/>
      <c r="G241" s="22"/>
      <c r="H241" s="322"/>
      <c r="I241" s="8" t="str">
        <f>IF(ISNA(VLOOKUP(F241,Declarations!B$6:C$293,2,FALSE)),"",IF(VLOOKUP(F241,Declarations!B$6:C$293,2,FALSE)="","NOT DECLARED",VLOOKUP(F241,Declarations!B$6:C$293,2,FALSE)))</f>
        <v/>
      </c>
      <c r="J241" s="2">
        <f>IF(LOWER(LEFT(G241,1))="n",1,VLOOKUP(G241,ScoringTable!E$2:I$95,5))</f>
        <v>0</v>
      </c>
      <c r="K241" s="120" t="str" cm="1">
        <f t="array" ref="K241">IF(OR(E241="",G241=""),"",_xlfn.IFS(E241="U10B",_xlfn.XLOOKUP(G241,Data!$D$4:$L$4,Data!$D$1:$L$1,"",-1,1),E241="U12B",_xlfn.XLOOKUP(G241,Data!$D$11:$L$11,Data!$D$1:$L$1,"",-1,1),E241="U10G",_xlfn.XLOOKUP(G241,Data!$D$17:$L$17,Data!$D$1:$L$1,"",-1,1),E241="U12G",_xlfn.XLOOKUP(G241,Data!$D$24:$L$24,Data!$D$1:$L$1,"",-1,1)))</f>
        <v/>
      </c>
      <c r="L241" s="184" t="str" cm="1">
        <f t="array" ref="L241">IFERROR(_xlfn.IFNA(
                      _xlfn.IFS(
                      F241="", "",
                      AND(E241="U10B",G241&gt;=Data!$M$4), "U10 Boys record",
                      AND(E241="U12B",G241&gt;=Data!$M$11), "U12 Boys record",
                      AND(E241="U10G",G241&gt;=Data!$M$17), "U10 Girls record",
                      AND(E241="U12G",G241&gt;=Data!$M$24), "U12 Girls record"
                       ),""), "")</f>
        <v/>
      </c>
      <c r="M241" s="19" cm="1">
        <f t="array" ref="M241">_xlfn.IFS($G241="",0,AND(NOT(ISNUMBER($G241)),LOWER(LEFT($G241,1))&lt;&gt;"n"),"Not a valid distance",OR(LOWER(LEFT($G241,1))="n",$G241&lt;ScoringTable!$P$161),1,RIGHT($E241,1)="B",_xlfn.XLOOKUP($G241,ScoringTable!$P$2:$P$161,ScoringTable!$L$2:$L$161,,-1),TRUE,_xlfn.XLOOKUP($G241,ScoringTable!$V$2:$V$161,ScoringTable!$R$2:$R$161,,-1))</f>
        <v>0</v>
      </c>
    </row>
    <row r="242" spans="1:13" ht="16" customHeight="1">
      <c r="A242" s="82" t="s">
        <v>27</v>
      </c>
      <c r="B242" s="81" t="str">
        <f>IF(ISNA(VLOOKUP($F242,Declarations!B$6:C$293,2,FALSE)),"",IF(VLOOKUP($F242,Declarations!B$6:C$293,2,FALSE)="","NOT DECLARED",IF(ISNA(_xlfn.TEXTBEFORE(VLOOKUP($F242,Declarations!B$6:C$293,2,FALSE)," ")),VLOOKUP($F242,Declarations!B$6:C$293,2,FALSE),_xlfn.TEXTBEFORE(VLOOKUP($F242,Declarations!B$6:C$293,2,FALSE)," "))))</f>
        <v/>
      </c>
      <c r="C242" s="81" t="str">
        <f>IF(ISNA(VLOOKUP($F242,Declarations!B$6:C$293,2,FALSE)),"",IF(VLOOKUP($F242,Declarations!B$6:C$293,2,FALSE)="","NOT DECLARED",IF(ISNA(_xlfn.TEXTAFTER(VLOOKUP($F242,Declarations!B$6:C$293,2,FALSE)," ")),VLOOKUP($F242,Declarations!B$6:C$293,2,FALSE),_xlfn.TEXTAFTER(VLOOKUP($F242,Declarations!B$6:C$293,2,FALSE)," "))))</f>
        <v/>
      </c>
      <c r="D242" s="81" t="str">
        <f>IF(ISNA(VLOOKUP($F242,Declarations!$B$6:$F$293,5,FALSE)),"",IF(VLOOKUP($F242,Declarations!$B$6:$F$293,5,FALSE)="","NOT DECLARED",VLOOKUP($F242,Declarations!$B$6:$F$293,5,FALSE)))</f>
        <v/>
      </c>
      <c r="E242" s="120" t="str">
        <f>IF(ISNA(VLOOKUP($F242,Declarations!$B$6:$D$293,3,FALSE)),"",IF(VLOOKUP($F242,Declarations!$B$6:$D$293,3,FALSE)="","NOT DECLARED",VLOOKUP($F242,Declarations!$B$6:$D$293,3,FALSE)&amp;LEFT(VLOOKUP($F242,Declarations!$B$6:$E$293,4,FALSE))))</f>
        <v/>
      </c>
      <c r="F242" s="21"/>
      <c r="G242" s="22"/>
      <c r="H242" s="322"/>
      <c r="I242" s="8" t="str">
        <f>IF(ISNA(VLOOKUP(F242,Declarations!B$6:C$293,2,FALSE)),"",IF(VLOOKUP(F242,Declarations!B$6:C$293,2,FALSE)="","NOT DECLARED",VLOOKUP(F242,Declarations!B$6:C$293,2,FALSE)))</f>
        <v/>
      </c>
      <c r="J242" s="2">
        <f>IF(LOWER(LEFT(G242,1))="n",1,VLOOKUP(G242,ScoringTable!E$2:I$95,5))</f>
        <v>0</v>
      </c>
      <c r="K242" s="120" t="str" cm="1">
        <f t="array" ref="K242">IF(OR(E242="",G242=""),"",_xlfn.IFS(E242="U10B",_xlfn.XLOOKUP(G242,Data!$D$4:$L$4,Data!$D$1:$L$1,"",-1,1),E242="U12B",_xlfn.XLOOKUP(G242,Data!$D$11:$L$11,Data!$D$1:$L$1,"",-1,1),E242="U10G",_xlfn.XLOOKUP(G242,Data!$D$17:$L$17,Data!$D$1:$L$1,"",-1,1),E242="U12G",_xlfn.XLOOKUP(G242,Data!$D$24:$L$24,Data!$D$1:$L$1,"",-1,1)))</f>
        <v/>
      </c>
      <c r="L242" s="184" t="str" cm="1">
        <f t="array" ref="L242">IFERROR(_xlfn.IFNA(
                      _xlfn.IFS(
                      F242="", "",
                      AND(E242="U10B",G242&gt;=Data!$M$4), "U10 Boys record",
                      AND(E242="U12B",G242&gt;=Data!$M$11), "U12 Boys record",
                      AND(E242="U10G",G242&gt;=Data!$M$17), "U10 Girls record",
                      AND(E242="U12G",G242&gt;=Data!$M$24), "U12 Girls record"
                       ),""), "")</f>
        <v/>
      </c>
      <c r="M242" s="19" cm="1">
        <f t="array" ref="M242">_xlfn.IFS($G242="",0,AND(NOT(ISNUMBER($G242)),LOWER(LEFT($G242,1))&lt;&gt;"n"),"Not a valid distance",OR(LOWER(LEFT($G242,1))="n",$G242&lt;ScoringTable!$P$161),1,RIGHT($E242,1)="B",_xlfn.XLOOKUP($G242,ScoringTable!$P$2:$P$161,ScoringTable!$L$2:$L$161,,-1),TRUE,_xlfn.XLOOKUP($G242,ScoringTable!$V$2:$V$161,ScoringTable!$R$2:$R$161,,-1))</f>
        <v>0</v>
      </c>
    </row>
    <row r="243" spans="1:13" ht="16" customHeight="1">
      <c r="A243" s="82" t="s">
        <v>27</v>
      </c>
      <c r="B243" s="81" t="str">
        <f>IF(ISNA(VLOOKUP($F243,Declarations!B$6:C$293,2,FALSE)),"",IF(VLOOKUP($F243,Declarations!B$6:C$293,2,FALSE)="","NOT DECLARED",IF(ISNA(_xlfn.TEXTBEFORE(VLOOKUP($F243,Declarations!B$6:C$293,2,FALSE)," ")),VLOOKUP($F243,Declarations!B$6:C$293,2,FALSE),_xlfn.TEXTBEFORE(VLOOKUP($F243,Declarations!B$6:C$293,2,FALSE)," "))))</f>
        <v/>
      </c>
      <c r="C243" s="81" t="str">
        <f>IF(ISNA(VLOOKUP($F243,Declarations!B$6:C$293,2,FALSE)),"",IF(VLOOKUP($F243,Declarations!B$6:C$293,2,FALSE)="","NOT DECLARED",IF(ISNA(_xlfn.TEXTAFTER(VLOOKUP($F243,Declarations!B$6:C$293,2,FALSE)," ")),VLOOKUP($F243,Declarations!B$6:C$293,2,FALSE),_xlfn.TEXTAFTER(VLOOKUP($F243,Declarations!B$6:C$293,2,FALSE)," "))))</f>
        <v/>
      </c>
      <c r="D243" s="81" t="str">
        <f>IF(ISNA(VLOOKUP($F243,Declarations!$B$6:$F$293,5,FALSE)),"",IF(VLOOKUP($F243,Declarations!$B$6:$F$293,5,FALSE)="","NOT DECLARED",VLOOKUP($F243,Declarations!$B$6:$F$293,5,FALSE)))</f>
        <v/>
      </c>
      <c r="E243" s="120" t="str">
        <f>IF(ISNA(VLOOKUP($F243,Declarations!$B$6:$D$293,3,FALSE)),"",IF(VLOOKUP($F243,Declarations!$B$6:$D$293,3,FALSE)="","NOT DECLARED",VLOOKUP($F243,Declarations!$B$6:$D$293,3,FALSE)&amp;LEFT(VLOOKUP($F243,Declarations!$B$6:$E$293,4,FALSE))))</f>
        <v/>
      </c>
      <c r="F243" s="21"/>
      <c r="G243" s="22"/>
      <c r="H243" s="322"/>
      <c r="I243" s="8" t="str">
        <f>IF(ISNA(VLOOKUP(F243,Declarations!B$6:C$293,2,FALSE)),"",IF(VLOOKUP(F243,Declarations!B$6:C$293,2,FALSE)="","NOT DECLARED",VLOOKUP(F243,Declarations!B$6:C$293,2,FALSE)))</f>
        <v/>
      </c>
      <c r="J243" s="2">
        <f>IF(LOWER(LEFT(G243,1))="n",1,VLOOKUP(G243,ScoringTable!E$2:I$95,5))</f>
        <v>0</v>
      </c>
      <c r="K243" s="120" t="str" cm="1">
        <f t="array" ref="K243">IF(OR(E243="",G243=""),"",_xlfn.IFS(E243="U10B",_xlfn.XLOOKUP(G243,Data!$D$4:$L$4,Data!$D$1:$L$1,"",-1,1),E243="U12B",_xlfn.XLOOKUP(G243,Data!$D$11:$L$11,Data!$D$1:$L$1,"",-1,1),E243="U10G",_xlfn.XLOOKUP(G243,Data!$D$17:$L$17,Data!$D$1:$L$1,"",-1,1),E243="U12G",_xlfn.XLOOKUP(G243,Data!$D$24:$L$24,Data!$D$1:$L$1,"",-1,1)))</f>
        <v/>
      </c>
      <c r="L243" s="184" t="str" cm="1">
        <f t="array" ref="L243">IFERROR(_xlfn.IFNA(
                      _xlfn.IFS(
                      F243="", "",
                      AND(E243="U10B",G243&gt;=Data!$M$4), "U10 Boys record",
                      AND(E243="U12B",G243&gt;=Data!$M$11), "U12 Boys record",
                      AND(E243="U10G",G243&gt;=Data!$M$17), "U10 Girls record",
                      AND(E243="U12G",G243&gt;=Data!$M$24), "U12 Girls record"
                       ),""), "")</f>
        <v/>
      </c>
      <c r="M243" s="19" cm="1">
        <f t="array" ref="M243">_xlfn.IFS($G243="",0,AND(NOT(ISNUMBER($G243)),LOWER(LEFT($G243,1))&lt;&gt;"n"),"Not a valid distance",OR(LOWER(LEFT($G243,1))="n",$G243&lt;ScoringTable!$P$161),1,RIGHT($E243,1)="B",_xlfn.XLOOKUP($G243,ScoringTable!$P$2:$P$161,ScoringTable!$L$2:$L$161,,-1),TRUE,_xlfn.XLOOKUP($G243,ScoringTable!$V$2:$V$161,ScoringTable!$R$2:$R$161,,-1))</f>
        <v>0</v>
      </c>
    </row>
    <row r="244" spans="1:13" ht="16" customHeight="1">
      <c r="A244" s="82" t="s">
        <v>27</v>
      </c>
      <c r="B244" s="81" t="str">
        <f>IF(ISNA(VLOOKUP($F244,Declarations!B$6:C$293,2,FALSE)),"",IF(VLOOKUP($F244,Declarations!B$6:C$293,2,FALSE)="","NOT DECLARED",IF(ISNA(_xlfn.TEXTBEFORE(VLOOKUP($F244,Declarations!B$6:C$293,2,FALSE)," ")),VLOOKUP($F244,Declarations!B$6:C$293,2,FALSE),_xlfn.TEXTBEFORE(VLOOKUP($F244,Declarations!B$6:C$293,2,FALSE)," "))))</f>
        <v/>
      </c>
      <c r="C244" s="81" t="str">
        <f>IF(ISNA(VLOOKUP($F244,Declarations!B$6:C$293,2,FALSE)),"",IF(VLOOKUP($F244,Declarations!B$6:C$293,2,FALSE)="","NOT DECLARED",IF(ISNA(_xlfn.TEXTAFTER(VLOOKUP($F244,Declarations!B$6:C$293,2,FALSE)," ")),VLOOKUP($F244,Declarations!B$6:C$293,2,FALSE),_xlfn.TEXTAFTER(VLOOKUP($F244,Declarations!B$6:C$293,2,FALSE)," "))))</f>
        <v/>
      </c>
      <c r="D244" s="81" t="str">
        <f>IF(ISNA(VLOOKUP($F244,Declarations!$B$6:$F$293,5,FALSE)),"",IF(VLOOKUP($F244,Declarations!$B$6:$F$293,5,FALSE)="","NOT DECLARED",VLOOKUP($F244,Declarations!$B$6:$F$293,5,FALSE)))</f>
        <v/>
      </c>
      <c r="E244" s="120" t="str">
        <f>IF(ISNA(VLOOKUP($F244,Declarations!$B$6:$D$293,3,FALSE)),"",IF(VLOOKUP($F244,Declarations!$B$6:$D$293,3,FALSE)="","NOT DECLARED",VLOOKUP($F244,Declarations!$B$6:$D$293,3,FALSE)&amp;LEFT(VLOOKUP($F244,Declarations!$B$6:$E$293,4,FALSE))))</f>
        <v/>
      </c>
      <c r="F244" s="21"/>
      <c r="G244" s="22"/>
      <c r="H244" s="322"/>
      <c r="I244" s="8" t="str">
        <f>IF(ISNA(VLOOKUP(F244,Declarations!B$6:C$293,2,FALSE)),"",IF(VLOOKUP(F244,Declarations!B$6:C$293,2,FALSE)="","NOT DECLARED",VLOOKUP(F244,Declarations!B$6:C$293,2,FALSE)))</f>
        <v/>
      </c>
      <c r="J244" s="2">
        <f>IF(LOWER(LEFT(G244,1))="n",1,VLOOKUP(G244,ScoringTable!E$2:I$95,5))</f>
        <v>0</v>
      </c>
      <c r="K244" s="120" t="str" cm="1">
        <f t="array" ref="K244">IF(OR(E244="",G244=""),"",_xlfn.IFS(E244="U10B",_xlfn.XLOOKUP(G244,Data!$D$4:$L$4,Data!$D$1:$L$1,"",-1,1),E244="U12B",_xlfn.XLOOKUP(G244,Data!$D$11:$L$11,Data!$D$1:$L$1,"",-1,1),E244="U10G",_xlfn.XLOOKUP(G244,Data!$D$17:$L$17,Data!$D$1:$L$1,"",-1,1),E244="U12G",_xlfn.XLOOKUP(G244,Data!$D$24:$L$24,Data!$D$1:$L$1,"",-1,1)))</f>
        <v/>
      </c>
      <c r="L244" s="184" t="str" cm="1">
        <f t="array" ref="L244">IFERROR(_xlfn.IFNA(
                      _xlfn.IFS(
                      F244="", "",
                      AND(E244="U10B",G244&gt;=Data!$M$4), "U10 Boys record",
                      AND(E244="U12B",G244&gt;=Data!$M$11), "U12 Boys record",
                      AND(E244="U10G",G244&gt;=Data!$M$17), "U10 Girls record",
                      AND(E244="U12G",G244&gt;=Data!$M$24), "U12 Girls record"
                       ),""), "")</f>
        <v/>
      </c>
      <c r="M244" s="19" cm="1">
        <f t="array" ref="M244">_xlfn.IFS($G244="",0,AND(NOT(ISNUMBER($G244)),LOWER(LEFT($G244,1))&lt;&gt;"n"),"Not a valid distance",OR(LOWER(LEFT($G244,1))="n",$G244&lt;ScoringTable!$P$161),1,RIGHT($E244,1)="B",_xlfn.XLOOKUP($G244,ScoringTable!$P$2:$P$161,ScoringTable!$L$2:$L$161,,-1),TRUE,_xlfn.XLOOKUP($G244,ScoringTable!$V$2:$V$161,ScoringTable!$R$2:$R$161,,-1))</f>
        <v>0</v>
      </c>
    </row>
    <row r="245" spans="1:13" ht="16" customHeight="1">
      <c r="A245" s="82" t="s">
        <v>27</v>
      </c>
      <c r="B245" s="81" t="str">
        <f>IF(ISNA(VLOOKUP($F245,Declarations!B$6:C$293,2,FALSE)),"",IF(VLOOKUP($F245,Declarations!B$6:C$293,2,FALSE)="","NOT DECLARED",IF(ISNA(_xlfn.TEXTBEFORE(VLOOKUP($F245,Declarations!B$6:C$293,2,FALSE)," ")),VLOOKUP($F245,Declarations!B$6:C$293,2,FALSE),_xlfn.TEXTBEFORE(VLOOKUP($F245,Declarations!B$6:C$293,2,FALSE)," "))))</f>
        <v/>
      </c>
      <c r="C245" s="81" t="str">
        <f>IF(ISNA(VLOOKUP($F245,Declarations!B$6:C$293,2,FALSE)),"",IF(VLOOKUP($F245,Declarations!B$6:C$293,2,FALSE)="","NOT DECLARED",IF(ISNA(_xlfn.TEXTAFTER(VLOOKUP($F245,Declarations!B$6:C$293,2,FALSE)," ")),VLOOKUP($F245,Declarations!B$6:C$293,2,FALSE),_xlfn.TEXTAFTER(VLOOKUP($F245,Declarations!B$6:C$293,2,FALSE)," "))))</f>
        <v/>
      </c>
      <c r="D245" s="81" t="str">
        <f>IF(ISNA(VLOOKUP($F245,Declarations!$B$6:$F$293,5,FALSE)),"",IF(VLOOKUP($F245,Declarations!$B$6:$F$293,5,FALSE)="","NOT DECLARED",VLOOKUP($F245,Declarations!$B$6:$F$293,5,FALSE)))</f>
        <v/>
      </c>
      <c r="E245" s="120" t="str">
        <f>IF(ISNA(VLOOKUP($F245,Declarations!$B$6:$D$293,3,FALSE)),"",IF(VLOOKUP($F245,Declarations!$B$6:$D$293,3,FALSE)="","NOT DECLARED",VLOOKUP($F245,Declarations!$B$6:$D$293,3,FALSE)&amp;LEFT(VLOOKUP($F245,Declarations!$B$6:$E$293,4,FALSE))))</f>
        <v/>
      </c>
      <c r="F245" s="21"/>
      <c r="G245" s="22"/>
      <c r="H245" s="322"/>
      <c r="I245" s="8" t="str">
        <f>IF(ISNA(VLOOKUP(F245,Declarations!B$6:C$293,2,FALSE)),"",IF(VLOOKUP(F245,Declarations!B$6:C$293,2,FALSE)="","NOT DECLARED",VLOOKUP(F245,Declarations!B$6:C$293,2,FALSE)))</f>
        <v/>
      </c>
      <c r="J245" s="2">
        <f>IF(LOWER(LEFT(G245,1))="n",1,VLOOKUP(G245,ScoringTable!E$2:I$95,5))</f>
        <v>0</v>
      </c>
      <c r="K245" s="120" t="str" cm="1">
        <f t="array" ref="K245">IF(OR(E245="",G245=""),"",_xlfn.IFS(E245="U10B",_xlfn.XLOOKUP(G245,Data!$D$4:$L$4,Data!$D$1:$L$1,"",-1,1),E245="U12B",_xlfn.XLOOKUP(G245,Data!$D$11:$L$11,Data!$D$1:$L$1,"",-1,1),E245="U10G",_xlfn.XLOOKUP(G245,Data!$D$17:$L$17,Data!$D$1:$L$1,"",-1,1),E245="U12G",_xlfn.XLOOKUP(G245,Data!$D$24:$L$24,Data!$D$1:$L$1,"",-1,1)))</f>
        <v/>
      </c>
      <c r="L245" s="184" t="str" cm="1">
        <f t="array" ref="L245">IFERROR(_xlfn.IFNA(
                      _xlfn.IFS(
                      F245="", "",
                      AND(E245="U10B",G245&gt;=Data!$M$4), "U10 Boys record",
                      AND(E245="U12B",G245&gt;=Data!$M$11), "U12 Boys record",
                      AND(E245="U10G",G245&gt;=Data!$M$17), "U10 Girls record",
                      AND(E245="U12G",G245&gt;=Data!$M$24), "U12 Girls record"
                       ),""), "")</f>
        <v/>
      </c>
      <c r="M245" s="19" cm="1">
        <f t="array" ref="M245">_xlfn.IFS($G245="",0,AND(NOT(ISNUMBER($G245)),LOWER(LEFT($G245,1))&lt;&gt;"n"),"Not a valid distance",OR(LOWER(LEFT($G245,1))="n",$G245&lt;ScoringTable!$P$161),1,RIGHT($E245,1)="B",_xlfn.XLOOKUP($G245,ScoringTable!$P$2:$P$161,ScoringTable!$L$2:$L$161,,-1),TRUE,_xlfn.XLOOKUP($G245,ScoringTable!$V$2:$V$161,ScoringTable!$R$2:$R$161,,-1))</f>
        <v>0</v>
      </c>
    </row>
    <row r="246" spans="1:13" ht="16" customHeight="1">
      <c r="A246" s="82" t="s">
        <v>27</v>
      </c>
      <c r="B246" s="81" t="str">
        <f>IF(ISNA(VLOOKUP($F246,Declarations!B$6:C$293,2,FALSE)),"",IF(VLOOKUP($F246,Declarations!B$6:C$293,2,FALSE)="","NOT DECLARED",IF(ISNA(_xlfn.TEXTBEFORE(VLOOKUP($F246,Declarations!B$6:C$293,2,FALSE)," ")),VLOOKUP($F246,Declarations!B$6:C$293,2,FALSE),_xlfn.TEXTBEFORE(VLOOKUP($F246,Declarations!B$6:C$293,2,FALSE)," "))))</f>
        <v/>
      </c>
      <c r="C246" s="81" t="str">
        <f>IF(ISNA(VLOOKUP($F246,Declarations!B$6:C$293,2,FALSE)),"",IF(VLOOKUP($F246,Declarations!B$6:C$293,2,FALSE)="","NOT DECLARED",IF(ISNA(_xlfn.TEXTAFTER(VLOOKUP($F246,Declarations!B$6:C$293,2,FALSE)," ")),VLOOKUP($F246,Declarations!B$6:C$293,2,FALSE),_xlfn.TEXTAFTER(VLOOKUP($F246,Declarations!B$6:C$293,2,FALSE)," "))))</f>
        <v/>
      </c>
      <c r="D246" s="81" t="str">
        <f>IF(ISNA(VLOOKUP($F246,Declarations!$B$6:$F$293,5,FALSE)),"",IF(VLOOKUP($F246,Declarations!$B$6:$F$293,5,FALSE)="","NOT DECLARED",VLOOKUP($F246,Declarations!$B$6:$F$293,5,FALSE)))</f>
        <v/>
      </c>
      <c r="E246" s="120" t="str">
        <f>IF(ISNA(VLOOKUP($F246,Declarations!$B$6:$D$293,3,FALSE)),"",IF(VLOOKUP($F246,Declarations!$B$6:$D$293,3,FALSE)="","NOT DECLARED",VLOOKUP($F246,Declarations!$B$6:$D$293,3,FALSE)&amp;LEFT(VLOOKUP($F246,Declarations!$B$6:$E$293,4,FALSE))))</f>
        <v/>
      </c>
      <c r="F246" s="21"/>
      <c r="G246" s="22"/>
      <c r="H246" s="322"/>
      <c r="I246" s="8" t="str">
        <f>IF(ISNA(VLOOKUP(F246,Declarations!B$6:C$293,2,FALSE)),"",IF(VLOOKUP(F246,Declarations!B$6:C$293,2,FALSE)="","NOT DECLARED",VLOOKUP(F246,Declarations!B$6:C$293,2,FALSE)))</f>
        <v/>
      </c>
      <c r="J246" s="2">
        <f>IF(LOWER(LEFT(G246,1))="n",1,VLOOKUP(G246,ScoringTable!E$2:I$95,5))</f>
        <v>0</v>
      </c>
      <c r="K246" s="120" t="str" cm="1">
        <f t="array" ref="K246">IF(OR(E246="",G246=""),"",_xlfn.IFS(E246="U10B",_xlfn.XLOOKUP(G246,Data!$D$4:$L$4,Data!$D$1:$L$1,"",-1,1),E246="U12B",_xlfn.XLOOKUP(G246,Data!$D$11:$L$11,Data!$D$1:$L$1,"",-1,1),E246="U10G",_xlfn.XLOOKUP(G246,Data!$D$17:$L$17,Data!$D$1:$L$1,"",-1,1),E246="U12G",_xlfn.XLOOKUP(G246,Data!$D$24:$L$24,Data!$D$1:$L$1,"",-1,1)))</f>
        <v/>
      </c>
      <c r="L246" s="184" t="str" cm="1">
        <f t="array" ref="L246">IFERROR(_xlfn.IFNA(
                      _xlfn.IFS(
                      F246="", "",
                      AND(E246="U10B",G246&gt;=Data!$M$4), "U10 Boys record",
                      AND(E246="U12B",G246&gt;=Data!$M$11), "U12 Boys record",
                      AND(E246="U10G",G246&gt;=Data!$M$17), "U10 Girls record",
                      AND(E246="U12G",G246&gt;=Data!$M$24), "U12 Girls record"
                       ),""), "")</f>
        <v/>
      </c>
      <c r="M246" s="19" cm="1">
        <f t="array" ref="M246">_xlfn.IFS($G246="",0,AND(NOT(ISNUMBER($G246)),LOWER(LEFT($G246,1))&lt;&gt;"n"),"Not a valid distance",OR(LOWER(LEFT($G246,1))="n",$G246&lt;ScoringTable!$P$161),1,RIGHT($E246,1)="B",_xlfn.XLOOKUP($G246,ScoringTable!$P$2:$P$161,ScoringTable!$L$2:$L$161,,-1),TRUE,_xlfn.XLOOKUP($G246,ScoringTable!$V$2:$V$161,ScoringTable!$R$2:$R$161,,-1))</f>
        <v>0</v>
      </c>
    </row>
    <row r="247" spans="1:13" ht="16" customHeight="1">
      <c r="A247" s="82" t="s">
        <v>27</v>
      </c>
      <c r="B247" s="81" t="str">
        <f>IF(ISNA(VLOOKUP($F247,Declarations!B$6:C$293,2,FALSE)),"",IF(VLOOKUP($F247,Declarations!B$6:C$293,2,FALSE)="","NOT DECLARED",IF(ISNA(_xlfn.TEXTBEFORE(VLOOKUP($F247,Declarations!B$6:C$293,2,FALSE)," ")),VLOOKUP($F247,Declarations!B$6:C$293,2,FALSE),_xlfn.TEXTBEFORE(VLOOKUP($F247,Declarations!B$6:C$293,2,FALSE)," "))))</f>
        <v/>
      </c>
      <c r="C247" s="81" t="str">
        <f>IF(ISNA(VLOOKUP($F247,Declarations!B$6:C$293,2,FALSE)),"",IF(VLOOKUP($F247,Declarations!B$6:C$293,2,FALSE)="","NOT DECLARED",IF(ISNA(_xlfn.TEXTAFTER(VLOOKUP($F247,Declarations!B$6:C$293,2,FALSE)," ")),VLOOKUP($F247,Declarations!B$6:C$293,2,FALSE),_xlfn.TEXTAFTER(VLOOKUP($F247,Declarations!B$6:C$293,2,FALSE)," "))))</f>
        <v/>
      </c>
      <c r="D247" s="81" t="str">
        <f>IF(ISNA(VLOOKUP($F247,Declarations!$B$6:$F$293,5,FALSE)),"",IF(VLOOKUP($F247,Declarations!$B$6:$F$293,5,FALSE)="","NOT DECLARED",VLOOKUP($F247,Declarations!$B$6:$F$293,5,FALSE)))</f>
        <v/>
      </c>
      <c r="E247" s="120" t="str">
        <f>IF(ISNA(VLOOKUP($F247,Declarations!$B$6:$D$293,3,FALSE)),"",IF(VLOOKUP($F247,Declarations!$B$6:$D$293,3,FALSE)="","NOT DECLARED",VLOOKUP($F247,Declarations!$B$6:$D$293,3,FALSE)&amp;LEFT(VLOOKUP($F247,Declarations!$B$6:$E$293,4,FALSE))))</f>
        <v/>
      </c>
      <c r="F247" s="21"/>
      <c r="G247" s="22"/>
      <c r="H247" s="322"/>
      <c r="I247" s="8" t="str">
        <f>IF(ISNA(VLOOKUP(F247,Declarations!B$6:C$293,2,FALSE)),"",IF(VLOOKUP(F247,Declarations!B$6:C$293,2,FALSE)="","NOT DECLARED",VLOOKUP(F247,Declarations!B$6:C$293,2,FALSE)))</f>
        <v/>
      </c>
      <c r="J247" s="2">
        <f>IF(LOWER(LEFT(G247,1))="n",1,VLOOKUP(G247,ScoringTable!E$2:I$95,5))</f>
        <v>0</v>
      </c>
      <c r="K247" s="120" t="str" cm="1">
        <f t="array" ref="K247">IF(OR(E247="",G247=""),"",_xlfn.IFS(E247="U10B",_xlfn.XLOOKUP(G247,Data!$D$4:$L$4,Data!$D$1:$L$1,"",-1,1),E247="U12B",_xlfn.XLOOKUP(G247,Data!$D$11:$L$11,Data!$D$1:$L$1,"",-1,1),E247="U10G",_xlfn.XLOOKUP(G247,Data!$D$17:$L$17,Data!$D$1:$L$1,"",-1,1),E247="U12G",_xlfn.XLOOKUP(G247,Data!$D$24:$L$24,Data!$D$1:$L$1,"",-1,1)))</f>
        <v/>
      </c>
      <c r="L247" s="184" t="str" cm="1">
        <f t="array" ref="L247">IFERROR(_xlfn.IFNA(
                      _xlfn.IFS(
                      F247="", "",
                      AND(E247="U10B",G247&gt;=Data!$M$4), "U10 Boys record",
                      AND(E247="U12B",G247&gt;=Data!$M$11), "U12 Boys record",
                      AND(E247="U10G",G247&gt;=Data!$M$17), "U10 Girls record",
                      AND(E247="U12G",G247&gt;=Data!$M$24), "U12 Girls record"
                       ),""), "")</f>
        <v/>
      </c>
      <c r="M247" s="19" cm="1">
        <f t="array" ref="M247">_xlfn.IFS($G247="",0,AND(NOT(ISNUMBER($G247)),LOWER(LEFT($G247,1))&lt;&gt;"n"),"Not a valid distance",OR(LOWER(LEFT($G247,1))="n",$G247&lt;ScoringTable!$P$161),1,RIGHT($E247,1)="B",_xlfn.XLOOKUP($G247,ScoringTable!$P$2:$P$161,ScoringTable!$L$2:$L$161,,-1),TRUE,_xlfn.XLOOKUP($G247,ScoringTable!$V$2:$V$161,ScoringTable!$R$2:$R$161,,-1))</f>
        <v>0</v>
      </c>
    </row>
    <row r="248" spans="1:13" ht="16" customHeight="1">
      <c r="A248" s="82" t="s">
        <v>27</v>
      </c>
      <c r="B248" s="81" t="str">
        <f>IF(ISNA(VLOOKUP($F248,Declarations!B$6:C$293,2,FALSE)),"",IF(VLOOKUP($F248,Declarations!B$6:C$293,2,FALSE)="","NOT DECLARED",IF(ISNA(_xlfn.TEXTBEFORE(VLOOKUP($F248,Declarations!B$6:C$293,2,FALSE)," ")),VLOOKUP($F248,Declarations!B$6:C$293,2,FALSE),_xlfn.TEXTBEFORE(VLOOKUP($F248,Declarations!B$6:C$293,2,FALSE)," "))))</f>
        <v/>
      </c>
      <c r="C248" s="81" t="str">
        <f>IF(ISNA(VLOOKUP($F248,Declarations!B$6:C$293,2,FALSE)),"",IF(VLOOKUP($F248,Declarations!B$6:C$293,2,FALSE)="","NOT DECLARED",IF(ISNA(_xlfn.TEXTAFTER(VLOOKUP($F248,Declarations!B$6:C$293,2,FALSE)," ")),VLOOKUP($F248,Declarations!B$6:C$293,2,FALSE),_xlfn.TEXTAFTER(VLOOKUP($F248,Declarations!B$6:C$293,2,FALSE)," "))))</f>
        <v/>
      </c>
      <c r="D248" s="81" t="str">
        <f>IF(ISNA(VLOOKUP($F248,Declarations!$B$6:$F$293,5,FALSE)),"",IF(VLOOKUP($F248,Declarations!$B$6:$F$293,5,FALSE)="","NOT DECLARED",VLOOKUP($F248,Declarations!$B$6:$F$293,5,FALSE)))</f>
        <v/>
      </c>
      <c r="E248" s="120" t="str">
        <f>IF(ISNA(VLOOKUP($F248,Declarations!$B$6:$D$293,3,FALSE)),"",IF(VLOOKUP($F248,Declarations!$B$6:$D$293,3,FALSE)="","NOT DECLARED",VLOOKUP($F248,Declarations!$B$6:$D$293,3,FALSE)&amp;LEFT(VLOOKUP($F248,Declarations!$B$6:$E$293,4,FALSE))))</f>
        <v/>
      </c>
      <c r="F248" s="21"/>
      <c r="G248" s="22"/>
      <c r="H248" s="322"/>
      <c r="I248" s="8" t="str">
        <f>IF(ISNA(VLOOKUP(F248,Declarations!B$6:C$293,2,FALSE)),"",IF(VLOOKUP(F248,Declarations!B$6:C$293,2,FALSE)="","NOT DECLARED",VLOOKUP(F248,Declarations!B$6:C$293,2,FALSE)))</f>
        <v/>
      </c>
      <c r="J248" s="2">
        <f>IF(LOWER(LEFT(G248,1))="n",1,VLOOKUP(G248,ScoringTable!E$2:I$95,5))</f>
        <v>0</v>
      </c>
      <c r="K248" s="120" t="str" cm="1">
        <f t="array" ref="K248">IF(OR(E248="",G248=""),"",_xlfn.IFS(E248="U10B",_xlfn.XLOOKUP(G248,Data!$D$4:$L$4,Data!$D$1:$L$1,"",-1,1),E248="U12B",_xlfn.XLOOKUP(G248,Data!$D$11:$L$11,Data!$D$1:$L$1,"",-1,1),E248="U10G",_xlfn.XLOOKUP(G248,Data!$D$17:$L$17,Data!$D$1:$L$1,"",-1,1),E248="U12G",_xlfn.XLOOKUP(G248,Data!$D$24:$L$24,Data!$D$1:$L$1,"",-1,1)))</f>
        <v/>
      </c>
      <c r="L248" s="184" t="str" cm="1">
        <f t="array" ref="L248">IFERROR(_xlfn.IFNA(
                      _xlfn.IFS(
                      F248="", "",
                      AND(E248="U10B",G248&gt;=Data!$M$4), "U10 Boys record",
                      AND(E248="U12B",G248&gt;=Data!$M$11), "U12 Boys record",
                      AND(E248="U10G",G248&gt;=Data!$M$17), "U10 Girls record",
                      AND(E248="U12G",G248&gt;=Data!$M$24), "U12 Girls record"
                       ),""), "")</f>
        <v/>
      </c>
      <c r="M248" s="19" cm="1">
        <f t="array" ref="M248">_xlfn.IFS($G248="",0,AND(NOT(ISNUMBER($G248)),LOWER(LEFT($G248,1))&lt;&gt;"n"),"Not a valid distance",OR(LOWER(LEFT($G248,1))="n",$G248&lt;ScoringTable!$P$161),1,RIGHT($E248,1)="B",_xlfn.XLOOKUP($G248,ScoringTable!$P$2:$P$161,ScoringTable!$L$2:$L$161,,-1),TRUE,_xlfn.XLOOKUP($G248,ScoringTable!$V$2:$V$161,ScoringTable!$R$2:$R$161,,-1))</f>
        <v>0</v>
      </c>
    </row>
    <row r="249" spans="1:13" ht="16" customHeight="1">
      <c r="A249" s="82" t="s">
        <v>27</v>
      </c>
      <c r="B249" s="81" t="str">
        <f>IF(ISNA(VLOOKUP($F249,Declarations!B$6:C$293,2,FALSE)),"",IF(VLOOKUP($F249,Declarations!B$6:C$293,2,FALSE)="","NOT DECLARED",IF(ISNA(_xlfn.TEXTBEFORE(VLOOKUP($F249,Declarations!B$6:C$293,2,FALSE)," ")),VLOOKUP($F249,Declarations!B$6:C$293,2,FALSE),_xlfn.TEXTBEFORE(VLOOKUP($F249,Declarations!B$6:C$293,2,FALSE)," "))))</f>
        <v/>
      </c>
      <c r="C249" s="81" t="str">
        <f>IF(ISNA(VLOOKUP($F249,Declarations!B$6:C$293,2,FALSE)),"",IF(VLOOKUP($F249,Declarations!B$6:C$293,2,FALSE)="","NOT DECLARED",IF(ISNA(_xlfn.TEXTAFTER(VLOOKUP($F249,Declarations!B$6:C$293,2,FALSE)," ")),VLOOKUP($F249,Declarations!B$6:C$293,2,FALSE),_xlfn.TEXTAFTER(VLOOKUP($F249,Declarations!B$6:C$293,2,FALSE)," "))))</f>
        <v/>
      </c>
      <c r="D249" s="81" t="str">
        <f>IF(ISNA(VLOOKUP($F249,Declarations!$B$6:$F$293,5,FALSE)),"",IF(VLOOKUP($F249,Declarations!$B$6:$F$293,5,FALSE)="","NOT DECLARED",VLOOKUP($F249,Declarations!$B$6:$F$293,5,FALSE)))</f>
        <v/>
      </c>
      <c r="E249" s="120" t="str">
        <f>IF(ISNA(VLOOKUP($F249,Declarations!$B$6:$D$293,3,FALSE)),"",IF(VLOOKUP($F249,Declarations!$B$6:$D$293,3,FALSE)="","NOT DECLARED",VLOOKUP($F249,Declarations!$B$6:$D$293,3,FALSE)&amp;LEFT(VLOOKUP($F249,Declarations!$B$6:$E$293,4,FALSE))))</f>
        <v/>
      </c>
      <c r="F249" s="21"/>
      <c r="G249" s="22"/>
      <c r="H249" s="322"/>
      <c r="I249" s="8" t="str">
        <f>IF(ISNA(VLOOKUP(F249,Declarations!B$6:C$293,2,FALSE)),"",IF(VLOOKUP(F249,Declarations!B$6:C$293,2,FALSE)="","NOT DECLARED",VLOOKUP(F249,Declarations!B$6:C$293,2,FALSE)))</f>
        <v/>
      </c>
      <c r="J249" s="2">
        <f>IF(LOWER(LEFT(G249,1))="n",1,VLOOKUP(G249,ScoringTable!E$2:I$95,5))</f>
        <v>0</v>
      </c>
      <c r="K249" s="120" t="str" cm="1">
        <f t="array" ref="K249">IF(OR(E249="",G249=""),"",_xlfn.IFS(E249="U10B",_xlfn.XLOOKUP(G249,Data!$D$4:$L$4,Data!$D$1:$L$1,"",-1,1),E249="U12B",_xlfn.XLOOKUP(G249,Data!$D$11:$L$11,Data!$D$1:$L$1,"",-1,1),E249="U10G",_xlfn.XLOOKUP(G249,Data!$D$17:$L$17,Data!$D$1:$L$1,"",-1,1),E249="U12G",_xlfn.XLOOKUP(G249,Data!$D$24:$L$24,Data!$D$1:$L$1,"",-1,1)))</f>
        <v/>
      </c>
      <c r="L249" s="184" t="str" cm="1">
        <f t="array" ref="L249">IFERROR(_xlfn.IFNA(
                      _xlfn.IFS(
                      F249="", "",
                      AND(E249="U10B",G249&gt;=Data!$M$4), "U10 Boys record",
                      AND(E249="U12B",G249&gt;=Data!$M$11), "U12 Boys record",
                      AND(E249="U10G",G249&gt;=Data!$M$17), "U10 Girls record",
                      AND(E249="U12G",G249&gt;=Data!$M$24), "U12 Girls record"
                       ),""), "")</f>
        <v/>
      </c>
      <c r="M249" s="19" cm="1">
        <f t="array" ref="M249">_xlfn.IFS($G249="",0,AND(NOT(ISNUMBER($G249)),LOWER(LEFT($G249,1))&lt;&gt;"n"),"Not a valid distance",OR(LOWER(LEFT($G249,1))="n",$G249&lt;ScoringTable!$P$161),1,RIGHT($E249,1)="B",_xlfn.XLOOKUP($G249,ScoringTable!$P$2:$P$161,ScoringTable!$L$2:$L$161,,-1),TRUE,_xlfn.XLOOKUP($G249,ScoringTable!$V$2:$V$161,ScoringTable!$R$2:$R$161,,-1))</f>
        <v>0</v>
      </c>
    </row>
    <row r="250" spans="1:13" ht="16" customHeight="1">
      <c r="A250" s="82" t="s">
        <v>27</v>
      </c>
      <c r="B250" s="81" t="str">
        <f>IF(ISNA(VLOOKUP($F250,Declarations!B$6:C$293,2,FALSE)),"",IF(VLOOKUP($F250,Declarations!B$6:C$293,2,FALSE)="","NOT DECLARED",IF(ISNA(_xlfn.TEXTBEFORE(VLOOKUP($F250,Declarations!B$6:C$293,2,FALSE)," ")),VLOOKUP($F250,Declarations!B$6:C$293,2,FALSE),_xlfn.TEXTBEFORE(VLOOKUP($F250,Declarations!B$6:C$293,2,FALSE)," "))))</f>
        <v/>
      </c>
      <c r="C250" s="81" t="str">
        <f>IF(ISNA(VLOOKUP($F250,Declarations!B$6:C$293,2,FALSE)),"",IF(VLOOKUP($F250,Declarations!B$6:C$293,2,FALSE)="","NOT DECLARED",IF(ISNA(_xlfn.TEXTAFTER(VLOOKUP($F250,Declarations!B$6:C$293,2,FALSE)," ")),VLOOKUP($F250,Declarations!B$6:C$293,2,FALSE),_xlfn.TEXTAFTER(VLOOKUP($F250,Declarations!B$6:C$293,2,FALSE)," "))))</f>
        <v/>
      </c>
      <c r="D250" s="81" t="str">
        <f>IF(ISNA(VLOOKUP($F250,Declarations!$B$6:$F$293,5,FALSE)),"",IF(VLOOKUP($F250,Declarations!$B$6:$F$293,5,FALSE)="","NOT DECLARED",VLOOKUP($F250,Declarations!$B$6:$F$293,5,FALSE)))</f>
        <v/>
      </c>
      <c r="E250" s="120" t="str">
        <f>IF(ISNA(VLOOKUP($F250,Declarations!$B$6:$D$293,3,FALSE)),"",IF(VLOOKUP($F250,Declarations!$B$6:$D$293,3,FALSE)="","NOT DECLARED",VLOOKUP($F250,Declarations!$B$6:$D$293,3,FALSE)&amp;LEFT(VLOOKUP($F250,Declarations!$B$6:$E$293,4,FALSE))))</f>
        <v/>
      </c>
      <c r="F250" s="21"/>
      <c r="G250" s="22"/>
      <c r="H250" s="322"/>
      <c r="I250" s="8" t="str">
        <f>IF(ISNA(VLOOKUP(F250,Declarations!B$6:C$293,2,FALSE)),"",IF(VLOOKUP(F250,Declarations!B$6:C$293,2,FALSE)="","NOT DECLARED",VLOOKUP(F250,Declarations!B$6:C$293,2,FALSE)))</f>
        <v/>
      </c>
      <c r="J250" s="2">
        <f>IF(LOWER(LEFT(G250,1))="n",1,VLOOKUP(G250,ScoringTable!E$2:I$95,5))</f>
        <v>0</v>
      </c>
      <c r="K250" s="120" t="str" cm="1">
        <f t="array" ref="K250">IF(OR(E250="",G250=""),"",_xlfn.IFS(E250="U10B",_xlfn.XLOOKUP(G250,Data!$D$4:$L$4,Data!$D$1:$L$1,"",-1,1),E250="U12B",_xlfn.XLOOKUP(G250,Data!$D$11:$L$11,Data!$D$1:$L$1,"",-1,1),E250="U10G",_xlfn.XLOOKUP(G250,Data!$D$17:$L$17,Data!$D$1:$L$1,"",-1,1),E250="U12G",_xlfn.XLOOKUP(G250,Data!$D$24:$L$24,Data!$D$1:$L$1,"",-1,1)))</f>
        <v/>
      </c>
      <c r="L250" s="184" t="str" cm="1">
        <f t="array" ref="L250">IFERROR(_xlfn.IFNA(
                      _xlfn.IFS(
                      F250="", "",
                      AND(E250="U10B",G250&gt;=Data!$M$4), "U10 Boys record",
                      AND(E250="U12B",G250&gt;=Data!$M$11), "U12 Boys record",
                      AND(E250="U10G",G250&gt;=Data!$M$17), "U10 Girls record",
                      AND(E250="U12G",G250&gt;=Data!$M$24), "U12 Girls record"
                       ),""), "")</f>
        <v/>
      </c>
      <c r="M250" s="19" cm="1">
        <f t="array" ref="M250">_xlfn.IFS($G250="",0,AND(NOT(ISNUMBER($G250)),LOWER(LEFT($G250,1))&lt;&gt;"n"),"Not a valid distance",OR(LOWER(LEFT($G250,1))="n",$G250&lt;ScoringTable!$P$161),1,RIGHT($E250,1)="B",_xlfn.XLOOKUP($G250,ScoringTable!$P$2:$P$161,ScoringTable!$L$2:$L$161,,-1),TRUE,_xlfn.XLOOKUP($G250,ScoringTable!$V$2:$V$161,ScoringTable!$R$2:$R$161,,-1))</f>
        <v>0</v>
      </c>
    </row>
    <row r="251" spans="1:13" ht="16" customHeight="1">
      <c r="A251" s="82" t="s">
        <v>27</v>
      </c>
      <c r="B251" s="81" t="str">
        <f>IF(ISNA(VLOOKUP($F251,Declarations!B$6:C$293,2,FALSE)),"",IF(VLOOKUP($F251,Declarations!B$6:C$293,2,FALSE)="","NOT DECLARED",IF(ISNA(_xlfn.TEXTBEFORE(VLOOKUP($F251,Declarations!B$6:C$293,2,FALSE)," ")),VLOOKUP($F251,Declarations!B$6:C$293,2,FALSE),_xlfn.TEXTBEFORE(VLOOKUP($F251,Declarations!B$6:C$293,2,FALSE)," "))))</f>
        <v/>
      </c>
      <c r="C251" s="81" t="str">
        <f>IF(ISNA(VLOOKUP($F251,Declarations!B$6:C$293,2,FALSE)),"",IF(VLOOKUP($F251,Declarations!B$6:C$293,2,FALSE)="","NOT DECLARED",IF(ISNA(_xlfn.TEXTAFTER(VLOOKUP($F251,Declarations!B$6:C$293,2,FALSE)," ")),VLOOKUP($F251,Declarations!B$6:C$293,2,FALSE),_xlfn.TEXTAFTER(VLOOKUP($F251,Declarations!B$6:C$293,2,FALSE)," "))))</f>
        <v/>
      </c>
      <c r="D251" s="81" t="str">
        <f>IF(ISNA(VLOOKUP($F251,Declarations!$B$6:$F$293,5,FALSE)),"",IF(VLOOKUP($F251,Declarations!$B$6:$F$293,5,FALSE)="","NOT DECLARED",VLOOKUP($F251,Declarations!$B$6:$F$293,5,FALSE)))</f>
        <v/>
      </c>
      <c r="E251" s="120" t="str">
        <f>IF(ISNA(VLOOKUP($F251,Declarations!$B$6:$D$293,3,FALSE)),"",IF(VLOOKUP($F251,Declarations!$B$6:$D$293,3,FALSE)="","NOT DECLARED",VLOOKUP($F251,Declarations!$B$6:$D$293,3,FALSE)&amp;LEFT(VLOOKUP($F251,Declarations!$B$6:$E$293,4,FALSE))))</f>
        <v/>
      </c>
      <c r="F251" s="21"/>
      <c r="G251" s="22"/>
      <c r="H251" s="322"/>
      <c r="I251" s="8" t="str">
        <f>IF(ISNA(VLOOKUP(F251,Declarations!B$6:C$293,2,FALSE)),"",IF(VLOOKUP(F251,Declarations!B$6:C$293,2,FALSE)="","NOT DECLARED",VLOOKUP(F251,Declarations!B$6:C$293,2,FALSE)))</f>
        <v/>
      </c>
      <c r="J251" s="2">
        <f>IF(LOWER(LEFT(G251,1))="n",1,VLOOKUP(G251,ScoringTable!E$2:I$95,5))</f>
        <v>0</v>
      </c>
      <c r="K251" s="120" t="str" cm="1">
        <f t="array" ref="K251">IF(OR(E251="",G251=""),"",_xlfn.IFS(E251="U10B",_xlfn.XLOOKUP(G251,Data!$D$4:$L$4,Data!$D$1:$L$1,"",-1,1),E251="U12B",_xlfn.XLOOKUP(G251,Data!$D$11:$L$11,Data!$D$1:$L$1,"",-1,1),E251="U10G",_xlfn.XLOOKUP(G251,Data!$D$17:$L$17,Data!$D$1:$L$1,"",-1,1),E251="U12G",_xlfn.XLOOKUP(G251,Data!$D$24:$L$24,Data!$D$1:$L$1,"",-1,1)))</f>
        <v/>
      </c>
      <c r="L251" s="184" t="str" cm="1">
        <f t="array" ref="L251">IFERROR(_xlfn.IFNA(
                      _xlfn.IFS(
                      F251="", "",
                      AND(E251="U10B",G251&gt;=Data!$M$4), "U10 Boys record",
                      AND(E251="U12B",G251&gt;=Data!$M$11), "U12 Boys record",
                      AND(E251="U10G",G251&gt;=Data!$M$17), "U10 Girls record",
                      AND(E251="U12G",G251&gt;=Data!$M$24), "U12 Girls record"
                       ),""), "")</f>
        <v/>
      </c>
      <c r="M251" s="19" cm="1">
        <f t="array" ref="M251">_xlfn.IFS($G251="",0,AND(NOT(ISNUMBER($G251)),LOWER(LEFT($G251,1))&lt;&gt;"n"),"Not a valid distance",OR(LOWER(LEFT($G251,1))="n",$G251&lt;ScoringTable!$P$161),1,RIGHT($E251,1)="B",_xlfn.XLOOKUP($G251,ScoringTable!$P$2:$P$161,ScoringTable!$L$2:$L$161,,-1),TRUE,_xlfn.XLOOKUP($G251,ScoringTable!$V$2:$V$161,ScoringTable!$R$2:$R$161,,-1))</f>
        <v>0</v>
      </c>
    </row>
    <row r="252" spans="1:13" ht="16" customHeight="1">
      <c r="A252" s="82" t="s">
        <v>27</v>
      </c>
      <c r="B252" s="81" t="str">
        <f>IF(ISNA(VLOOKUP($F252,Declarations!B$6:C$293,2,FALSE)),"",IF(VLOOKUP($F252,Declarations!B$6:C$293,2,FALSE)="","NOT DECLARED",IF(ISNA(_xlfn.TEXTBEFORE(VLOOKUP($F252,Declarations!B$6:C$293,2,FALSE)," ")),VLOOKUP($F252,Declarations!B$6:C$293,2,FALSE),_xlfn.TEXTBEFORE(VLOOKUP($F252,Declarations!B$6:C$293,2,FALSE)," "))))</f>
        <v/>
      </c>
      <c r="C252" s="81" t="str">
        <f>IF(ISNA(VLOOKUP($F252,Declarations!B$6:C$293,2,FALSE)),"",IF(VLOOKUP($F252,Declarations!B$6:C$293,2,FALSE)="","NOT DECLARED",IF(ISNA(_xlfn.TEXTAFTER(VLOOKUP($F252,Declarations!B$6:C$293,2,FALSE)," ")),VLOOKUP($F252,Declarations!B$6:C$293,2,FALSE),_xlfn.TEXTAFTER(VLOOKUP($F252,Declarations!B$6:C$293,2,FALSE)," "))))</f>
        <v/>
      </c>
      <c r="D252" s="81" t="str">
        <f>IF(ISNA(VLOOKUP($F252,Declarations!$B$6:$F$293,5,FALSE)),"",IF(VLOOKUP($F252,Declarations!$B$6:$F$293,5,FALSE)="","NOT DECLARED",VLOOKUP($F252,Declarations!$B$6:$F$293,5,FALSE)))</f>
        <v/>
      </c>
      <c r="E252" s="120" t="str">
        <f>IF(ISNA(VLOOKUP($F252,Declarations!$B$6:$D$293,3,FALSE)),"",IF(VLOOKUP($F252,Declarations!$B$6:$D$293,3,FALSE)="","NOT DECLARED",VLOOKUP($F252,Declarations!$B$6:$D$293,3,FALSE)&amp;LEFT(VLOOKUP($F252,Declarations!$B$6:$E$293,4,FALSE))))</f>
        <v/>
      </c>
      <c r="F252" s="21"/>
      <c r="G252" s="22"/>
      <c r="H252" s="322"/>
      <c r="I252" s="8" t="str">
        <f>IF(ISNA(VLOOKUP(F252,Declarations!B$6:C$293,2,FALSE)),"",IF(VLOOKUP(F252,Declarations!B$6:C$293,2,FALSE)="","NOT DECLARED",VLOOKUP(F252,Declarations!B$6:C$293,2,FALSE)))</f>
        <v/>
      </c>
      <c r="J252" s="2">
        <f>IF(LOWER(LEFT(G252,1))="n",1,VLOOKUP(G252,ScoringTable!E$2:I$95,5))</f>
        <v>0</v>
      </c>
      <c r="K252" s="120" t="str" cm="1">
        <f t="array" ref="K252">IF(OR(E252="",G252=""),"",_xlfn.IFS(E252="U10B",_xlfn.XLOOKUP(G252,Data!$D$4:$L$4,Data!$D$1:$L$1,"",-1,1),E252="U12B",_xlfn.XLOOKUP(G252,Data!$D$11:$L$11,Data!$D$1:$L$1,"",-1,1),E252="U10G",_xlfn.XLOOKUP(G252,Data!$D$17:$L$17,Data!$D$1:$L$1,"",-1,1),E252="U12G",_xlfn.XLOOKUP(G252,Data!$D$24:$L$24,Data!$D$1:$L$1,"",-1,1)))</f>
        <v/>
      </c>
      <c r="L252" s="184" t="str" cm="1">
        <f t="array" ref="L252">IFERROR(_xlfn.IFNA(
                      _xlfn.IFS(
                      F252="", "",
                      AND(E252="U10B",G252&gt;=Data!$M$4), "U10 Boys record",
                      AND(E252="U12B",G252&gt;=Data!$M$11), "U12 Boys record",
                      AND(E252="U10G",G252&gt;=Data!$M$17), "U10 Girls record",
                      AND(E252="U12G",G252&gt;=Data!$M$24), "U12 Girls record"
                       ),""), "")</f>
        <v/>
      </c>
      <c r="M252" s="19" cm="1">
        <f t="array" ref="M252">_xlfn.IFS($G252="",0,AND(NOT(ISNUMBER($G252)),LOWER(LEFT($G252,1))&lt;&gt;"n"),"Not a valid distance",OR(LOWER(LEFT($G252,1))="n",$G252&lt;ScoringTable!$P$161),1,RIGHT($E252,1)="B",_xlfn.XLOOKUP($G252,ScoringTable!$P$2:$P$161,ScoringTable!$L$2:$L$161,,-1),TRUE,_xlfn.XLOOKUP($G252,ScoringTable!$V$2:$V$161,ScoringTable!$R$2:$R$161,,-1))</f>
        <v>0</v>
      </c>
    </row>
    <row r="253" spans="1:13" ht="16" customHeight="1">
      <c r="A253" s="82" t="s">
        <v>27</v>
      </c>
      <c r="B253" s="81" t="str">
        <f>IF(ISNA(VLOOKUP($F253,Declarations!B$6:C$293,2,FALSE)),"",IF(VLOOKUP($F253,Declarations!B$6:C$293,2,FALSE)="","NOT DECLARED",IF(ISNA(_xlfn.TEXTBEFORE(VLOOKUP($F253,Declarations!B$6:C$293,2,FALSE)," ")),VLOOKUP($F253,Declarations!B$6:C$293,2,FALSE),_xlfn.TEXTBEFORE(VLOOKUP($F253,Declarations!B$6:C$293,2,FALSE)," "))))</f>
        <v/>
      </c>
      <c r="C253" s="81" t="str">
        <f>IF(ISNA(VLOOKUP($F253,Declarations!B$6:C$293,2,FALSE)),"",IF(VLOOKUP($F253,Declarations!B$6:C$293,2,FALSE)="","NOT DECLARED",IF(ISNA(_xlfn.TEXTAFTER(VLOOKUP($F253,Declarations!B$6:C$293,2,FALSE)," ")),VLOOKUP($F253,Declarations!B$6:C$293,2,FALSE),_xlfn.TEXTAFTER(VLOOKUP($F253,Declarations!B$6:C$293,2,FALSE)," "))))</f>
        <v/>
      </c>
      <c r="D253" s="81" t="str">
        <f>IF(ISNA(VLOOKUP($F253,Declarations!$B$6:$F$293,5,FALSE)),"",IF(VLOOKUP($F253,Declarations!$B$6:$F$293,5,FALSE)="","NOT DECLARED",VLOOKUP($F253,Declarations!$B$6:$F$293,5,FALSE)))</f>
        <v/>
      </c>
      <c r="E253" s="120" t="str">
        <f>IF(ISNA(VLOOKUP($F253,Declarations!$B$6:$D$293,3,FALSE)),"",IF(VLOOKUP($F253,Declarations!$B$6:$D$293,3,FALSE)="","NOT DECLARED",VLOOKUP($F253,Declarations!$B$6:$D$293,3,FALSE)&amp;LEFT(VLOOKUP($F253,Declarations!$B$6:$E$293,4,FALSE))))</f>
        <v/>
      </c>
      <c r="F253" s="21"/>
      <c r="G253" s="22"/>
      <c r="H253" s="322"/>
      <c r="I253" s="8" t="str">
        <f>IF(ISNA(VLOOKUP(F253,Declarations!B$6:C$293,2,FALSE)),"",IF(VLOOKUP(F253,Declarations!B$6:C$293,2,FALSE)="","NOT DECLARED",VLOOKUP(F253,Declarations!B$6:C$293,2,FALSE)))</f>
        <v/>
      </c>
      <c r="J253" s="2">
        <f>IF(LOWER(LEFT(G253,1))="n",1,VLOOKUP(G253,ScoringTable!E$2:I$95,5))</f>
        <v>0</v>
      </c>
      <c r="K253" s="120" t="str" cm="1">
        <f t="array" ref="K253">IF(OR(E253="",G253=""),"",_xlfn.IFS(E253="U10B",_xlfn.XLOOKUP(G253,Data!$D$4:$L$4,Data!$D$1:$L$1,"",-1,1),E253="U12B",_xlfn.XLOOKUP(G253,Data!$D$11:$L$11,Data!$D$1:$L$1,"",-1,1),E253="U10G",_xlfn.XLOOKUP(G253,Data!$D$17:$L$17,Data!$D$1:$L$1,"",-1,1),E253="U12G",_xlfn.XLOOKUP(G253,Data!$D$24:$L$24,Data!$D$1:$L$1,"",-1,1)))</f>
        <v/>
      </c>
      <c r="L253" s="184" t="str" cm="1">
        <f t="array" ref="L253">IFERROR(_xlfn.IFNA(
                      _xlfn.IFS(
                      F253="", "",
                      AND(E253="U10B",G253&gt;=Data!$M$4), "U10 Boys record",
                      AND(E253="U12B",G253&gt;=Data!$M$11), "U12 Boys record",
                      AND(E253="U10G",G253&gt;=Data!$M$17), "U10 Girls record",
                      AND(E253="U12G",G253&gt;=Data!$M$24), "U12 Girls record"
                       ),""), "")</f>
        <v/>
      </c>
      <c r="M253" s="19" cm="1">
        <f t="array" ref="M253">_xlfn.IFS($G253="",0,AND(NOT(ISNUMBER($G253)),LOWER(LEFT($G253,1))&lt;&gt;"n"),"Not a valid distance",OR(LOWER(LEFT($G253,1))="n",$G253&lt;ScoringTable!$P$161),1,RIGHT($E253,1)="B",_xlfn.XLOOKUP($G253,ScoringTable!$P$2:$P$161,ScoringTable!$L$2:$L$161,,-1),TRUE,_xlfn.XLOOKUP($G253,ScoringTable!$V$2:$V$161,ScoringTable!$R$2:$R$161,,-1))</f>
        <v>0</v>
      </c>
    </row>
    <row r="254" spans="1:13" ht="16" customHeight="1">
      <c r="A254" s="82" t="s">
        <v>27</v>
      </c>
      <c r="B254" s="81" t="str">
        <f>IF(ISNA(VLOOKUP($F254,Declarations!B$6:C$293,2,FALSE)),"",IF(VLOOKUP($F254,Declarations!B$6:C$293,2,FALSE)="","NOT DECLARED",IF(ISNA(_xlfn.TEXTBEFORE(VLOOKUP($F254,Declarations!B$6:C$293,2,FALSE)," ")),VLOOKUP($F254,Declarations!B$6:C$293,2,FALSE),_xlfn.TEXTBEFORE(VLOOKUP($F254,Declarations!B$6:C$293,2,FALSE)," "))))</f>
        <v/>
      </c>
      <c r="C254" s="81" t="str">
        <f>IF(ISNA(VLOOKUP($F254,Declarations!B$6:C$293,2,FALSE)),"",IF(VLOOKUP($F254,Declarations!B$6:C$293,2,FALSE)="","NOT DECLARED",IF(ISNA(_xlfn.TEXTAFTER(VLOOKUP($F254,Declarations!B$6:C$293,2,FALSE)," ")),VLOOKUP($F254,Declarations!B$6:C$293,2,FALSE),_xlfn.TEXTAFTER(VLOOKUP($F254,Declarations!B$6:C$293,2,FALSE)," "))))</f>
        <v/>
      </c>
      <c r="D254" s="81" t="str">
        <f>IF(ISNA(VLOOKUP($F254,Declarations!$B$6:$F$293,5,FALSE)),"",IF(VLOOKUP($F254,Declarations!$B$6:$F$293,5,FALSE)="","NOT DECLARED",VLOOKUP($F254,Declarations!$B$6:$F$293,5,FALSE)))</f>
        <v/>
      </c>
      <c r="E254" s="120" t="str">
        <f>IF(ISNA(VLOOKUP($F254,Declarations!$B$6:$D$293,3,FALSE)),"",IF(VLOOKUP($F254,Declarations!$B$6:$D$293,3,FALSE)="","NOT DECLARED",VLOOKUP($F254,Declarations!$B$6:$D$293,3,FALSE)&amp;LEFT(VLOOKUP($F254,Declarations!$B$6:$E$293,4,FALSE))))</f>
        <v/>
      </c>
      <c r="F254" s="21"/>
      <c r="G254" s="22"/>
      <c r="H254" s="322"/>
      <c r="I254" s="8" t="str">
        <f>IF(ISNA(VLOOKUP(F254,Declarations!B$6:C$293,2,FALSE)),"",IF(VLOOKUP(F254,Declarations!B$6:C$293,2,FALSE)="","NOT DECLARED",VLOOKUP(F254,Declarations!B$6:C$293,2,FALSE)))</f>
        <v/>
      </c>
      <c r="J254" s="2">
        <f>IF(LOWER(LEFT(G254,1))="n",1,VLOOKUP(G254,ScoringTable!E$2:I$95,5))</f>
        <v>0</v>
      </c>
      <c r="K254" s="120" t="str" cm="1">
        <f t="array" ref="K254">IF(OR(E254="",G254=""),"",_xlfn.IFS(E254="U10B",_xlfn.XLOOKUP(G254,Data!$D$4:$L$4,Data!$D$1:$L$1,"",-1,1),E254="U12B",_xlfn.XLOOKUP(G254,Data!$D$11:$L$11,Data!$D$1:$L$1,"",-1,1),E254="U10G",_xlfn.XLOOKUP(G254,Data!$D$17:$L$17,Data!$D$1:$L$1,"",-1,1),E254="U12G",_xlfn.XLOOKUP(G254,Data!$D$24:$L$24,Data!$D$1:$L$1,"",-1,1)))</f>
        <v/>
      </c>
      <c r="L254" s="184" t="str" cm="1">
        <f t="array" ref="L254">IFERROR(_xlfn.IFNA(
                      _xlfn.IFS(
                      F254="", "",
                      AND(E254="U10B",G254&gt;=Data!$M$4), "U10 Boys record",
                      AND(E254="U12B",G254&gt;=Data!$M$11), "U12 Boys record",
                      AND(E254="U10G",G254&gt;=Data!$M$17), "U10 Girls record",
                      AND(E254="U12G",G254&gt;=Data!$M$24), "U12 Girls record"
                       ),""), "")</f>
        <v/>
      </c>
      <c r="M254" s="19" cm="1">
        <f t="array" ref="M254">_xlfn.IFS($G254="",0,AND(NOT(ISNUMBER($G254)),LOWER(LEFT($G254,1))&lt;&gt;"n"),"Not a valid distance",OR(LOWER(LEFT($G254,1))="n",$G254&lt;ScoringTable!$P$161),1,RIGHT($E254,1)="B",_xlfn.XLOOKUP($G254,ScoringTable!$P$2:$P$161,ScoringTable!$L$2:$L$161,,-1),TRUE,_xlfn.XLOOKUP($G254,ScoringTable!$V$2:$V$161,ScoringTable!$R$2:$R$161,,-1))</f>
        <v>0</v>
      </c>
    </row>
    <row r="255" spans="1:13" ht="16" customHeight="1">
      <c r="A255" s="82" t="s">
        <v>27</v>
      </c>
      <c r="B255" s="81" t="str">
        <f>IF(ISNA(VLOOKUP($F255,Declarations!B$6:C$293,2,FALSE)),"",IF(VLOOKUP($F255,Declarations!B$6:C$293,2,FALSE)="","NOT DECLARED",IF(ISNA(_xlfn.TEXTBEFORE(VLOOKUP($F255,Declarations!B$6:C$293,2,FALSE)," ")),VLOOKUP($F255,Declarations!B$6:C$293,2,FALSE),_xlfn.TEXTBEFORE(VLOOKUP($F255,Declarations!B$6:C$293,2,FALSE)," "))))</f>
        <v/>
      </c>
      <c r="C255" s="81" t="str">
        <f>IF(ISNA(VLOOKUP($F255,Declarations!B$6:C$293,2,FALSE)),"",IF(VLOOKUP($F255,Declarations!B$6:C$293,2,FALSE)="","NOT DECLARED",IF(ISNA(_xlfn.TEXTAFTER(VLOOKUP($F255,Declarations!B$6:C$293,2,FALSE)," ")),VLOOKUP($F255,Declarations!B$6:C$293,2,FALSE),_xlfn.TEXTAFTER(VLOOKUP($F255,Declarations!B$6:C$293,2,FALSE)," "))))</f>
        <v/>
      </c>
      <c r="D255" s="81" t="str">
        <f>IF(ISNA(VLOOKUP($F255,Declarations!$B$6:$F$293,5,FALSE)),"",IF(VLOOKUP($F255,Declarations!$B$6:$F$293,5,FALSE)="","NOT DECLARED",VLOOKUP($F255,Declarations!$B$6:$F$293,5,FALSE)))</f>
        <v/>
      </c>
      <c r="E255" s="120" t="str">
        <f>IF(ISNA(VLOOKUP($F255,Declarations!$B$6:$D$293,3,FALSE)),"",IF(VLOOKUP($F255,Declarations!$B$6:$D$293,3,FALSE)="","NOT DECLARED",VLOOKUP($F255,Declarations!$B$6:$D$293,3,FALSE)&amp;LEFT(VLOOKUP($F255,Declarations!$B$6:$E$293,4,FALSE))))</f>
        <v/>
      </c>
      <c r="F255" s="21"/>
      <c r="G255" s="22"/>
      <c r="H255" s="322"/>
      <c r="I255" s="8" t="str">
        <f>IF(ISNA(VLOOKUP(F255,Declarations!B$6:C$293,2,FALSE)),"",IF(VLOOKUP(F255,Declarations!B$6:C$293,2,FALSE)="","NOT DECLARED",VLOOKUP(F255,Declarations!B$6:C$293,2,FALSE)))</f>
        <v/>
      </c>
      <c r="J255" s="2">
        <f>IF(LOWER(LEFT(G255,1))="n",1,VLOOKUP(G255,ScoringTable!E$2:I$95,5))</f>
        <v>0</v>
      </c>
      <c r="K255" s="120" t="str" cm="1">
        <f t="array" ref="K255">IF(OR(E255="",G255=""),"",_xlfn.IFS(E255="U10B",_xlfn.XLOOKUP(G255,Data!$D$4:$L$4,Data!$D$1:$L$1,"",-1,1),E255="U12B",_xlfn.XLOOKUP(G255,Data!$D$11:$L$11,Data!$D$1:$L$1,"",-1,1),E255="U10G",_xlfn.XLOOKUP(G255,Data!$D$17:$L$17,Data!$D$1:$L$1,"",-1,1),E255="U12G",_xlfn.XLOOKUP(G255,Data!$D$24:$L$24,Data!$D$1:$L$1,"",-1,1)))</f>
        <v/>
      </c>
      <c r="L255" s="184" t="str" cm="1">
        <f t="array" ref="L255">IFERROR(_xlfn.IFNA(
                      _xlfn.IFS(
                      F255="", "",
                      AND(E255="U10B",G255&gt;=Data!$M$4), "U10 Boys record",
                      AND(E255="U12B",G255&gt;=Data!$M$11), "U12 Boys record",
                      AND(E255="U10G",G255&gt;=Data!$M$17), "U10 Girls record",
                      AND(E255="U12G",G255&gt;=Data!$M$24), "U12 Girls record"
                       ),""), "")</f>
        <v/>
      </c>
      <c r="M255" s="19" cm="1">
        <f t="array" ref="M255">_xlfn.IFS($G255="",0,AND(NOT(ISNUMBER($G255)),LOWER(LEFT($G255,1))&lt;&gt;"n"),"Not a valid distance",OR(LOWER(LEFT($G255,1))="n",$G255&lt;ScoringTable!$P$161),1,RIGHT($E255,1)="B",_xlfn.XLOOKUP($G255,ScoringTable!$P$2:$P$161,ScoringTable!$L$2:$L$161,,-1),TRUE,_xlfn.XLOOKUP($G255,ScoringTable!$V$2:$V$161,ScoringTable!$R$2:$R$161,,-1))</f>
        <v>0</v>
      </c>
    </row>
    <row r="256" spans="1:13" ht="16" customHeight="1">
      <c r="A256" s="82" t="s">
        <v>27</v>
      </c>
      <c r="B256" s="81" t="str">
        <f>IF(ISNA(VLOOKUP($F256,Declarations!B$6:C$293,2,FALSE)),"",IF(VLOOKUP($F256,Declarations!B$6:C$293,2,FALSE)="","NOT DECLARED",IF(ISNA(_xlfn.TEXTBEFORE(VLOOKUP($F256,Declarations!B$6:C$293,2,FALSE)," ")),VLOOKUP($F256,Declarations!B$6:C$293,2,FALSE),_xlfn.TEXTBEFORE(VLOOKUP($F256,Declarations!B$6:C$293,2,FALSE)," "))))</f>
        <v/>
      </c>
      <c r="C256" s="81" t="str">
        <f>IF(ISNA(VLOOKUP($F256,Declarations!B$6:C$293,2,FALSE)),"",IF(VLOOKUP($F256,Declarations!B$6:C$293,2,FALSE)="","NOT DECLARED",IF(ISNA(_xlfn.TEXTAFTER(VLOOKUP($F256,Declarations!B$6:C$293,2,FALSE)," ")),VLOOKUP($F256,Declarations!B$6:C$293,2,FALSE),_xlfn.TEXTAFTER(VLOOKUP($F256,Declarations!B$6:C$293,2,FALSE)," "))))</f>
        <v/>
      </c>
      <c r="D256" s="81" t="str">
        <f>IF(ISNA(VLOOKUP($F256,Declarations!$B$6:$F$293,5,FALSE)),"",IF(VLOOKUP($F256,Declarations!$B$6:$F$293,5,FALSE)="","NOT DECLARED",VLOOKUP($F256,Declarations!$B$6:$F$293,5,FALSE)))</f>
        <v/>
      </c>
      <c r="E256" s="120" t="str">
        <f>IF(ISNA(VLOOKUP($F256,Declarations!$B$6:$D$293,3,FALSE)),"",IF(VLOOKUP($F256,Declarations!$B$6:$D$293,3,FALSE)="","NOT DECLARED",VLOOKUP($F256,Declarations!$B$6:$D$293,3,FALSE)&amp;LEFT(VLOOKUP($F256,Declarations!$B$6:$E$293,4,FALSE))))</f>
        <v/>
      </c>
      <c r="F256" s="21"/>
      <c r="G256" s="22"/>
      <c r="H256" s="322"/>
      <c r="I256" s="8" t="str">
        <f>IF(ISNA(VLOOKUP(F256,Declarations!B$6:C$293,2,FALSE)),"",IF(VLOOKUP(F256,Declarations!B$6:C$293,2,FALSE)="","NOT DECLARED",VLOOKUP(F256,Declarations!B$6:C$293,2,FALSE)))</f>
        <v/>
      </c>
      <c r="J256" s="2">
        <f>IF(LOWER(LEFT(G256,1))="n",1,VLOOKUP(G256,ScoringTable!E$2:I$95,5))</f>
        <v>0</v>
      </c>
      <c r="K256" s="120" t="str" cm="1">
        <f t="array" ref="K256">IF(OR(E256="",G256=""),"",_xlfn.IFS(E256="U10B",_xlfn.XLOOKUP(G256,Data!$D$4:$L$4,Data!$D$1:$L$1,"",-1,1),E256="U12B",_xlfn.XLOOKUP(G256,Data!$D$11:$L$11,Data!$D$1:$L$1,"",-1,1),E256="U10G",_xlfn.XLOOKUP(G256,Data!$D$17:$L$17,Data!$D$1:$L$1,"",-1,1),E256="U12G",_xlfn.XLOOKUP(G256,Data!$D$24:$L$24,Data!$D$1:$L$1,"",-1,1)))</f>
        <v/>
      </c>
      <c r="L256" s="184" t="str" cm="1">
        <f t="array" ref="L256">IFERROR(_xlfn.IFNA(
                      _xlfn.IFS(
                      F256="", "",
                      AND(E256="U10B",G256&gt;=Data!$M$4), "U10 Boys record",
                      AND(E256="U12B",G256&gt;=Data!$M$11), "U12 Boys record",
                      AND(E256="U10G",G256&gt;=Data!$M$17), "U10 Girls record",
                      AND(E256="U12G",G256&gt;=Data!$M$24), "U12 Girls record"
                       ),""), "")</f>
        <v/>
      </c>
      <c r="M256" s="19" cm="1">
        <f t="array" ref="M256">_xlfn.IFS($G256="",0,AND(NOT(ISNUMBER($G256)),LOWER(LEFT($G256,1))&lt;&gt;"n"),"Not a valid distance",OR(LOWER(LEFT($G256,1))="n",$G256&lt;ScoringTable!$P$161),1,RIGHT($E256,1)="B",_xlfn.XLOOKUP($G256,ScoringTable!$P$2:$P$161,ScoringTable!$L$2:$L$161,,-1),TRUE,_xlfn.XLOOKUP($G256,ScoringTable!$V$2:$V$161,ScoringTable!$R$2:$R$161,,-1))</f>
        <v>0</v>
      </c>
    </row>
    <row r="257" spans="1:13" ht="16" customHeight="1">
      <c r="A257" s="82" t="s">
        <v>27</v>
      </c>
      <c r="B257" s="81" t="str">
        <f>IF(ISNA(VLOOKUP($F257,Declarations!B$6:C$293,2,FALSE)),"",IF(VLOOKUP($F257,Declarations!B$6:C$293,2,FALSE)="","NOT DECLARED",IF(ISNA(_xlfn.TEXTBEFORE(VLOOKUP($F257,Declarations!B$6:C$293,2,FALSE)," ")),VLOOKUP($F257,Declarations!B$6:C$293,2,FALSE),_xlfn.TEXTBEFORE(VLOOKUP($F257,Declarations!B$6:C$293,2,FALSE)," "))))</f>
        <v/>
      </c>
      <c r="C257" s="81" t="str">
        <f>IF(ISNA(VLOOKUP($F257,Declarations!B$6:C$293,2,FALSE)),"",IF(VLOOKUP($F257,Declarations!B$6:C$293,2,FALSE)="","NOT DECLARED",IF(ISNA(_xlfn.TEXTAFTER(VLOOKUP($F257,Declarations!B$6:C$293,2,FALSE)," ")),VLOOKUP($F257,Declarations!B$6:C$293,2,FALSE),_xlfn.TEXTAFTER(VLOOKUP($F257,Declarations!B$6:C$293,2,FALSE)," "))))</f>
        <v/>
      </c>
      <c r="D257" s="81" t="str">
        <f>IF(ISNA(VLOOKUP($F257,Declarations!$B$6:$F$293,5,FALSE)),"",IF(VLOOKUP($F257,Declarations!$B$6:$F$293,5,FALSE)="","NOT DECLARED",VLOOKUP($F257,Declarations!$B$6:$F$293,5,FALSE)))</f>
        <v/>
      </c>
      <c r="E257" s="120" t="str">
        <f>IF(ISNA(VLOOKUP($F257,Declarations!$B$6:$D$293,3,FALSE)),"",IF(VLOOKUP($F257,Declarations!$B$6:$D$293,3,FALSE)="","NOT DECLARED",VLOOKUP($F257,Declarations!$B$6:$D$293,3,FALSE)&amp;LEFT(VLOOKUP($F257,Declarations!$B$6:$E$293,4,FALSE))))</f>
        <v/>
      </c>
      <c r="F257" s="21"/>
      <c r="G257" s="22"/>
      <c r="H257" s="322"/>
      <c r="I257" s="8" t="str">
        <f>IF(ISNA(VLOOKUP(F257,Declarations!B$6:C$293,2,FALSE)),"",IF(VLOOKUP(F257,Declarations!B$6:C$293,2,FALSE)="","NOT DECLARED",VLOOKUP(F257,Declarations!B$6:C$293,2,FALSE)))</f>
        <v/>
      </c>
      <c r="J257" s="2">
        <f>IF(LOWER(LEFT(G257,1))="n",1,VLOOKUP(G257,ScoringTable!E$2:I$95,5))</f>
        <v>0</v>
      </c>
      <c r="K257" s="120" t="str" cm="1">
        <f t="array" ref="K257">IF(OR(E257="",G257=""),"",_xlfn.IFS(E257="U10B",_xlfn.XLOOKUP(G257,Data!$D$4:$L$4,Data!$D$1:$L$1,"",-1,1),E257="U12B",_xlfn.XLOOKUP(G257,Data!$D$11:$L$11,Data!$D$1:$L$1,"",-1,1),E257="U10G",_xlfn.XLOOKUP(G257,Data!$D$17:$L$17,Data!$D$1:$L$1,"",-1,1),E257="U12G",_xlfn.XLOOKUP(G257,Data!$D$24:$L$24,Data!$D$1:$L$1,"",-1,1)))</f>
        <v/>
      </c>
      <c r="L257" s="184" t="str" cm="1">
        <f t="array" ref="L257">IFERROR(_xlfn.IFNA(
                      _xlfn.IFS(
                      F257="", "",
                      AND(E257="U10B",G257&gt;=Data!$M$4), "U10 Boys record",
                      AND(E257="U12B",G257&gt;=Data!$M$11), "U12 Boys record",
                      AND(E257="U10G",G257&gt;=Data!$M$17), "U10 Girls record",
                      AND(E257="U12G",G257&gt;=Data!$M$24), "U12 Girls record"
                       ),""), "")</f>
        <v/>
      </c>
      <c r="M257" s="19" cm="1">
        <f t="array" ref="M257">_xlfn.IFS($G257="",0,AND(NOT(ISNUMBER($G257)),LOWER(LEFT($G257,1))&lt;&gt;"n"),"Not a valid distance",OR(LOWER(LEFT($G257,1))="n",$G257&lt;ScoringTable!$P$161),1,RIGHT($E257,1)="B",_xlfn.XLOOKUP($G257,ScoringTable!$P$2:$P$161,ScoringTable!$L$2:$L$161,,-1),TRUE,_xlfn.XLOOKUP($G257,ScoringTable!$V$2:$V$161,ScoringTable!$R$2:$R$161,,-1))</f>
        <v>0</v>
      </c>
    </row>
    <row r="258" spans="1:13" ht="16" customHeight="1">
      <c r="A258" s="82" t="s">
        <v>27</v>
      </c>
      <c r="B258" s="81" t="str">
        <f>IF(ISNA(VLOOKUP($F258,Declarations!B$6:C$293,2,FALSE)),"",IF(VLOOKUP($F258,Declarations!B$6:C$293,2,FALSE)="","NOT DECLARED",IF(ISNA(_xlfn.TEXTBEFORE(VLOOKUP($F258,Declarations!B$6:C$293,2,FALSE)," ")),VLOOKUP($F258,Declarations!B$6:C$293,2,FALSE),_xlfn.TEXTBEFORE(VLOOKUP($F258,Declarations!B$6:C$293,2,FALSE)," "))))</f>
        <v/>
      </c>
      <c r="C258" s="81" t="str">
        <f>IF(ISNA(VLOOKUP($F258,Declarations!B$6:C$293,2,FALSE)),"",IF(VLOOKUP($F258,Declarations!B$6:C$293,2,FALSE)="","NOT DECLARED",IF(ISNA(_xlfn.TEXTAFTER(VLOOKUP($F258,Declarations!B$6:C$293,2,FALSE)," ")),VLOOKUP($F258,Declarations!B$6:C$293,2,FALSE),_xlfn.TEXTAFTER(VLOOKUP($F258,Declarations!B$6:C$293,2,FALSE)," "))))</f>
        <v/>
      </c>
      <c r="D258" s="81" t="str">
        <f>IF(ISNA(VLOOKUP($F258,Declarations!$B$6:$F$293,5,FALSE)),"",IF(VLOOKUP($F258,Declarations!$B$6:$F$293,5,FALSE)="","NOT DECLARED",VLOOKUP($F258,Declarations!$B$6:$F$293,5,FALSE)))</f>
        <v/>
      </c>
      <c r="E258" s="120" t="str">
        <f>IF(ISNA(VLOOKUP($F258,Declarations!$B$6:$D$293,3,FALSE)),"",IF(VLOOKUP($F258,Declarations!$B$6:$D$293,3,FALSE)="","NOT DECLARED",VLOOKUP($F258,Declarations!$B$6:$D$293,3,FALSE)&amp;LEFT(VLOOKUP($F258,Declarations!$B$6:$E$293,4,FALSE))))</f>
        <v/>
      </c>
      <c r="F258" s="21"/>
      <c r="G258" s="22"/>
      <c r="H258" s="322"/>
      <c r="I258" s="8" t="str">
        <f>IF(ISNA(VLOOKUP(F258,Declarations!B$6:C$293,2,FALSE)),"",IF(VLOOKUP(F258,Declarations!B$6:C$293,2,FALSE)="","NOT DECLARED",VLOOKUP(F258,Declarations!B$6:C$293,2,FALSE)))</f>
        <v/>
      </c>
      <c r="J258" s="2">
        <f>IF(LOWER(LEFT(G258,1))="n",1,VLOOKUP(G258,ScoringTable!E$2:I$95,5))</f>
        <v>0</v>
      </c>
      <c r="K258" s="120" t="str" cm="1">
        <f t="array" ref="K258">IF(OR(E258="",G258=""),"",_xlfn.IFS(E258="U10B",_xlfn.XLOOKUP(G258,Data!$D$4:$L$4,Data!$D$1:$L$1,"",-1,1),E258="U12B",_xlfn.XLOOKUP(G258,Data!$D$11:$L$11,Data!$D$1:$L$1,"",-1,1),E258="U10G",_xlfn.XLOOKUP(G258,Data!$D$17:$L$17,Data!$D$1:$L$1,"",-1,1),E258="U12G",_xlfn.XLOOKUP(G258,Data!$D$24:$L$24,Data!$D$1:$L$1,"",-1,1)))</f>
        <v/>
      </c>
      <c r="L258" s="184" t="str" cm="1">
        <f t="array" ref="L258">IFERROR(_xlfn.IFNA(
                      _xlfn.IFS(
                      F258="", "",
                      AND(E258="U10B",G258&gt;=Data!$M$4), "U10 Boys record",
                      AND(E258="U12B",G258&gt;=Data!$M$11), "U12 Boys record",
                      AND(E258="U10G",G258&gt;=Data!$M$17), "U10 Girls record",
                      AND(E258="U12G",G258&gt;=Data!$M$24), "U12 Girls record"
                       ),""), "")</f>
        <v/>
      </c>
      <c r="M258" s="19" cm="1">
        <f t="array" ref="M258">_xlfn.IFS($G258="",0,AND(NOT(ISNUMBER($G258)),LOWER(LEFT($G258,1))&lt;&gt;"n"),"Not a valid distance",OR(LOWER(LEFT($G258,1))="n",$G258&lt;ScoringTable!$P$161),1,RIGHT($E258,1)="B",_xlfn.XLOOKUP($G258,ScoringTable!$P$2:$P$161,ScoringTable!$L$2:$L$161,,-1),TRUE,_xlfn.XLOOKUP($G258,ScoringTable!$V$2:$V$161,ScoringTable!$R$2:$R$161,,-1))</f>
        <v>0</v>
      </c>
    </row>
    <row r="259" spans="1:13" ht="16" customHeight="1">
      <c r="A259" s="82" t="s">
        <v>27</v>
      </c>
      <c r="B259" s="81" t="str">
        <f>IF(ISNA(VLOOKUP($F259,Declarations!B$6:C$293,2,FALSE)),"",IF(VLOOKUP($F259,Declarations!B$6:C$293,2,FALSE)="","NOT DECLARED",IF(ISNA(_xlfn.TEXTBEFORE(VLOOKUP($F259,Declarations!B$6:C$293,2,FALSE)," ")),VLOOKUP($F259,Declarations!B$6:C$293,2,FALSE),_xlfn.TEXTBEFORE(VLOOKUP($F259,Declarations!B$6:C$293,2,FALSE)," "))))</f>
        <v/>
      </c>
      <c r="C259" s="81" t="str">
        <f>IF(ISNA(VLOOKUP($F259,Declarations!B$6:C$293,2,FALSE)),"",IF(VLOOKUP($F259,Declarations!B$6:C$293,2,FALSE)="","NOT DECLARED",IF(ISNA(_xlfn.TEXTAFTER(VLOOKUP($F259,Declarations!B$6:C$293,2,FALSE)," ")),VLOOKUP($F259,Declarations!B$6:C$293,2,FALSE),_xlfn.TEXTAFTER(VLOOKUP($F259,Declarations!B$6:C$293,2,FALSE)," "))))</f>
        <v/>
      </c>
      <c r="D259" s="81" t="str">
        <f>IF(ISNA(VLOOKUP($F259,Declarations!$B$6:$F$293,5,FALSE)),"",IF(VLOOKUP($F259,Declarations!$B$6:$F$293,5,FALSE)="","NOT DECLARED",VLOOKUP($F259,Declarations!$B$6:$F$293,5,FALSE)))</f>
        <v/>
      </c>
      <c r="E259" s="120" t="str">
        <f>IF(ISNA(VLOOKUP($F259,Declarations!$B$6:$D$293,3,FALSE)),"",IF(VLOOKUP($F259,Declarations!$B$6:$D$293,3,FALSE)="","NOT DECLARED",VLOOKUP($F259,Declarations!$B$6:$D$293,3,FALSE)&amp;LEFT(VLOOKUP($F259,Declarations!$B$6:$E$293,4,FALSE))))</f>
        <v/>
      </c>
      <c r="F259" s="21"/>
      <c r="G259" s="22"/>
      <c r="H259" s="322"/>
      <c r="I259" s="8" t="str">
        <f>IF(ISNA(VLOOKUP(F259,Declarations!B$6:C$293,2,FALSE)),"",IF(VLOOKUP(F259,Declarations!B$6:C$293,2,FALSE)="","NOT DECLARED",VLOOKUP(F259,Declarations!B$6:C$293,2,FALSE)))</f>
        <v/>
      </c>
      <c r="J259" s="2">
        <f>IF(LOWER(LEFT(G259,1))="n",1,VLOOKUP(G259,ScoringTable!E$2:I$95,5))</f>
        <v>0</v>
      </c>
      <c r="K259" s="120" t="str" cm="1">
        <f t="array" ref="K259">IF(OR(E259="",G259=""),"",_xlfn.IFS(E259="U10B",_xlfn.XLOOKUP(G259,Data!$D$4:$L$4,Data!$D$1:$L$1,"",-1,1),E259="U12B",_xlfn.XLOOKUP(G259,Data!$D$11:$L$11,Data!$D$1:$L$1,"",-1,1),E259="U10G",_xlfn.XLOOKUP(G259,Data!$D$17:$L$17,Data!$D$1:$L$1,"",-1,1),E259="U12G",_xlfn.XLOOKUP(G259,Data!$D$24:$L$24,Data!$D$1:$L$1,"",-1,1)))</f>
        <v/>
      </c>
      <c r="L259" s="184" t="str" cm="1">
        <f t="array" ref="L259">IFERROR(_xlfn.IFNA(
                      _xlfn.IFS(
                      F259="", "",
                      AND(E259="U10B",G259&gt;=Data!$M$4), "U10 Boys record",
                      AND(E259="U12B",G259&gt;=Data!$M$11), "U12 Boys record",
                      AND(E259="U10G",G259&gt;=Data!$M$17), "U10 Girls record",
                      AND(E259="U12G",G259&gt;=Data!$M$24), "U12 Girls record"
                       ),""), "")</f>
        <v/>
      </c>
      <c r="M259" s="19" cm="1">
        <f t="array" ref="M259">_xlfn.IFS($G259="",0,AND(NOT(ISNUMBER($G259)),LOWER(LEFT($G259,1))&lt;&gt;"n"),"Not a valid distance",OR(LOWER(LEFT($G259,1))="n",$G259&lt;ScoringTable!$P$161),1,RIGHT($E259,1)="B",_xlfn.XLOOKUP($G259,ScoringTable!$P$2:$P$161,ScoringTable!$L$2:$L$161,,-1),TRUE,_xlfn.XLOOKUP($G259,ScoringTable!$V$2:$V$161,ScoringTable!$R$2:$R$161,,-1))</f>
        <v>0</v>
      </c>
    </row>
    <row r="260" spans="1:13" ht="16" customHeight="1">
      <c r="A260" s="82" t="s">
        <v>27</v>
      </c>
      <c r="B260" s="81" t="str">
        <f>IF(ISNA(VLOOKUP($F260,Declarations!B$6:C$293,2,FALSE)),"",IF(VLOOKUP($F260,Declarations!B$6:C$293,2,FALSE)="","NOT DECLARED",IF(ISNA(_xlfn.TEXTBEFORE(VLOOKUP($F260,Declarations!B$6:C$293,2,FALSE)," ")),VLOOKUP($F260,Declarations!B$6:C$293,2,FALSE),_xlfn.TEXTBEFORE(VLOOKUP($F260,Declarations!B$6:C$293,2,FALSE)," "))))</f>
        <v/>
      </c>
      <c r="C260" s="81" t="str">
        <f>IF(ISNA(VLOOKUP($F260,Declarations!B$6:C$293,2,FALSE)),"",IF(VLOOKUP($F260,Declarations!B$6:C$293,2,FALSE)="","NOT DECLARED",IF(ISNA(_xlfn.TEXTAFTER(VLOOKUP($F260,Declarations!B$6:C$293,2,FALSE)," ")),VLOOKUP($F260,Declarations!B$6:C$293,2,FALSE),_xlfn.TEXTAFTER(VLOOKUP($F260,Declarations!B$6:C$293,2,FALSE)," "))))</f>
        <v/>
      </c>
      <c r="D260" s="81" t="str">
        <f>IF(ISNA(VLOOKUP($F260,Declarations!$B$6:$F$293,5,FALSE)),"",IF(VLOOKUP($F260,Declarations!$B$6:$F$293,5,FALSE)="","NOT DECLARED",VLOOKUP($F260,Declarations!$B$6:$F$293,5,FALSE)))</f>
        <v/>
      </c>
      <c r="E260" s="120" t="str">
        <f>IF(ISNA(VLOOKUP($F260,Declarations!$B$6:$D$293,3,FALSE)),"",IF(VLOOKUP($F260,Declarations!$B$6:$D$293,3,FALSE)="","NOT DECLARED",VLOOKUP($F260,Declarations!$B$6:$D$293,3,FALSE)&amp;LEFT(VLOOKUP($F260,Declarations!$B$6:$E$293,4,FALSE))))</f>
        <v/>
      </c>
      <c r="F260" s="21"/>
      <c r="G260" s="22"/>
      <c r="H260" s="322"/>
      <c r="I260" s="8" t="str">
        <f>IF(ISNA(VLOOKUP(F260,Declarations!B$6:C$293,2,FALSE)),"",IF(VLOOKUP(F260,Declarations!B$6:C$293,2,FALSE)="","NOT DECLARED",VLOOKUP(F260,Declarations!B$6:C$293,2,FALSE)))</f>
        <v/>
      </c>
      <c r="J260" s="2">
        <f>IF(LOWER(LEFT(G260,1))="n",1,VLOOKUP(G260,ScoringTable!E$2:I$95,5))</f>
        <v>0</v>
      </c>
      <c r="K260" s="120" t="str" cm="1">
        <f t="array" ref="K260">IF(OR(E260="",G260=""),"",_xlfn.IFS(E260="U10B",_xlfn.XLOOKUP(G260,Data!$D$4:$L$4,Data!$D$1:$L$1,"",-1,1),E260="U12B",_xlfn.XLOOKUP(G260,Data!$D$11:$L$11,Data!$D$1:$L$1,"",-1,1),E260="U10G",_xlfn.XLOOKUP(G260,Data!$D$17:$L$17,Data!$D$1:$L$1,"",-1,1),E260="U12G",_xlfn.XLOOKUP(G260,Data!$D$24:$L$24,Data!$D$1:$L$1,"",-1,1)))</f>
        <v/>
      </c>
      <c r="L260" s="184" t="str" cm="1">
        <f t="array" ref="L260">IFERROR(_xlfn.IFNA(
                      _xlfn.IFS(
                      F260="", "",
                      AND(E260="U10B",G260&gt;=Data!$M$4), "U10 Boys record",
                      AND(E260="U12B",G260&gt;=Data!$M$11), "U12 Boys record",
                      AND(E260="U10G",G260&gt;=Data!$M$17), "U10 Girls record",
                      AND(E260="U12G",G260&gt;=Data!$M$24), "U12 Girls record"
                       ),""), "")</f>
        <v/>
      </c>
      <c r="M260" s="19" cm="1">
        <f t="array" ref="M260">_xlfn.IFS($G260="",0,AND(NOT(ISNUMBER($G260)),LOWER(LEFT($G260,1))&lt;&gt;"n"),"Not a valid distance",OR(LOWER(LEFT($G260,1))="n",$G260&lt;ScoringTable!$P$161),1,RIGHT($E260,1)="B",_xlfn.XLOOKUP($G260,ScoringTable!$P$2:$P$161,ScoringTable!$L$2:$L$161,,-1),TRUE,_xlfn.XLOOKUP($G260,ScoringTable!$V$2:$V$161,ScoringTable!$R$2:$R$161,,-1))</f>
        <v>0</v>
      </c>
    </row>
    <row r="261" spans="1:13" ht="16" customHeight="1">
      <c r="A261" s="82" t="s">
        <v>27</v>
      </c>
      <c r="B261" s="81" t="str">
        <f>IF(ISNA(VLOOKUP($F261,Declarations!B$6:C$293,2,FALSE)),"",IF(VLOOKUP($F261,Declarations!B$6:C$293,2,FALSE)="","NOT DECLARED",IF(ISNA(_xlfn.TEXTBEFORE(VLOOKUP($F261,Declarations!B$6:C$293,2,FALSE)," ")),VLOOKUP($F261,Declarations!B$6:C$293,2,FALSE),_xlfn.TEXTBEFORE(VLOOKUP($F261,Declarations!B$6:C$293,2,FALSE)," "))))</f>
        <v/>
      </c>
      <c r="C261" s="81" t="str">
        <f>IF(ISNA(VLOOKUP($F261,Declarations!B$6:C$293,2,FALSE)),"",IF(VLOOKUP($F261,Declarations!B$6:C$293,2,FALSE)="","NOT DECLARED",IF(ISNA(_xlfn.TEXTAFTER(VLOOKUP($F261,Declarations!B$6:C$293,2,FALSE)," ")),VLOOKUP($F261,Declarations!B$6:C$293,2,FALSE),_xlfn.TEXTAFTER(VLOOKUP($F261,Declarations!B$6:C$293,2,FALSE)," "))))</f>
        <v/>
      </c>
      <c r="D261" s="81" t="str">
        <f>IF(ISNA(VLOOKUP($F261,Declarations!$B$6:$F$293,5,FALSE)),"",IF(VLOOKUP($F261,Declarations!$B$6:$F$293,5,FALSE)="","NOT DECLARED",VLOOKUP($F261,Declarations!$B$6:$F$293,5,FALSE)))</f>
        <v/>
      </c>
      <c r="E261" s="120" t="str">
        <f>IF(ISNA(VLOOKUP($F261,Declarations!$B$6:$D$293,3,FALSE)),"",IF(VLOOKUP($F261,Declarations!$B$6:$D$293,3,FALSE)="","NOT DECLARED",VLOOKUP($F261,Declarations!$B$6:$D$293,3,FALSE)&amp;LEFT(VLOOKUP($F261,Declarations!$B$6:$E$293,4,FALSE))))</f>
        <v/>
      </c>
      <c r="F261" s="21"/>
      <c r="G261" s="22"/>
      <c r="H261" s="322"/>
      <c r="I261" s="8" t="str">
        <f>IF(ISNA(VLOOKUP(F261,Declarations!B$6:C$293,2,FALSE)),"",IF(VLOOKUP(F261,Declarations!B$6:C$293,2,FALSE)="","NOT DECLARED",VLOOKUP(F261,Declarations!B$6:C$293,2,FALSE)))</f>
        <v/>
      </c>
      <c r="J261" s="2">
        <f>IF(LOWER(LEFT(G261,1))="n",1,VLOOKUP(G261,ScoringTable!E$2:I$95,5))</f>
        <v>0</v>
      </c>
      <c r="K261" s="120" t="str" cm="1">
        <f t="array" ref="K261">IF(OR(E261="",G261=""),"",_xlfn.IFS(E261="U10B",_xlfn.XLOOKUP(G261,Data!$D$4:$L$4,Data!$D$1:$L$1,"",-1,1),E261="U12B",_xlfn.XLOOKUP(G261,Data!$D$11:$L$11,Data!$D$1:$L$1,"",-1,1),E261="U10G",_xlfn.XLOOKUP(G261,Data!$D$17:$L$17,Data!$D$1:$L$1,"",-1,1),E261="U12G",_xlfn.XLOOKUP(G261,Data!$D$24:$L$24,Data!$D$1:$L$1,"",-1,1)))</f>
        <v/>
      </c>
      <c r="L261" s="184" t="str" cm="1">
        <f t="array" ref="L261">IFERROR(_xlfn.IFNA(
                      _xlfn.IFS(
                      F261="", "",
                      AND(E261="U10B",G261&gt;=Data!$M$4), "U10 Boys record",
                      AND(E261="U12B",G261&gt;=Data!$M$11), "U12 Boys record",
                      AND(E261="U10G",G261&gt;=Data!$M$17), "U10 Girls record",
                      AND(E261="U12G",G261&gt;=Data!$M$24), "U12 Girls record"
                       ),""), "")</f>
        <v/>
      </c>
      <c r="M261" s="19" cm="1">
        <f t="array" ref="M261">_xlfn.IFS($G261="",0,AND(NOT(ISNUMBER($G261)),LOWER(LEFT($G261,1))&lt;&gt;"n"),"Not a valid distance",OR(LOWER(LEFT($G261,1))="n",$G261&lt;ScoringTable!$P$161),1,RIGHT($E261,1)="B",_xlfn.XLOOKUP($G261,ScoringTable!$P$2:$P$161,ScoringTable!$L$2:$L$161,,-1),TRUE,_xlfn.XLOOKUP($G261,ScoringTable!$V$2:$V$161,ScoringTable!$R$2:$R$161,,-1))</f>
        <v>0</v>
      </c>
    </row>
    <row r="262" spans="1:13" ht="16" customHeight="1">
      <c r="A262" s="82" t="s">
        <v>27</v>
      </c>
      <c r="B262" s="81" t="str">
        <f>IF(ISNA(VLOOKUP($F262,Declarations!B$6:C$293,2,FALSE)),"",IF(VLOOKUP($F262,Declarations!B$6:C$293,2,FALSE)="","NOT DECLARED",IF(ISNA(_xlfn.TEXTBEFORE(VLOOKUP($F262,Declarations!B$6:C$293,2,FALSE)," ")),VLOOKUP($F262,Declarations!B$6:C$293,2,FALSE),_xlfn.TEXTBEFORE(VLOOKUP($F262,Declarations!B$6:C$293,2,FALSE)," "))))</f>
        <v/>
      </c>
      <c r="C262" s="81" t="str">
        <f>IF(ISNA(VLOOKUP($F262,Declarations!B$6:C$293,2,FALSE)),"",IF(VLOOKUP($F262,Declarations!B$6:C$293,2,FALSE)="","NOT DECLARED",IF(ISNA(_xlfn.TEXTAFTER(VLOOKUP($F262,Declarations!B$6:C$293,2,FALSE)," ")),VLOOKUP($F262,Declarations!B$6:C$293,2,FALSE),_xlfn.TEXTAFTER(VLOOKUP($F262,Declarations!B$6:C$293,2,FALSE)," "))))</f>
        <v/>
      </c>
      <c r="D262" s="81" t="str">
        <f>IF(ISNA(VLOOKUP($F262,Declarations!$B$6:$F$293,5,FALSE)),"",IF(VLOOKUP($F262,Declarations!$B$6:$F$293,5,FALSE)="","NOT DECLARED",VLOOKUP($F262,Declarations!$B$6:$F$293,5,FALSE)))</f>
        <v/>
      </c>
      <c r="E262" s="120" t="str">
        <f>IF(ISNA(VLOOKUP($F262,Declarations!$B$6:$D$293,3,FALSE)),"",IF(VLOOKUP($F262,Declarations!$B$6:$D$293,3,FALSE)="","NOT DECLARED",VLOOKUP($F262,Declarations!$B$6:$D$293,3,FALSE)&amp;LEFT(VLOOKUP($F262,Declarations!$B$6:$E$293,4,FALSE))))</f>
        <v/>
      </c>
      <c r="F262" s="21"/>
      <c r="G262" s="22"/>
      <c r="H262" s="322"/>
      <c r="I262" s="8" t="str">
        <f>IF(ISNA(VLOOKUP(F262,Declarations!B$6:C$293,2,FALSE)),"",IF(VLOOKUP(F262,Declarations!B$6:C$293,2,FALSE)="","NOT DECLARED",VLOOKUP(F262,Declarations!B$6:C$293,2,FALSE)))</f>
        <v/>
      </c>
      <c r="J262" s="2">
        <f>IF(LOWER(LEFT(G262,1))="n",1,VLOOKUP(G262,ScoringTable!E$2:I$95,5))</f>
        <v>0</v>
      </c>
      <c r="K262" s="120" t="str" cm="1">
        <f t="array" ref="K262">IF(OR(E262="",G262=""),"",_xlfn.IFS(E262="U10B",_xlfn.XLOOKUP(G262,Data!$D$4:$L$4,Data!$D$1:$L$1,"",-1,1),E262="U12B",_xlfn.XLOOKUP(G262,Data!$D$11:$L$11,Data!$D$1:$L$1,"",-1,1),E262="U10G",_xlfn.XLOOKUP(G262,Data!$D$17:$L$17,Data!$D$1:$L$1,"",-1,1),E262="U12G",_xlfn.XLOOKUP(G262,Data!$D$24:$L$24,Data!$D$1:$L$1,"",-1,1)))</f>
        <v/>
      </c>
      <c r="L262" s="184" t="str" cm="1">
        <f t="array" ref="L262">IFERROR(_xlfn.IFNA(
                      _xlfn.IFS(
                      F262="", "",
                      AND(E262="U10B",G262&gt;=Data!$M$4), "U10 Boys record",
                      AND(E262="U12B",G262&gt;=Data!$M$11), "U12 Boys record",
                      AND(E262="U10G",G262&gt;=Data!$M$17), "U10 Girls record",
                      AND(E262="U12G",G262&gt;=Data!$M$24), "U12 Girls record"
                       ),""), "")</f>
        <v/>
      </c>
      <c r="M262" s="19" cm="1">
        <f t="array" ref="M262">_xlfn.IFS($G262="",0,AND(NOT(ISNUMBER($G262)),LOWER(LEFT($G262,1))&lt;&gt;"n"),"Not a valid distance",OR(LOWER(LEFT($G262,1))="n",$G262&lt;ScoringTable!$P$161),1,RIGHT($E262,1)="B",_xlfn.XLOOKUP($G262,ScoringTable!$P$2:$P$161,ScoringTable!$L$2:$L$161,,-1),TRUE,_xlfn.XLOOKUP($G262,ScoringTable!$V$2:$V$161,ScoringTable!$R$2:$R$161,,-1))</f>
        <v>0</v>
      </c>
    </row>
    <row r="263" spans="1:13" ht="16" customHeight="1">
      <c r="A263" s="82" t="s">
        <v>27</v>
      </c>
      <c r="B263" s="81" t="str">
        <f>IF(ISNA(VLOOKUP($F263,Declarations!B$6:C$293,2,FALSE)),"",IF(VLOOKUP($F263,Declarations!B$6:C$293,2,FALSE)="","NOT DECLARED",IF(ISNA(_xlfn.TEXTBEFORE(VLOOKUP($F263,Declarations!B$6:C$293,2,FALSE)," ")),VLOOKUP($F263,Declarations!B$6:C$293,2,FALSE),_xlfn.TEXTBEFORE(VLOOKUP($F263,Declarations!B$6:C$293,2,FALSE)," "))))</f>
        <v/>
      </c>
      <c r="C263" s="81" t="str">
        <f>IF(ISNA(VLOOKUP($F263,Declarations!B$6:C$293,2,FALSE)),"",IF(VLOOKUP($F263,Declarations!B$6:C$293,2,FALSE)="","NOT DECLARED",IF(ISNA(_xlfn.TEXTAFTER(VLOOKUP($F263,Declarations!B$6:C$293,2,FALSE)," ")),VLOOKUP($F263,Declarations!B$6:C$293,2,FALSE),_xlfn.TEXTAFTER(VLOOKUP($F263,Declarations!B$6:C$293,2,FALSE)," "))))</f>
        <v/>
      </c>
      <c r="D263" s="81" t="str">
        <f>IF(ISNA(VLOOKUP($F263,Declarations!$B$6:$F$293,5,FALSE)),"",IF(VLOOKUP($F263,Declarations!$B$6:$F$293,5,FALSE)="","NOT DECLARED",VLOOKUP($F263,Declarations!$B$6:$F$293,5,FALSE)))</f>
        <v/>
      </c>
      <c r="E263" s="120" t="str">
        <f>IF(ISNA(VLOOKUP($F263,Declarations!$B$6:$D$293,3,FALSE)),"",IF(VLOOKUP($F263,Declarations!$B$6:$D$293,3,FALSE)="","NOT DECLARED",VLOOKUP($F263,Declarations!$B$6:$D$293,3,FALSE)&amp;LEFT(VLOOKUP($F263,Declarations!$B$6:$E$293,4,FALSE))))</f>
        <v/>
      </c>
      <c r="F263" s="21"/>
      <c r="G263" s="22"/>
      <c r="H263" s="322"/>
      <c r="I263" s="8" t="str">
        <f>IF(ISNA(VLOOKUP(F263,Declarations!B$6:C$293,2,FALSE)),"",IF(VLOOKUP(F263,Declarations!B$6:C$293,2,FALSE)="","NOT DECLARED",VLOOKUP(F263,Declarations!B$6:C$293,2,FALSE)))</f>
        <v/>
      </c>
      <c r="J263" s="2">
        <f>IF(LOWER(LEFT(G263,1))="n",1,VLOOKUP(G263,ScoringTable!E$2:I$95,5))</f>
        <v>0</v>
      </c>
      <c r="K263" s="120" t="str" cm="1">
        <f t="array" ref="K263">IF(OR(E263="",G263=""),"",_xlfn.IFS(E263="U10B",_xlfn.XLOOKUP(G263,Data!$D$4:$L$4,Data!$D$1:$L$1,"",-1,1),E263="U12B",_xlfn.XLOOKUP(G263,Data!$D$11:$L$11,Data!$D$1:$L$1,"",-1,1),E263="U10G",_xlfn.XLOOKUP(G263,Data!$D$17:$L$17,Data!$D$1:$L$1,"",-1,1),E263="U12G",_xlfn.XLOOKUP(G263,Data!$D$24:$L$24,Data!$D$1:$L$1,"",-1,1)))</f>
        <v/>
      </c>
      <c r="L263" s="184" t="str" cm="1">
        <f t="array" ref="L263">IFERROR(_xlfn.IFNA(
                      _xlfn.IFS(
                      F263="", "",
                      AND(E263="U10B",G263&gt;=Data!$M$4), "U10 Boys record",
                      AND(E263="U12B",G263&gt;=Data!$M$11), "U12 Boys record",
                      AND(E263="U10G",G263&gt;=Data!$M$17), "U10 Girls record",
                      AND(E263="U12G",G263&gt;=Data!$M$24), "U12 Girls record"
                       ),""), "")</f>
        <v/>
      </c>
      <c r="M263" s="19" cm="1">
        <f t="array" ref="M263">_xlfn.IFS($G263="",0,AND(NOT(ISNUMBER($G263)),LOWER(LEFT($G263,1))&lt;&gt;"n"),"Not a valid distance",OR(LOWER(LEFT($G263,1))="n",$G263&lt;ScoringTable!$P$161),1,RIGHT($E263,1)="B",_xlfn.XLOOKUP($G263,ScoringTable!$P$2:$P$161,ScoringTable!$L$2:$L$161,,-1),TRUE,_xlfn.XLOOKUP($G263,ScoringTable!$V$2:$V$161,ScoringTable!$R$2:$R$161,,-1))</f>
        <v>0</v>
      </c>
    </row>
    <row r="264" spans="1:13" ht="16" customHeight="1">
      <c r="A264" s="82" t="s">
        <v>27</v>
      </c>
      <c r="B264" s="81" t="str">
        <f>IF(ISNA(VLOOKUP($F264,Declarations!B$6:C$293,2,FALSE)),"",IF(VLOOKUP($F264,Declarations!B$6:C$293,2,FALSE)="","NOT DECLARED",IF(ISNA(_xlfn.TEXTBEFORE(VLOOKUP($F264,Declarations!B$6:C$293,2,FALSE)," ")),VLOOKUP($F264,Declarations!B$6:C$293,2,FALSE),_xlfn.TEXTBEFORE(VLOOKUP($F264,Declarations!B$6:C$293,2,FALSE)," "))))</f>
        <v/>
      </c>
      <c r="C264" s="81" t="str">
        <f>IF(ISNA(VLOOKUP($F264,Declarations!B$6:C$293,2,FALSE)),"",IF(VLOOKUP($F264,Declarations!B$6:C$293,2,FALSE)="","NOT DECLARED",IF(ISNA(_xlfn.TEXTAFTER(VLOOKUP($F264,Declarations!B$6:C$293,2,FALSE)," ")),VLOOKUP($F264,Declarations!B$6:C$293,2,FALSE),_xlfn.TEXTAFTER(VLOOKUP($F264,Declarations!B$6:C$293,2,FALSE)," "))))</f>
        <v/>
      </c>
      <c r="D264" s="81" t="str">
        <f>IF(ISNA(VLOOKUP($F264,Declarations!$B$6:$F$293,5,FALSE)),"",IF(VLOOKUP($F264,Declarations!$B$6:$F$293,5,FALSE)="","NOT DECLARED",VLOOKUP($F264,Declarations!$B$6:$F$293,5,FALSE)))</f>
        <v/>
      </c>
      <c r="E264" s="120" t="str">
        <f>IF(ISNA(VLOOKUP($F264,Declarations!$B$6:$D$293,3,FALSE)),"",IF(VLOOKUP($F264,Declarations!$B$6:$D$293,3,FALSE)="","NOT DECLARED",VLOOKUP($F264,Declarations!$B$6:$D$293,3,FALSE)&amp;LEFT(VLOOKUP($F264,Declarations!$B$6:$E$293,4,FALSE))))</f>
        <v/>
      </c>
      <c r="F264" s="21"/>
      <c r="G264" s="22"/>
      <c r="H264" s="322"/>
      <c r="I264" s="8" t="str">
        <f>IF(ISNA(VLOOKUP(F264,Declarations!B$6:C$293,2,FALSE)),"",IF(VLOOKUP(F264,Declarations!B$6:C$293,2,FALSE)="","NOT DECLARED",VLOOKUP(F264,Declarations!B$6:C$293,2,FALSE)))</f>
        <v/>
      </c>
      <c r="J264" s="2">
        <f>IF(LOWER(LEFT(G264,1))="n",1,VLOOKUP(G264,ScoringTable!E$2:I$95,5))</f>
        <v>0</v>
      </c>
      <c r="K264" s="120" t="str" cm="1">
        <f t="array" ref="K264">IF(OR(E264="",G264=""),"",_xlfn.IFS(E264="U10B",_xlfn.XLOOKUP(G264,Data!$D$4:$L$4,Data!$D$1:$L$1,"",-1,1),E264="U12B",_xlfn.XLOOKUP(G264,Data!$D$11:$L$11,Data!$D$1:$L$1,"",-1,1),E264="U10G",_xlfn.XLOOKUP(G264,Data!$D$17:$L$17,Data!$D$1:$L$1,"",-1,1),E264="U12G",_xlfn.XLOOKUP(G264,Data!$D$24:$L$24,Data!$D$1:$L$1,"",-1,1)))</f>
        <v/>
      </c>
      <c r="L264" s="184" t="str" cm="1">
        <f t="array" ref="L264">IFERROR(_xlfn.IFNA(
                      _xlfn.IFS(
                      F264="", "",
                      AND(E264="U10B",G264&gt;=Data!$M$4), "U10 Boys record",
                      AND(E264="U12B",G264&gt;=Data!$M$11), "U12 Boys record",
                      AND(E264="U10G",G264&gt;=Data!$M$17), "U10 Girls record",
                      AND(E264="U12G",G264&gt;=Data!$M$24), "U12 Girls record"
                       ),""), "")</f>
        <v/>
      </c>
      <c r="M264" s="19" cm="1">
        <f t="array" ref="M264">_xlfn.IFS($G264="",0,AND(NOT(ISNUMBER($G264)),LOWER(LEFT($G264,1))&lt;&gt;"n"),"Not a valid distance",OR(LOWER(LEFT($G264,1))="n",$G264&lt;ScoringTable!$P$161),1,RIGHT($E264,1)="B",_xlfn.XLOOKUP($G264,ScoringTable!$P$2:$P$161,ScoringTable!$L$2:$L$161,,-1),TRUE,_xlfn.XLOOKUP($G264,ScoringTable!$V$2:$V$161,ScoringTable!$R$2:$R$161,,-1))</f>
        <v>0</v>
      </c>
    </row>
    <row r="265" spans="1:13" ht="16" customHeight="1">
      <c r="A265" s="82" t="s">
        <v>27</v>
      </c>
      <c r="B265" s="81" t="str">
        <f>IF(ISNA(VLOOKUP($F265,Declarations!B$6:C$293,2,FALSE)),"",IF(VLOOKUP($F265,Declarations!B$6:C$293,2,FALSE)="","NOT DECLARED",IF(ISNA(_xlfn.TEXTBEFORE(VLOOKUP($F265,Declarations!B$6:C$293,2,FALSE)," ")),VLOOKUP($F265,Declarations!B$6:C$293,2,FALSE),_xlfn.TEXTBEFORE(VLOOKUP($F265,Declarations!B$6:C$293,2,FALSE)," "))))</f>
        <v/>
      </c>
      <c r="C265" s="81" t="str">
        <f>IF(ISNA(VLOOKUP($F265,Declarations!B$6:C$293,2,FALSE)),"",IF(VLOOKUP($F265,Declarations!B$6:C$293,2,FALSE)="","NOT DECLARED",IF(ISNA(_xlfn.TEXTAFTER(VLOOKUP($F265,Declarations!B$6:C$293,2,FALSE)," ")),VLOOKUP($F265,Declarations!B$6:C$293,2,FALSE),_xlfn.TEXTAFTER(VLOOKUP($F265,Declarations!B$6:C$293,2,FALSE)," "))))</f>
        <v/>
      </c>
      <c r="D265" s="81" t="str">
        <f>IF(ISNA(VLOOKUP($F265,Declarations!$B$6:$F$293,5,FALSE)),"",IF(VLOOKUP($F265,Declarations!$B$6:$F$293,5,FALSE)="","NOT DECLARED",VLOOKUP($F265,Declarations!$B$6:$F$293,5,FALSE)))</f>
        <v/>
      </c>
      <c r="E265" s="120" t="str">
        <f>IF(ISNA(VLOOKUP($F265,Declarations!$B$6:$D$293,3,FALSE)),"",IF(VLOOKUP($F265,Declarations!$B$6:$D$293,3,FALSE)="","NOT DECLARED",VLOOKUP($F265,Declarations!$B$6:$D$293,3,FALSE)&amp;LEFT(VLOOKUP($F265,Declarations!$B$6:$E$293,4,FALSE))))</f>
        <v/>
      </c>
      <c r="F265" s="21"/>
      <c r="G265" s="22"/>
      <c r="H265" s="322"/>
      <c r="I265" s="8" t="str">
        <f>IF(ISNA(VLOOKUP(F265,Declarations!B$6:C$293,2,FALSE)),"",IF(VLOOKUP(F265,Declarations!B$6:C$293,2,FALSE)="","NOT DECLARED",VLOOKUP(F265,Declarations!B$6:C$293,2,FALSE)))</f>
        <v/>
      </c>
      <c r="J265" s="2">
        <f>IF(LOWER(LEFT(G265,1))="n",1,VLOOKUP(G265,ScoringTable!E$2:I$95,5))</f>
        <v>0</v>
      </c>
      <c r="K265" s="120" t="str" cm="1">
        <f t="array" ref="K265">IF(OR(E265="",G265=""),"",_xlfn.IFS(E265="U10B",_xlfn.XLOOKUP(G265,Data!$D$4:$L$4,Data!$D$1:$L$1,"",-1,1),E265="U12B",_xlfn.XLOOKUP(G265,Data!$D$11:$L$11,Data!$D$1:$L$1,"",-1,1),E265="U10G",_xlfn.XLOOKUP(G265,Data!$D$17:$L$17,Data!$D$1:$L$1,"",-1,1),E265="U12G",_xlfn.XLOOKUP(G265,Data!$D$24:$L$24,Data!$D$1:$L$1,"",-1,1)))</f>
        <v/>
      </c>
      <c r="L265" s="184" t="str" cm="1">
        <f t="array" ref="L265">IFERROR(_xlfn.IFNA(
                      _xlfn.IFS(
                      F265="", "",
                      AND(E265="U10B",G265&gt;=Data!$M$4), "U10 Boys record",
                      AND(E265="U12B",G265&gt;=Data!$M$11), "U12 Boys record",
                      AND(E265="U10G",G265&gt;=Data!$M$17), "U10 Girls record",
                      AND(E265="U12G",G265&gt;=Data!$M$24), "U12 Girls record"
                       ),""), "")</f>
        <v/>
      </c>
      <c r="M265" s="19" cm="1">
        <f t="array" ref="M265">_xlfn.IFS($G265="",0,AND(NOT(ISNUMBER($G265)),LOWER(LEFT($G265,1))&lt;&gt;"n"),"Not a valid distance",OR(LOWER(LEFT($G265,1))="n",$G265&lt;ScoringTable!$P$161),1,RIGHT($E265,1)="B",_xlfn.XLOOKUP($G265,ScoringTable!$P$2:$P$161,ScoringTable!$L$2:$L$161,,-1),TRUE,_xlfn.XLOOKUP($G265,ScoringTable!$V$2:$V$161,ScoringTable!$R$2:$R$161,,-1))</f>
        <v>0</v>
      </c>
    </row>
    <row r="266" spans="1:13" ht="16" customHeight="1">
      <c r="A266" s="82" t="s">
        <v>27</v>
      </c>
      <c r="B266" s="81" t="str">
        <f>IF(ISNA(VLOOKUP($F266,Declarations!B$6:C$293,2,FALSE)),"",IF(VLOOKUP($F266,Declarations!B$6:C$293,2,FALSE)="","NOT DECLARED",IF(ISNA(_xlfn.TEXTBEFORE(VLOOKUP($F266,Declarations!B$6:C$293,2,FALSE)," ")),VLOOKUP($F266,Declarations!B$6:C$293,2,FALSE),_xlfn.TEXTBEFORE(VLOOKUP($F266,Declarations!B$6:C$293,2,FALSE)," "))))</f>
        <v/>
      </c>
      <c r="C266" s="81" t="str">
        <f>IF(ISNA(VLOOKUP($F266,Declarations!B$6:C$293,2,FALSE)),"",IF(VLOOKUP($F266,Declarations!B$6:C$293,2,FALSE)="","NOT DECLARED",IF(ISNA(_xlfn.TEXTAFTER(VLOOKUP($F266,Declarations!B$6:C$293,2,FALSE)," ")),VLOOKUP($F266,Declarations!B$6:C$293,2,FALSE),_xlfn.TEXTAFTER(VLOOKUP($F266,Declarations!B$6:C$293,2,FALSE)," "))))</f>
        <v/>
      </c>
      <c r="D266" s="81" t="str">
        <f>IF(ISNA(VLOOKUP($F266,Declarations!$B$6:$F$293,5,FALSE)),"",IF(VLOOKUP($F266,Declarations!$B$6:$F$293,5,FALSE)="","NOT DECLARED",VLOOKUP($F266,Declarations!$B$6:$F$293,5,FALSE)))</f>
        <v/>
      </c>
      <c r="E266" s="120" t="str">
        <f>IF(ISNA(VLOOKUP($F266,Declarations!$B$6:$D$293,3,FALSE)),"",IF(VLOOKUP($F266,Declarations!$B$6:$D$293,3,FALSE)="","NOT DECLARED",VLOOKUP($F266,Declarations!$B$6:$D$293,3,FALSE)&amp;LEFT(VLOOKUP($F266,Declarations!$B$6:$E$293,4,FALSE))))</f>
        <v/>
      </c>
      <c r="F266" s="21"/>
      <c r="G266" s="22"/>
      <c r="H266" s="322"/>
      <c r="I266" s="8" t="str">
        <f>IF(ISNA(VLOOKUP(F266,Declarations!B$6:C$293,2,FALSE)),"",IF(VLOOKUP(F266,Declarations!B$6:C$293,2,FALSE)="","NOT DECLARED",VLOOKUP(F266,Declarations!B$6:C$293,2,FALSE)))</f>
        <v/>
      </c>
      <c r="J266" s="2">
        <f>IF(LOWER(LEFT(G266,1))="n",1,VLOOKUP(G266,ScoringTable!E$2:I$95,5))</f>
        <v>0</v>
      </c>
      <c r="K266" s="120" t="str" cm="1">
        <f t="array" ref="K266">IF(OR(E266="",G266=""),"",_xlfn.IFS(E266="U10B",_xlfn.XLOOKUP(G266,Data!$D$4:$L$4,Data!$D$1:$L$1,"",-1,1),E266="U12B",_xlfn.XLOOKUP(G266,Data!$D$11:$L$11,Data!$D$1:$L$1,"",-1,1),E266="U10G",_xlfn.XLOOKUP(G266,Data!$D$17:$L$17,Data!$D$1:$L$1,"",-1,1),E266="U12G",_xlfn.XLOOKUP(G266,Data!$D$24:$L$24,Data!$D$1:$L$1,"",-1,1)))</f>
        <v/>
      </c>
      <c r="L266" s="184" t="str" cm="1">
        <f t="array" ref="L266">IFERROR(_xlfn.IFNA(
                      _xlfn.IFS(
                      F266="", "",
                      AND(E266="U10B",G266&gt;=Data!$M$4), "U10 Boys record",
                      AND(E266="U12B",G266&gt;=Data!$M$11), "U12 Boys record",
                      AND(E266="U10G",G266&gt;=Data!$M$17), "U10 Girls record",
                      AND(E266="U12G",G266&gt;=Data!$M$24), "U12 Girls record"
                       ),""), "")</f>
        <v/>
      </c>
      <c r="M266" s="19" cm="1">
        <f t="array" ref="M266">_xlfn.IFS($G266="",0,AND(NOT(ISNUMBER($G266)),LOWER(LEFT($G266,1))&lt;&gt;"n"),"Not a valid distance",OR(LOWER(LEFT($G266,1))="n",$G266&lt;ScoringTable!$P$161),1,RIGHT($E266,1)="B",_xlfn.XLOOKUP($G266,ScoringTable!$P$2:$P$161,ScoringTable!$L$2:$L$161,,-1),TRUE,_xlfn.XLOOKUP($G266,ScoringTable!$V$2:$V$161,ScoringTable!$R$2:$R$161,,-1))</f>
        <v>0</v>
      </c>
    </row>
    <row r="267" spans="1:13" ht="16" customHeight="1">
      <c r="A267" s="82" t="s">
        <v>27</v>
      </c>
      <c r="B267" s="81" t="str">
        <f>IF(ISNA(VLOOKUP($F267,Declarations!B$6:C$293,2,FALSE)),"",IF(VLOOKUP($F267,Declarations!B$6:C$293,2,FALSE)="","NOT DECLARED",IF(ISNA(_xlfn.TEXTBEFORE(VLOOKUP($F267,Declarations!B$6:C$293,2,FALSE)," ")),VLOOKUP($F267,Declarations!B$6:C$293,2,FALSE),_xlfn.TEXTBEFORE(VLOOKUP($F267,Declarations!B$6:C$293,2,FALSE)," "))))</f>
        <v/>
      </c>
      <c r="C267" s="81" t="str">
        <f>IF(ISNA(VLOOKUP($F267,Declarations!B$6:C$293,2,FALSE)),"",IF(VLOOKUP($F267,Declarations!B$6:C$293,2,FALSE)="","NOT DECLARED",IF(ISNA(_xlfn.TEXTAFTER(VLOOKUP($F267,Declarations!B$6:C$293,2,FALSE)," ")),VLOOKUP($F267,Declarations!B$6:C$293,2,FALSE),_xlfn.TEXTAFTER(VLOOKUP($F267,Declarations!B$6:C$293,2,FALSE)," "))))</f>
        <v/>
      </c>
      <c r="D267" s="81" t="str">
        <f>IF(ISNA(VLOOKUP($F267,Declarations!$B$6:$F$293,5,FALSE)),"",IF(VLOOKUP($F267,Declarations!$B$6:$F$293,5,FALSE)="","NOT DECLARED",VLOOKUP($F267,Declarations!$B$6:$F$293,5,FALSE)))</f>
        <v/>
      </c>
      <c r="E267" s="120" t="str">
        <f>IF(ISNA(VLOOKUP($F267,Declarations!$B$6:$D$293,3,FALSE)),"",IF(VLOOKUP($F267,Declarations!$B$6:$D$293,3,FALSE)="","NOT DECLARED",VLOOKUP($F267,Declarations!$B$6:$D$293,3,FALSE)&amp;LEFT(VLOOKUP($F267,Declarations!$B$6:$E$293,4,FALSE))))</f>
        <v/>
      </c>
      <c r="F267" s="21"/>
      <c r="G267" s="22"/>
      <c r="H267" s="322"/>
      <c r="I267" s="8" t="str">
        <f>IF(ISNA(VLOOKUP(F267,Declarations!B$6:C$293,2,FALSE)),"",IF(VLOOKUP(F267,Declarations!B$6:C$293,2,FALSE)="","NOT DECLARED",VLOOKUP(F267,Declarations!B$6:C$293,2,FALSE)))</f>
        <v/>
      </c>
      <c r="J267" s="2">
        <f>IF(LOWER(LEFT(G267,1))="n",1,VLOOKUP(G267,ScoringTable!E$2:I$95,5))</f>
        <v>0</v>
      </c>
      <c r="K267" s="120" t="str" cm="1">
        <f t="array" ref="K267">IF(OR(E267="",G267=""),"",_xlfn.IFS(E267="U10B",_xlfn.XLOOKUP(G267,Data!$D$4:$L$4,Data!$D$1:$L$1,"",-1,1),E267="U12B",_xlfn.XLOOKUP(G267,Data!$D$11:$L$11,Data!$D$1:$L$1,"",-1,1),E267="U10G",_xlfn.XLOOKUP(G267,Data!$D$17:$L$17,Data!$D$1:$L$1,"",-1,1),E267="U12G",_xlfn.XLOOKUP(G267,Data!$D$24:$L$24,Data!$D$1:$L$1,"",-1,1)))</f>
        <v/>
      </c>
      <c r="L267" s="184" t="str" cm="1">
        <f t="array" ref="L267">IFERROR(_xlfn.IFNA(
                      _xlfn.IFS(
                      F267="", "",
                      AND(E267="U10B",G267&gt;=Data!$M$4), "U10 Boys record",
                      AND(E267="U12B",G267&gt;=Data!$M$11), "U12 Boys record",
                      AND(E267="U10G",G267&gt;=Data!$M$17), "U10 Girls record",
                      AND(E267="U12G",G267&gt;=Data!$M$24), "U12 Girls record"
                       ),""), "")</f>
        <v/>
      </c>
      <c r="M267" s="19" cm="1">
        <f t="array" ref="M267">_xlfn.IFS($G267="",0,AND(NOT(ISNUMBER($G267)),LOWER(LEFT($G267,1))&lt;&gt;"n"),"Not a valid distance",OR(LOWER(LEFT($G267,1))="n",$G267&lt;ScoringTable!$P$161),1,RIGHT($E267,1)="B",_xlfn.XLOOKUP($G267,ScoringTable!$P$2:$P$161,ScoringTable!$L$2:$L$161,,-1),TRUE,_xlfn.XLOOKUP($G267,ScoringTable!$V$2:$V$161,ScoringTable!$R$2:$R$161,,-1))</f>
        <v>0</v>
      </c>
    </row>
    <row r="268" spans="1:13" ht="16" customHeight="1">
      <c r="A268" s="82" t="s">
        <v>27</v>
      </c>
      <c r="B268" s="81" t="str">
        <f>IF(ISNA(VLOOKUP($F268,Declarations!B$6:C$293,2,FALSE)),"",IF(VLOOKUP($F268,Declarations!B$6:C$293,2,FALSE)="","NOT DECLARED",IF(ISNA(_xlfn.TEXTBEFORE(VLOOKUP($F268,Declarations!B$6:C$293,2,FALSE)," ")),VLOOKUP($F268,Declarations!B$6:C$293,2,FALSE),_xlfn.TEXTBEFORE(VLOOKUP($F268,Declarations!B$6:C$293,2,FALSE)," "))))</f>
        <v/>
      </c>
      <c r="C268" s="81" t="str">
        <f>IF(ISNA(VLOOKUP($F268,Declarations!B$6:C$293,2,FALSE)),"",IF(VLOOKUP($F268,Declarations!B$6:C$293,2,FALSE)="","NOT DECLARED",IF(ISNA(_xlfn.TEXTAFTER(VLOOKUP($F268,Declarations!B$6:C$293,2,FALSE)," ")),VLOOKUP($F268,Declarations!B$6:C$293,2,FALSE),_xlfn.TEXTAFTER(VLOOKUP($F268,Declarations!B$6:C$293,2,FALSE)," "))))</f>
        <v/>
      </c>
      <c r="D268" s="81" t="str">
        <f>IF(ISNA(VLOOKUP($F268,Declarations!$B$6:$F$293,5,FALSE)),"",IF(VLOOKUP($F268,Declarations!$B$6:$F$293,5,FALSE)="","NOT DECLARED",VLOOKUP($F268,Declarations!$B$6:$F$293,5,FALSE)))</f>
        <v/>
      </c>
      <c r="E268" s="120" t="str">
        <f>IF(ISNA(VLOOKUP($F268,Declarations!$B$6:$D$293,3,FALSE)),"",IF(VLOOKUP($F268,Declarations!$B$6:$D$293,3,FALSE)="","NOT DECLARED",VLOOKUP($F268,Declarations!$B$6:$D$293,3,FALSE)&amp;LEFT(VLOOKUP($F268,Declarations!$B$6:$E$293,4,FALSE))))</f>
        <v/>
      </c>
      <c r="F268" s="21"/>
      <c r="G268" s="22"/>
      <c r="H268" s="322"/>
      <c r="I268" s="8" t="str">
        <f>IF(ISNA(VLOOKUP(F268,Declarations!B$6:C$293,2,FALSE)),"",IF(VLOOKUP(F268,Declarations!B$6:C$293,2,FALSE)="","NOT DECLARED",VLOOKUP(F268,Declarations!B$6:C$293,2,FALSE)))</f>
        <v/>
      </c>
      <c r="J268" s="2">
        <f>IF(LOWER(LEFT(G268,1))="n",1,VLOOKUP(G268,ScoringTable!E$2:I$95,5))</f>
        <v>0</v>
      </c>
      <c r="K268" s="120" t="str" cm="1">
        <f t="array" ref="K268">IF(OR(E268="",G268=""),"",_xlfn.IFS(E268="U10B",_xlfn.XLOOKUP(G268,Data!$D$4:$L$4,Data!$D$1:$L$1,"",-1,1),E268="U12B",_xlfn.XLOOKUP(G268,Data!$D$11:$L$11,Data!$D$1:$L$1,"",-1,1),E268="U10G",_xlfn.XLOOKUP(G268,Data!$D$17:$L$17,Data!$D$1:$L$1,"",-1,1),E268="U12G",_xlfn.XLOOKUP(G268,Data!$D$24:$L$24,Data!$D$1:$L$1,"",-1,1)))</f>
        <v/>
      </c>
      <c r="L268" s="184" t="str" cm="1">
        <f t="array" ref="L268">IFERROR(_xlfn.IFNA(
                      _xlfn.IFS(
                      F268="", "",
                      AND(E268="U10B",G268&gt;=Data!$M$4), "U10 Boys record",
                      AND(E268="U12B",G268&gt;=Data!$M$11), "U12 Boys record",
                      AND(E268="U10G",G268&gt;=Data!$M$17), "U10 Girls record",
                      AND(E268="U12G",G268&gt;=Data!$M$24), "U12 Girls record"
                       ),""), "")</f>
        <v/>
      </c>
      <c r="M268" s="19" cm="1">
        <f t="array" ref="M268">_xlfn.IFS($G268="",0,AND(NOT(ISNUMBER($G268)),LOWER(LEFT($G268,1))&lt;&gt;"n"),"Not a valid distance",OR(LOWER(LEFT($G268,1))="n",$G268&lt;ScoringTable!$P$161),1,RIGHT($E268,1)="B",_xlfn.XLOOKUP($G268,ScoringTable!$P$2:$P$161,ScoringTable!$L$2:$L$161,,-1),TRUE,_xlfn.XLOOKUP($G268,ScoringTable!$V$2:$V$161,ScoringTable!$R$2:$R$161,,-1))</f>
        <v>0</v>
      </c>
    </row>
    <row r="269" spans="1:13" ht="16" customHeight="1">
      <c r="A269" s="82" t="s">
        <v>27</v>
      </c>
      <c r="B269" s="81" t="str">
        <f>IF(ISNA(VLOOKUP($F269,Declarations!B$6:C$293,2,FALSE)),"",IF(VLOOKUP($F269,Declarations!B$6:C$293,2,FALSE)="","NOT DECLARED",IF(ISNA(_xlfn.TEXTBEFORE(VLOOKUP($F269,Declarations!B$6:C$293,2,FALSE)," ")),VLOOKUP($F269,Declarations!B$6:C$293,2,FALSE),_xlfn.TEXTBEFORE(VLOOKUP($F269,Declarations!B$6:C$293,2,FALSE)," "))))</f>
        <v/>
      </c>
      <c r="C269" s="81" t="str">
        <f>IF(ISNA(VLOOKUP($F269,Declarations!B$6:C$293,2,FALSE)),"",IF(VLOOKUP($F269,Declarations!B$6:C$293,2,FALSE)="","NOT DECLARED",IF(ISNA(_xlfn.TEXTAFTER(VLOOKUP($F269,Declarations!B$6:C$293,2,FALSE)," ")),VLOOKUP($F269,Declarations!B$6:C$293,2,FALSE),_xlfn.TEXTAFTER(VLOOKUP($F269,Declarations!B$6:C$293,2,FALSE)," "))))</f>
        <v/>
      </c>
      <c r="D269" s="81" t="str">
        <f>IF(ISNA(VLOOKUP($F269,Declarations!$B$6:$F$293,5,FALSE)),"",IF(VLOOKUP($F269,Declarations!$B$6:$F$293,5,FALSE)="","NOT DECLARED",VLOOKUP($F269,Declarations!$B$6:$F$293,5,FALSE)))</f>
        <v/>
      </c>
      <c r="E269" s="120" t="str">
        <f>IF(ISNA(VLOOKUP($F269,Declarations!$B$6:$D$293,3,FALSE)),"",IF(VLOOKUP($F269,Declarations!$B$6:$D$293,3,FALSE)="","NOT DECLARED",VLOOKUP($F269,Declarations!$B$6:$D$293,3,FALSE)&amp;LEFT(VLOOKUP($F269,Declarations!$B$6:$E$293,4,FALSE))))</f>
        <v/>
      </c>
      <c r="F269" s="21"/>
      <c r="G269" s="22"/>
      <c r="H269" s="322"/>
      <c r="I269" s="8" t="str">
        <f>IF(ISNA(VLOOKUP(F269,Declarations!B$6:C$293,2,FALSE)),"",IF(VLOOKUP(F269,Declarations!B$6:C$293,2,FALSE)="","NOT DECLARED",VLOOKUP(F269,Declarations!B$6:C$293,2,FALSE)))</f>
        <v/>
      </c>
      <c r="J269" s="2">
        <f>IF(LOWER(LEFT(G269,1))="n",1,VLOOKUP(G269,ScoringTable!E$2:I$95,5))</f>
        <v>0</v>
      </c>
      <c r="K269" s="120" t="str" cm="1">
        <f t="array" ref="K269">IF(OR(E269="",G269=""),"",_xlfn.IFS(E269="U10B",_xlfn.XLOOKUP(G269,Data!$D$4:$L$4,Data!$D$1:$L$1,"",-1,1),E269="U12B",_xlfn.XLOOKUP(G269,Data!$D$11:$L$11,Data!$D$1:$L$1,"",-1,1),E269="U10G",_xlfn.XLOOKUP(G269,Data!$D$17:$L$17,Data!$D$1:$L$1,"",-1,1),E269="U12G",_xlfn.XLOOKUP(G269,Data!$D$24:$L$24,Data!$D$1:$L$1,"",-1,1)))</f>
        <v/>
      </c>
      <c r="L269" s="184" t="str" cm="1">
        <f t="array" ref="L269">IFERROR(_xlfn.IFNA(
                      _xlfn.IFS(
                      F269="", "",
                      AND(E269="U10B",G269&gt;=Data!$M$4), "U10 Boys record",
                      AND(E269="U12B",G269&gt;=Data!$M$11), "U12 Boys record",
                      AND(E269="U10G",G269&gt;=Data!$M$17), "U10 Girls record",
                      AND(E269="U12G",G269&gt;=Data!$M$24), "U12 Girls record"
                       ),""), "")</f>
        <v/>
      </c>
      <c r="M269" s="19" cm="1">
        <f t="array" ref="M269">_xlfn.IFS($G269="",0,AND(NOT(ISNUMBER($G269)),LOWER(LEFT($G269,1))&lt;&gt;"n"),"Not a valid distance",OR(LOWER(LEFT($G269,1))="n",$G269&lt;ScoringTable!$P$161),1,RIGHT($E269,1)="B",_xlfn.XLOOKUP($G269,ScoringTable!$P$2:$P$161,ScoringTable!$L$2:$L$161,,-1),TRUE,_xlfn.XLOOKUP($G269,ScoringTable!$V$2:$V$161,ScoringTable!$R$2:$R$161,,-1))</f>
        <v>0</v>
      </c>
    </row>
    <row r="270" spans="1:13" ht="16" customHeight="1">
      <c r="A270" s="82" t="s">
        <v>27</v>
      </c>
      <c r="B270" s="81" t="str">
        <f>IF(ISNA(VLOOKUP($F270,Declarations!B$6:C$293,2,FALSE)),"",IF(VLOOKUP($F270,Declarations!B$6:C$293,2,FALSE)="","NOT DECLARED",IF(ISNA(_xlfn.TEXTBEFORE(VLOOKUP($F270,Declarations!B$6:C$293,2,FALSE)," ")),VLOOKUP($F270,Declarations!B$6:C$293,2,FALSE),_xlfn.TEXTBEFORE(VLOOKUP($F270,Declarations!B$6:C$293,2,FALSE)," "))))</f>
        <v/>
      </c>
      <c r="C270" s="81" t="str">
        <f>IF(ISNA(VLOOKUP($F270,Declarations!B$6:C$293,2,FALSE)),"",IF(VLOOKUP($F270,Declarations!B$6:C$293,2,FALSE)="","NOT DECLARED",IF(ISNA(_xlfn.TEXTAFTER(VLOOKUP($F270,Declarations!B$6:C$293,2,FALSE)," ")),VLOOKUP($F270,Declarations!B$6:C$293,2,FALSE),_xlfn.TEXTAFTER(VLOOKUP($F270,Declarations!B$6:C$293,2,FALSE)," "))))</f>
        <v/>
      </c>
      <c r="D270" s="81" t="str">
        <f>IF(ISNA(VLOOKUP($F270,Declarations!$B$6:$F$293,5,FALSE)),"",IF(VLOOKUP($F270,Declarations!$B$6:$F$293,5,FALSE)="","NOT DECLARED",VLOOKUP($F270,Declarations!$B$6:$F$293,5,FALSE)))</f>
        <v/>
      </c>
      <c r="E270" s="120" t="str">
        <f>IF(ISNA(VLOOKUP($F270,Declarations!$B$6:$D$293,3,FALSE)),"",IF(VLOOKUP($F270,Declarations!$B$6:$D$293,3,FALSE)="","NOT DECLARED",VLOOKUP($F270,Declarations!$B$6:$D$293,3,FALSE)&amp;LEFT(VLOOKUP($F270,Declarations!$B$6:$E$293,4,FALSE))))</f>
        <v/>
      </c>
      <c r="F270" s="21"/>
      <c r="G270" s="22"/>
      <c r="H270" s="322"/>
      <c r="I270" s="8" t="str">
        <f>IF(ISNA(VLOOKUP(F270,Declarations!B$6:C$293,2,FALSE)),"",IF(VLOOKUP(F270,Declarations!B$6:C$293,2,FALSE)="","NOT DECLARED",VLOOKUP(F270,Declarations!B$6:C$293,2,FALSE)))</f>
        <v/>
      </c>
      <c r="J270" s="2">
        <f>IF(LOWER(LEFT(G270,1))="n",1,VLOOKUP(G270,ScoringTable!E$2:I$95,5))</f>
        <v>0</v>
      </c>
      <c r="K270" s="120" t="str" cm="1">
        <f t="array" ref="K270">IF(OR(E270="",G270=""),"",_xlfn.IFS(E270="U10B",_xlfn.XLOOKUP(G270,Data!$D$4:$L$4,Data!$D$1:$L$1,"",-1,1),E270="U12B",_xlfn.XLOOKUP(G270,Data!$D$11:$L$11,Data!$D$1:$L$1,"",-1,1),E270="U10G",_xlfn.XLOOKUP(G270,Data!$D$17:$L$17,Data!$D$1:$L$1,"",-1,1),E270="U12G",_xlfn.XLOOKUP(G270,Data!$D$24:$L$24,Data!$D$1:$L$1,"",-1,1)))</f>
        <v/>
      </c>
      <c r="L270" s="184" t="str" cm="1">
        <f t="array" ref="L270">IFERROR(_xlfn.IFNA(
                      _xlfn.IFS(
                      F270="", "",
                      AND(E270="U10B",G270&gt;=Data!$M$4), "U10 Boys record",
                      AND(E270="U12B",G270&gt;=Data!$M$11), "U12 Boys record",
                      AND(E270="U10G",G270&gt;=Data!$M$17), "U10 Girls record",
                      AND(E270="U12G",G270&gt;=Data!$M$24), "U12 Girls record"
                       ),""), "")</f>
        <v/>
      </c>
      <c r="M270" s="19" cm="1">
        <f t="array" ref="M270">_xlfn.IFS($G270="",0,AND(NOT(ISNUMBER($G270)),LOWER(LEFT($G270,1))&lt;&gt;"n"),"Not a valid distance",OR(LOWER(LEFT($G270,1))="n",$G270&lt;ScoringTable!$P$161),1,RIGHT($E270,1)="B",_xlfn.XLOOKUP($G270,ScoringTable!$P$2:$P$161,ScoringTable!$L$2:$L$161,,-1),TRUE,_xlfn.XLOOKUP($G270,ScoringTable!$V$2:$V$161,ScoringTable!$R$2:$R$161,,-1))</f>
        <v>0</v>
      </c>
    </row>
    <row r="271" spans="1:13" ht="16" customHeight="1">
      <c r="A271" s="82" t="s">
        <v>27</v>
      </c>
      <c r="B271" s="81" t="str">
        <f>IF(ISNA(VLOOKUP($F271,Declarations!B$6:C$293,2,FALSE)),"",IF(VLOOKUP($F271,Declarations!B$6:C$293,2,FALSE)="","NOT DECLARED",IF(ISNA(_xlfn.TEXTBEFORE(VLOOKUP($F271,Declarations!B$6:C$293,2,FALSE)," ")),VLOOKUP($F271,Declarations!B$6:C$293,2,FALSE),_xlfn.TEXTBEFORE(VLOOKUP($F271,Declarations!B$6:C$293,2,FALSE)," "))))</f>
        <v/>
      </c>
      <c r="C271" s="81" t="str">
        <f>IF(ISNA(VLOOKUP($F271,Declarations!B$6:C$293,2,FALSE)),"",IF(VLOOKUP($F271,Declarations!B$6:C$293,2,FALSE)="","NOT DECLARED",IF(ISNA(_xlfn.TEXTAFTER(VLOOKUP($F271,Declarations!B$6:C$293,2,FALSE)," ")),VLOOKUP($F271,Declarations!B$6:C$293,2,FALSE),_xlfn.TEXTAFTER(VLOOKUP($F271,Declarations!B$6:C$293,2,FALSE)," "))))</f>
        <v/>
      </c>
      <c r="D271" s="81" t="str">
        <f>IF(ISNA(VLOOKUP($F271,Declarations!$B$6:$F$293,5,FALSE)),"",IF(VLOOKUP($F271,Declarations!$B$6:$F$293,5,FALSE)="","NOT DECLARED",VLOOKUP($F271,Declarations!$B$6:$F$293,5,FALSE)))</f>
        <v/>
      </c>
      <c r="E271" s="120" t="str">
        <f>IF(ISNA(VLOOKUP($F271,Declarations!$B$6:$D$293,3,FALSE)),"",IF(VLOOKUP($F271,Declarations!$B$6:$D$293,3,FALSE)="","NOT DECLARED",VLOOKUP($F271,Declarations!$B$6:$D$293,3,FALSE)&amp;LEFT(VLOOKUP($F271,Declarations!$B$6:$E$293,4,FALSE))))</f>
        <v/>
      </c>
      <c r="F271" s="21"/>
      <c r="G271" s="22"/>
      <c r="H271" s="322"/>
      <c r="I271" s="8" t="str">
        <f>IF(ISNA(VLOOKUP(F271,Declarations!B$6:C$293,2,FALSE)),"",IF(VLOOKUP(F271,Declarations!B$6:C$293,2,FALSE)="","NOT DECLARED",VLOOKUP(F271,Declarations!B$6:C$293,2,FALSE)))</f>
        <v/>
      </c>
      <c r="J271" s="2">
        <f>IF(LOWER(LEFT(G271,1))="n",1,VLOOKUP(G271,ScoringTable!E$2:I$95,5))</f>
        <v>0</v>
      </c>
      <c r="K271" s="120" t="str" cm="1">
        <f t="array" ref="K271">IF(OR(E271="",G271=""),"",_xlfn.IFS(E271="U10B",_xlfn.XLOOKUP(G271,Data!$D$4:$L$4,Data!$D$1:$L$1,"",-1,1),E271="U12B",_xlfn.XLOOKUP(G271,Data!$D$11:$L$11,Data!$D$1:$L$1,"",-1,1),E271="U10G",_xlfn.XLOOKUP(G271,Data!$D$17:$L$17,Data!$D$1:$L$1,"",-1,1),E271="U12G",_xlfn.XLOOKUP(G271,Data!$D$24:$L$24,Data!$D$1:$L$1,"",-1,1)))</f>
        <v/>
      </c>
      <c r="L271" s="184" t="str" cm="1">
        <f t="array" ref="L271">IFERROR(_xlfn.IFNA(
                      _xlfn.IFS(
                      F271="", "",
                      AND(E271="U10B",G271&gt;=Data!$M$4), "U10 Boys record",
                      AND(E271="U12B",G271&gt;=Data!$M$11), "U12 Boys record",
                      AND(E271="U10G",G271&gt;=Data!$M$17), "U10 Girls record",
                      AND(E271="U12G",G271&gt;=Data!$M$24), "U12 Girls record"
                       ),""), "")</f>
        <v/>
      </c>
      <c r="M271" s="19" cm="1">
        <f t="array" ref="M271">_xlfn.IFS($G271="",0,AND(NOT(ISNUMBER($G271)),LOWER(LEFT($G271,1))&lt;&gt;"n"),"Not a valid distance",OR(LOWER(LEFT($G271,1))="n",$G271&lt;ScoringTable!$P$161),1,RIGHT($E271,1)="B",_xlfn.XLOOKUP($G271,ScoringTable!$P$2:$P$161,ScoringTable!$L$2:$L$161,,-1),TRUE,_xlfn.XLOOKUP($G271,ScoringTable!$V$2:$V$161,ScoringTable!$R$2:$R$161,,-1))</f>
        <v>0</v>
      </c>
    </row>
    <row r="272" spans="1:13" ht="16" customHeight="1">
      <c r="A272" s="82" t="s">
        <v>27</v>
      </c>
      <c r="B272" s="81" t="str">
        <f>IF(ISNA(VLOOKUP($F272,Declarations!B$6:C$293,2,FALSE)),"",IF(VLOOKUP($F272,Declarations!B$6:C$293,2,FALSE)="","NOT DECLARED",IF(ISNA(_xlfn.TEXTBEFORE(VLOOKUP($F272,Declarations!B$6:C$293,2,FALSE)," ")),VLOOKUP($F272,Declarations!B$6:C$293,2,FALSE),_xlfn.TEXTBEFORE(VLOOKUP($F272,Declarations!B$6:C$293,2,FALSE)," "))))</f>
        <v/>
      </c>
      <c r="C272" s="81" t="str">
        <f>IF(ISNA(VLOOKUP($F272,Declarations!B$6:C$293,2,FALSE)),"",IF(VLOOKUP($F272,Declarations!B$6:C$293,2,FALSE)="","NOT DECLARED",IF(ISNA(_xlfn.TEXTAFTER(VLOOKUP($F272,Declarations!B$6:C$293,2,FALSE)," ")),VLOOKUP($F272,Declarations!B$6:C$293,2,FALSE),_xlfn.TEXTAFTER(VLOOKUP($F272,Declarations!B$6:C$293,2,FALSE)," "))))</f>
        <v/>
      </c>
      <c r="D272" s="81" t="str">
        <f>IF(ISNA(VLOOKUP($F272,Declarations!$B$6:$F$293,5,FALSE)),"",IF(VLOOKUP($F272,Declarations!$B$6:$F$293,5,FALSE)="","NOT DECLARED",VLOOKUP($F272,Declarations!$B$6:$F$293,5,FALSE)))</f>
        <v/>
      </c>
      <c r="E272" s="120" t="str">
        <f>IF(ISNA(VLOOKUP($F272,Declarations!$B$6:$D$293,3,FALSE)),"",IF(VLOOKUP($F272,Declarations!$B$6:$D$293,3,FALSE)="","NOT DECLARED",VLOOKUP($F272,Declarations!$B$6:$D$293,3,FALSE)&amp;LEFT(VLOOKUP($F272,Declarations!$B$6:$E$293,4,FALSE))))</f>
        <v/>
      </c>
      <c r="F272" s="21"/>
      <c r="G272" s="22"/>
      <c r="H272" s="322"/>
      <c r="I272" s="8" t="str">
        <f>IF(ISNA(VLOOKUP(F272,Declarations!B$6:C$293,2,FALSE)),"",IF(VLOOKUP(F272,Declarations!B$6:C$293,2,FALSE)="","NOT DECLARED",VLOOKUP(F272,Declarations!B$6:C$293,2,FALSE)))</f>
        <v/>
      </c>
      <c r="J272" s="2">
        <f>IF(LOWER(LEFT(G272,1))="n",1,VLOOKUP(G272,ScoringTable!E$2:I$95,5))</f>
        <v>0</v>
      </c>
      <c r="K272" s="120" t="str" cm="1">
        <f t="array" ref="K272">IF(OR(E272="",G272=""),"",_xlfn.IFS(E272="U10B",_xlfn.XLOOKUP(G272,Data!$D$4:$L$4,Data!$D$1:$L$1,"",-1,1),E272="U12B",_xlfn.XLOOKUP(G272,Data!$D$11:$L$11,Data!$D$1:$L$1,"",-1,1),E272="U10G",_xlfn.XLOOKUP(G272,Data!$D$17:$L$17,Data!$D$1:$L$1,"",-1,1),E272="U12G",_xlfn.XLOOKUP(G272,Data!$D$24:$L$24,Data!$D$1:$L$1,"",-1,1)))</f>
        <v/>
      </c>
      <c r="L272" s="184" t="str" cm="1">
        <f t="array" ref="L272">IFERROR(_xlfn.IFNA(
                      _xlfn.IFS(
                      F272="", "",
                      AND(E272="U10B",G272&gt;=Data!$M$4), "U10 Boys record",
                      AND(E272="U12B",G272&gt;=Data!$M$11), "U12 Boys record",
                      AND(E272="U10G",G272&gt;=Data!$M$17), "U10 Girls record",
                      AND(E272="U12G",G272&gt;=Data!$M$24), "U12 Girls record"
                       ),""), "")</f>
        <v/>
      </c>
      <c r="M272" s="19" cm="1">
        <f t="array" ref="M272">_xlfn.IFS($G272="",0,AND(NOT(ISNUMBER($G272)),LOWER(LEFT($G272,1))&lt;&gt;"n"),"Not a valid distance",OR(LOWER(LEFT($G272,1))="n",$G272&lt;ScoringTable!$P$161),1,RIGHT($E272,1)="B",_xlfn.XLOOKUP($G272,ScoringTable!$P$2:$P$161,ScoringTable!$L$2:$L$161,,-1),TRUE,_xlfn.XLOOKUP($G272,ScoringTable!$V$2:$V$161,ScoringTable!$R$2:$R$161,,-1))</f>
        <v>0</v>
      </c>
    </row>
    <row r="273" spans="1:13" ht="16" customHeight="1">
      <c r="A273" s="82" t="s">
        <v>27</v>
      </c>
      <c r="B273" s="81" t="str">
        <f>IF(ISNA(VLOOKUP($F273,Declarations!B$6:C$293,2,FALSE)),"",IF(VLOOKUP($F273,Declarations!B$6:C$293,2,FALSE)="","NOT DECLARED",IF(ISNA(_xlfn.TEXTBEFORE(VLOOKUP($F273,Declarations!B$6:C$293,2,FALSE)," ")),VLOOKUP($F273,Declarations!B$6:C$293,2,FALSE),_xlfn.TEXTBEFORE(VLOOKUP($F273,Declarations!B$6:C$293,2,FALSE)," "))))</f>
        <v/>
      </c>
      <c r="C273" s="81" t="str">
        <f>IF(ISNA(VLOOKUP($F273,Declarations!B$6:C$293,2,FALSE)),"",IF(VLOOKUP($F273,Declarations!B$6:C$293,2,FALSE)="","NOT DECLARED",IF(ISNA(_xlfn.TEXTAFTER(VLOOKUP($F273,Declarations!B$6:C$293,2,FALSE)," ")),VLOOKUP($F273,Declarations!B$6:C$293,2,FALSE),_xlfn.TEXTAFTER(VLOOKUP($F273,Declarations!B$6:C$293,2,FALSE)," "))))</f>
        <v/>
      </c>
      <c r="D273" s="81" t="str">
        <f>IF(ISNA(VLOOKUP($F273,Declarations!$B$6:$F$293,5,FALSE)),"",IF(VLOOKUP($F273,Declarations!$B$6:$F$293,5,FALSE)="","NOT DECLARED",VLOOKUP($F273,Declarations!$B$6:$F$293,5,FALSE)))</f>
        <v/>
      </c>
      <c r="E273" s="120" t="str">
        <f>IF(ISNA(VLOOKUP($F273,Declarations!$B$6:$D$293,3,FALSE)),"",IF(VLOOKUP($F273,Declarations!$B$6:$D$293,3,FALSE)="","NOT DECLARED",VLOOKUP($F273,Declarations!$B$6:$D$293,3,FALSE)&amp;LEFT(VLOOKUP($F273,Declarations!$B$6:$E$293,4,FALSE))))</f>
        <v/>
      </c>
      <c r="F273" s="21"/>
      <c r="G273" s="22"/>
      <c r="H273" s="322"/>
      <c r="I273" s="8" t="str">
        <f>IF(ISNA(VLOOKUP(F273,Declarations!B$6:C$293,2,FALSE)),"",IF(VLOOKUP(F273,Declarations!B$6:C$293,2,FALSE)="","NOT DECLARED",VLOOKUP(F273,Declarations!B$6:C$293,2,FALSE)))</f>
        <v/>
      </c>
      <c r="J273" s="2">
        <f>IF(LOWER(LEFT(G273,1))="n",1,VLOOKUP(G273,ScoringTable!E$2:I$95,5))</f>
        <v>0</v>
      </c>
      <c r="K273" s="120" t="str" cm="1">
        <f t="array" ref="K273">IF(OR(E273="",G273=""),"",_xlfn.IFS(E273="U10B",_xlfn.XLOOKUP(G273,Data!$D$4:$L$4,Data!$D$1:$L$1,"",-1,1),E273="U12B",_xlfn.XLOOKUP(G273,Data!$D$11:$L$11,Data!$D$1:$L$1,"",-1,1),E273="U10G",_xlfn.XLOOKUP(G273,Data!$D$17:$L$17,Data!$D$1:$L$1,"",-1,1),E273="U12G",_xlfn.XLOOKUP(G273,Data!$D$24:$L$24,Data!$D$1:$L$1,"",-1,1)))</f>
        <v/>
      </c>
      <c r="L273" s="184" t="str" cm="1">
        <f t="array" ref="L273">IFERROR(_xlfn.IFNA(
                      _xlfn.IFS(
                      F273="", "",
                      AND(E273="U10B",G273&gt;=Data!$M$4), "U10 Boys record",
                      AND(E273="U12B",G273&gt;=Data!$M$11), "U12 Boys record",
                      AND(E273="U10G",G273&gt;=Data!$M$17), "U10 Girls record",
                      AND(E273="U12G",G273&gt;=Data!$M$24), "U12 Girls record"
                       ),""), "")</f>
        <v/>
      </c>
      <c r="M273" s="19" cm="1">
        <f t="array" ref="M273">_xlfn.IFS($G273="",0,AND(NOT(ISNUMBER($G273)),LOWER(LEFT($G273,1))&lt;&gt;"n"),"Not a valid distance",OR(LOWER(LEFT($G273,1))="n",$G273&lt;ScoringTable!$P$161),1,RIGHT($E273,1)="B",_xlfn.XLOOKUP($G273,ScoringTable!$P$2:$P$161,ScoringTable!$L$2:$L$161,,-1),TRUE,_xlfn.XLOOKUP($G273,ScoringTable!$V$2:$V$161,ScoringTable!$R$2:$R$161,,-1))</f>
        <v>0</v>
      </c>
    </row>
    <row r="274" spans="1:13" ht="16" customHeight="1">
      <c r="A274" s="82" t="s">
        <v>27</v>
      </c>
      <c r="B274" s="81" t="str">
        <f>IF(ISNA(VLOOKUP($F274,Declarations!B$6:C$293,2,FALSE)),"",IF(VLOOKUP($F274,Declarations!B$6:C$293,2,FALSE)="","NOT DECLARED",IF(ISNA(_xlfn.TEXTBEFORE(VLOOKUP($F274,Declarations!B$6:C$293,2,FALSE)," ")),VLOOKUP($F274,Declarations!B$6:C$293,2,FALSE),_xlfn.TEXTBEFORE(VLOOKUP($F274,Declarations!B$6:C$293,2,FALSE)," "))))</f>
        <v/>
      </c>
      <c r="C274" s="81" t="str">
        <f>IF(ISNA(VLOOKUP($F274,Declarations!B$6:C$293,2,FALSE)),"",IF(VLOOKUP($F274,Declarations!B$6:C$293,2,FALSE)="","NOT DECLARED",IF(ISNA(_xlfn.TEXTAFTER(VLOOKUP($F274,Declarations!B$6:C$293,2,FALSE)," ")),VLOOKUP($F274,Declarations!B$6:C$293,2,FALSE),_xlfn.TEXTAFTER(VLOOKUP($F274,Declarations!B$6:C$293,2,FALSE)," "))))</f>
        <v/>
      </c>
      <c r="D274" s="81" t="str">
        <f>IF(ISNA(VLOOKUP($F274,Declarations!$B$6:$F$293,5,FALSE)),"",IF(VLOOKUP($F274,Declarations!$B$6:$F$293,5,FALSE)="","NOT DECLARED",VLOOKUP($F274,Declarations!$B$6:$F$293,5,FALSE)))</f>
        <v/>
      </c>
      <c r="E274" s="120" t="str">
        <f>IF(ISNA(VLOOKUP($F274,Declarations!$B$6:$D$293,3,FALSE)),"",IF(VLOOKUP($F274,Declarations!$B$6:$D$293,3,FALSE)="","NOT DECLARED",VLOOKUP($F274,Declarations!$B$6:$D$293,3,FALSE)&amp;LEFT(VLOOKUP($F274,Declarations!$B$6:$E$293,4,FALSE))))</f>
        <v/>
      </c>
      <c r="F274" s="21"/>
      <c r="G274" s="22"/>
      <c r="H274" s="322"/>
      <c r="I274" s="8" t="str">
        <f>IF(ISNA(VLOOKUP(F274,Declarations!B$6:C$293,2,FALSE)),"",IF(VLOOKUP(F274,Declarations!B$6:C$293,2,FALSE)="","NOT DECLARED",VLOOKUP(F274,Declarations!B$6:C$293,2,FALSE)))</f>
        <v/>
      </c>
      <c r="J274" s="2">
        <f>IF(LOWER(LEFT(G274,1))="n",1,VLOOKUP(G274,ScoringTable!E$2:I$95,5))</f>
        <v>0</v>
      </c>
      <c r="K274" s="120" t="str" cm="1">
        <f t="array" ref="K274">IF(OR(E274="",G274=""),"",_xlfn.IFS(E274="U10B",_xlfn.XLOOKUP(G274,Data!$D$4:$L$4,Data!$D$1:$L$1,"",-1,1),E274="U12B",_xlfn.XLOOKUP(G274,Data!$D$11:$L$11,Data!$D$1:$L$1,"",-1,1),E274="U10G",_xlfn.XLOOKUP(G274,Data!$D$17:$L$17,Data!$D$1:$L$1,"",-1,1),E274="U12G",_xlfn.XLOOKUP(G274,Data!$D$24:$L$24,Data!$D$1:$L$1,"",-1,1)))</f>
        <v/>
      </c>
      <c r="L274" s="184" t="str" cm="1">
        <f t="array" ref="L274">IFERROR(_xlfn.IFNA(
                      _xlfn.IFS(
                      F274="", "",
                      AND(E274="U10B",G274&gt;=Data!$M$4), "U10 Boys record",
                      AND(E274="U12B",G274&gt;=Data!$M$11), "U12 Boys record",
                      AND(E274="U10G",G274&gt;=Data!$M$17), "U10 Girls record",
                      AND(E274="U12G",G274&gt;=Data!$M$24), "U12 Girls record"
                       ),""), "")</f>
        <v/>
      </c>
      <c r="M274" s="19" cm="1">
        <f t="array" ref="M274">_xlfn.IFS($G274="",0,AND(NOT(ISNUMBER($G274)),LOWER(LEFT($G274,1))&lt;&gt;"n"),"Not a valid distance",OR(LOWER(LEFT($G274,1))="n",$G274&lt;ScoringTable!$P$161),1,RIGHT($E274,1)="B",_xlfn.XLOOKUP($G274,ScoringTable!$P$2:$P$161,ScoringTable!$L$2:$L$161,,-1),TRUE,_xlfn.XLOOKUP($G274,ScoringTable!$V$2:$V$161,ScoringTable!$R$2:$R$161,,-1))</f>
        <v>0</v>
      </c>
    </row>
    <row r="275" spans="1:13" ht="16" customHeight="1">
      <c r="A275" s="82" t="s">
        <v>27</v>
      </c>
      <c r="B275" s="81" t="str">
        <f>IF(ISNA(VLOOKUP($F275,Declarations!B$6:C$293,2,FALSE)),"",IF(VLOOKUP($F275,Declarations!B$6:C$293,2,FALSE)="","NOT DECLARED",IF(ISNA(_xlfn.TEXTBEFORE(VLOOKUP($F275,Declarations!B$6:C$293,2,FALSE)," ")),VLOOKUP($F275,Declarations!B$6:C$293,2,FALSE),_xlfn.TEXTBEFORE(VLOOKUP($F275,Declarations!B$6:C$293,2,FALSE)," "))))</f>
        <v/>
      </c>
      <c r="C275" s="81" t="str">
        <f>IF(ISNA(VLOOKUP($F275,Declarations!B$6:C$293,2,FALSE)),"",IF(VLOOKUP($F275,Declarations!B$6:C$293,2,FALSE)="","NOT DECLARED",IF(ISNA(_xlfn.TEXTAFTER(VLOOKUP($F275,Declarations!B$6:C$293,2,FALSE)," ")),VLOOKUP($F275,Declarations!B$6:C$293,2,FALSE),_xlfn.TEXTAFTER(VLOOKUP($F275,Declarations!B$6:C$293,2,FALSE)," "))))</f>
        <v/>
      </c>
      <c r="D275" s="81" t="str">
        <f>IF(ISNA(VLOOKUP($F275,Declarations!$B$6:$F$293,5,FALSE)),"",IF(VLOOKUP($F275,Declarations!$B$6:$F$293,5,FALSE)="","NOT DECLARED",VLOOKUP($F275,Declarations!$B$6:$F$293,5,FALSE)))</f>
        <v/>
      </c>
      <c r="E275" s="120" t="str">
        <f>IF(ISNA(VLOOKUP($F275,Declarations!$B$6:$D$293,3,FALSE)),"",IF(VLOOKUP($F275,Declarations!$B$6:$D$293,3,FALSE)="","NOT DECLARED",VLOOKUP($F275,Declarations!$B$6:$D$293,3,FALSE)&amp;LEFT(VLOOKUP($F275,Declarations!$B$6:$E$293,4,FALSE))))</f>
        <v/>
      </c>
      <c r="F275" s="21"/>
      <c r="G275" s="22"/>
      <c r="H275" s="322"/>
      <c r="I275" s="8" t="str">
        <f>IF(ISNA(VLOOKUP(F275,Declarations!B$6:C$293,2,FALSE)),"",IF(VLOOKUP(F275,Declarations!B$6:C$293,2,FALSE)="","NOT DECLARED",VLOOKUP(F275,Declarations!B$6:C$293,2,FALSE)))</f>
        <v/>
      </c>
      <c r="J275" s="2">
        <f>IF(LOWER(LEFT(G275,1))="n",1,VLOOKUP(G275,ScoringTable!E$2:I$95,5))</f>
        <v>0</v>
      </c>
      <c r="K275" s="120" t="str" cm="1">
        <f t="array" ref="K275">IF(OR(E275="",G275=""),"",_xlfn.IFS(E275="U10B",_xlfn.XLOOKUP(G275,Data!$D$4:$L$4,Data!$D$1:$L$1,"",-1,1),E275="U12B",_xlfn.XLOOKUP(G275,Data!$D$11:$L$11,Data!$D$1:$L$1,"",-1,1),E275="U10G",_xlfn.XLOOKUP(G275,Data!$D$17:$L$17,Data!$D$1:$L$1,"",-1,1),E275="U12G",_xlfn.XLOOKUP(G275,Data!$D$24:$L$24,Data!$D$1:$L$1,"",-1,1)))</f>
        <v/>
      </c>
      <c r="L275" s="184" t="str" cm="1">
        <f t="array" ref="L275">IFERROR(_xlfn.IFNA(
                      _xlfn.IFS(
                      F275="", "",
                      AND(E275="U10B",G275&gt;=Data!$M$4), "U10 Boys record",
                      AND(E275="U12B",G275&gt;=Data!$M$11), "U12 Boys record",
                      AND(E275="U10G",G275&gt;=Data!$M$17), "U10 Girls record",
                      AND(E275="U12G",G275&gt;=Data!$M$24), "U12 Girls record"
                       ),""), "")</f>
        <v/>
      </c>
      <c r="M275" s="19" cm="1">
        <f t="array" ref="M275">_xlfn.IFS($G275="",0,AND(NOT(ISNUMBER($G275)),LOWER(LEFT($G275,1))&lt;&gt;"n"),"Not a valid distance",OR(LOWER(LEFT($G275,1))="n",$G275&lt;ScoringTable!$P$161),1,RIGHT($E275,1)="B",_xlfn.XLOOKUP($G275,ScoringTable!$P$2:$P$161,ScoringTable!$L$2:$L$161,,-1),TRUE,_xlfn.XLOOKUP($G275,ScoringTable!$V$2:$V$161,ScoringTable!$R$2:$R$161,,-1))</f>
        <v>0</v>
      </c>
    </row>
    <row r="276" spans="1:13" ht="16" customHeight="1">
      <c r="A276" s="82" t="s">
        <v>27</v>
      </c>
      <c r="B276" s="81" t="str">
        <f>IF(ISNA(VLOOKUP($F276,Declarations!B$6:C$293,2,FALSE)),"",IF(VLOOKUP($F276,Declarations!B$6:C$293,2,FALSE)="","NOT DECLARED",IF(ISNA(_xlfn.TEXTBEFORE(VLOOKUP($F276,Declarations!B$6:C$293,2,FALSE)," ")),VLOOKUP($F276,Declarations!B$6:C$293,2,FALSE),_xlfn.TEXTBEFORE(VLOOKUP($F276,Declarations!B$6:C$293,2,FALSE)," "))))</f>
        <v/>
      </c>
      <c r="C276" s="81" t="str">
        <f>IF(ISNA(VLOOKUP($F276,Declarations!B$6:C$293,2,FALSE)),"",IF(VLOOKUP($F276,Declarations!B$6:C$293,2,FALSE)="","NOT DECLARED",IF(ISNA(_xlfn.TEXTAFTER(VLOOKUP($F276,Declarations!B$6:C$293,2,FALSE)," ")),VLOOKUP($F276,Declarations!B$6:C$293,2,FALSE),_xlfn.TEXTAFTER(VLOOKUP($F276,Declarations!B$6:C$293,2,FALSE)," "))))</f>
        <v/>
      </c>
      <c r="D276" s="81" t="str">
        <f>IF(ISNA(VLOOKUP($F276,Declarations!$B$6:$F$293,5,FALSE)),"",IF(VLOOKUP($F276,Declarations!$B$6:$F$293,5,FALSE)="","NOT DECLARED",VLOOKUP($F276,Declarations!$B$6:$F$293,5,FALSE)))</f>
        <v/>
      </c>
      <c r="E276" s="120" t="str">
        <f>IF(ISNA(VLOOKUP($F276,Declarations!$B$6:$D$293,3,FALSE)),"",IF(VLOOKUP($F276,Declarations!$B$6:$D$293,3,FALSE)="","NOT DECLARED",VLOOKUP($F276,Declarations!$B$6:$D$293,3,FALSE)&amp;LEFT(VLOOKUP($F276,Declarations!$B$6:$E$293,4,FALSE))))</f>
        <v/>
      </c>
      <c r="F276" s="21"/>
      <c r="G276" s="22"/>
      <c r="H276" s="322"/>
      <c r="I276" s="8" t="str">
        <f>IF(ISNA(VLOOKUP(F276,Declarations!B$6:C$293,2,FALSE)),"",IF(VLOOKUP(F276,Declarations!B$6:C$293,2,FALSE)="","NOT DECLARED",VLOOKUP(F276,Declarations!B$6:C$293,2,FALSE)))</f>
        <v/>
      </c>
      <c r="J276" s="2">
        <f>IF(LOWER(LEFT(G276,1))="n",1,VLOOKUP(G276,ScoringTable!E$2:I$95,5))</f>
        <v>0</v>
      </c>
      <c r="K276" s="120" t="str" cm="1">
        <f t="array" ref="K276">IF(OR(E276="",G276=""),"",_xlfn.IFS(E276="U10B",_xlfn.XLOOKUP(G276,Data!$D$4:$L$4,Data!$D$1:$L$1,"",-1,1),E276="U12B",_xlfn.XLOOKUP(G276,Data!$D$11:$L$11,Data!$D$1:$L$1,"",-1,1),E276="U10G",_xlfn.XLOOKUP(G276,Data!$D$17:$L$17,Data!$D$1:$L$1,"",-1,1),E276="U12G",_xlfn.XLOOKUP(G276,Data!$D$24:$L$24,Data!$D$1:$L$1,"",-1,1)))</f>
        <v/>
      </c>
      <c r="L276" s="184" t="str" cm="1">
        <f t="array" ref="L276">IFERROR(_xlfn.IFNA(
                      _xlfn.IFS(
                      F276="", "",
                      AND(E276="U10B",G276&gt;=Data!$M$4), "U10 Boys record",
                      AND(E276="U12B",G276&gt;=Data!$M$11), "U12 Boys record",
                      AND(E276="U10G",G276&gt;=Data!$M$17), "U10 Girls record",
                      AND(E276="U12G",G276&gt;=Data!$M$24), "U12 Girls record"
                       ),""), "")</f>
        <v/>
      </c>
      <c r="M276" s="19" cm="1">
        <f t="array" ref="M276">_xlfn.IFS($G276="",0,AND(NOT(ISNUMBER($G276)),LOWER(LEFT($G276,1))&lt;&gt;"n"),"Not a valid distance",OR(LOWER(LEFT($G276,1))="n",$G276&lt;ScoringTable!$P$161),1,RIGHT($E276,1)="B",_xlfn.XLOOKUP($G276,ScoringTable!$P$2:$P$161,ScoringTable!$L$2:$L$161,,-1),TRUE,_xlfn.XLOOKUP($G276,ScoringTable!$V$2:$V$161,ScoringTable!$R$2:$R$161,,-1))</f>
        <v>0</v>
      </c>
    </row>
    <row r="277" spans="1:13" ht="16" customHeight="1">
      <c r="A277" s="82" t="s">
        <v>27</v>
      </c>
      <c r="B277" s="81" t="str">
        <f>IF(ISNA(VLOOKUP($F277,Declarations!B$6:C$293,2,FALSE)),"",IF(VLOOKUP($F277,Declarations!B$6:C$293,2,FALSE)="","NOT DECLARED",IF(ISNA(_xlfn.TEXTBEFORE(VLOOKUP($F277,Declarations!B$6:C$293,2,FALSE)," ")),VLOOKUP($F277,Declarations!B$6:C$293,2,FALSE),_xlfn.TEXTBEFORE(VLOOKUP($F277,Declarations!B$6:C$293,2,FALSE)," "))))</f>
        <v/>
      </c>
      <c r="C277" s="81" t="str">
        <f>IF(ISNA(VLOOKUP($F277,Declarations!B$6:C$293,2,FALSE)),"",IF(VLOOKUP($F277,Declarations!B$6:C$293,2,FALSE)="","NOT DECLARED",IF(ISNA(_xlfn.TEXTAFTER(VLOOKUP($F277,Declarations!B$6:C$293,2,FALSE)," ")),VLOOKUP($F277,Declarations!B$6:C$293,2,FALSE),_xlfn.TEXTAFTER(VLOOKUP($F277,Declarations!B$6:C$293,2,FALSE)," "))))</f>
        <v/>
      </c>
      <c r="D277" s="81" t="str">
        <f>IF(ISNA(VLOOKUP($F277,Declarations!$B$6:$F$293,5,FALSE)),"",IF(VLOOKUP($F277,Declarations!$B$6:$F$293,5,FALSE)="","NOT DECLARED",VLOOKUP($F277,Declarations!$B$6:$F$293,5,FALSE)))</f>
        <v/>
      </c>
      <c r="E277" s="120" t="str">
        <f>IF(ISNA(VLOOKUP($F277,Declarations!$B$6:$D$293,3,FALSE)),"",IF(VLOOKUP($F277,Declarations!$B$6:$D$293,3,FALSE)="","NOT DECLARED",VLOOKUP($F277,Declarations!$B$6:$D$293,3,FALSE)&amp;LEFT(VLOOKUP($F277,Declarations!$B$6:$E$293,4,FALSE))))</f>
        <v/>
      </c>
      <c r="F277" s="21"/>
      <c r="G277" s="22"/>
      <c r="H277" s="322"/>
      <c r="I277" s="8" t="str">
        <f>IF(ISNA(VLOOKUP(F277,Declarations!B$6:C$293,2,FALSE)),"",IF(VLOOKUP(F277,Declarations!B$6:C$293,2,FALSE)="","NOT DECLARED",VLOOKUP(F277,Declarations!B$6:C$293,2,FALSE)))</f>
        <v/>
      </c>
      <c r="J277" s="2">
        <f>IF(LOWER(LEFT(G277,1))="n",1,VLOOKUP(G277,ScoringTable!E$2:I$95,5))</f>
        <v>0</v>
      </c>
      <c r="K277" s="120" t="str" cm="1">
        <f t="array" ref="K277">IF(OR(E277="",G277=""),"",_xlfn.IFS(E277="U10B",_xlfn.XLOOKUP(G277,Data!$D$4:$L$4,Data!$D$1:$L$1,"",-1,1),E277="U12B",_xlfn.XLOOKUP(G277,Data!$D$11:$L$11,Data!$D$1:$L$1,"",-1,1),E277="U10G",_xlfn.XLOOKUP(G277,Data!$D$17:$L$17,Data!$D$1:$L$1,"",-1,1),E277="U12G",_xlfn.XLOOKUP(G277,Data!$D$24:$L$24,Data!$D$1:$L$1,"",-1,1)))</f>
        <v/>
      </c>
      <c r="L277" s="184" t="str" cm="1">
        <f t="array" ref="L277">IFERROR(_xlfn.IFNA(
                      _xlfn.IFS(
                      F277="", "",
                      AND(E277="U10B",G277&gt;=Data!$M$4), "U10 Boys record",
                      AND(E277="U12B",G277&gt;=Data!$M$11), "U12 Boys record",
                      AND(E277="U10G",G277&gt;=Data!$M$17), "U10 Girls record",
                      AND(E277="U12G",G277&gt;=Data!$M$24), "U12 Girls record"
                       ),""), "")</f>
        <v/>
      </c>
      <c r="M277" s="19" cm="1">
        <f t="array" ref="M277">_xlfn.IFS($G277="",0,AND(NOT(ISNUMBER($G277)),LOWER(LEFT($G277,1))&lt;&gt;"n"),"Not a valid distance",OR(LOWER(LEFT($G277,1))="n",$G277&lt;ScoringTable!$P$161),1,RIGHT($E277,1)="B",_xlfn.XLOOKUP($G277,ScoringTable!$P$2:$P$161,ScoringTable!$L$2:$L$161,,-1),TRUE,_xlfn.XLOOKUP($G277,ScoringTable!$V$2:$V$161,ScoringTable!$R$2:$R$161,,-1))</f>
        <v>0</v>
      </c>
    </row>
    <row r="278" spans="1:13" ht="16" customHeight="1">
      <c r="A278" s="82" t="s">
        <v>27</v>
      </c>
      <c r="B278" s="81" t="str">
        <f>IF(ISNA(VLOOKUP($F278,Declarations!B$6:C$293,2,FALSE)),"",IF(VLOOKUP($F278,Declarations!B$6:C$293,2,FALSE)="","NOT DECLARED",IF(ISNA(_xlfn.TEXTBEFORE(VLOOKUP($F278,Declarations!B$6:C$293,2,FALSE)," ")),VLOOKUP($F278,Declarations!B$6:C$293,2,FALSE),_xlfn.TEXTBEFORE(VLOOKUP($F278,Declarations!B$6:C$293,2,FALSE)," "))))</f>
        <v/>
      </c>
      <c r="C278" s="81" t="str">
        <f>IF(ISNA(VLOOKUP($F278,Declarations!B$6:C$293,2,FALSE)),"",IF(VLOOKUP($F278,Declarations!B$6:C$293,2,FALSE)="","NOT DECLARED",IF(ISNA(_xlfn.TEXTAFTER(VLOOKUP($F278,Declarations!B$6:C$293,2,FALSE)," ")),VLOOKUP($F278,Declarations!B$6:C$293,2,FALSE),_xlfn.TEXTAFTER(VLOOKUP($F278,Declarations!B$6:C$293,2,FALSE)," "))))</f>
        <v/>
      </c>
      <c r="D278" s="81" t="str">
        <f>IF(ISNA(VLOOKUP($F278,Declarations!$B$6:$F$293,5,FALSE)),"",IF(VLOOKUP($F278,Declarations!$B$6:$F$293,5,FALSE)="","NOT DECLARED",VLOOKUP($F278,Declarations!$B$6:$F$293,5,FALSE)))</f>
        <v/>
      </c>
      <c r="E278" s="120" t="str">
        <f>IF(ISNA(VLOOKUP($F278,Declarations!$B$6:$D$293,3,FALSE)),"",IF(VLOOKUP($F278,Declarations!$B$6:$D$293,3,FALSE)="","NOT DECLARED",VLOOKUP($F278,Declarations!$B$6:$D$293,3,FALSE)&amp;LEFT(VLOOKUP($F278,Declarations!$B$6:$E$293,4,FALSE))))</f>
        <v/>
      </c>
      <c r="F278" s="21"/>
      <c r="G278" s="22"/>
      <c r="H278" s="322"/>
      <c r="I278" s="8" t="str">
        <f>IF(ISNA(VLOOKUP(F278,Declarations!B$6:C$293,2,FALSE)),"",IF(VLOOKUP(F278,Declarations!B$6:C$293,2,FALSE)="","NOT DECLARED",VLOOKUP(F278,Declarations!B$6:C$293,2,FALSE)))</f>
        <v/>
      </c>
      <c r="J278" s="2">
        <f>IF(LOWER(LEFT(G278,1))="n",1,VLOOKUP(G278,ScoringTable!E$2:I$95,5))</f>
        <v>0</v>
      </c>
      <c r="K278" s="120" t="str" cm="1">
        <f t="array" ref="K278">IF(OR(E278="",G278=""),"",_xlfn.IFS(E278="U10B",_xlfn.XLOOKUP(G278,Data!$D$4:$L$4,Data!$D$1:$L$1,"",-1,1),E278="U12B",_xlfn.XLOOKUP(G278,Data!$D$11:$L$11,Data!$D$1:$L$1,"",-1,1),E278="U10G",_xlfn.XLOOKUP(G278,Data!$D$17:$L$17,Data!$D$1:$L$1,"",-1,1),E278="U12G",_xlfn.XLOOKUP(G278,Data!$D$24:$L$24,Data!$D$1:$L$1,"",-1,1)))</f>
        <v/>
      </c>
      <c r="L278" s="184" t="str" cm="1">
        <f t="array" ref="L278">IFERROR(_xlfn.IFNA(
                      _xlfn.IFS(
                      F278="", "",
                      AND(E278="U10B",G278&gt;=Data!$M$4), "U10 Boys record",
                      AND(E278="U12B",G278&gt;=Data!$M$11), "U12 Boys record",
                      AND(E278="U10G",G278&gt;=Data!$M$17), "U10 Girls record",
                      AND(E278="U12G",G278&gt;=Data!$M$24), "U12 Girls record"
                       ),""), "")</f>
        <v/>
      </c>
      <c r="M278" s="19" cm="1">
        <f t="array" ref="M278">_xlfn.IFS($G278="",0,AND(NOT(ISNUMBER($G278)),LOWER(LEFT($G278,1))&lt;&gt;"n"),"Not a valid distance",OR(LOWER(LEFT($G278,1))="n",$G278&lt;ScoringTable!$P$161),1,RIGHT($E278,1)="B",_xlfn.XLOOKUP($G278,ScoringTable!$P$2:$P$161,ScoringTable!$L$2:$L$161,,-1),TRUE,_xlfn.XLOOKUP($G278,ScoringTable!$V$2:$V$161,ScoringTable!$R$2:$R$161,,-1))</f>
        <v>0</v>
      </c>
    </row>
    <row r="279" spans="1:13" ht="16" customHeight="1">
      <c r="A279" s="82" t="s">
        <v>27</v>
      </c>
      <c r="B279" s="81" t="str">
        <f>IF(ISNA(VLOOKUP($F279,Declarations!B$6:C$293,2,FALSE)),"",IF(VLOOKUP($F279,Declarations!B$6:C$293,2,FALSE)="","NOT DECLARED",IF(ISNA(_xlfn.TEXTBEFORE(VLOOKUP($F279,Declarations!B$6:C$293,2,FALSE)," ")),VLOOKUP($F279,Declarations!B$6:C$293,2,FALSE),_xlfn.TEXTBEFORE(VLOOKUP($F279,Declarations!B$6:C$293,2,FALSE)," "))))</f>
        <v/>
      </c>
      <c r="C279" s="81" t="str">
        <f>IF(ISNA(VLOOKUP($F279,Declarations!B$6:C$293,2,FALSE)),"",IF(VLOOKUP($F279,Declarations!B$6:C$293,2,FALSE)="","NOT DECLARED",IF(ISNA(_xlfn.TEXTAFTER(VLOOKUP($F279,Declarations!B$6:C$293,2,FALSE)," ")),VLOOKUP($F279,Declarations!B$6:C$293,2,FALSE),_xlfn.TEXTAFTER(VLOOKUP($F279,Declarations!B$6:C$293,2,FALSE)," "))))</f>
        <v/>
      </c>
      <c r="D279" s="81" t="str">
        <f>IF(ISNA(VLOOKUP($F279,Declarations!$B$6:$F$293,5,FALSE)),"",IF(VLOOKUP($F279,Declarations!$B$6:$F$293,5,FALSE)="","NOT DECLARED",VLOOKUP($F279,Declarations!$B$6:$F$293,5,FALSE)))</f>
        <v/>
      </c>
      <c r="E279" s="120" t="str">
        <f>IF(ISNA(VLOOKUP($F279,Declarations!$B$6:$D$293,3,FALSE)),"",IF(VLOOKUP($F279,Declarations!$B$6:$D$293,3,FALSE)="","NOT DECLARED",VLOOKUP($F279,Declarations!$B$6:$D$293,3,FALSE)&amp;LEFT(VLOOKUP($F279,Declarations!$B$6:$E$293,4,FALSE))))</f>
        <v/>
      </c>
      <c r="F279" s="21"/>
      <c r="G279" s="22"/>
      <c r="H279" s="322"/>
      <c r="I279" s="8" t="str">
        <f>IF(ISNA(VLOOKUP(F279,Declarations!B$6:C$293,2,FALSE)),"",IF(VLOOKUP(F279,Declarations!B$6:C$293,2,FALSE)="","NOT DECLARED",VLOOKUP(F279,Declarations!B$6:C$293,2,FALSE)))</f>
        <v/>
      </c>
      <c r="J279" s="2">
        <f>IF(LOWER(LEFT(G279,1))="n",1,VLOOKUP(G279,ScoringTable!E$2:I$95,5))</f>
        <v>0</v>
      </c>
      <c r="K279" s="120" t="str" cm="1">
        <f t="array" ref="K279">IF(OR(E279="",G279=""),"",_xlfn.IFS(E279="U10B",_xlfn.XLOOKUP(G279,Data!$D$4:$L$4,Data!$D$1:$L$1,"",-1,1),E279="U12B",_xlfn.XLOOKUP(G279,Data!$D$11:$L$11,Data!$D$1:$L$1,"",-1,1),E279="U10G",_xlfn.XLOOKUP(G279,Data!$D$17:$L$17,Data!$D$1:$L$1,"",-1,1),E279="U12G",_xlfn.XLOOKUP(G279,Data!$D$24:$L$24,Data!$D$1:$L$1,"",-1,1)))</f>
        <v/>
      </c>
      <c r="L279" s="184" t="str" cm="1">
        <f t="array" ref="L279">IFERROR(_xlfn.IFNA(
                      _xlfn.IFS(
                      F279="", "",
                      AND(E279="U10B",G279&gt;=Data!$M$4), "U10 Boys record",
                      AND(E279="U12B",G279&gt;=Data!$M$11), "U12 Boys record",
                      AND(E279="U10G",G279&gt;=Data!$M$17), "U10 Girls record",
                      AND(E279="U12G",G279&gt;=Data!$M$24), "U12 Girls record"
                       ),""), "")</f>
        <v/>
      </c>
      <c r="M279" s="19" cm="1">
        <f t="array" ref="M279">_xlfn.IFS($G279="",0,AND(NOT(ISNUMBER($G279)),LOWER(LEFT($G279,1))&lt;&gt;"n"),"Not a valid distance",OR(LOWER(LEFT($G279,1))="n",$G279&lt;ScoringTable!$P$161),1,RIGHT($E279,1)="B",_xlfn.XLOOKUP($G279,ScoringTable!$P$2:$P$161,ScoringTable!$L$2:$L$161,,-1),TRUE,_xlfn.XLOOKUP($G279,ScoringTable!$V$2:$V$161,ScoringTable!$R$2:$R$161,,-1))</f>
        <v>0</v>
      </c>
    </row>
    <row r="280" spans="1:13" ht="16" customHeight="1">
      <c r="A280" s="82" t="s">
        <v>27</v>
      </c>
      <c r="B280" s="81" t="str">
        <f>IF(ISNA(VLOOKUP($F280,Declarations!B$6:C$293,2,FALSE)),"",IF(VLOOKUP($F280,Declarations!B$6:C$293,2,FALSE)="","NOT DECLARED",IF(ISNA(_xlfn.TEXTBEFORE(VLOOKUP($F280,Declarations!B$6:C$293,2,FALSE)," ")),VLOOKUP($F280,Declarations!B$6:C$293,2,FALSE),_xlfn.TEXTBEFORE(VLOOKUP($F280,Declarations!B$6:C$293,2,FALSE)," "))))</f>
        <v/>
      </c>
      <c r="C280" s="81" t="str">
        <f>IF(ISNA(VLOOKUP($F280,Declarations!B$6:C$293,2,FALSE)),"",IF(VLOOKUP($F280,Declarations!B$6:C$293,2,FALSE)="","NOT DECLARED",IF(ISNA(_xlfn.TEXTAFTER(VLOOKUP($F280,Declarations!B$6:C$293,2,FALSE)," ")),VLOOKUP($F280,Declarations!B$6:C$293,2,FALSE),_xlfn.TEXTAFTER(VLOOKUP($F280,Declarations!B$6:C$293,2,FALSE)," "))))</f>
        <v/>
      </c>
      <c r="D280" s="81" t="str">
        <f>IF(ISNA(VLOOKUP($F280,Declarations!$B$6:$F$293,5,FALSE)),"",IF(VLOOKUP($F280,Declarations!$B$6:$F$293,5,FALSE)="","NOT DECLARED",VLOOKUP($F280,Declarations!$B$6:$F$293,5,FALSE)))</f>
        <v/>
      </c>
      <c r="E280" s="120" t="str">
        <f>IF(ISNA(VLOOKUP($F280,Declarations!$B$6:$D$293,3,FALSE)),"",IF(VLOOKUP($F280,Declarations!$B$6:$D$293,3,FALSE)="","NOT DECLARED",VLOOKUP($F280,Declarations!$B$6:$D$293,3,FALSE)&amp;LEFT(VLOOKUP($F280,Declarations!$B$6:$E$293,4,FALSE))))</f>
        <v/>
      </c>
      <c r="F280" s="21"/>
      <c r="G280" s="22"/>
      <c r="H280" s="322"/>
      <c r="I280" s="8" t="str">
        <f>IF(ISNA(VLOOKUP(F280,Declarations!B$6:C$293,2,FALSE)),"",IF(VLOOKUP(F280,Declarations!B$6:C$293,2,FALSE)="","NOT DECLARED",VLOOKUP(F280,Declarations!B$6:C$293,2,FALSE)))</f>
        <v/>
      </c>
      <c r="J280" s="2">
        <f>IF(LOWER(LEFT(G280,1))="n",1,VLOOKUP(G280,ScoringTable!E$2:I$95,5))</f>
        <v>0</v>
      </c>
      <c r="K280" s="120" t="str" cm="1">
        <f t="array" ref="K280">IF(OR(E280="",G280=""),"",_xlfn.IFS(E280="U10B",_xlfn.XLOOKUP(G280,Data!$D$4:$L$4,Data!$D$1:$L$1,"",-1,1),E280="U12B",_xlfn.XLOOKUP(G280,Data!$D$11:$L$11,Data!$D$1:$L$1,"",-1,1),E280="U10G",_xlfn.XLOOKUP(G280,Data!$D$17:$L$17,Data!$D$1:$L$1,"",-1,1),E280="U12G",_xlfn.XLOOKUP(G280,Data!$D$24:$L$24,Data!$D$1:$L$1,"",-1,1)))</f>
        <v/>
      </c>
      <c r="L280" s="184" t="str" cm="1">
        <f t="array" ref="L280">IFERROR(_xlfn.IFNA(
                      _xlfn.IFS(
                      F280="", "",
                      AND(E280="U10B",G280&gt;=Data!$M$4), "U10 Boys record",
                      AND(E280="U12B",G280&gt;=Data!$M$11), "U12 Boys record",
                      AND(E280="U10G",G280&gt;=Data!$M$17), "U10 Girls record",
                      AND(E280="U12G",G280&gt;=Data!$M$24), "U12 Girls record"
                       ),""), "")</f>
        <v/>
      </c>
      <c r="M280" s="19" cm="1">
        <f t="array" ref="M280">_xlfn.IFS($G280="",0,AND(NOT(ISNUMBER($G280)),LOWER(LEFT($G280,1))&lt;&gt;"n"),"Not a valid distance",OR(LOWER(LEFT($G280,1))="n",$G280&lt;ScoringTable!$P$161),1,RIGHT($E280,1)="B",_xlfn.XLOOKUP($G280,ScoringTable!$P$2:$P$161,ScoringTable!$L$2:$L$161,,-1),TRUE,_xlfn.XLOOKUP($G280,ScoringTable!$V$2:$V$161,ScoringTable!$R$2:$R$161,,-1))</f>
        <v>0</v>
      </c>
    </row>
    <row r="281" spans="1:13" ht="16" customHeight="1">
      <c r="A281" s="82" t="s">
        <v>27</v>
      </c>
      <c r="B281" s="81" t="str">
        <f>IF(ISNA(VLOOKUP($F281,Declarations!B$6:C$293,2,FALSE)),"",IF(VLOOKUP($F281,Declarations!B$6:C$293,2,FALSE)="","NOT DECLARED",IF(ISNA(_xlfn.TEXTBEFORE(VLOOKUP($F281,Declarations!B$6:C$293,2,FALSE)," ")),VLOOKUP($F281,Declarations!B$6:C$293,2,FALSE),_xlfn.TEXTBEFORE(VLOOKUP($F281,Declarations!B$6:C$293,2,FALSE)," "))))</f>
        <v/>
      </c>
      <c r="C281" s="81" t="str">
        <f>IF(ISNA(VLOOKUP($F281,Declarations!B$6:C$293,2,FALSE)),"",IF(VLOOKUP($F281,Declarations!B$6:C$293,2,FALSE)="","NOT DECLARED",IF(ISNA(_xlfn.TEXTAFTER(VLOOKUP($F281,Declarations!B$6:C$293,2,FALSE)," ")),VLOOKUP($F281,Declarations!B$6:C$293,2,FALSE),_xlfn.TEXTAFTER(VLOOKUP($F281,Declarations!B$6:C$293,2,FALSE)," "))))</f>
        <v/>
      </c>
      <c r="D281" s="81" t="str">
        <f>IF(ISNA(VLOOKUP($F281,Declarations!$B$6:$F$293,5,FALSE)),"",IF(VLOOKUP($F281,Declarations!$B$6:$F$293,5,FALSE)="","NOT DECLARED",VLOOKUP($F281,Declarations!$B$6:$F$293,5,FALSE)))</f>
        <v/>
      </c>
      <c r="E281" s="120" t="str">
        <f>IF(ISNA(VLOOKUP($F281,Declarations!$B$6:$D$293,3,FALSE)),"",IF(VLOOKUP($F281,Declarations!$B$6:$D$293,3,FALSE)="","NOT DECLARED",VLOOKUP($F281,Declarations!$B$6:$D$293,3,FALSE)&amp;LEFT(VLOOKUP($F281,Declarations!$B$6:$E$293,4,FALSE))))</f>
        <v/>
      </c>
      <c r="F281" s="21"/>
      <c r="G281" s="22"/>
      <c r="H281" s="322"/>
      <c r="I281" s="8" t="str">
        <f>IF(ISNA(VLOOKUP(F281,Declarations!B$6:C$293,2,FALSE)),"",IF(VLOOKUP(F281,Declarations!B$6:C$293,2,FALSE)="","NOT DECLARED",VLOOKUP(F281,Declarations!B$6:C$293,2,FALSE)))</f>
        <v/>
      </c>
      <c r="J281" s="2">
        <f>IF(LOWER(LEFT(G281,1))="n",1,VLOOKUP(G281,ScoringTable!E$2:I$95,5))</f>
        <v>0</v>
      </c>
      <c r="K281" s="120" t="str" cm="1">
        <f t="array" ref="K281">IF(OR(E281="",G281=""),"",_xlfn.IFS(E281="U10B",_xlfn.XLOOKUP(G281,Data!$D$4:$L$4,Data!$D$1:$L$1,"",-1,1),E281="U12B",_xlfn.XLOOKUP(G281,Data!$D$11:$L$11,Data!$D$1:$L$1,"",-1,1),E281="U10G",_xlfn.XLOOKUP(G281,Data!$D$17:$L$17,Data!$D$1:$L$1,"",-1,1),E281="U12G",_xlfn.XLOOKUP(G281,Data!$D$24:$L$24,Data!$D$1:$L$1,"",-1,1)))</f>
        <v/>
      </c>
      <c r="L281" s="184" t="str" cm="1">
        <f t="array" ref="L281">IFERROR(_xlfn.IFNA(
                      _xlfn.IFS(
                      F281="", "",
                      AND(E281="U10B",G281&gt;=Data!$M$4), "U10 Boys record",
                      AND(E281="U12B",G281&gt;=Data!$M$11), "U12 Boys record",
                      AND(E281="U10G",G281&gt;=Data!$M$17), "U10 Girls record",
                      AND(E281="U12G",G281&gt;=Data!$M$24), "U12 Girls record"
                       ),""), "")</f>
        <v/>
      </c>
      <c r="M281" s="19" cm="1">
        <f t="array" ref="M281">_xlfn.IFS($G281="",0,AND(NOT(ISNUMBER($G281)),LOWER(LEFT($G281,1))&lt;&gt;"n"),"Not a valid distance",OR(LOWER(LEFT($G281,1))="n",$G281&lt;ScoringTable!$P$161),1,RIGHT($E281,1)="B",_xlfn.XLOOKUP($G281,ScoringTable!$P$2:$P$161,ScoringTable!$L$2:$L$161,,-1),TRUE,_xlfn.XLOOKUP($G281,ScoringTable!$V$2:$V$161,ScoringTable!$R$2:$R$161,,-1))</f>
        <v>0</v>
      </c>
    </row>
    <row r="282" spans="1:13" ht="16" customHeight="1">
      <c r="A282" s="82" t="s">
        <v>27</v>
      </c>
      <c r="B282" s="81" t="str">
        <f>IF(ISNA(VLOOKUP($F282,Declarations!B$6:C$293,2,FALSE)),"",IF(VLOOKUP($F282,Declarations!B$6:C$293,2,FALSE)="","NOT DECLARED",IF(ISNA(_xlfn.TEXTBEFORE(VLOOKUP($F282,Declarations!B$6:C$293,2,FALSE)," ")),VLOOKUP($F282,Declarations!B$6:C$293,2,FALSE),_xlfn.TEXTBEFORE(VLOOKUP($F282,Declarations!B$6:C$293,2,FALSE)," "))))</f>
        <v/>
      </c>
      <c r="C282" s="81" t="str">
        <f>IF(ISNA(VLOOKUP($F282,Declarations!B$6:C$293,2,FALSE)),"",IF(VLOOKUP($F282,Declarations!B$6:C$293,2,FALSE)="","NOT DECLARED",IF(ISNA(_xlfn.TEXTAFTER(VLOOKUP($F282,Declarations!B$6:C$293,2,FALSE)," ")),VLOOKUP($F282,Declarations!B$6:C$293,2,FALSE),_xlfn.TEXTAFTER(VLOOKUP($F282,Declarations!B$6:C$293,2,FALSE)," "))))</f>
        <v/>
      </c>
      <c r="D282" s="81" t="str">
        <f>IF(ISNA(VLOOKUP($F282,Declarations!$B$6:$F$293,5,FALSE)),"",IF(VLOOKUP($F282,Declarations!$B$6:$F$293,5,FALSE)="","NOT DECLARED",VLOOKUP($F282,Declarations!$B$6:$F$293,5,FALSE)))</f>
        <v/>
      </c>
      <c r="E282" s="120" t="str">
        <f>IF(ISNA(VLOOKUP($F282,Declarations!$B$6:$D$293,3,FALSE)),"",IF(VLOOKUP($F282,Declarations!$B$6:$D$293,3,FALSE)="","NOT DECLARED",VLOOKUP($F282,Declarations!$B$6:$D$293,3,FALSE)&amp;LEFT(VLOOKUP($F282,Declarations!$B$6:$E$293,4,FALSE))))</f>
        <v/>
      </c>
      <c r="F282" s="21"/>
      <c r="G282" s="22"/>
      <c r="H282" s="322"/>
      <c r="I282" s="8" t="str">
        <f>IF(ISNA(VLOOKUP(F282,Declarations!B$6:C$293,2,FALSE)),"",IF(VLOOKUP(F282,Declarations!B$6:C$293,2,FALSE)="","NOT DECLARED",VLOOKUP(F282,Declarations!B$6:C$293,2,FALSE)))</f>
        <v/>
      </c>
      <c r="J282" s="2">
        <f>IF(LOWER(LEFT(G282,1))="n",1,VLOOKUP(G282,ScoringTable!E$2:I$95,5))</f>
        <v>0</v>
      </c>
      <c r="K282" s="120" t="str" cm="1">
        <f t="array" ref="K282">IF(OR(E282="",G282=""),"",_xlfn.IFS(E282="U10B",_xlfn.XLOOKUP(G282,Data!$D$4:$L$4,Data!$D$1:$L$1,"",-1,1),E282="U12B",_xlfn.XLOOKUP(G282,Data!$D$11:$L$11,Data!$D$1:$L$1,"",-1,1),E282="U10G",_xlfn.XLOOKUP(G282,Data!$D$17:$L$17,Data!$D$1:$L$1,"",-1,1),E282="U12G",_xlfn.XLOOKUP(G282,Data!$D$24:$L$24,Data!$D$1:$L$1,"",-1,1)))</f>
        <v/>
      </c>
      <c r="L282" s="184" t="str" cm="1">
        <f t="array" ref="L282">IFERROR(_xlfn.IFNA(
                      _xlfn.IFS(
                      F282="", "",
                      AND(E282="U10B",G282&gt;=Data!$M$4), "U10 Boys record",
                      AND(E282="U12B",G282&gt;=Data!$M$11), "U12 Boys record",
                      AND(E282="U10G",G282&gt;=Data!$M$17), "U10 Girls record",
                      AND(E282="U12G",G282&gt;=Data!$M$24), "U12 Girls record"
                       ),""), "")</f>
        <v/>
      </c>
      <c r="M282" s="19" cm="1">
        <f t="array" ref="M282">_xlfn.IFS($G282="",0,AND(NOT(ISNUMBER($G282)),LOWER(LEFT($G282,1))&lt;&gt;"n"),"Not a valid distance",OR(LOWER(LEFT($G282,1))="n",$G282&lt;ScoringTable!$P$161),1,RIGHT($E282,1)="B",_xlfn.XLOOKUP($G282,ScoringTable!$P$2:$P$161,ScoringTable!$L$2:$L$161,,-1),TRUE,_xlfn.XLOOKUP($G282,ScoringTable!$V$2:$V$161,ScoringTable!$R$2:$R$161,,-1))</f>
        <v>0</v>
      </c>
    </row>
    <row r="283" spans="1:13" ht="16" customHeight="1">
      <c r="A283" s="82" t="s">
        <v>27</v>
      </c>
      <c r="B283" s="81" t="str">
        <f>IF(ISNA(VLOOKUP($F283,Declarations!B$6:C$293,2,FALSE)),"",IF(VLOOKUP($F283,Declarations!B$6:C$293,2,FALSE)="","NOT DECLARED",IF(ISNA(_xlfn.TEXTBEFORE(VLOOKUP($F283,Declarations!B$6:C$293,2,FALSE)," ")),VLOOKUP($F283,Declarations!B$6:C$293,2,FALSE),_xlfn.TEXTBEFORE(VLOOKUP($F283,Declarations!B$6:C$293,2,FALSE)," "))))</f>
        <v/>
      </c>
      <c r="C283" s="81" t="str">
        <f>IF(ISNA(VLOOKUP($F283,Declarations!B$6:C$293,2,FALSE)),"",IF(VLOOKUP($F283,Declarations!B$6:C$293,2,FALSE)="","NOT DECLARED",IF(ISNA(_xlfn.TEXTAFTER(VLOOKUP($F283,Declarations!B$6:C$293,2,FALSE)," ")),VLOOKUP($F283,Declarations!B$6:C$293,2,FALSE),_xlfn.TEXTAFTER(VLOOKUP($F283,Declarations!B$6:C$293,2,FALSE)," "))))</f>
        <v/>
      </c>
      <c r="D283" s="81" t="str">
        <f>IF(ISNA(VLOOKUP($F283,Declarations!$B$6:$F$293,5,FALSE)),"",IF(VLOOKUP($F283,Declarations!$B$6:$F$293,5,FALSE)="","NOT DECLARED",VLOOKUP($F283,Declarations!$B$6:$F$293,5,FALSE)))</f>
        <v/>
      </c>
      <c r="E283" s="120" t="str">
        <f>IF(ISNA(VLOOKUP($F283,Declarations!$B$6:$D$293,3,FALSE)),"",IF(VLOOKUP($F283,Declarations!$B$6:$D$293,3,FALSE)="","NOT DECLARED",VLOOKUP($F283,Declarations!$B$6:$D$293,3,FALSE)&amp;LEFT(VLOOKUP($F283,Declarations!$B$6:$E$293,4,FALSE))))</f>
        <v/>
      </c>
      <c r="F283" s="21"/>
      <c r="G283" s="22"/>
      <c r="H283" s="322"/>
      <c r="I283" s="8" t="str">
        <f>IF(ISNA(VLOOKUP(F283,Declarations!B$6:C$293,2,FALSE)),"",IF(VLOOKUP(F283,Declarations!B$6:C$293,2,FALSE)="","NOT DECLARED",VLOOKUP(F283,Declarations!B$6:C$293,2,FALSE)))</f>
        <v/>
      </c>
      <c r="J283" s="2">
        <f>IF(LOWER(LEFT(G283,1))="n",1,VLOOKUP(G283,ScoringTable!E$2:I$95,5))</f>
        <v>0</v>
      </c>
      <c r="K283" s="120" t="str" cm="1">
        <f t="array" ref="K283">IF(OR(E283="",G283=""),"",_xlfn.IFS(E283="U10B",_xlfn.XLOOKUP(G283,Data!$D$4:$L$4,Data!$D$1:$L$1,"",-1,1),E283="U12B",_xlfn.XLOOKUP(G283,Data!$D$11:$L$11,Data!$D$1:$L$1,"",-1,1),E283="U10G",_xlfn.XLOOKUP(G283,Data!$D$17:$L$17,Data!$D$1:$L$1,"",-1,1),E283="U12G",_xlfn.XLOOKUP(G283,Data!$D$24:$L$24,Data!$D$1:$L$1,"",-1,1)))</f>
        <v/>
      </c>
      <c r="L283" s="184" t="str" cm="1">
        <f t="array" ref="L283">IFERROR(_xlfn.IFNA(
                      _xlfn.IFS(
                      F283="", "",
                      AND(E283="U10B",G283&gt;=Data!$M$4), "U10 Boys record",
                      AND(E283="U12B",G283&gt;=Data!$M$11), "U12 Boys record",
                      AND(E283="U10G",G283&gt;=Data!$M$17), "U10 Girls record",
                      AND(E283="U12G",G283&gt;=Data!$M$24), "U12 Girls record"
                       ),""), "")</f>
        <v/>
      </c>
      <c r="M283" s="19" cm="1">
        <f t="array" ref="M283">_xlfn.IFS($G283="",0,AND(NOT(ISNUMBER($G283)),LOWER(LEFT($G283,1))&lt;&gt;"n"),"Not a valid distance",OR(LOWER(LEFT($G283,1))="n",$G283&lt;ScoringTable!$P$161),1,RIGHT($E283,1)="B",_xlfn.XLOOKUP($G283,ScoringTable!$P$2:$P$161,ScoringTable!$L$2:$L$161,,-1),TRUE,_xlfn.XLOOKUP($G283,ScoringTable!$V$2:$V$161,ScoringTable!$R$2:$R$161,,-1))</f>
        <v>0</v>
      </c>
    </row>
    <row r="284" spans="1:13" ht="16" customHeight="1">
      <c r="A284" s="82" t="s">
        <v>27</v>
      </c>
      <c r="B284" s="81" t="str">
        <f>IF(ISNA(VLOOKUP($F284,Declarations!B$6:C$293,2,FALSE)),"",IF(VLOOKUP($F284,Declarations!B$6:C$293,2,FALSE)="","NOT DECLARED",IF(ISNA(_xlfn.TEXTBEFORE(VLOOKUP($F284,Declarations!B$6:C$293,2,FALSE)," ")),VLOOKUP($F284,Declarations!B$6:C$293,2,FALSE),_xlfn.TEXTBEFORE(VLOOKUP($F284,Declarations!B$6:C$293,2,FALSE)," "))))</f>
        <v/>
      </c>
      <c r="C284" s="81" t="str">
        <f>IF(ISNA(VLOOKUP($F284,Declarations!B$6:C$293,2,FALSE)),"",IF(VLOOKUP($F284,Declarations!B$6:C$293,2,FALSE)="","NOT DECLARED",IF(ISNA(_xlfn.TEXTAFTER(VLOOKUP($F284,Declarations!B$6:C$293,2,FALSE)," ")),VLOOKUP($F284,Declarations!B$6:C$293,2,FALSE),_xlfn.TEXTAFTER(VLOOKUP($F284,Declarations!B$6:C$293,2,FALSE)," "))))</f>
        <v/>
      </c>
      <c r="D284" s="81" t="str">
        <f>IF(ISNA(VLOOKUP($F284,Declarations!$B$6:$F$293,5,FALSE)),"",IF(VLOOKUP($F284,Declarations!$B$6:$F$293,5,FALSE)="","NOT DECLARED",VLOOKUP($F284,Declarations!$B$6:$F$293,5,FALSE)))</f>
        <v/>
      </c>
      <c r="E284" s="120" t="str">
        <f>IF(ISNA(VLOOKUP($F284,Declarations!$B$6:$D$293,3,FALSE)),"",IF(VLOOKUP($F284,Declarations!$B$6:$D$293,3,FALSE)="","NOT DECLARED",VLOOKUP($F284,Declarations!$B$6:$D$293,3,FALSE)&amp;LEFT(VLOOKUP($F284,Declarations!$B$6:$E$293,4,FALSE))))</f>
        <v/>
      </c>
      <c r="F284" s="21"/>
      <c r="G284" s="22"/>
      <c r="H284" s="322"/>
      <c r="I284" s="8" t="str">
        <f>IF(ISNA(VLOOKUP(F284,Declarations!B$6:C$293,2,FALSE)),"",IF(VLOOKUP(F284,Declarations!B$6:C$293,2,FALSE)="","NOT DECLARED",VLOOKUP(F284,Declarations!B$6:C$293,2,FALSE)))</f>
        <v/>
      </c>
      <c r="J284" s="2">
        <f>IF(LOWER(LEFT(G284,1))="n",1,VLOOKUP(G284,ScoringTable!E$2:I$95,5))</f>
        <v>0</v>
      </c>
      <c r="K284" s="120" t="str" cm="1">
        <f t="array" ref="K284">IF(OR(E284="",G284=""),"",_xlfn.IFS(E284="U10B",_xlfn.XLOOKUP(G284,Data!$D$4:$L$4,Data!$D$1:$L$1,"",-1,1),E284="U12B",_xlfn.XLOOKUP(G284,Data!$D$11:$L$11,Data!$D$1:$L$1,"",-1,1),E284="U10G",_xlfn.XLOOKUP(G284,Data!$D$17:$L$17,Data!$D$1:$L$1,"",-1,1),E284="U12G",_xlfn.XLOOKUP(G284,Data!$D$24:$L$24,Data!$D$1:$L$1,"",-1,1)))</f>
        <v/>
      </c>
      <c r="L284" s="184" t="str" cm="1">
        <f t="array" ref="L284">IFERROR(_xlfn.IFNA(
                      _xlfn.IFS(
                      F284="", "",
                      AND(E284="U10B",G284&gt;=Data!$M$4), "U10 Boys record",
                      AND(E284="U12B",G284&gt;=Data!$M$11), "U12 Boys record",
                      AND(E284="U10G",G284&gt;=Data!$M$17), "U10 Girls record",
                      AND(E284="U12G",G284&gt;=Data!$M$24), "U12 Girls record"
                       ),""), "")</f>
        <v/>
      </c>
      <c r="M284" s="19" cm="1">
        <f t="array" ref="M284">_xlfn.IFS($G284="",0,AND(NOT(ISNUMBER($G284)),LOWER(LEFT($G284,1))&lt;&gt;"n"),"Not a valid distance",OR(LOWER(LEFT($G284,1))="n",$G284&lt;ScoringTable!$P$161),1,RIGHT($E284,1)="B",_xlfn.XLOOKUP($G284,ScoringTable!$P$2:$P$161,ScoringTable!$L$2:$L$161,,-1),TRUE,_xlfn.XLOOKUP($G284,ScoringTable!$V$2:$V$161,ScoringTable!$R$2:$R$161,,-1))</f>
        <v>0</v>
      </c>
    </row>
    <row r="285" spans="1:13" ht="16" customHeight="1">
      <c r="A285" s="82" t="s">
        <v>27</v>
      </c>
      <c r="B285" s="81" t="str">
        <f>IF(ISNA(VLOOKUP($F285,Declarations!B$6:C$293,2,FALSE)),"",IF(VLOOKUP($F285,Declarations!B$6:C$293,2,FALSE)="","NOT DECLARED",IF(ISNA(_xlfn.TEXTBEFORE(VLOOKUP($F285,Declarations!B$6:C$293,2,FALSE)," ")),VLOOKUP($F285,Declarations!B$6:C$293,2,FALSE),_xlfn.TEXTBEFORE(VLOOKUP($F285,Declarations!B$6:C$293,2,FALSE)," "))))</f>
        <v/>
      </c>
      <c r="C285" s="81" t="str">
        <f>IF(ISNA(VLOOKUP($F285,Declarations!B$6:C$293,2,FALSE)),"",IF(VLOOKUP($F285,Declarations!B$6:C$293,2,FALSE)="","NOT DECLARED",IF(ISNA(_xlfn.TEXTAFTER(VLOOKUP($F285,Declarations!B$6:C$293,2,FALSE)," ")),VLOOKUP($F285,Declarations!B$6:C$293,2,FALSE),_xlfn.TEXTAFTER(VLOOKUP($F285,Declarations!B$6:C$293,2,FALSE)," "))))</f>
        <v/>
      </c>
      <c r="D285" s="81" t="str">
        <f>IF(ISNA(VLOOKUP($F285,Declarations!$B$6:$F$293,5,FALSE)),"",IF(VLOOKUP($F285,Declarations!$B$6:$F$293,5,FALSE)="","NOT DECLARED",VLOOKUP($F285,Declarations!$B$6:$F$293,5,FALSE)))</f>
        <v/>
      </c>
      <c r="E285" s="120" t="str">
        <f>IF(ISNA(VLOOKUP($F285,Declarations!$B$6:$D$293,3,FALSE)),"",IF(VLOOKUP($F285,Declarations!$B$6:$D$293,3,FALSE)="","NOT DECLARED",VLOOKUP($F285,Declarations!$B$6:$D$293,3,FALSE)&amp;LEFT(VLOOKUP($F285,Declarations!$B$6:$E$293,4,FALSE))))</f>
        <v/>
      </c>
      <c r="F285" s="21"/>
      <c r="G285" s="22"/>
      <c r="H285" s="322"/>
      <c r="I285" s="8" t="str">
        <f>IF(ISNA(VLOOKUP(F285,Declarations!B$6:C$293,2,FALSE)),"",IF(VLOOKUP(F285,Declarations!B$6:C$293,2,FALSE)="","NOT DECLARED",VLOOKUP(F285,Declarations!B$6:C$293,2,FALSE)))</f>
        <v/>
      </c>
      <c r="J285" s="2">
        <f>IF(LOWER(LEFT(G285,1))="n",1,VLOOKUP(G285,ScoringTable!E$2:I$95,5))</f>
        <v>0</v>
      </c>
      <c r="K285" s="120" t="str" cm="1">
        <f t="array" ref="K285">IF(OR(E285="",G285=""),"",_xlfn.IFS(E285="U10B",_xlfn.XLOOKUP(G285,Data!$D$4:$L$4,Data!$D$1:$L$1,"",-1,1),E285="U12B",_xlfn.XLOOKUP(G285,Data!$D$11:$L$11,Data!$D$1:$L$1,"",-1,1),E285="U10G",_xlfn.XLOOKUP(G285,Data!$D$17:$L$17,Data!$D$1:$L$1,"",-1,1),E285="U12G",_xlfn.XLOOKUP(G285,Data!$D$24:$L$24,Data!$D$1:$L$1,"",-1,1)))</f>
        <v/>
      </c>
      <c r="L285" s="184" t="str" cm="1">
        <f t="array" ref="L285">IFERROR(_xlfn.IFNA(
                      _xlfn.IFS(
                      F285="", "",
                      AND(E285="U10B",G285&gt;=Data!$M$4), "U10 Boys record",
                      AND(E285="U12B",G285&gt;=Data!$M$11), "U12 Boys record",
                      AND(E285="U10G",G285&gt;=Data!$M$17), "U10 Girls record",
                      AND(E285="U12G",G285&gt;=Data!$M$24), "U12 Girls record"
                       ),""), "")</f>
        <v/>
      </c>
      <c r="M285" s="19" cm="1">
        <f t="array" ref="M285">_xlfn.IFS($G285="",0,AND(NOT(ISNUMBER($G285)),LOWER(LEFT($G285,1))&lt;&gt;"n"),"Not a valid distance",OR(LOWER(LEFT($G285,1))="n",$G285&lt;ScoringTable!$P$161),1,RIGHT($E285,1)="B",_xlfn.XLOOKUP($G285,ScoringTable!$P$2:$P$161,ScoringTable!$L$2:$L$161,,-1),TRUE,_xlfn.XLOOKUP($G285,ScoringTable!$V$2:$V$161,ScoringTable!$R$2:$R$161,,-1))</f>
        <v>0</v>
      </c>
    </row>
    <row r="286" spans="1:13" ht="16" customHeight="1">
      <c r="A286" s="82" t="s">
        <v>27</v>
      </c>
      <c r="B286" s="81" t="str">
        <f>IF(ISNA(VLOOKUP($F286,Declarations!B$6:C$293,2,FALSE)),"",IF(VLOOKUP($F286,Declarations!B$6:C$293,2,FALSE)="","NOT DECLARED",IF(ISNA(_xlfn.TEXTBEFORE(VLOOKUP($F286,Declarations!B$6:C$293,2,FALSE)," ")),VLOOKUP($F286,Declarations!B$6:C$293,2,FALSE),_xlfn.TEXTBEFORE(VLOOKUP($F286,Declarations!B$6:C$293,2,FALSE)," "))))</f>
        <v/>
      </c>
      <c r="C286" s="81" t="str">
        <f>IF(ISNA(VLOOKUP($F286,Declarations!B$6:C$293,2,FALSE)),"",IF(VLOOKUP($F286,Declarations!B$6:C$293,2,FALSE)="","NOT DECLARED",IF(ISNA(_xlfn.TEXTAFTER(VLOOKUP($F286,Declarations!B$6:C$293,2,FALSE)," ")),VLOOKUP($F286,Declarations!B$6:C$293,2,FALSE),_xlfn.TEXTAFTER(VLOOKUP($F286,Declarations!B$6:C$293,2,FALSE)," "))))</f>
        <v/>
      </c>
      <c r="D286" s="81" t="str">
        <f>IF(ISNA(VLOOKUP($F286,Declarations!$B$6:$F$293,5,FALSE)),"",IF(VLOOKUP($F286,Declarations!$B$6:$F$293,5,FALSE)="","NOT DECLARED",VLOOKUP($F286,Declarations!$B$6:$F$293,5,FALSE)))</f>
        <v/>
      </c>
      <c r="E286" s="120" t="str">
        <f>IF(ISNA(VLOOKUP($F286,Declarations!$B$6:$D$293,3,FALSE)),"",IF(VLOOKUP($F286,Declarations!$B$6:$D$293,3,FALSE)="","NOT DECLARED",VLOOKUP($F286,Declarations!$B$6:$D$293,3,FALSE)&amp;LEFT(VLOOKUP($F286,Declarations!$B$6:$E$293,4,FALSE))))</f>
        <v/>
      </c>
      <c r="F286" s="21"/>
      <c r="G286" s="22"/>
      <c r="H286" s="322"/>
      <c r="I286" s="8" t="str">
        <f>IF(ISNA(VLOOKUP(F286,Declarations!B$6:C$293,2,FALSE)),"",IF(VLOOKUP(F286,Declarations!B$6:C$293,2,FALSE)="","NOT DECLARED",VLOOKUP(F286,Declarations!B$6:C$293,2,FALSE)))</f>
        <v/>
      </c>
      <c r="J286" s="2">
        <f>IF(LOWER(LEFT(G286,1))="n",1,VLOOKUP(G286,ScoringTable!E$2:I$95,5))</f>
        <v>0</v>
      </c>
      <c r="K286" s="120" t="str" cm="1">
        <f t="array" ref="K286">IF(OR(E286="",G286=""),"",_xlfn.IFS(E286="U10B",_xlfn.XLOOKUP(G286,Data!$D$4:$L$4,Data!$D$1:$L$1,"",-1,1),E286="U12B",_xlfn.XLOOKUP(G286,Data!$D$11:$L$11,Data!$D$1:$L$1,"",-1,1),E286="U10G",_xlfn.XLOOKUP(G286,Data!$D$17:$L$17,Data!$D$1:$L$1,"",-1,1),E286="U12G",_xlfn.XLOOKUP(G286,Data!$D$24:$L$24,Data!$D$1:$L$1,"",-1,1)))</f>
        <v/>
      </c>
      <c r="L286" s="184" t="str" cm="1">
        <f t="array" ref="L286">IFERROR(_xlfn.IFNA(
                      _xlfn.IFS(
                      F286="", "",
                      AND(E286="U10B",G286&gt;=Data!$M$4), "U10 Boys record",
                      AND(E286="U12B",G286&gt;=Data!$M$11), "U12 Boys record",
                      AND(E286="U10G",G286&gt;=Data!$M$17), "U10 Girls record",
                      AND(E286="U12G",G286&gt;=Data!$M$24), "U12 Girls record"
                       ),""), "")</f>
        <v/>
      </c>
      <c r="M286" s="19" cm="1">
        <f t="array" ref="M286">_xlfn.IFS($G286="",0,AND(NOT(ISNUMBER($G286)),LOWER(LEFT($G286,1))&lt;&gt;"n"),"Not a valid distance",OR(LOWER(LEFT($G286,1))="n",$G286&lt;ScoringTable!$P$161),1,RIGHT($E286,1)="B",_xlfn.XLOOKUP($G286,ScoringTable!$P$2:$P$161,ScoringTable!$L$2:$L$161,,-1),TRUE,_xlfn.XLOOKUP($G286,ScoringTable!$V$2:$V$161,ScoringTable!$R$2:$R$161,,-1))</f>
        <v>0</v>
      </c>
    </row>
    <row r="287" spans="1:13" ht="16" customHeight="1">
      <c r="A287" s="82" t="s">
        <v>27</v>
      </c>
      <c r="B287" s="81" t="str">
        <f>IF(ISNA(VLOOKUP($F287,Declarations!B$6:C$293,2,FALSE)),"",IF(VLOOKUP($F287,Declarations!B$6:C$293,2,FALSE)="","NOT DECLARED",IF(ISNA(_xlfn.TEXTBEFORE(VLOOKUP($F287,Declarations!B$6:C$293,2,FALSE)," ")),VLOOKUP($F287,Declarations!B$6:C$293,2,FALSE),_xlfn.TEXTBEFORE(VLOOKUP($F287,Declarations!B$6:C$293,2,FALSE)," "))))</f>
        <v/>
      </c>
      <c r="C287" s="81" t="str">
        <f>IF(ISNA(VLOOKUP($F287,Declarations!B$6:C$293,2,FALSE)),"",IF(VLOOKUP($F287,Declarations!B$6:C$293,2,FALSE)="","NOT DECLARED",IF(ISNA(_xlfn.TEXTAFTER(VLOOKUP($F287,Declarations!B$6:C$293,2,FALSE)," ")),VLOOKUP($F287,Declarations!B$6:C$293,2,FALSE),_xlfn.TEXTAFTER(VLOOKUP($F287,Declarations!B$6:C$293,2,FALSE)," "))))</f>
        <v/>
      </c>
      <c r="D287" s="81" t="str">
        <f>IF(ISNA(VLOOKUP($F287,Declarations!$B$6:$F$293,5,FALSE)),"",IF(VLOOKUP($F287,Declarations!$B$6:$F$293,5,FALSE)="","NOT DECLARED",VLOOKUP($F287,Declarations!$B$6:$F$293,5,FALSE)))</f>
        <v/>
      </c>
      <c r="E287" s="120" t="str">
        <f>IF(ISNA(VLOOKUP($F287,Declarations!$B$6:$D$293,3,FALSE)),"",IF(VLOOKUP($F287,Declarations!$B$6:$D$293,3,FALSE)="","NOT DECLARED",VLOOKUP($F287,Declarations!$B$6:$D$293,3,FALSE)&amp;LEFT(VLOOKUP($F287,Declarations!$B$6:$E$293,4,FALSE))))</f>
        <v/>
      </c>
      <c r="F287" s="21"/>
      <c r="G287" s="22"/>
      <c r="H287" s="322"/>
      <c r="I287" s="8" t="str">
        <f>IF(ISNA(VLOOKUP(F287,Declarations!B$6:C$293,2,FALSE)),"",IF(VLOOKUP(F287,Declarations!B$6:C$293,2,FALSE)="","NOT DECLARED",VLOOKUP(F287,Declarations!B$6:C$293,2,FALSE)))</f>
        <v/>
      </c>
      <c r="J287" s="2">
        <f>IF(LOWER(LEFT(G287,1))="n",1,VLOOKUP(G287,ScoringTable!E$2:I$95,5))</f>
        <v>0</v>
      </c>
      <c r="K287" s="120" t="str" cm="1">
        <f t="array" ref="K287">IF(OR(E287="",G287=""),"",_xlfn.IFS(E287="U10B",_xlfn.XLOOKUP(G287,Data!$D$4:$L$4,Data!$D$1:$L$1,"",-1,1),E287="U12B",_xlfn.XLOOKUP(G287,Data!$D$11:$L$11,Data!$D$1:$L$1,"",-1,1),E287="U10G",_xlfn.XLOOKUP(G287,Data!$D$17:$L$17,Data!$D$1:$L$1,"",-1,1),E287="U12G",_xlfn.XLOOKUP(G287,Data!$D$24:$L$24,Data!$D$1:$L$1,"",-1,1)))</f>
        <v/>
      </c>
      <c r="L287" s="184" t="str" cm="1">
        <f t="array" ref="L287">IFERROR(_xlfn.IFNA(
                      _xlfn.IFS(
                      F287="", "",
                      AND(E287="U10B",G287&gt;=Data!$M$4), "U10 Boys record",
                      AND(E287="U12B",G287&gt;=Data!$M$11), "U12 Boys record",
                      AND(E287="U10G",G287&gt;=Data!$M$17), "U10 Girls record",
                      AND(E287="U12G",G287&gt;=Data!$M$24), "U12 Girls record"
                       ),""), "")</f>
        <v/>
      </c>
      <c r="M287" s="19" cm="1">
        <f t="array" ref="M287">_xlfn.IFS($G287="",0,AND(NOT(ISNUMBER($G287)),LOWER(LEFT($G287,1))&lt;&gt;"n"),"Not a valid distance",OR(LOWER(LEFT($G287,1))="n",$G287&lt;ScoringTable!$P$161),1,RIGHT($E287,1)="B",_xlfn.XLOOKUP($G287,ScoringTable!$P$2:$P$161,ScoringTable!$L$2:$L$161,,-1),TRUE,_xlfn.XLOOKUP($G287,ScoringTable!$V$2:$V$161,ScoringTable!$R$2:$R$161,,-1))</f>
        <v>0</v>
      </c>
    </row>
    <row r="288" spans="1:13" ht="16" customHeight="1">
      <c r="A288" s="82" t="s">
        <v>27</v>
      </c>
      <c r="B288" s="81" t="str">
        <f>IF(ISNA(VLOOKUP($F288,Declarations!B$6:C$293,2,FALSE)),"",IF(VLOOKUP($F288,Declarations!B$6:C$293,2,FALSE)="","NOT DECLARED",IF(ISNA(_xlfn.TEXTBEFORE(VLOOKUP($F288,Declarations!B$6:C$293,2,FALSE)," ")),VLOOKUP($F288,Declarations!B$6:C$293,2,FALSE),_xlfn.TEXTBEFORE(VLOOKUP($F288,Declarations!B$6:C$293,2,FALSE)," "))))</f>
        <v/>
      </c>
      <c r="C288" s="81" t="str">
        <f>IF(ISNA(VLOOKUP($F288,Declarations!B$6:C$293,2,FALSE)),"",IF(VLOOKUP($F288,Declarations!B$6:C$293,2,FALSE)="","NOT DECLARED",IF(ISNA(_xlfn.TEXTAFTER(VLOOKUP($F288,Declarations!B$6:C$293,2,FALSE)," ")),VLOOKUP($F288,Declarations!B$6:C$293,2,FALSE),_xlfn.TEXTAFTER(VLOOKUP($F288,Declarations!B$6:C$293,2,FALSE)," "))))</f>
        <v/>
      </c>
      <c r="D288" s="81" t="str">
        <f>IF(ISNA(VLOOKUP($F288,Declarations!$B$6:$F$293,5,FALSE)),"",IF(VLOOKUP($F288,Declarations!$B$6:$F$293,5,FALSE)="","NOT DECLARED",VLOOKUP($F288,Declarations!$B$6:$F$293,5,FALSE)))</f>
        <v/>
      </c>
      <c r="E288" s="120" t="str">
        <f>IF(ISNA(VLOOKUP($F288,Declarations!$B$6:$D$293,3,FALSE)),"",IF(VLOOKUP($F288,Declarations!$B$6:$D$293,3,FALSE)="","NOT DECLARED",VLOOKUP($F288,Declarations!$B$6:$D$293,3,FALSE)&amp;LEFT(VLOOKUP($F288,Declarations!$B$6:$E$293,4,FALSE))))</f>
        <v/>
      </c>
      <c r="F288" s="21"/>
      <c r="G288" s="22"/>
      <c r="H288" s="322"/>
      <c r="I288" s="8" t="str">
        <f>IF(ISNA(VLOOKUP(F288,Declarations!B$6:C$293,2,FALSE)),"",IF(VLOOKUP(F288,Declarations!B$6:C$293,2,FALSE)="","NOT DECLARED",VLOOKUP(F288,Declarations!B$6:C$293,2,FALSE)))</f>
        <v/>
      </c>
      <c r="J288" s="2">
        <f>IF(LOWER(LEFT(G288,1))="n",1,VLOOKUP(G288,ScoringTable!E$2:I$95,5))</f>
        <v>0</v>
      </c>
      <c r="K288" s="120" t="str" cm="1">
        <f t="array" ref="K288">IF(OR(E288="",G288=""),"",_xlfn.IFS(E288="U10B",_xlfn.XLOOKUP(G288,Data!$D$4:$L$4,Data!$D$1:$L$1,"",-1,1),E288="U12B",_xlfn.XLOOKUP(G288,Data!$D$11:$L$11,Data!$D$1:$L$1,"",-1,1),E288="U10G",_xlfn.XLOOKUP(G288,Data!$D$17:$L$17,Data!$D$1:$L$1,"",-1,1),E288="U12G",_xlfn.XLOOKUP(G288,Data!$D$24:$L$24,Data!$D$1:$L$1,"",-1,1)))</f>
        <v/>
      </c>
      <c r="L288" s="184" t="str" cm="1">
        <f t="array" ref="L288">IFERROR(_xlfn.IFNA(
                      _xlfn.IFS(
                      F288="", "",
                      AND(E288="U10B",G288&gt;=Data!$M$4), "U10 Boys record",
                      AND(E288="U12B",G288&gt;=Data!$M$11), "U12 Boys record",
                      AND(E288="U10G",G288&gt;=Data!$M$17), "U10 Girls record",
                      AND(E288="U12G",G288&gt;=Data!$M$24), "U12 Girls record"
                       ),""), "")</f>
        <v/>
      </c>
      <c r="M288" s="19" cm="1">
        <f t="array" ref="M288">_xlfn.IFS($G288="",0,AND(NOT(ISNUMBER($G288)),LOWER(LEFT($G288,1))&lt;&gt;"n"),"Not a valid distance",OR(LOWER(LEFT($G288,1))="n",$G288&lt;ScoringTable!$P$161),1,RIGHT($E288,1)="B",_xlfn.XLOOKUP($G288,ScoringTable!$P$2:$P$161,ScoringTable!$L$2:$L$161,,-1),TRUE,_xlfn.XLOOKUP($G288,ScoringTable!$V$2:$V$161,ScoringTable!$R$2:$R$161,,-1))</f>
        <v>0</v>
      </c>
    </row>
    <row r="289" spans="1:13" ht="16" customHeight="1">
      <c r="A289" s="82" t="s">
        <v>27</v>
      </c>
      <c r="B289" s="81" t="str">
        <f>IF(ISNA(VLOOKUP($F289,Declarations!B$6:C$293,2,FALSE)),"",IF(VLOOKUP($F289,Declarations!B$6:C$293,2,FALSE)="","NOT DECLARED",IF(ISNA(_xlfn.TEXTBEFORE(VLOOKUP($F289,Declarations!B$6:C$293,2,FALSE)," ")),VLOOKUP($F289,Declarations!B$6:C$293,2,FALSE),_xlfn.TEXTBEFORE(VLOOKUP($F289,Declarations!B$6:C$293,2,FALSE)," "))))</f>
        <v/>
      </c>
      <c r="C289" s="81" t="str">
        <f>IF(ISNA(VLOOKUP($F289,Declarations!B$6:C$293,2,FALSE)),"",IF(VLOOKUP($F289,Declarations!B$6:C$293,2,FALSE)="","NOT DECLARED",IF(ISNA(_xlfn.TEXTAFTER(VLOOKUP($F289,Declarations!B$6:C$293,2,FALSE)," ")),VLOOKUP($F289,Declarations!B$6:C$293,2,FALSE),_xlfn.TEXTAFTER(VLOOKUP($F289,Declarations!B$6:C$293,2,FALSE)," "))))</f>
        <v/>
      </c>
      <c r="D289" s="81" t="str">
        <f>IF(ISNA(VLOOKUP($F289,Declarations!$B$6:$F$293,5,FALSE)),"",IF(VLOOKUP($F289,Declarations!$B$6:$F$293,5,FALSE)="","NOT DECLARED",VLOOKUP($F289,Declarations!$B$6:$F$293,5,FALSE)))</f>
        <v/>
      </c>
      <c r="E289" s="120" t="str">
        <f>IF(ISNA(VLOOKUP($F289,Declarations!$B$6:$D$293,3,FALSE)),"",IF(VLOOKUP($F289,Declarations!$B$6:$D$293,3,FALSE)="","NOT DECLARED",VLOOKUP($F289,Declarations!$B$6:$D$293,3,FALSE)&amp;LEFT(VLOOKUP($F289,Declarations!$B$6:$E$293,4,FALSE))))</f>
        <v/>
      </c>
      <c r="F289" s="21"/>
      <c r="G289" s="22"/>
      <c r="H289" s="322"/>
      <c r="I289" s="8" t="str">
        <f>IF(ISNA(VLOOKUP(F289,Declarations!B$6:C$293,2,FALSE)),"",IF(VLOOKUP(F289,Declarations!B$6:C$293,2,FALSE)="","NOT DECLARED",VLOOKUP(F289,Declarations!B$6:C$293,2,FALSE)))</f>
        <v/>
      </c>
      <c r="J289" s="2">
        <f>IF(LOWER(LEFT(G289,1))="n",1,VLOOKUP(G289,ScoringTable!E$2:I$95,5))</f>
        <v>0</v>
      </c>
      <c r="K289" s="120" t="str" cm="1">
        <f t="array" ref="K289">IF(OR(E289="",G289=""),"",_xlfn.IFS(E289="U10B",_xlfn.XLOOKUP(G289,Data!$D$4:$L$4,Data!$D$1:$L$1,"",-1,1),E289="U12B",_xlfn.XLOOKUP(G289,Data!$D$11:$L$11,Data!$D$1:$L$1,"",-1,1),E289="U10G",_xlfn.XLOOKUP(G289,Data!$D$17:$L$17,Data!$D$1:$L$1,"",-1,1),E289="U12G",_xlfn.XLOOKUP(G289,Data!$D$24:$L$24,Data!$D$1:$L$1,"",-1,1)))</f>
        <v/>
      </c>
      <c r="L289" s="184" t="str" cm="1">
        <f t="array" ref="L289">IFERROR(_xlfn.IFNA(
                      _xlfn.IFS(
                      F289="", "",
                      AND(E289="U10B",G289&gt;=Data!$M$4), "U10 Boys record",
                      AND(E289="U12B",G289&gt;=Data!$M$11), "U12 Boys record",
                      AND(E289="U10G",G289&gt;=Data!$M$17), "U10 Girls record",
                      AND(E289="U12G",G289&gt;=Data!$M$24), "U12 Girls record"
                       ),""), "")</f>
        <v/>
      </c>
      <c r="M289" s="19" cm="1">
        <f t="array" ref="M289">_xlfn.IFS($G289="",0,AND(NOT(ISNUMBER($G289)),LOWER(LEFT($G289,1))&lt;&gt;"n"),"Not a valid distance",OR(LOWER(LEFT($G289,1))="n",$G289&lt;ScoringTable!$P$161),1,RIGHT($E289,1)="B",_xlfn.XLOOKUP($G289,ScoringTable!$P$2:$P$161,ScoringTable!$L$2:$L$161,,-1),TRUE,_xlfn.XLOOKUP($G289,ScoringTable!$V$2:$V$161,ScoringTable!$R$2:$R$161,,-1))</f>
        <v>0</v>
      </c>
    </row>
    <row r="290" spans="1:13" ht="16" customHeight="1">
      <c r="A290" s="82" t="s">
        <v>27</v>
      </c>
      <c r="B290" s="81" t="str">
        <f>IF(ISNA(VLOOKUP($F290,Declarations!B$6:C$293,2,FALSE)),"",IF(VLOOKUP($F290,Declarations!B$6:C$293,2,FALSE)="","NOT DECLARED",IF(ISNA(_xlfn.TEXTBEFORE(VLOOKUP($F290,Declarations!B$6:C$293,2,FALSE)," ")),VLOOKUP($F290,Declarations!B$6:C$293,2,FALSE),_xlfn.TEXTBEFORE(VLOOKUP($F290,Declarations!B$6:C$293,2,FALSE)," "))))</f>
        <v/>
      </c>
      <c r="C290" s="81" t="str">
        <f>IF(ISNA(VLOOKUP($F290,Declarations!B$6:C$293,2,FALSE)),"",IF(VLOOKUP($F290,Declarations!B$6:C$293,2,FALSE)="","NOT DECLARED",IF(ISNA(_xlfn.TEXTAFTER(VLOOKUP($F290,Declarations!B$6:C$293,2,FALSE)," ")),VLOOKUP($F290,Declarations!B$6:C$293,2,FALSE),_xlfn.TEXTAFTER(VLOOKUP($F290,Declarations!B$6:C$293,2,FALSE)," "))))</f>
        <v/>
      </c>
      <c r="D290" s="81" t="str">
        <f>IF(ISNA(VLOOKUP($F290,Declarations!$B$6:$F$293,5,FALSE)),"",IF(VLOOKUP($F290,Declarations!$B$6:$F$293,5,FALSE)="","NOT DECLARED",VLOOKUP($F290,Declarations!$B$6:$F$293,5,FALSE)))</f>
        <v/>
      </c>
      <c r="E290" s="120" t="str">
        <f>IF(ISNA(VLOOKUP($F290,Declarations!$B$6:$D$293,3,FALSE)),"",IF(VLOOKUP($F290,Declarations!$B$6:$D$293,3,FALSE)="","NOT DECLARED",VLOOKUP($F290,Declarations!$B$6:$D$293,3,FALSE)&amp;LEFT(VLOOKUP($F290,Declarations!$B$6:$E$293,4,FALSE))))</f>
        <v/>
      </c>
      <c r="F290" s="21"/>
      <c r="G290" s="22"/>
      <c r="H290" s="322"/>
      <c r="I290" s="8" t="str">
        <f>IF(ISNA(VLOOKUP(F290,Declarations!B$6:C$293,2,FALSE)),"",IF(VLOOKUP(F290,Declarations!B$6:C$293,2,FALSE)="","NOT DECLARED",VLOOKUP(F290,Declarations!B$6:C$293,2,FALSE)))</f>
        <v/>
      </c>
      <c r="J290" s="2">
        <f>IF(LOWER(LEFT(G290,1))="n",1,VLOOKUP(G290,ScoringTable!E$2:I$95,5))</f>
        <v>0</v>
      </c>
      <c r="K290" s="120" t="str" cm="1">
        <f t="array" ref="K290">IF(OR(E290="",G290=""),"",_xlfn.IFS(E290="U10B",_xlfn.XLOOKUP(G290,Data!$D$4:$L$4,Data!$D$1:$L$1,"",-1,1),E290="U12B",_xlfn.XLOOKUP(G290,Data!$D$11:$L$11,Data!$D$1:$L$1,"",-1,1),E290="U10G",_xlfn.XLOOKUP(G290,Data!$D$17:$L$17,Data!$D$1:$L$1,"",-1,1),E290="U12G",_xlfn.XLOOKUP(G290,Data!$D$24:$L$24,Data!$D$1:$L$1,"",-1,1)))</f>
        <v/>
      </c>
      <c r="L290" s="184" t="str" cm="1">
        <f t="array" ref="L290">IFERROR(_xlfn.IFNA(
                      _xlfn.IFS(
                      F290="", "",
                      AND(E290="U10B",G290&gt;=Data!$M$4), "U10 Boys record",
                      AND(E290="U12B",G290&gt;=Data!$M$11), "U12 Boys record",
                      AND(E290="U10G",G290&gt;=Data!$M$17), "U10 Girls record",
                      AND(E290="U12G",G290&gt;=Data!$M$24), "U12 Girls record"
                       ),""), "")</f>
        <v/>
      </c>
      <c r="M290" s="19" cm="1">
        <f t="array" ref="M290">_xlfn.IFS($G290="",0,AND(NOT(ISNUMBER($G290)),LOWER(LEFT($G290,1))&lt;&gt;"n"),"Not a valid distance",OR(LOWER(LEFT($G290,1))="n",$G290&lt;ScoringTable!$P$161),1,RIGHT($E290,1)="B",_xlfn.XLOOKUP($G290,ScoringTable!$P$2:$P$161,ScoringTable!$L$2:$L$161,,-1),TRUE,_xlfn.XLOOKUP($G290,ScoringTable!$V$2:$V$161,ScoringTable!$R$2:$R$161,,-1))</f>
        <v>0</v>
      </c>
    </row>
    <row r="291" spans="1:13" ht="16" customHeight="1">
      <c r="A291" s="82" t="s">
        <v>27</v>
      </c>
      <c r="B291" s="81" t="str">
        <f>IF(ISNA(VLOOKUP($F291,Declarations!B$6:C$293,2,FALSE)),"",IF(VLOOKUP($F291,Declarations!B$6:C$293,2,FALSE)="","NOT DECLARED",IF(ISNA(_xlfn.TEXTBEFORE(VLOOKUP($F291,Declarations!B$6:C$293,2,FALSE)," ")),VLOOKUP($F291,Declarations!B$6:C$293,2,FALSE),_xlfn.TEXTBEFORE(VLOOKUP($F291,Declarations!B$6:C$293,2,FALSE)," "))))</f>
        <v/>
      </c>
      <c r="C291" s="81" t="str">
        <f>IF(ISNA(VLOOKUP($F291,Declarations!B$6:C$293,2,FALSE)),"",IF(VLOOKUP($F291,Declarations!B$6:C$293,2,FALSE)="","NOT DECLARED",IF(ISNA(_xlfn.TEXTAFTER(VLOOKUP($F291,Declarations!B$6:C$293,2,FALSE)," ")),VLOOKUP($F291,Declarations!B$6:C$293,2,FALSE),_xlfn.TEXTAFTER(VLOOKUP($F291,Declarations!B$6:C$293,2,FALSE)," "))))</f>
        <v/>
      </c>
      <c r="D291" s="81" t="str">
        <f>IF(ISNA(VLOOKUP($F291,Declarations!$B$6:$F$293,5,FALSE)),"",IF(VLOOKUP($F291,Declarations!$B$6:$F$293,5,FALSE)="","NOT DECLARED",VLOOKUP($F291,Declarations!$B$6:$F$293,5,FALSE)))</f>
        <v/>
      </c>
      <c r="E291" s="120" t="str">
        <f>IF(ISNA(VLOOKUP($F291,Declarations!$B$6:$D$293,3,FALSE)),"",IF(VLOOKUP($F291,Declarations!$B$6:$D$293,3,FALSE)="","NOT DECLARED",VLOOKUP($F291,Declarations!$B$6:$D$293,3,FALSE)&amp;LEFT(VLOOKUP($F291,Declarations!$B$6:$E$293,4,FALSE))))</f>
        <v/>
      </c>
      <c r="F291" s="21"/>
      <c r="G291" s="22"/>
      <c r="H291" s="322"/>
      <c r="I291" s="8" t="str">
        <f>IF(ISNA(VLOOKUP(F291,Declarations!B$6:C$293,2,FALSE)),"",IF(VLOOKUP(F291,Declarations!B$6:C$293,2,FALSE)="","NOT DECLARED",VLOOKUP(F291,Declarations!B$6:C$293,2,FALSE)))</f>
        <v/>
      </c>
      <c r="J291" s="2">
        <f>IF(LOWER(LEFT(G291,1))="n",1,VLOOKUP(G291,ScoringTable!E$2:I$95,5))</f>
        <v>0</v>
      </c>
      <c r="K291" s="120" t="str" cm="1">
        <f t="array" ref="K291">IF(OR(E291="",G291=""),"",_xlfn.IFS(E291="U10B",_xlfn.XLOOKUP(G291,Data!$D$4:$L$4,Data!$D$1:$L$1,"",-1,1),E291="U12B",_xlfn.XLOOKUP(G291,Data!$D$11:$L$11,Data!$D$1:$L$1,"",-1,1),E291="U10G",_xlfn.XLOOKUP(G291,Data!$D$17:$L$17,Data!$D$1:$L$1,"",-1,1),E291="U12G",_xlfn.XLOOKUP(G291,Data!$D$24:$L$24,Data!$D$1:$L$1,"",-1,1)))</f>
        <v/>
      </c>
      <c r="L291" s="184" t="str" cm="1">
        <f t="array" ref="L291">IFERROR(_xlfn.IFNA(
                      _xlfn.IFS(
                      F291="", "",
                      AND(E291="U10B",G291&gt;=Data!$M$4), "U10 Boys record",
                      AND(E291="U12B",G291&gt;=Data!$M$11), "U12 Boys record",
                      AND(E291="U10G",G291&gt;=Data!$M$17), "U10 Girls record",
                      AND(E291="U12G",G291&gt;=Data!$M$24), "U12 Girls record"
                       ),""), "")</f>
        <v/>
      </c>
      <c r="M291" s="19" cm="1">
        <f t="array" ref="M291">_xlfn.IFS($G291="",0,AND(NOT(ISNUMBER($G291)),LOWER(LEFT($G291,1))&lt;&gt;"n"),"Not a valid distance",OR(LOWER(LEFT($G291,1))="n",$G291&lt;ScoringTable!$P$161),1,RIGHT($E291,1)="B",_xlfn.XLOOKUP($G291,ScoringTable!$P$2:$P$161,ScoringTable!$L$2:$L$161,,-1),TRUE,_xlfn.XLOOKUP($G291,ScoringTable!$V$2:$V$161,ScoringTable!$R$2:$R$161,,-1))</f>
        <v>0</v>
      </c>
    </row>
    <row r="292" spans="1:13" ht="16" customHeight="1">
      <c r="A292" s="82" t="s">
        <v>27</v>
      </c>
      <c r="B292" s="81" t="str">
        <f>IF(ISNA(VLOOKUP($F292,Declarations!B$6:C$293,2,FALSE)),"",IF(VLOOKUP($F292,Declarations!B$6:C$293,2,FALSE)="","NOT DECLARED",IF(ISNA(_xlfn.TEXTBEFORE(VLOOKUP($F292,Declarations!B$6:C$293,2,FALSE)," ")),VLOOKUP($F292,Declarations!B$6:C$293,2,FALSE),_xlfn.TEXTBEFORE(VLOOKUP($F292,Declarations!B$6:C$293,2,FALSE)," "))))</f>
        <v/>
      </c>
      <c r="C292" s="81" t="str">
        <f>IF(ISNA(VLOOKUP($F292,Declarations!B$6:C$293,2,FALSE)),"",IF(VLOOKUP($F292,Declarations!B$6:C$293,2,FALSE)="","NOT DECLARED",IF(ISNA(_xlfn.TEXTAFTER(VLOOKUP($F292,Declarations!B$6:C$293,2,FALSE)," ")),VLOOKUP($F292,Declarations!B$6:C$293,2,FALSE),_xlfn.TEXTAFTER(VLOOKUP($F292,Declarations!B$6:C$293,2,FALSE)," "))))</f>
        <v/>
      </c>
      <c r="D292" s="81" t="str">
        <f>IF(ISNA(VLOOKUP($F292,Declarations!$B$6:$F$293,5,FALSE)),"",IF(VLOOKUP($F292,Declarations!$B$6:$F$293,5,FALSE)="","NOT DECLARED",VLOOKUP($F292,Declarations!$B$6:$F$293,5,FALSE)))</f>
        <v/>
      </c>
      <c r="E292" s="120" t="str">
        <f>IF(ISNA(VLOOKUP($F292,Declarations!$B$6:$D$293,3,FALSE)),"",IF(VLOOKUP($F292,Declarations!$B$6:$D$293,3,FALSE)="","NOT DECLARED",VLOOKUP($F292,Declarations!$B$6:$D$293,3,FALSE)&amp;LEFT(VLOOKUP($F292,Declarations!$B$6:$E$293,4,FALSE))))</f>
        <v/>
      </c>
      <c r="F292" s="21"/>
      <c r="G292" s="22"/>
      <c r="H292" s="322"/>
      <c r="I292" s="8" t="str">
        <f>IF(ISNA(VLOOKUP(F292,Declarations!B$6:C$293,2,FALSE)),"",IF(VLOOKUP(F292,Declarations!B$6:C$293,2,FALSE)="","NOT DECLARED",VLOOKUP(F292,Declarations!B$6:C$293,2,FALSE)))</f>
        <v/>
      </c>
      <c r="J292" s="2">
        <f>IF(LOWER(LEFT(G292,1))="n",1,VLOOKUP(G292,ScoringTable!E$2:I$95,5))</f>
        <v>0</v>
      </c>
      <c r="K292" s="120" t="str" cm="1">
        <f t="array" ref="K292">IF(OR(E292="",G292=""),"",_xlfn.IFS(E292="U10B",_xlfn.XLOOKUP(G292,Data!$D$4:$L$4,Data!$D$1:$L$1,"",-1,1),E292="U12B",_xlfn.XLOOKUP(G292,Data!$D$11:$L$11,Data!$D$1:$L$1,"",-1,1),E292="U10G",_xlfn.XLOOKUP(G292,Data!$D$17:$L$17,Data!$D$1:$L$1,"",-1,1),E292="U12G",_xlfn.XLOOKUP(G292,Data!$D$24:$L$24,Data!$D$1:$L$1,"",-1,1)))</f>
        <v/>
      </c>
      <c r="L292" s="184" t="str" cm="1">
        <f t="array" ref="L292">IFERROR(_xlfn.IFNA(
                      _xlfn.IFS(
                      F292="", "",
                      AND(E292="U10B",G292&gt;=Data!$M$4), "U10 Boys record",
                      AND(E292="U12B",G292&gt;=Data!$M$11), "U12 Boys record",
                      AND(E292="U10G",G292&gt;=Data!$M$17), "U10 Girls record",
                      AND(E292="U12G",G292&gt;=Data!$M$24), "U12 Girls record"
                       ),""), "")</f>
        <v/>
      </c>
      <c r="M292" s="19" cm="1">
        <f t="array" ref="M292">_xlfn.IFS($G292="",0,AND(NOT(ISNUMBER($G292)),LOWER(LEFT($G292,1))&lt;&gt;"n"),"Not a valid distance",OR(LOWER(LEFT($G292,1))="n",$G292&lt;ScoringTable!$P$161),1,RIGHT($E292,1)="B",_xlfn.XLOOKUP($G292,ScoringTable!$P$2:$P$161,ScoringTable!$L$2:$L$161,,-1),TRUE,_xlfn.XLOOKUP($G292,ScoringTable!$V$2:$V$161,ScoringTable!$R$2:$R$161,,-1))</f>
        <v>0</v>
      </c>
    </row>
    <row r="293" spans="1:13" ht="16" customHeight="1">
      <c r="A293" s="82" t="s">
        <v>27</v>
      </c>
      <c r="B293" s="81" t="str">
        <f>IF(ISNA(VLOOKUP($F293,Declarations!B$6:C$293,2,FALSE)),"",IF(VLOOKUP($F293,Declarations!B$6:C$293,2,FALSE)="","NOT DECLARED",IF(ISNA(_xlfn.TEXTBEFORE(VLOOKUP($F293,Declarations!B$6:C$293,2,FALSE)," ")),VLOOKUP($F293,Declarations!B$6:C$293,2,FALSE),_xlfn.TEXTBEFORE(VLOOKUP($F293,Declarations!B$6:C$293,2,FALSE)," "))))</f>
        <v/>
      </c>
      <c r="C293" s="81" t="str">
        <f>IF(ISNA(VLOOKUP($F293,Declarations!B$6:C$293,2,FALSE)),"",IF(VLOOKUP($F293,Declarations!B$6:C$293,2,FALSE)="","NOT DECLARED",IF(ISNA(_xlfn.TEXTAFTER(VLOOKUP($F293,Declarations!B$6:C$293,2,FALSE)," ")),VLOOKUP($F293,Declarations!B$6:C$293,2,FALSE),_xlfn.TEXTAFTER(VLOOKUP($F293,Declarations!B$6:C$293,2,FALSE)," "))))</f>
        <v/>
      </c>
      <c r="D293" s="81" t="str">
        <f>IF(ISNA(VLOOKUP($F293,Declarations!$B$6:$F$293,5,FALSE)),"",IF(VLOOKUP($F293,Declarations!$B$6:$F$293,5,FALSE)="","NOT DECLARED",VLOOKUP($F293,Declarations!$B$6:$F$293,5,FALSE)))</f>
        <v/>
      </c>
      <c r="E293" s="120" t="str">
        <f>IF(ISNA(VLOOKUP($F293,Declarations!$B$6:$D$293,3,FALSE)),"",IF(VLOOKUP($F293,Declarations!$B$6:$D$293,3,FALSE)="","NOT DECLARED",VLOOKUP($F293,Declarations!$B$6:$D$293,3,FALSE)&amp;LEFT(VLOOKUP($F293,Declarations!$B$6:$E$293,4,FALSE))))</f>
        <v/>
      </c>
      <c r="F293" s="21"/>
      <c r="G293" s="22"/>
      <c r="H293" s="322"/>
      <c r="I293" s="8" t="str">
        <f>IF(ISNA(VLOOKUP(F293,Declarations!B$6:C$293,2,FALSE)),"",IF(VLOOKUP(F293,Declarations!B$6:C$293,2,FALSE)="","NOT DECLARED",VLOOKUP(F293,Declarations!B$6:C$293,2,FALSE)))</f>
        <v/>
      </c>
      <c r="J293" s="2">
        <f>IF(LOWER(LEFT(G293,1))="n",1,VLOOKUP(G293,ScoringTable!E$2:I$95,5))</f>
        <v>0</v>
      </c>
      <c r="K293" s="120" t="str" cm="1">
        <f t="array" ref="K293">IF(OR(E293="",G293=""),"",_xlfn.IFS(E293="U10B",_xlfn.XLOOKUP(G293,Data!$D$4:$L$4,Data!$D$1:$L$1,"",-1,1),E293="U12B",_xlfn.XLOOKUP(G293,Data!$D$11:$L$11,Data!$D$1:$L$1,"",-1,1),E293="U10G",_xlfn.XLOOKUP(G293,Data!$D$17:$L$17,Data!$D$1:$L$1,"",-1,1),E293="U12G",_xlfn.XLOOKUP(G293,Data!$D$24:$L$24,Data!$D$1:$L$1,"",-1,1)))</f>
        <v/>
      </c>
      <c r="L293" s="184" t="str" cm="1">
        <f t="array" ref="L293">IFERROR(_xlfn.IFNA(
                      _xlfn.IFS(
                      F293="", "",
                      AND(E293="U10B",G293&gt;=Data!$M$4), "U10 Boys record",
                      AND(E293="U12B",G293&gt;=Data!$M$11), "U12 Boys record",
                      AND(E293="U10G",G293&gt;=Data!$M$17), "U10 Girls record",
                      AND(E293="U12G",G293&gt;=Data!$M$24), "U12 Girls record"
                       ),""), "")</f>
        <v/>
      </c>
      <c r="M293" s="19" cm="1">
        <f t="array" ref="M293">_xlfn.IFS($G293="",0,AND(NOT(ISNUMBER($G293)),LOWER(LEFT($G293,1))&lt;&gt;"n"),"Not a valid distance",OR(LOWER(LEFT($G293,1))="n",$G293&lt;ScoringTable!$P$161),1,RIGHT($E293,1)="B",_xlfn.XLOOKUP($G293,ScoringTable!$P$2:$P$161,ScoringTable!$L$2:$L$161,,-1),TRUE,_xlfn.XLOOKUP($G293,ScoringTable!$V$2:$V$161,ScoringTable!$R$2:$R$161,,-1))</f>
        <v>0</v>
      </c>
    </row>
  </sheetData>
  <sheetProtection sheet="1" objects="1" scenarios="1"/>
  <mergeCells count="6">
    <mergeCell ref="A1:D1"/>
    <mergeCell ref="F1:G1"/>
    <mergeCell ref="A2:D2"/>
    <mergeCell ref="F2:G2"/>
    <mergeCell ref="I1:K1"/>
    <mergeCell ref="I2:K2"/>
  </mergeCells>
  <phoneticPr fontId="5" type="noConversion"/>
  <conditionalFormatting sqref="F1:F1048576">
    <cfRule type="duplicateValues" dxfId="10" priority="2"/>
  </conditionalFormatting>
  <pageMargins left="0.75" right="0.75" top="1" bottom="1" header="0.5" footer="0.5"/>
  <pageSetup paperSize="9" scale="46" orientation="portrait" horizontalDpi="0" verticalDpi="0"/>
  <headerFooter alignWithMargins="0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10</vt:i4>
      </vt:variant>
    </vt:vector>
  </HeadingPairs>
  <TitlesOfParts>
    <vt:vector size="24" baseType="lpstr">
      <vt:lpstr>Read Me First</vt:lpstr>
      <vt:lpstr>Declarations</vt:lpstr>
      <vt:lpstr>BlockAllocations</vt:lpstr>
      <vt:lpstr>Timetable</vt:lpstr>
      <vt:lpstr>FieldCards</vt:lpstr>
      <vt:lpstr>75m</vt:lpstr>
      <vt:lpstr>600m</vt:lpstr>
      <vt:lpstr>LongJump</vt:lpstr>
      <vt:lpstr>Vortex</vt:lpstr>
      <vt:lpstr>Relay</vt:lpstr>
      <vt:lpstr>QKResults</vt:lpstr>
      <vt:lpstr>Data</vt:lpstr>
      <vt:lpstr>ScoringTable</vt:lpstr>
      <vt:lpstr>QKResults - funetics</vt:lpstr>
      <vt:lpstr>'600m'!Print_Area</vt:lpstr>
      <vt:lpstr>'75m'!Print_Area</vt:lpstr>
      <vt:lpstr>Declarations!Print_Area</vt:lpstr>
      <vt:lpstr>FieldCards!Print_Area</vt:lpstr>
      <vt:lpstr>LongJump!Print_Area</vt:lpstr>
      <vt:lpstr>QKResults!Print_Area</vt:lpstr>
      <vt:lpstr>'QKResults - funetics'!Print_Area</vt:lpstr>
      <vt:lpstr>Relay!Print_Area</vt:lpstr>
      <vt:lpstr>Timetable!Print_Area</vt:lpstr>
      <vt:lpstr>Vortex!Print_Area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OTFL QuadKids Scoring System</dc:title>
  <dc:subject/>
  <dc:creator>Annalise Dobson</dc:creator>
  <cp:keywords/>
  <dc:description>With thanks to the Wessex League, Darryn Campbell and Nigel Harding</dc:description>
  <cp:lastModifiedBy>Myles Fleming</cp:lastModifiedBy>
  <cp:lastPrinted>2026-04-23T19:49:12Z</cp:lastPrinted>
  <dcterms:created xsi:type="dcterms:W3CDTF">2005-05-11T17:15:37Z</dcterms:created>
  <dcterms:modified xsi:type="dcterms:W3CDTF">2026-08-29T13:03:14Z</dcterms:modified>
  <cp:category/>
</cp:coreProperties>
</file>